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updateLinks="never" codeName="ThisWorkbook" defaultThemeVersion="124226"/>
  <mc:AlternateContent xmlns:mc="http://schemas.openxmlformats.org/markup-compatibility/2006">
    <mc:Choice Requires="x15">
      <x15ac:absPath xmlns:x15ac="http://schemas.microsoft.com/office/spreadsheetml/2010/11/ac" url="C:\Users\Developer\Downloads\Compressed\"/>
    </mc:Choice>
  </mc:AlternateContent>
  <xr:revisionPtr revIDLastSave="0" documentId="13_ncr:1_{7FABCF44-51DB-452D-A0EB-E760DE36D978}" xr6:coauthVersionLast="45" xr6:coauthVersionMax="47" xr10:uidLastSave="{00000000-0000-0000-0000-000000000000}"/>
  <bookViews>
    <workbookView xWindow="-108" yWindow="-108" windowWidth="23256" windowHeight="12456" tabRatio="767" firstSheet="5" activeTab="13" xr2:uid="{00000000-000D-0000-FFFF-FFFF00000000}"/>
  </bookViews>
  <sheets>
    <sheet name="PE MOhm" sheetId="30" state="hidden" r:id="rId1"/>
    <sheet name="RESISTANCE Ohm" sheetId="28" state="hidden" r:id="rId2"/>
    <sheet name="EARTH LEAKAGE" sheetId="26" state="hidden" r:id="rId3"/>
    <sheet name="ESA VOLT" sheetId="25" state="hidden" r:id="rId4"/>
    <sheet name="Riwayat Revisi" sheetId="34" r:id="rId5"/>
    <sheet name="LK" sheetId="33" r:id="rId6"/>
    <sheet name="ID" sheetId="4" r:id="rId7"/>
    <sheet name="DATA 1" sheetId="41" state="hidden" r:id="rId8"/>
    <sheet name="INTERPOLASI" sheetId="40" state="hidden" r:id="rId9"/>
    <sheet name="SERTIFIKAT THERMOHYGROMETER" sheetId="22" state="hidden" r:id="rId10"/>
    <sheet name="KONVERSI SATUAN" sheetId="24" state="hidden" r:id="rId11"/>
    <sheet name="KETERANGAN" sheetId="23" state="hidden" r:id="rId12"/>
    <sheet name="SERTIFIKAT DPM" sheetId="20" state="hidden" r:id="rId13"/>
    <sheet name="LH" sheetId="32" r:id="rId14"/>
    <sheet name="PENYELIA" sheetId="1" r:id="rId15"/>
    <sheet name="BUDGET NAIK" sheetId="11" r:id="rId16"/>
    <sheet name="BUDGET TURUN" sheetId="31" r:id="rId17"/>
    <sheet name="SERTIFIKAT NA" sheetId="35" state="hidden" r:id="rId18"/>
    <sheet name="DB SERTIFIKAT NA" sheetId="37" state="hidden" r:id="rId19"/>
    <sheet name="SERTIFIKAT" sheetId="38" state="hidden" r:id="rId20"/>
  </sheets>
  <definedNames>
    <definedName name="_xlnm._FilterDatabase" localSheetId="3" hidden="1">'ESA VOLT'!$G$8:$G$98</definedName>
    <definedName name="_xlnm._FilterDatabase" localSheetId="6" hidden="1">ID!$U$10:$U$12</definedName>
    <definedName name="_xlnm._FilterDatabase" localSheetId="12" hidden="1">'SERTIFIKAT DPM'!$AD$10:$AD$165</definedName>
    <definedName name="_xlnm.Extract" localSheetId="3">'ESA VOLT'!$S$3</definedName>
    <definedName name="_xlnm.Extract" localSheetId="12">'SERTIFIKAT DPM'!$AW$4</definedName>
    <definedName name="_xlnm.Print_Area" localSheetId="15">'BUDGET NAIK'!$C$3:$N$88</definedName>
    <definedName name="_xlnm.Print_Area" localSheetId="16">'BUDGET TURUN'!$C$3:$N$88</definedName>
    <definedName name="_xlnm.Print_Area" localSheetId="6">ID!$A$1:$O$93</definedName>
    <definedName name="_xlnm.Print_Area" localSheetId="13">LH!$A$1:$P$90</definedName>
    <definedName name="_xlnm.Print_Area" localSheetId="5">LK!$A$1:$J$102</definedName>
    <definedName name="_xlnm.Print_Area" localSheetId="14">PENYELIA!$A$1:$P$82</definedName>
    <definedName name="_xlnm.Print_Area" localSheetId="19">SERTIFIKAT!$A$1:$F$33</definedName>
    <definedName name="_xlnm.Print_Area" localSheetId="17">'SERTIFIKAT NA'!$A$1:$G$33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31" l="1"/>
  <c r="G57" i="1"/>
  <c r="Q60" i="1" l="1"/>
  <c r="H58" i="32"/>
  <c r="G12" i="11" l="1"/>
  <c r="G15" i="11"/>
  <c r="G30" i="11"/>
  <c r="AB27" i="20" l="1"/>
  <c r="F8" i="1"/>
  <c r="F7" i="1"/>
  <c r="F7" i="32" s="1"/>
  <c r="M25" i="41"/>
  <c r="M22" i="41"/>
  <c r="M23" i="41"/>
  <c r="M24" i="41"/>
  <c r="L37" i="4" l="1"/>
  <c r="N37" i="4"/>
  <c r="J26" i="1" s="1"/>
  <c r="R26" i="1" s="1"/>
  <c r="N36" i="4"/>
  <c r="B59" i="4"/>
  <c r="M8" i="25"/>
  <c r="M15" i="25" l="1"/>
  <c r="M16" i="25"/>
  <c r="AL22" i="41" s="1"/>
  <c r="AL14" i="41"/>
  <c r="N9" i="25"/>
  <c r="AM15" i="41" s="1"/>
  <c r="N10" i="25"/>
  <c r="AM16" i="41" s="1"/>
  <c r="N11" i="25"/>
  <c r="AM17" i="41" s="1"/>
  <c r="N12" i="25"/>
  <c r="AM18" i="41" s="1"/>
  <c r="N13" i="25"/>
  <c r="AM19" i="41" s="1"/>
  <c r="N15" i="25"/>
  <c r="AM21" i="41" s="1"/>
  <c r="O15" i="25"/>
  <c r="AN21" i="41" s="1"/>
  <c r="N16" i="25"/>
  <c r="AM22" i="41" s="1"/>
  <c r="O16" i="25"/>
  <c r="AN22" i="41" s="1"/>
  <c r="Q8" i="25"/>
  <c r="P8" i="25"/>
  <c r="N8" i="25"/>
  <c r="AM14" i="41" s="1"/>
  <c r="M9" i="25"/>
  <c r="AL15" i="41" s="1"/>
  <c r="M10" i="25"/>
  <c r="AL16" i="41" s="1"/>
  <c r="M11" i="25"/>
  <c r="AL17" i="41" s="1"/>
  <c r="M12" i="25"/>
  <c r="AL18" i="41" s="1"/>
  <c r="M13" i="25"/>
  <c r="AL19" i="41" s="1"/>
  <c r="M14" i="25"/>
  <c r="AL20" i="41" s="1"/>
  <c r="D8" i="25"/>
  <c r="H8" i="25"/>
  <c r="I8" i="25" s="1"/>
  <c r="D9" i="25"/>
  <c r="H9" i="25"/>
  <c r="I9" i="25"/>
  <c r="D10" i="25"/>
  <c r="H10" i="25"/>
  <c r="I10" i="25" s="1"/>
  <c r="D11" i="25"/>
  <c r="H11" i="25"/>
  <c r="I11" i="25"/>
  <c r="D12" i="25"/>
  <c r="H12" i="25"/>
  <c r="I12" i="25" s="1"/>
  <c r="D13" i="25"/>
  <c r="H13" i="25"/>
  <c r="I13" i="25"/>
  <c r="D14" i="25"/>
  <c r="H14" i="25"/>
  <c r="I14" i="25" s="1"/>
  <c r="C15" i="25"/>
  <c r="D15" i="25"/>
  <c r="H15" i="25"/>
  <c r="I15" i="25" s="1"/>
  <c r="H16" i="25"/>
  <c r="I16" i="25"/>
  <c r="H17" i="25"/>
  <c r="I17" i="25"/>
  <c r="D18" i="25"/>
  <c r="H18" i="25"/>
  <c r="I18" i="25"/>
  <c r="D19" i="25"/>
  <c r="H19" i="25"/>
  <c r="I19" i="25"/>
  <c r="D20" i="25"/>
  <c r="H20" i="25"/>
  <c r="I20" i="25"/>
  <c r="D21" i="25"/>
  <c r="H21" i="25"/>
  <c r="I21" i="25"/>
  <c r="D22" i="25"/>
  <c r="H22" i="25"/>
  <c r="I22" i="25"/>
  <c r="D23" i="25"/>
  <c r="H23" i="25"/>
  <c r="I23" i="25"/>
  <c r="C24" i="25"/>
  <c r="D24" i="25"/>
  <c r="H24" i="25"/>
  <c r="I24" i="25"/>
  <c r="H25" i="25"/>
  <c r="I25" i="25"/>
  <c r="H26" i="25"/>
  <c r="I26" i="25"/>
  <c r="D27" i="25"/>
  <c r="H27" i="25"/>
  <c r="I27" i="25"/>
  <c r="D28" i="25"/>
  <c r="H28" i="25"/>
  <c r="I28" i="25"/>
  <c r="D29" i="25"/>
  <c r="H29" i="25"/>
  <c r="I29" i="25"/>
  <c r="D30" i="25"/>
  <c r="H30" i="25"/>
  <c r="I30" i="25"/>
  <c r="D31" i="25"/>
  <c r="H31" i="25"/>
  <c r="I31" i="25"/>
  <c r="D32" i="25"/>
  <c r="D33" i="25" s="1"/>
  <c r="H32" i="25"/>
  <c r="I32" i="25"/>
  <c r="C33" i="25"/>
  <c r="H33" i="25"/>
  <c r="I33" i="25"/>
  <c r="H34" i="25"/>
  <c r="I34" i="25"/>
  <c r="H35" i="25"/>
  <c r="I35" i="25"/>
  <c r="D36" i="25"/>
  <c r="H36" i="25"/>
  <c r="I36" i="25"/>
  <c r="D37" i="25"/>
  <c r="H37" i="25"/>
  <c r="I37" i="25"/>
  <c r="D38" i="25"/>
  <c r="H38" i="25"/>
  <c r="I38" i="25"/>
  <c r="D39" i="25"/>
  <c r="H39" i="25"/>
  <c r="I39" i="25"/>
  <c r="D40" i="25"/>
  <c r="H40" i="25"/>
  <c r="I40" i="25"/>
  <c r="D41" i="25"/>
  <c r="H41" i="25"/>
  <c r="I41" i="25"/>
  <c r="C42" i="25"/>
  <c r="D42" i="25"/>
  <c r="H42" i="25"/>
  <c r="I42" i="25"/>
  <c r="H43" i="25"/>
  <c r="I43" i="25"/>
  <c r="H44" i="25"/>
  <c r="I44" i="25"/>
  <c r="D45" i="25"/>
  <c r="H45" i="25"/>
  <c r="I45" i="25"/>
  <c r="D46" i="25"/>
  <c r="H46" i="25"/>
  <c r="I46" i="25"/>
  <c r="D47" i="25"/>
  <c r="H47" i="25"/>
  <c r="I47" i="25"/>
  <c r="D48" i="25"/>
  <c r="H48" i="25"/>
  <c r="I48" i="25"/>
  <c r="D49" i="25"/>
  <c r="H49" i="25"/>
  <c r="I49" i="25"/>
  <c r="D50" i="25"/>
  <c r="H50" i="25"/>
  <c r="I50" i="25"/>
  <c r="C51" i="25"/>
  <c r="D51" i="25"/>
  <c r="H51" i="25"/>
  <c r="I51" i="25"/>
  <c r="H52" i="25"/>
  <c r="I52" i="25"/>
  <c r="H53" i="25"/>
  <c r="I53" i="25"/>
  <c r="D54" i="25"/>
  <c r="H54" i="25"/>
  <c r="I54" i="25"/>
  <c r="D55" i="25"/>
  <c r="H55" i="25"/>
  <c r="I55" i="25"/>
  <c r="D56" i="25"/>
  <c r="H56" i="25"/>
  <c r="I56" i="25"/>
  <c r="D57" i="25"/>
  <c r="H57" i="25"/>
  <c r="I57" i="25"/>
  <c r="D58" i="25"/>
  <c r="H58" i="25"/>
  <c r="I58" i="25"/>
  <c r="D59" i="25"/>
  <c r="H59" i="25"/>
  <c r="I59" i="25"/>
  <c r="C60" i="25"/>
  <c r="D60" i="25"/>
  <c r="H60" i="25"/>
  <c r="I60" i="25"/>
  <c r="H61" i="25"/>
  <c r="I61" i="25"/>
  <c r="H62" i="25"/>
  <c r="I62" i="25"/>
  <c r="D63" i="25"/>
  <c r="H63" i="25"/>
  <c r="I63" i="25"/>
  <c r="D64" i="25"/>
  <c r="H64" i="25"/>
  <c r="I64" i="25"/>
  <c r="D65" i="25"/>
  <c r="H65" i="25"/>
  <c r="I65" i="25"/>
  <c r="D66" i="25"/>
  <c r="H66" i="25"/>
  <c r="I66" i="25"/>
  <c r="D67" i="25"/>
  <c r="H67" i="25"/>
  <c r="I67" i="25"/>
  <c r="D68" i="25"/>
  <c r="H68" i="25"/>
  <c r="I68" i="25"/>
  <c r="C69" i="25"/>
  <c r="D69" i="25"/>
  <c r="H69" i="25"/>
  <c r="I69" i="25"/>
  <c r="D70" i="25"/>
  <c r="H70" i="25"/>
  <c r="I70" i="25"/>
  <c r="H71" i="25"/>
  <c r="I71" i="25"/>
  <c r="D72" i="25"/>
  <c r="H72" i="25"/>
  <c r="I72" i="25"/>
  <c r="D73" i="25"/>
  <c r="H73" i="25"/>
  <c r="I73" i="25"/>
  <c r="D74" i="25"/>
  <c r="H74" i="25"/>
  <c r="I74" i="25"/>
  <c r="D75" i="25"/>
  <c r="H75" i="25"/>
  <c r="I75" i="25"/>
  <c r="D76" i="25"/>
  <c r="H76" i="25"/>
  <c r="I76" i="25"/>
  <c r="D77" i="25"/>
  <c r="H77" i="25"/>
  <c r="I77" i="25"/>
  <c r="C78" i="25"/>
  <c r="D78" i="25"/>
  <c r="H78" i="25"/>
  <c r="I78" i="25"/>
  <c r="H79" i="25"/>
  <c r="I79" i="25"/>
  <c r="H80" i="25"/>
  <c r="I80" i="25"/>
  <c r="D81" i="25"/>
  <c r="O8" i="25" s="1"/>
  <c r="AN14" i="41" s="1"/>
  <c r="H81" i="25"/>
  <c r="I81" i="25" s="1"/>
  <c r="D82" i="25"/>
  <c r="O9" i="25" s="1"/>
  <c r="AN15" i="41" s="1"/>
  <c r="H82" i="25"/>
  <c r="I82" i="25" s="1"/>
  <c r="D83" i="25"/>
  <c r="O10" i="25" s="1"/>
  <c r="AN16" i="41" s="1"/>
  <c r="H83" i="25"/>
  <c r="I83" i="25" s="1"/>
  <c r="D84" i="25"/>
  <c r="O11" i="25" s="1"/>
  <c r="AN17" i="41" s="1"/>
  <c r="H84" i="25"/>
  <c r="I84" i="25" s="1"/>
  <c r="D85" i="25"/>
  <c r="O12" i="25" s="1"/>
  <c r="AN18" i="41" s="1"/>
  <c r="H85" i="25"/>
  <c r="I85" i="25"/>
  <c r="D86" i="25"/>
  <c r="O13" i="25" s="1"/>
  <c r="AN19" i="41" s="1"/>
  <c r="H86" i="25"/>
  <c r="I86" i="25" s="1"/>
  <c r="C87" i="25"/>
  <c r="N14" i="25" s="1"/>
  <c r="AM20" i="41" s="1"/>
  <c r="D87" i="25"/>
  <c r="O14" i="25" s="1"/>
  <c r="AN20" i="41" s="1"/>
  <c r="H87" i="25"/>
  <c r="I87" i="25" s="1"/>
  <c r="H88" i="25"/>
  <c r="I88" i="25"/>
  <c r="H89" i="25"/>
  <c r="I89" i="25"/>
  <c r="D90" i="25"/>
  <c r="H90" i="25"/>
  <c r="I90" i="25"/>
  <c r="D91" i="25"/>
  <c r="H91" i="25"/>
  <c r="I91" i="25"/>
  <c r="D92" i="25"/>
  <c r="H92" i="25"/>
  <c r="I92" i="25"/>
  <c r="D93" i="25"/>
  <c r="H93" i="25"/>
  <c r="I93" i="25"/>
  <c r="D94" i="25"/>
  <c r="H94" i="25"/>
  <c r="I94" i="25"/>
  <c r="D95" i="25"/>
  <c r="H95" i="25"/>
  <c r="I95" i="25"/>
  <c r="C96" i="25"/>
  <c r="D96" i="25"/>
  <c r="H96" i="25"/>
  <c r="I96" i="25"/>
  <c r="H97" i="25"/>
  <c r="I97" i="25"/>
  <c r="H98" i="25"/>
  <c r="I98" i="25"/>
  <c r="O17" i="25" l="1"/>
  <c r="J9" i="25"/>
  <c r="J13" i="25"/>
  <c r="J18" i="25"/>
  <c r="J19" i="25"/>
  <c r="J20" i="25"/>
  <c r="J21" i="25"/>
  <c r="J22" i="25"/>
  <c r="J23" i="25"/>
  <c r="J25" i="25"/>
  <c r="J27" i="25"/>
  <c r="J28" i="25"/>
  <c r="J29" i="25"/>
  <c r="J30" i="25"/>
  <c r="J31" i="25"/>
  <c r="J32" i="25"/>
  <c r="J34" i="25"/>
  <c r="J42" i="25"/>
  <c r="J62" i="25"/>
  <c r="J63" i="25"/>
  <c r="J64" i="25"/>
  <c r="J65" i="25"/>
  <c r="J66" i="25"/>
  <c r="J67" i="25"/>
  <c r="J68" i="25"/>
  <c r="J71" i="25"/>
  <c r="J72" i="25"/>
  <c r="J73" i="25"/>
  <c r="J74" i="25"/>
  <c r="J75" i="25"/>
  <c r="J76" i="25"/>
  <c r="J77" i="25"/>
  <c r="J79" i="25"/>
  <c r="J87" i="25"/>
  <c r="J81" i="25"/>
  <c r="J84" i="25"/>
  <c r="J86" i="25"/>
  <c r="J10" i="25"/>
  <c r="J14" i="25"/>
  <c r="J24" i="25"/>
  <c r="J33" i="25"/>
  <c r="J53" i="25"/>
  <c r="J54" i="25"/>
  <c r="J55" i="25"/>
  <c r="J56" i="25"/>
  <c r="J57" i="25"/>
  <c r="J58" i="25"/>
  <c r="J59" i="25"/>
  <c r="J61" i="25"/>
  <c r="J69" i="25"/>
  <c r="J70" i="25"/>
  <c r="J78" i="25"/>
  <c r="J98" i="25"/>
  <c r="J83" i="25"/>
  <c r="J11" i="25"/>
  <c r="J44" i="25"/>
  <c r="J45" i="25"/>
  <c r="J46" i="25"/>
  <c r="J47" i="25"/>
  <c r="J48" i="25"/>
  <c r="J49" i="25"/>
  <c r="J50" i="25"/>
  <c r="J52" i="25"/>
  <c r="J60" i="25"/>
  <c r="J89" i="25"/>
  <c r="J90" i="25"/>
  <c r="J91" i="25"/>
  <c r="J92" i="25"/>
  <c r="J93" i="25"/>
  <c r="J94" i="25"/>
  <c r="J95" i="25"/>
  <c r="J97" i="25"/>
  <c r="J8" i="25"/>
  <c r="J12" i="25"/>
  <c r="J15" i="25"/>
  <c r="J16" i="25"/>
  <c r="J17" i="25"/>
  <c r="J26" i="25"/>
  <c r="J35" i="25"/>
  <c r="J36" i="25"/>
  <c r="J37" i="25"/>
  <c r="J38" i="25"/>
  <c r="J39" i="25"/>
  <c r="J40" i="25"/>
  <c r="J41" i="25"/>
  <c r="J43" i="25"/>
  <c r="J51" i="25"/>
  <c r="J80" i="25"/>
  <c r="J82" i="25"/>
  <c r="J85" i="25"/>
  <c r="J88" i="25"/>
  <c r="J96" i="25"/>
  <c r="H17" i="1" l="1"/>
  <c r="H17" i="32"/>
  <c r="AB37" i="20"/>
  <c r="AB38" i="20"/>
  <c r="AB39" i="20"/>
  <c r="AB40" i="20"/>
  <c r="AB41" i="20"/>
  <c r="AB42" i="20"/>
  <c r="AB43" i="20"/>
  <c r="AB44" i="20"/>
  <c r="AB45" i="20"/>
  <c r="AB46" i="20"/>
  <c r="AB36" i="20"/>
  <c r="Y44" i="20"/>
  <c r="Z44" i="20"/>
  <c r="Y45" i="20"/>
  <c r="Z45" i="20"/>
  <c r="Y46" i="20"/>
  <c r="Z46" i="20"/>
  <c r="Z43" i="20"/>
  <c r="Y43" i="20"/>
  <c r="Z42" i="20"/>
  <c r="Y42" i="20"/>
  <c r="Z41" i="20"/>
  <c r="Y41" i="20"/>
  <c r="Z40" i="20"/>
  <c r="Y40" i="20"/>
  <c r="Z39" i="20"/>
  <c r="Y39" i="20"/>
  <c r="Z38" i="20"/>
  <c r="Y38" i="20"/>
  <c r="Z37" i="20"/>
  <c r="Y37" i="20"/>
  <c r="Z36" i="20"/>
  <c r="Y36" i="20"/>
  <c r="W37" i="20"/>
  <c r="V37" i="20" s="1"/>
  <c r="W38" i="20"/>
  <c r="V38" i="20" s="1"/>
  <c r="W39" i="20"/>
  <c r="V39" i="20" s="1"/>
  <c r="W40" i="20"/>
  <c r="V40" i="20" s="1"/>
  <c r="W41" i="20"/>
  <c r="V41" i="20" s="1"/>
  <c r="W42" i="20"/>
  <c r="V42" i="20" s="1"/>
  <c r="W43" i="20"/>
  <c r="V43" i="20" s="1"/>
  <c r="W44" i="20"/>
  <c r="V44" i="20" s="1"/>
  <c r="W45" i="20"/>
  <c r="V45" i="20" s="1"/>
  <c r="W46" i="20"/>
  <c r="V46" i="20" s="1"/>
  <c r="R37" i="20"/>
  <c r="R38" i="20"/>
  <c r="R39" i="20"/>
  <c r="R40" i="20"/>
  <c r="R41" i="20"/>
  <c r="R42" i="20"/>
  <c r="R43" i="20"/>
  <c r="R44" i="20"/>
  <c r="R45" i="20"/>
  <c r="R46" i="20"/>
  <c r="R47" i="20"/>
  <c r="T44" i="20"/>
  <c r="U44" i="20"/>
  <c r="T45" i="20"/>
  <c r="U45" i="20"/>
  <c r="T46" i="20"/>
  <c r="U46" i="20"/>
  <c r="U43" i="20"/>
  <c r="T43" i="20"/>
  <c r="U42" i="20"/>
  <c r="T42" i="20"/>
  <c r="U41" i="20"/>
  <c r="T41" i="20"/>
  <c r="U40" i="20"/>
  <c r="T40" i="20"/>
  <c r="U39" i="20"/>
  <c r="T39" i="20"/>
  <c r="U38" i="20"/>
  <c r="T38" i="20"/>
  <c r="U37" i="20"/>
  <c r="T37" i="20"/>
  <c r="U36" i="20"/>
  <c r="T36" i="20"/>
  <c r="X162" i="20"/>
  <c r="S162" i="20"/>
  <c r="R162" i="20"/>
  <c r="AB161" i="20"/>
  <c r="Z161" i="20"/>
  <c r="Y161" i="20"/>
  <c r="X161" i="20"/>
  <c r="W161" i="20"/>
  <c r="U161" i="20"/>
  <c r="T161" i="20"/>
  <c r="S161" i="20"/>
  <c r="R161" i="20"/>
  <c r="AB160" i="20"/>
  <c r="Z160" i="20"/>
  <c r="Y160" i="20"/>
  <c r="AA160" i="20" s="1"/>
  <c r="X160" i="20"/>
  <c r="W160" i="20"/>
  <c r="U160" i="20"/>
  <c r="T160" i="20"/>
  <c r="S160" i="20"/>
  <c r="R160" i="20"/>
  <c r="AB159" i="20"/>
  <c r="Z159" i="20"/>
  <c r="Y159" i="20"/>
  <c r="X159" i="20"/>
  <c r="AA159" i="20" s="1"/>
  <c r="W159" i="20"/>
  <c r="U159" i="20"/>
  <c r="T159" i="20"/>
  <c r="S159" i="20"/>
  <c r="V159" i="20" s="1"/>
  <c r="R159" i="20"/>
  <c r="AB158" i="20"/>
  <c r="Z158" i="20"/>
  <c r="Y158" i="20"/>
  <c r="AA158" i="20" s="1"/>
  <c r="X158" i="20"/>
  <c r="W158" i="20"/>
  <c r="U158" i="20"/>
  <c r="T158" i="20"/>
  <c r="S158" i="20"/>
  <c r="R158" i="20"/>
  <c r="AB157" i="20"/>
  <c r="Z157" i="20"/>
  <c r="Y157" i="20"/>
  <c r="X157" i="20"/>
  <c r="W157" i="20"/>
  <c r="U157" i="20"/>
  <c r="T157" i="20"/>
  <c r="S157" i="20"/>
  <c r="R157" i="20"/>
  <c r="AB156" i="20"/>
  <c r="Z156" i="20"/>
  <c r="Y156" i="20"/>
  <c r="X156" i="20"/>
  <c r="AA156" i="20" s="1"/>
  <c r="W156" i="20"/>
  <c r="U156" i="20"/>
  <c r="T156" i="20"/>
  <c r="S156" i="20"/>
  <c r="R156" i="20"/>
  <c r="AB155" i="20"/>
  <c r="Z155" i="20"/>
  <c r="Y155" i="20"/>
  <c r="X155" i="20"/>
  <c r="W155" i="20"/>
  <c r="U155" i="20"/>
  <c r="T155" i="20"/>
  <c r="S155" i="20"/>
  <c r="R155" i="20"/>
  <c r="X147" i="20"/>
  <c r="S147" i="20"/>
  <c r="R147" i="20"/>
  <c r="AB146" i="20"/>
  <c r="Z146" i="20"/>
  <c r="Y146" i="20"/>
  <c r="X146" i="20"/>
  <c r="W146" i="20"/>
  <c r="U146" i="20"/>
  <c r="T146" i="20"/>
  <c r="V146" i="20" s="1"/>
  <c r="S146" i="20"/>
  <c r="R146" i="20"/>
  <c r="AB145" i="20"/>
  <c r="Z145" i="20"/>
  <c r="Y145" i="20"/>
  <c r="X145" i="20"/>
  <c r="W145" i="20"/>
  <c r="U145" i="20"/>
  <c r="T145" i="20"/>
  <c r="S145" i="20"/>
  <c r="R145" i="20"/>
  <c r="AB144" i="20"/>
  <c r="Z144" i="20"/>
  <c r="Y144" i="20"/>
  <c r="X144" i="20"/>
  <c r="W144" i="20"/>
  <c r="U144" i="20"/>
  <c r="T144" i="20"/>
  <c r="S144" i="20"/>
  <c r="R144" i="20"/>
  <c r="AB143" i="20"/>
  <c r="Z143" i="20"/>
  <c r="Y143" i="20"/>
  <c r="AA143" i="20" s="1"/>
  <c r="X143" i="20"/>
  <c r="W143" i="20"/>
  <c r="U143" i="20"/>
  <c r="T143" i="20"/>
  <c r="S143" i="20"/>
  <c r="R143" i="20"/>
  <c r="AB142" i="20"/>
  <c r="Z142" i="20"/>
  <c r="Y142" i="20"/>
  <c r="X142" i="20"/>
  <c r="W142" i="20"/>
  <c r="U142" i="20"/>
  <c r="T142" i="20"/>
  <c r="S142" i="20"/>
  <c r="R142" i="20"/>
  <c r="AB141" i="20"/>
  <c r="Z141" i="20"/>
  <c r="Y141" i="20"/>
  <c r="X141" i="20"/>
  <c r="W141" i="20"/>
  <c r="U141" i="20"/>
  <c r="T141" i="20"/>
  <c r="S141" i="20"/>
  <c r="R141" i="20"/>
  <c r="AB140" i="20"/>
  <c r="Z140" i="20"/>
  <c r="Y140" i="20"/>
  <c r="X140" i="20"/>
  <c r="W140" i="20"/>
  <c r="U140" i="20"/>
  <c r="T140" i="20"/>
  <c r="S140" i="20"/>
  <c r="R140" i="20"/>
  <c r="X132" i="20"/>
  <c r="S132" i="20"/>
  <c r="R132" i="20"/>
  <c r="AB131" i="20"/>
  <c r="Z131" i="20"/>
  <c r="Y131" i="20"/>
  <c r="X131" i="20"/>
  <c r="W131" i="20"/>
  <c r="U131" i="20"/>
  <c r="T131" i="20"/>
  <c r="S131" i="20"/>
  <c r="R131" i="20"/>
  <c r="AB130" i="20"/>
  <c r="Z130" i="20"/>
  <c r="Y130" i="20"/>
  <c r="X130" i="20"/>
  <c r="AA130" i="20" s="1"/>
  <c r="W130" i="20"/>
  <c r="U130" i="20"/>
  <c r="T130" i="20"/>
  <c r="S130" i="20"/>
  <c r="R130" i="20"/>
  <c r="AB129" i="20"/>
  <c r="Z129" i="20"/>
  <c r="Y129" i="20"/>
  <c r="X129" i="20"/>
  <c r="W129" i="20"/>
  <c r="U129" i="20"/>
  <c r="T129" i="20"/>
  <c r="S129" i="20"/>
  <c r="R129" i="20"/>
  <c r="AB128" i="20"/>
  <c r="Z128" i="20"/>
  <c r="Y128" i="20"/>
  <c r="X128" i="20"/>
  <c r="W128" i="20"/>
  <c r="U128" i="20"/>
  <c r="T128" i="20"/>
  <c r="S128" i="20"/>
  <c r="R128" i="20"/>
  <c r="AB127" i="20"/>
  <c r="Z127" i="20"/>
  <c r="Y127" i="20"/>
  <c r="X127" i="20"/>
  <c r="W127" i="20"/>
  <c r="U127" i="20"/>
  <c r="T127" i="20"/>
  <c r="S127" i="20"/>
  <c r="R127" i="20"/>
  <c r="AB126" i="20"/>
  <c r="Z126" i="20"/>
  <c r="Y126" i="20"/>
  <c r="X126" i="20"/>
  <c r="W126" i="20"/>
  <c r="U126" i="20"/>
  <c r="T126" i="20"/>
  <c r="S126" i="20"/>
  <c r="V126" i="20" s="1"/>
  <c r="R126" i="20"/>
  <c r="AB125" i="20"/>
  <c r="Z125" i="20"/>
  <c r="Y125" i="20"/>
  <c r="X125" i="20"/>
  <c r="W125" i="20"/>
  <c r="U125" i="20"/>
  <c r="T125" i="20"/>
  <c r="S125" i="20"/>
  <c r="R125" i="20"/>
  <c r="Z117" i="20"/>
  <c r="X117" i="20"/>
  <c r="U117" i="20"/>
  <c r="S117" i="20"/>
  <c r="R117" i="20"/>
  <c r="AB116" i="20"/>
  <c r="Z116" i="20"/>
  <c r="Y116" i="20"/>
  <c r="X116" i="20"/>
  <c r="W116" i="20"/>
  <c r="U116" i="20"/>
  <c r="T116" i="20"/>
  <c r="V116" i="20" s="1"/>
  <c r="S116" i="20"/>
  <c r="R116" i="20"/>
  <c r="AB115" i="20"/>
  <c r="Z115" i="20"/>
  <c r="Y115" i="20"/>
  <c r="X115" i="20"/>
  <c r="W115" i="20"/>
  <c r="U115" i="20"/>
  <c r="T115" i="20"/>
  <c r="S115" i="20"/>
  <c r="R115" i="20"/>
  <c r="AB114" i="20"/>
  <c r="Z114" i="20"/>
  <c r="Y114" i="20"/>
  <c r="X114" i="20"/>
  <c r="W114" i="20"/>
  <c r="U114" i="20"/>
  <c r="T114" i="20"/>
  <c r="S114" i="20"/>
  <c r="V114" i="20" s="1"/>
  <c r="R114" i="20"/>
  <c r="AB113" i="20"/>
  <c r="Z113" i="20"/>
  <c r="Y113" i="20"/>
  <c r="X113" i="20"/>
  <c r="W113" i="20"/>
  <c r="U113" i="20"/>
  <c r="T113" i="20"/>
  <c r="S113" i="20"/>
  <c r="R113" i="20"/>
  <c r="AB112" i="20"/>
  <c r="Z112" i="20"/>
  <c r="Y112" i="20"/>
  <c r="X112" i="20"/>
  <c r="W112" i="20"/>
  <c r="U112" i="20"/>
  <c r="T112" i="20"/>
  <c r="S112" i="20"/>
  <c r="R112" i="20"/>
  <c r="AB111" i="20"/>
  <c r="Z111" i="20"/>
  <c r="Y111" i="20"/>
  <c r="X111" i="20"/>
  <c r="AA111" i="20" s="1"/>
  <c r="W111" i="20"/>
  <c r="U111" i="20"/>
  <c r="T111" i="20"/>
  <c r="S111" i="20"/>
  <c r="R111" i="20"/>
  <c r="AB110" i="20"/>
  <c r="Z110" i="20"/>
  <c r="Y110" i="20"/>
  <c r="X110" i="20"/>
  <c r="W110" i="20"/>
  <c r="U110" i="20"/>
  <c r="T110" i="20"/>
  <c r="S110" i="20"/>
  <c r="V110" i="20" s="1"/>
  <c r="R110" i="20"/>
  <c r="Z102" i="20"/>
  <c r="X102" i="20"/>
  <c r="U102" i="20"/>
  <c r="S102" i="20"/>
  <c r="R102" i="20"/>
  <c r="AB101" i="20"/>
  <c r="Z101" i="20"/>
  <c r="Y101" i="20"/>
  <c r="X101" i="20"/>
  <c r="W101" i="20"/>
  <c r="U101" i="20"/>
  <c r="T101" i="20"/>
  <c r="S101" i="20"/>
  <c r="R101" i="20"/>
  <c r="AB100" i="20"/>
  <c r="Z100" i="20"/>
  <c r="Y100" i="20"/>
  <c r="X100" i="20"/>
  <c r="AA100" i="20" s="1"/>
  <c r="W100" i="20"/>
  <c r="U100" i="20"/>
  <c r="T100" i="20"/>
  <c r="S100" i="20"/>
  <c r="R100" i="20"/>
  <c r="AB99" i="20"/>
  <c r="Z99" i="20"/>
  <c r="Y99" i="20"/>
  <c r="X99" i="20"/>
  <c r="W99" i="20"/>
  <c r="U99" i="20"/>
  <c r="T99" i="20"/>
  <c r="S99" i="20"/>
  <c r="V99" i="20" s="1"/>
  <c r="R99" i="20"/>
  <c r="AB98" i="20"/>
  <c r="Z98" i="20"/>
  <c r="Y98" i="20"/>
  <c r="X98" i="20"/>
  <c r="W98" i="20"/>
  <c r="U98" i="20"/>
  <c r="T98" i="20"/>
  <c r="S98" i="20"/>
  <c r="R98" i="20"/>
  <c r="AB97" i="20"/>
  <c r="Z97" i="20"/>
  <c r="Y97" i="20"/>
  <c r="X97" i="20"/>
  <c r="W97" i="20"/>
  <c r="U97" i="20"/>
  <c r="T97" i="20"/>
  <c r="S97" i="20"/>
  <c r="R97" i="20"/>
  <c r="AB96" i="20"/>
  <c r="Z96" i="20"/>
  <c r="Y96" i="20"/>
  <c r="X96" i="20"/>
  <c r="AA96" i="20" s="1"/>
  <c r="W96" i="20"/>
  <c r="U96" i="20"/>
  <c r="T96" i="20"/>
  <c r="S96" i="20"/>
  <c r="V96" i="20" s="1"/>
  <c r="R96" i="20"/>
  <c r="AB95" i="20"/>
  <c r="Z95" i="20"/>
  <c r="AA95" i="20" s="1"/>
  <c r="Y95" i="20"/>
  <c r="X95" i="20"/>
  <c r="W95" i="20"/>
  <c r="U95" i="20"/>
  <c r="T95" i="20"/>
  <c r="S95" i="20"/>
  <c r="R95" i="20"/>
  <c r="Z87" i="20"/>
  <c r="X87" i="20"/>
  <c r="U87" i="20"/>
  <c r="S87" i="20"/>
  <c r="R87" i="20"/>
  <c r="AB86" i="20"/>
  <c r="Z86" i="20"/>
  <c r="Y86" i="20"/>
  <c r="X86" i="20"/>
  <c r="AA86" i="20" s="1"/>
  <c r="W86" i="20"/>
  <c r="U86" i="20"/>
  <c r="T86" i="20"/>
  <c r="S86" i="20"/>
  <c r="R86" i="20"/>
  <c r="AB85" i="20"/>
  <c r="Z85" i="20"/>
  <c r="Y85" i="20"/>
  <c r="X85" i="20"/>
  <c r="W85" i="20"/>
  <c r="U85" i="20"/>
  <c r="T85" i="20"/>
  <c r="S85" i="20"/>
  <c r="R85" i="20"/>
  <c r="AB84" i="20"/>
  <c r="Z84" i="20"/>
  <c r="Y84" i="20"/>
  <c r="X84" i="20"/>
  <c r="W84" i="20"/>
  <c r="U84" i="20"/>
  <c r="T84" i="20"/>
  <c r="S84" i="20"/>
  <c r="R84" i="20"/>
  <c r="AB83" i="20"/>
  <c r="Z83" i="20"/>
  <c r="Y83" i="20"/>
  <c r="X83" i="20"/>
  <c r="W83" i="20"/>
  <c r="U83" i="20"/>
  <c r="T83" i="20"/>
  <c r="S83" i="20"/>
  <c r="R83" i="20"/>
  <c r="AB82" i="20"/>
  <c r="Z82" i="20"/>
  <c r="Y82" i="20"/>
  <c r="X82" i="20"/>
  <c r="W82" i="20"/>
  <c r="U82" i="20"/>
  <c r="T82" i="20"/>
  <c r="S82" i="20"/>
  <c r="R82" i="20"/>
  <c r="AB81" i="20"/>
  <c r="Z81" i="20"/>
  <c r="Y81" i="20"/>
  <c r="X81" i="20"/>
  <c r="AA81" i="20" s="1"/>
  <c r="W81" i="20"/>
  <c r="U81" i="20"/>
  <c r="T81" i="20"/>
  <c r="S81" i="20"/>
  <c r="R81" i="20"/>
  <c r="AB80" i="20"/>
  <c r="Z80" i="20"/>
  <c r="Y80" i="20"/>
  <c r="X80" i="20"/>
  <c r="W80" i="20"/>
  <c r="V80" i="20"/>
  <c r="U80" i="20"/>
  <c r="T80" i="20"/>
  <c r="S80" i="20"/>
  <c r="R80" i="20"/>
  <c r="Z72" i="20"/>
  <c r="U72" i="20"/>
  <c r="R72" i="20"/>
  <c r="AB71" i="20"/>
  <c r="Z71" i="20"/>
  <c r="X71" i="20"/>
  <c r="W71" i="20"/>
  <c r="U71" i="20"/>
  <c r="S71" i="20"/>
  <c r="R71" i="20"/>
  <c r="AB70" i="20"/>
  <c r="Z70" i="20"/>
  <c r="X70" i="20"/>
  <c r="W70" i="20"/>
  <c r="U70" i="20"/>
  <c r="S70" i="20"/>
  <c r="R70" i="20"/>
  <c r="AB69" i="20"/>
  <c r="Z69" i="20"/>
  <c r="X69" i="20"/>
  <c r="W69" i="20"/>
  <c r="U69" i="20"/>
  <c r="S69" i="20"/>
  <c r="R69" i="20"/>
  <c r="AB68" i="20"/>
  <c r="Z68" i="20"/>
  <c r="X68" i="20"/>
  <c r="W68" i="20"/>
  <c r="U68" i="20"/>
  <c r="S68" i="20"/>
  <c r="R68" i="20"/>
  <c r="AB67" i="20"/>
  <c r="Z67" i="20"/>
  <c r="X67" i="20"/>
  <c r="W67" i="20"/>
  <c r="U67" i="20"/>
  <c r="S67" i="20"/>
  <c r="R67" i="20"/>
  <c r="AB66" i="20"/>
  <c r="Z66" i="20"/>
  <c r="X66" i="20"/>
  <c r="W66" i="20"/>
  <c r="U66" i="20"/>
  <c r="S66" i="20"/>
  <c r="R66" i="20"/>
  <c r="AB65" i="20"/>
  <c r="Z65" i="20"/>
  <c r="Y65" i="20"/>
  <c r="X65" i="20"/>
  <c r="W65" i="20"/>
  <c r="U65" i="20"/>
  <c r="T65" i="20"/>
  <c r="S65" i="20"/>
  <c r="R65" i="20"/>
  <c r="AC58" i="20"/>
  <c r="AA58" i="20"/>
  <c r="Z58" i="20"/>
  <c r="Y58" i="20"/>
  <c r="AB58" i="20" s="1"/>
  <c r="X58" i="20"/>
  <c r="V58" i="20"/>
  <c r="U58" i="20"/>
  <c r="AC57" i="20"/>
  <c r="AA57" i="20"/>
  <c r="Z57" i="20"/>
  <c r="Y57" i="20"/>
  <c r="X57" i="20"/>
  <c r="V57" i="20"/>
  <c r="W57" i="20" s="1"/>
  <c r="U57" i="20"/>
  <c r="T57" i="20"/>
  <c r="S57" i="20"/>
  <c r="AC56" i="20"/>
  <c r="AA56" i="20"/>
  <c r="Z56" i="20"/>
  <c r="Y56" i="20"/>
  <c r="X56" i="20"/>
  <c r="V56" i="20"/>
  <c r="U56" i="20"/>
  <c r="T56" i="20"/>
  <c r="S56" i="20"/>
  <c r="AC55" i="20"/>
  <c r="AA55" i="20"/>
  <c r="Z55" i="20"/>
  <c r="Y55" i="20"/>
  <c r="AB55" i="20" s="1"/>
  <c r="X55" i="20"/>
  <c r="V55" i="20"/>
  <c r="U55" i="20"/>
  <c r="T55" i="20"/>
  <c r="S55" i="20"/>
  <c r="AC54" i="20"/>
  <c r="AA54" i="20"/>
  <c r="Z54" i="20"/>
  <c r="Y54" i="20"/>
  <c r="X54" i="20"/>
  <c r="V54" i="20"/>
  <c r="U54" i="20"/>
  <c r="T54" i="20"/>
  <c r="S54" i="20"/>
  <c r="AC53" i="20"/>
  <c r="AA53" i="20"/>
  <c r="Z53" i="20"/>
  <c r="Y53" i="20"/>
  <c r="X53" i="20"/>
  <c r="V53" i="20"/>
  <c r="U53" i="20"/>
  <c r="T53" i="20"/>
  <c r="S53" i="20"/>
  <c r="AC52" i="20"/>
  <c r="AA52" i="20"/>
  <c r="Z52" i="20"/>
  <c r="Y52" i="20"/>
  <c r="X52" i="20"/>
  <c r="V52" i="20"/>
  <c r="U52" i="20"/>
  <c r="T52" i="20"/>
  <c r="S52" i="20"/>
  <c r="AC51" i="20"/>
  <c r="AA51" i="20"/>
  <c r="Z51" i="20"/>
  <c r="Y51" i="20"/>
  <c r="X51" i="20"/>
  <c r="V51" i="20"/>
  <c r="T51" i="20"/>
  <c r="S51" i="20"/>
  <c r="R29" i="20"/>
  <c r="AB28" i="20"/>
  <c r="X28" i="20"/>
  <c r="W28" i="20"/>
  <c r="S28" i="20"/>
  <c r="R28" i="20"/>
  <c r="Z27" i="20"/>
  <c r="X27" i="20"/>
  <c r="W27" i="20"/>
  <c r="U27" i="20"/>
  <c r="S27" i="20"/>
  <c r="R27" i="20"/>
  <c r="AB26" i="20"/>
  <c r="Z26" i="20"/>
  <c r="X26" i="20"/>
  <c r="W26" i="20"/>
  <c r="U26" i="20"/>
  <c r="S26" i="20"/>
  <c r="R26" i="20"/>
  <c r="AB25" i="20"/>
  <c r="Z25" i="20"/>
  <c r="X25" i="20"/>
  <c r="W25" i="20"/>
  <c r="U25" i="20"/>
  <c r="S25" i="20"/>
  <c r="R25" i="20"/>
  <c r="AB24" i="20"/>
  <c r="Z24" i="20"/>
  <c r="X24" i="20"/>
  <c r="W24" i="20"/>
  <c r="U24" i="20"/>
  <c r="S24" i="20"/>
  <c r="R24" i="20"/>
  <c r="AB23" i="20"/>
  <c r="X23" i="20"/>
  <c r="W23" i="20"/>
  <c r="S23" i="20"/>
  <c r="R23" i="20"/>
  <c r="AB22" i="20"/>
  <c r="Z22" i="20"/>
  <c r="X22" i="20"/>
  <c r="W22" i="20"/>
  <c r="U22" i="20"/>
  <c r="S22" i="20"/>
  <c r="R22" i="20"/>
  <c r="AB11" i="20"/>
  <c r="AB12" i="20"/>
  <c r="AB13" i="20"/>
  <c r="AB14" i="20"/>
  <c r="AB15" i="20"/>
  <c r="AB16" i="20"/>
  <c r="AB10" i="20"/>
  <c r="Y17" i="20"/>
  <c r="Z16" i="20"/>
  <c r="X16" i="20"/>
  <c r="Z15" i="20"/>
  <c r="X15" i="20"/>
  <c r="Z14" i="20"/>
  <c r="X14" i="20"/>
  <c r="Z13" i="20"/>
  <c r="X13" i="20"/>
  <c r="Z12" i="20"/>
  <c r="X12" i="20"/>
  <c r="Z11" i="20"/>
  <c r="X11" i="20"/>
  <c r="W16" i="20"/>
  <c r="W15" i="20"/>
  <c r="W14" i="20"/>
  <c r="W13" i="20"/>
  <c r="W12" i="20"/>
  <c r="W11" i="20"/>
  <c r="R17" i="20"/>
  <c r="R16" i="20"/>
  <c r="R15" i="20"/>
  <c r="R14" i="20"/>
  <c r="R13" i="20"/>
  <c r="R12" i="20"/>
  <c r="R11" i="20"/>
  <c r="T17" i="20"/>
  <c r="S17" i="20"/>
  <c r="U16" i="20"/>
  <c r="S16" i="20"/>
  <c r="U15" i="20"/>
  <c r="S15" i="20"/>
  <c r="U14" i="20"/>
  <c r="S14" i="20"/>
  <c r="U13" i="20"/>
  <c r="S13" i="20"/>
  <c r="U12" i="20"/>
  <c r="S12" i="20"/>
  <c r="U11" i="20"/>
  <c r="S11" i="20"/>
  <c r="AE10" i="20"/>
  <c r="AF10" i="20" s="1"/>
  <c r="AE11" i="20"/>
  <c r="AF11" i="20"/>
  <c r="AE12" i="20"/>
  <c r="AF12" i="20"/>
  <c r="AE13" i="20"/>
  <c r="AF13" i="20"/>
  <c r="AE14" i="20"/>
  <c r="AF14" i="20" s="1"/>
  <c r="AE15" i="20"/>
  <c r="AF15" i="20"/>
  <c r="AE16" i="20"/>
  <c r="AF16" i="20"/>
  <c r="AE17"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J16" i="20"/>
  <c r="Y16" i="20" s="1"/>
  <c r="O62" i="4"/>
  <c r="J15" i="20"/>
  <c r="Y15" i="20" s="1"/>
  <c r="AA15" i="20" s="1"/>
  <c r="O59" i="4"/>
  <c r="R10" i="20"/>
  <c r="D17" i="20"/>
  <c r="X17" i="20" s="1"/>
  <c r="J14" i="20"/>
  <c r="Y14" i="20" s="1"/>
  <c r="J13" i="20"/>
  <c r="Y13" i="20" s="1"/>
  <c r="AA13" i="20" s="1"/>
  <c r="J12" i="20"/>
  <c r="Y12" i="20" s="1"/>
  <c r="J11" i="20"/>
  <c r="Y11" i="20" s="1"/>
  <c r="I16" i="20"/>
  <c r="T16" i="20" s="1"/>
  <c r="I15" i="20"/>
  <c r="T15" i="20" s="1"/>
  <c r="V15" i="20" s="1"/>
  <c r="C17" i="20"/>
  <c r="I14" i="20"/>
  <c r="T14" i="20" s="1"/>
  <c r="V14" i="20" s="1"/>
  <c r="I13" i="20"/>
  <c r="T13" i="20" s="1"/>
  <c r="I12" i="20"/>
  <c r="T12" i="20" s="1"/>
  <c r="V12" i="20" s="1"/>
  <c r="I11" i="20"/>
  <c r="T11" i="20" s="1"/>
  <c r="V11" i="20" s="1"/>
  <c r="S82" i="4"/>
  <c r="S83" i="4"/>
  <c r="S84" i="4"/>
  <c r="N79" i="4"/>
  <c r="C79" i="4" s="1"/>
  <c r="Z82" i="4"/>
  <c r="Z83" i="4"/>
  <c r="Z84" i="4"/>
  <c r="Q23" i="4"/>
  <c r="R23" i="4"/>
  <c r="Q22" i="4"/>
  <c r="R22" i="4"/>
  <c r="A71" i="4"/>
  <c r="A72" i="4"/>
  <c r="C50" i="1" s="1"/>
  <c r="C51" i="32" s="1"/>
  <c r="A73" i="4"/>
  <c r="C51" i="1" s="1"/>
  <c r="C52" i="32" s="1"/>
  <c r="A74" i="4"/>
  <c r="C52" i="1" s="1"/>
  <c r="C53" i="32" s="1"/>
  <c r="A70" i="4"/>
  <c r="C48" i="1" s="1"/>
  <c r="C49" i="32" s="1"/>
  <c r="O65" i="4"/>
  <c r="O64" i="4"/>
  <c r="F45" i="11" s="1"/>
  <c r="O63" i="4"/>
  <c r="DH24" i="40"/>
  <c r="P35" i="41"/>
  <c r="C103" i="26"/>
  <c r="C93" i="26"/>
  <c r="C81" i="26"/>
  <c r="C71" i="26"/>
  <c r="C62" i="26"/>
  <c r="C50" i="26"/>
  <c r="C42" i="26"/>
  <c r="C34" i="26"/>
  <c r="C23" i="26"/>
  <c r="C13" i="26"/>
  <c r="F9" i="28"/>
  <c r="G9" i="28"/>
  <c r="F10" i="28"/>
  <c r="G10" i="28"/>
  <c r="F11" i="28"/>
  <c r="G11" i="28"/>
  <c r="F12" i="28"/>
  <c r="G12" i="28"/>
  <c r="F13" i="28"/>
  <c r="G13" i="28"/>
  <c r="F14" i="28"/>
  <c r="G14" i="28"/>
  <c r="F15" i="28"/>
  <c r="G15" i="28"/>
  <c r="F16" i="28"/>
  <c r="G16" i="28"/>
  <c r="F17" i="28"/>
  <c r="G17" i="28"/>
  <c r="F18" i="28"/>
  <c r="G18" i="28"/>
  <c r="F19" i="28"/>
  <c r="G19" i="28"/>
  <c r="F20" i="28"/>
  <c r="G20" i="28"/>
  <c r="F21" i="28"/>
  <c r="G21" i="28"/>
  <c r="F22" i="28"/>
  <c r="G22" i="28"/>
  <c r="F23" i="28"/>
  <c r="G23" i="28"/>
  <c r="F24" i="28"/>
  <c r="G24" i="28"/>
  <c r="F25" i="28"/>
  <c r="G25" i="28"/>
  <c r="F26" i="28"/>
  <c r="G26" i="28"/>
  <c r="F27" i="28"/>
  <c r="G27" i="28"/>
  <c r="F28" i="28"/>
  <c r="G28" i="28"/>
  <c r="F29" i="28"/>
  <c r="G29" i="28"/>
  <c r="F30" i="28"/>
  <c r="G30" i="28"/>
  <c r="F31" i="28"/>
  <c r="G31" i="28"/>
  <c r="F32" i="28"/>
  <c r="G32" i="28"/>
  <c r="F33" i="28"/>
  <c r="G33" i="28"/>
  <c r="F34" i="28"/>
  <c r="G34" i="28"/>
  <c r="F35" i="28"/>
  <c r="G35" i="28"/>
  <c r="F36" i="28"/>
  <c r="G36" i="28"/>
  <c r="F37" i="28"/>
  <c r="G37" i="28"/>
  <c r="F38" i="28"/>
  <c r="G38" i="28"/>
  <c r="F39" i="28"/>
  <c r="G39" i="28"/>
  <c r="F40" i="28"/>
  <c r="G40" i="28"/>
  <c r="F41" i="28"/>
  <c r="G41" i="28"/>
  <c r="F42" i="28"/>
  <c r="G42" i="28"/>
  <c r="F43" i="28"/>
  <c r="G43" i="28"/>
  <c r="F44" i="28"/>
  <c r="G44" i="28"/>
  <c r="F45" i="28"/>
  <c r="G45" i="28"/>
  <c r="F46" i="28"/>
  <c r="G46" i="28"/>
  <c r="F47" i="28"/>
  <c r="G47" i="28"/>
  <c r="F48" i="28"/>
  <c r="G48" i="28"/>
  <c r="F49" i="28"/>
  <c r="G49" i="28"/>
  <c r="F50" i="28"/>
  <c r="G50" i="28"/>
  <c r="F51" i="28"/>
  <c r="G51" i="28"/>
  <c r="F52" i="28"/>
  <c r="G52" i="28"/>
  <c r="F53" i="28"/>
  <c r="G53" i="28"/>
  <c r="F54" i="28"/>
  <c r="G54" i="28"/>
  <c r="F55" i="28"/>
  <c r="G55" i="28"/>
  <c r="F56" i="28"/>
  <c r="G56" i="28"/>
  <c r="F57" i="28"/>
  <c r="G57" i="28"/>
  <c r="F58" i="28"/>
  <c r="G58" i="28"/>
  <c r="F59" i="28"/>
  <c r="G59" i="28"/>
  <c r="F60" i="28"/>
  <c r="G60" i="28"/>
  <c r="F61" i="28"/>
  <c r="G61" i="28"/>
  <c r="F62" i="28"/>
  <c r="G62" i="28"/>
  <c r="F63" i="28"/>
  <c r="G63" i="28"/>
  <c r="F64" i="28"/>
  <c r="G64" i="28"/>
  <c r="F65" i="28"/>
  <c r="G65" i="28"/>
  <c r="F66" i="28"/>
  <c r="G66" i="28"/>
  <c r="F67" i="28"/>
  <c r="G67" i="28"/>
  <c r="F68" i="28"/>
  <c r="G68" i="28"/>
  <c r="F69" i="28"/>
  <c r="G69" i="28"/>
  <c r="F70" i="28"/>
  <c r="G70" i="28"/>
  <c r="F71" i="28"/>
  <c r="G71" i="28"/>
  <c r="F72" i="28"/>
  <c r="G72" i="28"/>
  <c r="F73" i="28"/>
  <c r="G73" i="28"/>
  <c r="F74" i="28"/>
  <c r="G74" i="28"/>
  <c r="F75" i="28"/>
  <c r="G75" i="28"/>
  <c r="F76" i="28"/>
  <c r="G76" i="28"/>
  <c r="F77" i="28"/>
  <c r="G77" i="28"/>
  <c r="F78" i="28"/>
  <c r="G78" i="28"/>
  <c r="F79" i="28"/>
  <c r="G79" i="28"/>
  <c r="F80" i="28"/>
  <c r="G80" i="28"/>
  <c r="F81" i="28"/>
  <c r="G81" i="28"/>
  <c r="F82" i="28"/>
  <c r="G82" i="28"/>
  <c r="F83" i="28"/>
  <c r="G83" i="28"/>
  <c r="F84" i="28"/>
  <c r="G84" i="28"/>
  <c r="F85" i="28"/>
  <c r="G85" i="28"/>
  <c r="F86" i="28"/>
  <c r="G86" i="28"/>
  <c r="F87" i="28"/>
  <c r="G87" i="28"/>
  <c r="F88" i="28"/>
  <c r="G88" i="28"/>
  <c r="F89" i="28"/>
  <c r="G89" i="28"/>
  <c r="F90" i="28"/>
  <c r="G90" i="28"/>
  <c r="F91" i="28"/>
  <c r="G91" i="28"/>
  <c r="F92" i="28"/>
  <c r="G92" i="28"/>
  <c r="F93" i="28"/>
  <c r="G93" i="28"/>
  <c r="F94" i="28"/>
  <c r="G94" i="28" s="1"/>
  <c r="F95" i="28"/>
  <c r="G95" i="28" s="1"/>
  <c r="F96" i="28"/>
  <c r="G96" i="28" s="1"/>
  <c r="F97" i="28"/>
  <c r="G97" i="28" s="1"/>
  <c r="F98" i="28"/>
  <c r="G98" i="28" s="1"/>
  <c r="F99" i="28"/>
  <c r="G99" i="28" s="1"/>
  <c r="F100" i="28"/>
  <c r="G100" i="28" s="1"/>
  <c r="F101" i="28"/>
  <c r="G101" i="28"/>
  <c r="F102" i="28"/>
  <c r="G102" i="28"/>
  <c r="F103" i="28"/>
  <c r="G103" i="28"/>
  <c r="F104" i="28"/>
  <c r="G104" i="28"/>
  <c r="F105" i="28"/>
  <c r="G105" i="28"/>
  <c r="F106" i="28"/>
  <c r="G106" i="28"/>
  <c r="F107" i="28"/>
  <c r="G107" i="28"/>
  <c r="F108" i="28"/>
  <c r="G108" i="28"/>
  <c r="F109" i="28"/>
  <c r="G109" i="28"/>
  <c r="F110" i="28"/>
  <c r="G110" i="28"/>
  <c r="F111" i="28"/>
  <c r="G111" i="28"/>
  <c r="F112" i="28"/>
  <c r="G112" i="28"/>
  <c r="F113" i="28"/>
  <c r="G113" i="28"/>
  <c r="F114" i="28"/>
  <c r="G114" i="28"/>
  <c r="F115" i="28"/>
  <c r="G115" i="28"/>
  <c r="C110" i="28"/>
  <c r="C101" i="28"/>
  <c r="C91" i="28"/>
  <c r="C79" i="28"/>
  <c r="C64" i="28"/>
  <c r="C53" i="28"/>
  <c r="C44" i="28"/>
  <c r="C34" i="28"/>
  <c r="C21" i="28"/>
  <c r="C14" i="28"/>
  <c r="C111" i="30"/>
  <c r="C100" i="30"/>
  <c r="C89" i="30"/>
  <c r="C78" i="30"/>
  <c r="C66" i="30"/>
  <c r="C56" i="30"/>
  <c r="C46" i="30"/>
  <c r="C36" i="30"/>
  <c r="C26" i="30"/>
  <c r="C16" i="30"/>
  <c r="L253" i="22"/>
  <c r="I253" i="22"/>
  <c r="L241" i="22"/>
  <c r="I241" i="22"/>
  <c r="L229" i="22"/>
  <c r="I229" i="22"/>
  <c r="L217" i="22"/>
  <c r="I217" i="22"/>
  <c r="L205" i="22"/>
  <c r="I205" i="22"/>
  <c r="L195" i="22"/>
  <c r="I195" i="22"/>
  <c r="L182" i="22"/>
  <c r="I182" i="22"/>
  <c r="L169" i="22"/>
  <c r="I169" i="22"/>
  <c r="L112" i="22"/>
  <c r="I112" i="22"/>
  <c r="L97" i="22"/>
  <c r="I97" i="22"/>
  <c r="J162" i="20"/>
  <c r="Y162" i="20" s="1"/>
  <c r="I162" i="20"/>
  <c r="T162" i="20" s="1"/>
  <c r="N162" i="20"/>
  <c r="U162" i="20" s="1"/>
  <c r="O162" i="20"/>
  <c r="Z162" i="20" s="1"/>
  <c r="E162" i="20"/>
  <c r="W162" i="20" s="1"/>
  <c r="O147" i="20"/>
  <c r="Z147" i="20" s="1"/>
  <c r="E147" i="20"/>
  <c r="AB147" i="20" s="1"/>
  <c r="I147" i="20"/>
  <c r="T147" i="20" s="1"/>
  <c r="N147" i="20"/>
  <c r="U147" i="20" s="1"/>
  <c r="J147" i="20"/>
  <c r="Y147" i="20" s="1"/>
  <c r="J132" i="20"/>
  <c r="Y132" i="20" s="1"/>
  <c r="O132" i="20"/>
  <c r="Z132" i="20" s="1"/>
  <c r="E132" i="20"/>
  <c r="W132" i="20" s="1"/>
  <c r="I132" i="20"/>
  <c r="T132" i="20" s="1"/>
  <c r="N132" i="20"/>
  <c r="U132" i="20" s="1"/>
  <c r="E117" i="20"/>
  <c r="AB117" i="20" s="1"/>
  <c r="J117" i="20"/>
  <c r="Y117" i="20" s="1"/>
  <c r="AA117" i="20" s="1"/>
  <c r="I117" i="20"/>
  <c r="T117" i="20" s="1"/>
  <c r="J102" i="20"/>
  <c r="Y102" i="20" s="1"/>
  <c r="AA102" i="20" s="1"/>
  <c r="I102" i="20"/>
  <c r="T102" i="20" s="1"/>
  <c r="E102" i="20"/>
  <c r="W102" i="20" s="1"/>
  <c r="E87" i="20"/>
  <c r="AB87" i="20" s="1"/>
  <c r="J87" i="20"/>
  <c r="Y87" i="20" s="1"/>
  <c r="AA87" i="20" s="1"/>
  <c r="I87" i="20"/>
  <c r="T87" i="20" s="1"/>
  <c r="J72" i="20"/>
  <c r="Y72" i="20" s="1"/>
  <c r="AA72" i="20" s="1"/>
  <c r="D72" i="20"/>
  <c r="X72" i="20" s="1"/>
  <c r="C72" i="20"/>
  <c r="S72" i="20" s="1"/>
  <c r="I72" i="20"/>
  <c r="T72" i="20" s="1"/>
  <c r="E72" i="20"/>
  <c r="W72" i="20" s="1"/>
  <c r="I71" i="20"/>
  <c r="T71" i="20" s="1"/>
  <c r="V71" i="20" s="1"/>
  <c r="J71" i="20"/>
  <c r="Y71" i="20" s="1"/>
  <c r="J70" i="20"/>
  <c r="Y70" i="20" s="1"/>
  <c r="AA70" i="20" s="1"/>
  <c r="I70" i="20"/>
  <c r="T70" i="20" s="1"/>
  <c r="J69" i="20"/>
  <c r="Y69" i="20" s="1"/>
  <c r="I69" i="20"/>
  <c r="T69" i="20" s="1"/>
  <c r="J68" i="20"/>
  <c r="Y68" i="20" s="1"/>
  <c r="AA68" i="20" s="1"/>
  <c r="I68" i="20"/>
  <c r="T68" i="20" s="1"/>
  <c r="J67" i="20"/>
  <c r="Y67" i="20" s="1"/>
  <c r="I67" i="20"/>
  <c r="T67" i="20" s="1"/>
  <c r="V67" i="20" s="1"/>
  <c r="J66" i="20"/>
  <c r="Y66" i="20" s="1"/>
  <c r="I66" i="20"/>
  <c r="T66" i="20" s="1"/>
  <c r="D58" i="20"/>
  <c r="T58" i="20" s="1"/>
  <c r="W58" i="20" s="1"/>
  <c r="C58" i="20"/>
  <c r="S58" i="20" s="1"/>
  <c r="R58" i="20"/>
  <c r="R57" i="20"/>
  <c r="R56" i="20"/>
  <c r="R55" i="20"/>
  <c r="R54" i="20"/>
  <c r="R53" i="20"/>
  <c r="R52" i="20"/>
  <c r="J51" i="20"/>
  <c r="U51" i="20" s="1"/>
  <c r="R51" i="20"/>
  <c r="I51" i="20"/>
  <c r="E47" i="20"/>
  <c r="AB47" i="20" s="1"/>
  <c r="O47" i="20"/>
  <c r="Z47" i="20" s="1"/>
  <c r="I47" i="20"/>
  <c r="T47" i="20" s="1"/>
  <c r="N47" i="20"/>
  <c r="U47" i="20" s="1"/>
  <c r="J47" i="20"/>
  <c r="Y47" i="20" s="1"/>
  <c r="D46" i="20"/>
  <c r="X46" i="20" s="1"/>
  <c r="C46" i="20"/>
  <c r="C47" i="20" s="1"/>
  <c r="S47" i="20" s="1"/>
  <c r="C45" i="20"/>
  <c r="S45" i="20" s="1"/>
  <c r="D45" i="20"/>
  <c r="X45" i="20" s="1"/>
  <c r="D44" i="20"/>
  <c r="X44" i="20" s="1"/>
  <c r="C44" i="20"/>
  <c r="S44" i="20" s="1"/>
  <c r="D43" i="20"/>
  <c r="X43" i="20" s="1"/>
  <c r="C43" i="20"/>
  <c r="S43" i="20" s="1"/>
  <c r="D42" i="20"/>
  <c r="X42" i="20" s="1"/>
  <c r="C42" i="20"/>
  <c r="S42" i="20" s="1"/>
  <c r="C41" i="20"/>
  <c r="S41" i="20" s="1"/>
  <c r="D41" i="20"/>
  <c r="X41" i="20" s="1"/>
  <c r="D40" i="20"/>
  <c r="X40" i="20" s="1"/>
  <c r="C40" i="20"/>
  <c r="S40" i="20" s="1"/>
  <c r="C39" i="20"/>
  <c r="S39" i="20" s="1"/>
  <c r="D39" i="20"/>
  <c r="X39" i="20" s="1"/>
  <c r="D38" i="20"/>
  <c r="X38" i="20" s="1"/>
  <c r="C38" i="20"/>
  <c r="S38" i="20" s="1"/>
  <c r="C37" i="20"/>
  <c r="S37" i="20" s="1"/>
  <c r="D37" i="20"/>
  <c r="X37" i="20" s="1"/>
  <c r="D36" i="20"/>
  <c r="X36" i="20" s="1"/>
  <c r="W36" i="20"/>
  <c r="V36" i="20" s="1"/>
  <c r="C36" i="20"/>
  <c r="S36" i="20" s="1"/>
  <c r="R36" i="20"/>
  <c r="N29" i="20"/>
  <c r="U29" i="20" s="1"/>
  <c r="O29" i="20"/>
  <c r="Z29" i="20" s="1"/>
  <c r="E29" i="20"/>
  <c r="AB29" i="20" s="1"/>
  <c r="D29" i="20"/>
  <c r="X29" i="20" s="1"/>
  <c r="J28" i="20"/>
  <c r="J29" i="20" s="1"/>
  <c r="Y29" i="20" s="1"/>
  <c r="C29" i="20"/>
  <c r="S29" i="20" s="1"/>
  <c r="N28" i="20"/>
  <c r="U28" i="20" s="1"/>
  <c r="O28" i="20"/>
  <c r="Z28" i="20" s="1"/>
  <c r="I28" i="20"/>
  <c r="T28" i="20" s="1"/>
  <c r="J27" i="20"/>
  <c r="Y27" i="20" s="1"/>
  <c r="AA27" i="20" s="1"/>
  <c r="I27" i="20"/>
  <c r="T27" i="20" s="1"/>
  <c r="I26" i="20"/>
  <c r="T26" i="20" s="1"/>
  <c r="J26" i="20"/>
  <c r="Y26" i="20" s="1"/>
  <c r="J25" i="20"/>
  <c r="Y25" i="20" s="1"/>
  <c r="AA25" i="20" s="1"/>
  <c r="I25" i="20"/>
  <c r="T25" i="20" s="1"/>
  <c r="J24" i="20"/>
  <c r="Y24" i="20" s="1"/>
  <c r="I24" i="20"/>
  <c r="T24" i="20" s="1"/>
  <c r="V24" i="20" s="1"/>
  <c r="J23" i="20"/>
  <c r="Y23" i="20" s="1"/>
  <c r="N23" i="20"/>
  <c r="U23" i="20" s="1"/>
  <c r="O23" i="20"/>
  <c r="Z23" i="20" s="1"/>
  <c r="I23" i="20"/>
  <c r="T23" i="20" s="1"/>
  <c r="J22" i="20"/>
  <c r="Y22" i="20" s="1"/>
  <c r="I22" i="20"/>
  <c r="T22" i="20" s="1"/>
  <c r="E17" i="20"/>
  <c r="W17" i="20" s="1"/>
  <c r="N17" i="20"/>
  <c r="U17" i="20" s="1"/>
  <c r="O17" i="20"/>
  <c r="Z17" i="20" s="1"/>
  <c r="W10" i="20"/>
  <c r="Z10" i="20"/>
  <c r="X10" i="20"/>
  <c r="U10" i="20"/>
  <c r="S10" i="20"/>
  <c r="V10" i="20" s="1"/>
  <c r="J10" i="20"/>
  <c r="Y10" i="20" s="1"/>
  <c r="I10" i="20"/>
  <c r="T10" i="20" s="1"/>
  <c r="I29" i="20"/>
  <c r="T29" i="20" s="1"/>
  <c r="D47" i="20"/>
  <c r="X47" i="20" s="1"/>
  <c r="FU18" i="40"/>
  <c r="FH24" i="40"/>
  <c r="FH18" i="40"/>
  <c r="EW24" i="40"/>
  <c r="FB24" i="40" s="1"/>
  <c r="EW18" i="40"/>
  <c r="EF18" i="40"/>
  <c r="DS24" i="40"/>
  <c r="DS18" i="40"/>
  <c r="DH18" i="40"/>
  <c r="B45" i="38"/>
  <c r="B46" i="38" s="1"/>
  <c r="B43" i="38"/>
  <c r="D23" i="38"/>
  <c r="A3" i="38"/>
  <c r="F6" i="38" s="1"/>
  <c r="E26" i="38"/>
  <c r="G15" i="32"/>
  <c r="G16" i="32"/>
  <c r="G17" i="32"/>
  <c r="G14" i="32"/>
  <c r="I15" i="1"/>
  <c r="I15" i="32" s="1"/>
  <c r="I17" i="1"/>
  <c r="I17" i="32" s="1"/>
  <c r="I16" i="1"/>
  <c r="I16" i="32" s="1"/>
  <c r="I14" i="1"/>
  <c r="I14" i="32" s="1"/>
  <c r="N35" i="4"/>
  <c r="L24" i="32" s="1"/>
  <c r="L26" i="32"/>
  <c r="J25" i="1"/>
  <c r="R67" i="1"/>
  <c r="U34" i="4"/>
  <c r="D23" i="35"/>
  <c r="A3" i="35"/>
  <c r="I1" i="35" s="1"/>
  <c r="G6" i="35" s="1"/>
  <c r="D4" i="35"/>
  <c r="D11" i="35"/>
  <c r="G11" i="35"/>
  <c r="I20" i="35"/>
  <c r="D22" i="35" s="1"/>
  <c r="A19" i="35"/>
  <c r="A20" i="35"/>
  <c r="I22" i="35"/>
  <c r="I23" i="35"/>
  <c r="F26" i="35"/>
  <c r="BT85" i="4"/>
  <c r="BU85" i="4" s="1"/>
  <c r="BT79" i="4"/>
  <c r="BU79" i="4" s="1"/>
  <c r="BT78" i="4"/>
  <c r="BU78" i="4" s="1"/>
  <c r="BT77" i="4"/>
  <c r="BU77" i="4" s="1"/>
  <c r="BT76" i="4"/>
  <c r="BU76" i="4" s="1"/>
  <c r="BT75" i="4"/>
  <c r="BU75" i="4" s="1"/>
  <c r="BT71" i="4"/>
  <c r="BU71" i="4" s="1"/>
  <c r="BT73" i="4"/>
  <c r="BU73" i="4" s="1"/>
  <c r="BT74" i="4"/>
  <c r="BU74" i="4" s="1"/>
  <c r="BT72" i="4"/>
  <c r="BU72" i="4" s="1"/>
  <c r="BT70" i="4"/>
  <c r="BU70" i="4" s="1"/>
  <c r="BT37" i="4"/>
  <c r="BU37" i="4" s="1"/>
  <c r="BT36" i="4"/>
  <c r="BU36" i="4" s="1"/>
  <c r="BT35" i="4"/>
  <c r="BU35" i="4" s="1"/>
  <c r="BT27" i="4"/>
  <c r="BU27" i="4" s="1"/>
  <c r="BO25" i="4"/>
  <c r="BT25" i="4" s="1"/>
  <c r="BU25" i="4" s="1"/>
  <c r="BT26" i="4"/>
  <c r="BU26" i="4" s="1"/>
  <c r="BO24" i="4"/>
  <c r="BT24" i="4" s="1"/>
  <c r="AM25" i="20"/>
  <c r="AN25" i="20"/>
  <c r="AO25" i="20"/>
  <c r="AP25" i="20"/>
  <c r="AQ25" i="20"/>
  <c r="AR25" i="20"/>
  <c r="AS25" i="20"/>
  <c r="AT25" i="20"/>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9" i="22"/>
  <c r="P210" i="22"/>
  <c r="P211" i="22"/>
  <c r="P212" i="22"/>
  <c r="P213" i="22"/>
  <c r="P214" i="22"/>
  <c r="P215" i="22"/>
  <c r="P216" i="22"/>
  <c r="P217" i="22"/>
  <c r="P218" i="22"/>
  <c r="P219" i="22"/>
  <c r="P220" i="22"/>
  <c r="P221" i="22"/>
  <c r="P222" i="22"/>
  <c r="P223" i="22"/>
  <c r="P224" i="22"/>
  <c r="P225" i="22"/>
  <c r="P233" i="22"/>
  <c r="P234" i="22"/>
  <c r="P235" i="22"/>
  <c r="P236" i="22"/>
  <c r="P237" i="22"/>
  <c r="P238" i="22"/>
  <c r="P239" i="22"/>
  <c r="P240" i="22"/>
  <c r="P241" i="22"/>
  <c r="P242" i="22"/>
  <c r="P243" i="22"/>
  <c r="P244" i="22"/>
  <c r="P245" i="22"/>
  <c r="P246" i="22"/>
  <c r="P247" i="22"/>
  <c r="P248" i="22"/>
  <c r="P249" i="22"/>
  <c r="P257" i="22"/>
  <c r="P258" i="22"/>
  <c r="P259"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102" i="22"/>
  <c r="O103" i="22"/>
  <c r="O104" i="22"/>
  <c r="O105" i="22"/>
  <c r="O106" i="22"/>
  <c r="O107" i="22"/>
  <c r="O108" i="22"/>
  <c r="O109" i="22"/>
  <c r="O110" i="22"/>
  <c r="O111" i="22"/>
  <c r="O112" i="22"/>
  <c r="O113" i="22"/>
  <c r="O114" i="22"/>
  <c r="O115" i="22"/>
  <c r="O116" i="22"/>
  <c r="O117" i="22"/>
  <c r="O118" i="22"/>
  <c r="O119" i="22"/>
  <c r="O120" i="22"/>
  <c r="O121" i="22"/>
  <c r="O122" i="22"/>
  <c r="O123" i="22"/>
  <c r="O124" i="22"/>
  <c r="O125" i="22"/>
  <c r="O126" i="22"/>
  <c r="O127" i="22"/>
  <c r="O128" i="22"/>
  <c r="O129" i="22"/>
  <c r="O130" i="22"/>
  <c r="O131" i="22"/>
  <c r="O132" i="22"/>
  <c r="O133" i="22"/>
  <c r="O134" i="22"/>
  <c r="O135" i="22"/>
  <c r="O136" i="22"/>
  <c r="O137" i="22"/>
  <c r="O138" i="22"/>
  <c r="O139" i="22"/>
  <c r="O140" i="22"/>
  <c r="O141" i="22"/>
  <c r="O142" i="22"/>
  <c r="O143" i="22"/>
  <c r="O144" i="22"/>
  <c r="O145" i="22"/>
  <c r="O146" i="22"/>
  <c r="O147" i="22"/>
  <c r="O148" i="22"/>
  <c r="O149" i="22"/>
  <c r="O150" i="22"/>
  <c r="O151" i="22"/>
  <c r="O152" i="22"/>
  <c r="O153" i="22"/>
  <c r="O154" i="22"/>
  <c r="O155" i="22"/>
  <c r="O156" i="22"/>
  <c r="O157" i="22"/>
  <c r="O158" i="22"/>
  <c r="O159" i="22"/>
  <c r="O160" i="22"/>
  <c r="O161" i="22"/>
  <c r="O162" i="22"/>
  <c r="O163" i="22"/>
  <c r="O164" i="22"/>
  <c r="O165" i="22"/>
  <c r="O166" i="22"/>
  <c r="O167" i="22"/>
  <c r="O168" i="22"/>
  <c r="O169" i="22"/>
  <c r="O170" i="22"/>
  <c r="O171" i="22"/>
  <c r="O172" i="22"/>
  <c r="O173" i="22"/>
  <c r="O174" i="22"/>
  <c r="O175" i="22"/>
  <c r="O176" i="22"/>
  <c r="O177" i="22"/>
  <c r="O178" i="22"/>
  <c r="O179" i="22"/>
  <c r="O180" i="22"/>
  <c r="O181" i="22"/>
  <c r="O182" i="22"/>
  <c r="O183" i="22"/>
  <c r="O184" i="22"/>
  <c r="O185" i="22"/>
  <c r="O186" i="22"/>
  <c r="O187" i="22"/>
  <c r="O188" i="22"/>
  <c r="O189" i="22"/>
  <c r="O190" i="22"/>
  <c r="O191" i="22"/>
  <c r="O192" i="22"/>
  <c r="O193" i="22"/>
  <c r="O194" i="22"/>
  <c r="O195" i="22"/>
  <c r="O196" i="22"/>
  <c r="O197" i="22"/>
  <c r="O198" i="22"/>
  <c r="O199" i="22"/>
  <c r="O200" i="22"/>
  <c r="O201" i="22"/>
  <c r="O202" i="22"/>
  <c r="P202" i="22"/>
  <c r="O203" i="22"/>
  <c r="P203" i="22"/>
  <c r="O204" i="22"/>
  <c r="P204" i="22"/>
  <c r="O205" i="22"/>
  <c r="P205" i="22"/>
  <c r="O206" i="22"/>
  <c r="P206" i="22"/>
  <c r="O207" i="22"/>
  <c r="P207" i="22"/>
  <c r="O208" i="22"/>
  <c r="P208" i="22"/>
  <c r="O209" i="22"/>
  <c r="O210" i="22"/>
  <c r="O211" i="22"/>
  <c r="O212" i="22"/>
  <c r="O213" i="22"/>
  <c r="O214" i="22"/>
  <c r="O215" i="22"/>
  <c r="O216" i="22"/>
  <c r="O217" i="22"/>
  <c r="O218" i="22"/>
  <c r="O219" i="22"/>
  <c r="O220" i="22"/>
  <c r="O221" i="22"/>
  <c r="O222" i="22"/>
  <c r="O223" i="22"/>
  <c r="O224" i="22"/>
  <c r="O225" i="22"/>
  <c r="O226" i="22"/>
  <c r="P226" i="22" s="1"/>
  <c r="O227" i="22"/>
  <c r="P227" i="22"/>
  <c r="O228" i="22"/>
  <c r="P228" i="22" s="1"/>
  <c r="O229" i="22"/>
  <c r="P229" i="22"/>
  <c r="O230" i="22"/>
  <c r="P230" i="22" s="1"/>
  <c r="O231" i="22"/>
  <c r="P231" i="22" s="1"/>
  <c r="O232" i="22"/>
  <c r="P232" i="22" s="1"/>
  <c r="O233" i="22"/>
  <c r="O234" i="22"/>
  <c r="O235" i="22"/>
  <c r="O236" i="22"/>
  <c r="O237" i="22"/>
  <c r="O238" i="22"/>
  <c r="O239" i="22"/>
  <c r="O240" i="22"/>
  <c r="O241" i="22"/>
  <c r="O242" i="22"/>
  <c r="O243" i="22"/>
  <c r="O244" i="22"/>
  <c r="O245" i="22"/>
  <c r="O246" i="22"/>
  <c r="O247" i="22"/>
  <c r="O248" i="22"/>
  <c r="O249" i="22"/>
  <c r="O250" i="22"/>
  <c r="P250" i="22"/>
  <c r="O251" i="22"/>
  <c r="P251" i="22"/>
  <c r="O252" i="22"/>
  <c r="P252" i="22"/>
  <c r="O253" i="22"/>
  <c r="P253" i="22"/>
  <c r="O254" i="22"/>
  <c r="P254" i="22"/>
  <c r="O255" i="22"/>
  <c r="P255" i="22"/>
  <c r="O256" i="22"/>
  <c r="P256" i="22"/>
  <c r="O257" i="22"/>
  <c r="O258" i="22"/>
  <c r="O259" i="22"/>
  <c r="F9" i="30"/>
  <c r="G9" i="30"/>
  <c r="F10" i="30"/>
  <c r="G10" i="30"/>
  <c r="F11" i="30"/>
  <c r="G11" i="30"/>
  <c r="F12" i="30"/>
  <c r="G12" i="30"/>
  <c r="F13" i="30"/>
  <c r="G13" i="30"/>
  <c r="F14" i="30"/>
  <c r="G14" i="30"/>
  <c r="F15" i="30"/>
  <c r="G15" i="30"/>
  <c r="F16"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101" i="30"/>
  <c r="G102" i="30"/>
  <c r="G112" i="30"/>
  <c r="G113"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G92" i="30" s="1"/>
  <c r="F93" i="30"/>
  <c r="G93" i="30" s="1"/>
  <c r="F94" i="30"/>
  <c r="G94" i="30" s="1"/>
  <c r="F95" i="30"/>
  <c r="G95" i="30" s="1"/>
  <c r="F96" i="30"/>
  <c r="G96" i="30" s="1"/>
  <c r="F97" i="30"/>
  <c r="G97" i="30" s="1"/>
  <c r="F98" i="30"/>
  <c r="G98" i="30" s="1"/>
  <c r="F99" i="30"/>
  <c r="G99" i="30" s="1"/>
  <c r="F100" i="30"/>
  <c r="G100" i="30" s="1"/>
  <c r="F101" i="30"/>
  <c r="F102" i="30"/>
  <c r="F103" i="30"/>
  <c r="G103" i="30"/>
  <c r="F104" i="30"/>
  <c r="G104" i="30"/>
  <c r="F105" i="30"/>
  <c r="G105" i="30"/>
  <c r="F106" i="30"/>
  <c r="G106" i="30"/>
  <c r="F107" i="30"/>
  <c r="G107" i="30"/>
  <c r="F108" i="30"/>
  <c r="G108" i="30"/>
  <c r="F109" i="30"/>
  <c r="G109" i="30"/>
  <c r="F110" i="30"/>
  <c r="G110" i="30"/>
  <c r="F111" i="30"/>
  <c r="G111" i="30"/>
  <c r="F112" i="30"/>
  <c r="F113" i="30"/>
  <c r="F9" i="26"/>
  <c r="G9" i="26"/>
  <c r="F10" i="26"/>
  <c r="G10" i="26"/>
  <c r="F11" i="26"/>
  <c r="G11" i="26"/>
  <c r="F12" i="26"/>
  <c r="G12" i="26"/>
  <c r="F13"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93" i="26"/>
  <c r="G94" i="26"/>
  <c r="G95" i="26"/>
  <c r="G96" i="26"/>
  <c r="G97" i="26"/>
  <c r="G104" i="26"/>
  <c r="G105"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78" i="26"/>
  <c r="F79" i="26"/>
  <c r="F80" i="26"/>
  <c r="F81" i="26"/>
  <c r="F82" i="26"/>
  <c r="F83" i="26"/>
  <c r="F84" i="26"/>
  <c r="F85" i="26"/>
  <c r="F86" i="26"/>
  <c r="F87" i="26"/>
  <c r="G87" i="26" s="1"/>
  <c r="F88" i="26"/>
  <c r="G88" i="26" s="1"/>
  <c r="F89" i="26"/>
  <c r="G89" i="26" s="1"/>
  <c r="F90" i="26"/>
  <c r="G90" i="26" s="1"/>
  <c r="F91" i="26"/>
  <c r="G91" i="26" s="1"/>
  <c r="F92" i="26"/>
  <c r="G92" i="26" s="1"/>
  <c r="F93" i="26"/>
  <c r="F94" i="26"/>
  <c r="F95" i="26"/>
  <c r="F96" i="26"/>
  <c r="F97" i="26"/>
  <c r="F98" i="26"/>
  <c r="G98" i="26"/>
  <c r="F99" i="26"/>
  <c r="G99" i="26"/>
  <c r="F100" i="26"/>
  <c r="G100" i="26"/>
  <c r="F101" i="26"/>
  <c r="G101" i="26"/>
  <c r="F102" i="26"/>
  <c r="G102" i="26"/>
  <c r="F103" i="26"/>
  <c r="G103" i="26"/>
  <c r="F104" i="26"/>
  <c r="F105" i="26"/>
  <c r="F8" i="28"/>
  <c r="F8" i="30"/>
  <c r="F8" i="26"/>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F110" i="20" s="1"/>
  <c r="AE111" i="20"/>
  <c r="AF111" i="20" s="1"/>
  <c r="AE112" i="20"/>
  <c r="AF112" i="20" s="1"/>
  <c r="AE113" i="20"/>
  <c r="AF113" i="20" s="1"/>
  <c r="AE114" i="20"/>
  <c r="AF114" i="20" s="1"/>
  <c r="AE115" i="20"/>
  <c r="AF115" i="20" s="1"/>
  <c r="AE116" i="20"/>
  <c r="AF116" i="20" s="1"/>
  <c r="AE117" i="20"/>
  <c r="AF117" i="20" s="1"/>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H81" i="1"/>
  <c r="O60" i="4"/>
  <c r="B74" i="1"/>
  <c r="A74" i="1"/>
  <c r="B71" i="1"/>
  <c r="A71" i="1"/>
  <c r="B67" i="1"/>
  <c r="A67" i="1"/>
  <c r="B59" i="1"/>
  <c r="A59" i="1"/>
  <c r="B54" i="1"/>
  <c r="B43" i="1"/>
  <c r="B42" i="1"/>
  <c r="A42" i="1"/>
  <c r="B22" i="1"/>
  <c r="A22" i="1"/>
  <c r="B18" i="1"/>
  <c r="A18" i="1"/>
  <c r="B13" i="1"/>
  <c r="A13" i="1"/>
  <c r="A40" i="4"/>
  <c r="B25" i="1"/>
  <c r="B25" i="32" s="1"/>
  <c r="B24" i="1"/>
  <c r="B24" i="32" s="1"/>
  <c r="F15" i="31"/>
  <c r="G81" i="31"/>
  <c r="G62" i="31"/>
  <c r="G45" i="31"/>
  <c r="G30" i="31"/>
  <c r="G15" i="31"/>
  <c r="G81" i="11"/>
  <c r="G62" i="11"/>
  <c r="G45" i="11"/>
  <c r="R24" i="1"/>
  <c r="A12" i="4"/>
  <c r="N27" i="1"/>
  <c r="N28" i="1"/>
  <c r="N29" i="1"/>
  <c r="N30" i="1"/>
  <c r="N31" i="1"/>
  <c r="N32" i="1"/>
  <c r="N33" i="1"/>
  <c r="N36" i="1"/>
  <c r="N37" i="1"/>
  <c r="N38" i="1"/>
  <c r="N39" i="1"/>
  <c r="N40" i="1"/>
  <c r="N41" i="1"/>
  <c r="B8" i="32"/>
  <c r="B9" i="32"/>
  <c r="B10" i="32"/>
  <c r="A76" i="4"/>
  <c r="A57" i="4"/>
  <c r="A33" i="4"/>
  <c r="A29" i="4"/>
  <c r="A20" i="4"/>
  <c r="A4" i="1"/>
  <c r="A5" i="1"/>
  <c r="A6" i="1"/>
  <c r="A7" i="1"/>
  <c r="A8" i="1"/>
  <c r="A9" i="1"/>
  <c r="A10" i="1"/>
  <c r="F14" i="31"/>
  <c r="F29" i="31"/>
  <c r="F44" i="31"/>
  <c r="F61" i="31"/>
  <c r="F80" i="31"/>
  <c r="F80" i="11"/>
  <c r="F61" i="11"/>
  <c r="F44" i="11"/>
  <c r="F29" i="11"/>
  <c r="F14" i="11"/>
  <c r="D16" i="33"/>
  <c r="B76" i="32"/>
  <c r="D20" i="38" s="1"/>
  <c r="B70" i="32"/>
  <c r="B69" i="32"/>
  <c r="M47" i="32"/>
  <c r="P47" i="32" s="1"/>
  <c r="L47" i="32"/>
  <c r="O47" i="32" s="1"/>
  <c r="I41" i="32"/>
  <c r="B26" i="32"/>
  <c r="F20" i="32"/>
  <c r="F19" i="32"/>
  <c r="F10" i="32"/>
  <c r="D17" i="35" s="1"/>
  <c r="F9" i="32"/>
  <c r="D21" i="35" s="1"/>
  <c r="F8" i="32"/>
  <c r="D18" i="38"/>
  <c r="B7" i="32"/>
  <c r="F6" i="32"/>
  <c r="D12" i="38" s="1"/>
  <c r="B6" i="32"/>
  <c r="F5" i="32"/>
  <c r="B5" i="32"/>
  <c r="F4" i="32"/>
  <c r="D9" i="35" s="1"/>
  <c r="B4" i="32"/>
  <c r="F3" i="32"/>
  <c r="D8" i="38" s="1"/>
  <c r="B3" i="32"/>
  <c r="B75" i="1"/>
  <c r="K46" i="1"/>
  <c r="N46" i="1" s="1"/>
  <c r="J46" i="1"/>
  <c r="M46" i="1" s="1"/>
  <c r="S46" i="1"/>
  <c r="R46" i="1"/>
  <c r="B26" i="1"/>
  <c r="F20" i="1"/>
  <c r="P20" i="1" s="1"/>
  <c r="F19" i="1"/>
  <c r="P19" i="1" s="1"/>
  <c r="F4" i="1"/>
  <c r="F5" i="1"/>
  <c r="F6" i="1"/>
  <c r="F9" i="1"/>
  <c r="F10" i="1"/>
  <c r="F3" i="1"/>
  <c r="A3" i="1"/>
  <c r="G82" i="31"/>
  <c r="G80" i="31"/>
  <c r="J78" i="31"/>
  <c r="G78" i="31"/>
  <c r="G63" i="31"/>
  <c r="G61" i="31"/>
  <c r="J59" i="31"/>
  <c r="G59" i="31"/>
  <c r="G46" i="31"/>
  <c r="G44" i="31"/>
  <c r="J42" i="31"/>
  <c r="G42" i="31"/>
  <c r="G31" i="31"/>
  <c r="G29" i="31"/>
  <c r="J27" i="31"/>
  <c r="G27" i="31"/>
  <c r="G16" i="31"/>
  <c r="G14" i="31"/>
  <c r="J12" i="31"/>
  <c r="C5" i="31"/>
  <c r="AK25" i="20"/>
  <c r="AL25" i="20"/>
  <c r="AJ25" i="20"/>
  <c r="G8" i="30"/>
  <c r="L35" i="4"/>
  <c r="I24" i="1" s="1"/>
  <c r="C39" i="31"/>
  <c r="C24" i="31"/>
  <c r="C56" i="31"/>
  <c r="C56" i="11"/>
  <c r="G8" i="28"/>
  <c r="G8" i="26"/>
  <c r="B69" i="1"/>
  <c r="L36" i="4"/>
  <c r="I25" i="1" s="1"/>
  <c r="M35" i="32"/>
  <c r="I26" i="1"/>
  <c r="J26" i="32" s="1"/>
  <c r="G82" i="11"/>
  <c r="G80" i="11"/>
  <c r="J78" i="11"/>
  <c r="G78" i="11"/>
  <c r="G63" i="11"/>
  <c r="G61" i="11"/>
  <c r="J59" i="11"/>
  <c r="G59" i="11"/>
  <c r="C17" i="4"/>
  <c r="H80" i="11"/>
  <c r="K80" i="11" s="1"/>
  <c r="F19" i="23"/>
  <c r="F20" i="23"/>
  <c r="F21" i="23"/>
  <c r="F16" i="23"/>
  <c r="F17" i="23"/>
  <c r="F18" i="23"/>
  <c r="B68" i="1"/>
  <c r="O8" i="22"/>
  <c r="P8" i="22"/>
  <c r="AU8" i="20"/>
  <c r="AJ8" i="20"/>
  <c r="AV8" i="20"/>
  <c r="AS8" i="20"/>
  <c r="AT8" i="20"/>
  <c r="AJ7" i="20"/>
  <c r="AV7" i="20"/>
  <c r="AS7" i="20"/>
  <c r="AT7" i="20"/>
  <c r="AU7" i="20"/>
  <c r="AU6" i="20"/>
  <c r="AV6" i="20"/>
  <c r="AS6" i="20"/>
  <c r="AT6" i="20"/>
  <c r="AV9" i="20"/>
  <c r="AJ6" i="20"/>
  <c r="F81" i="1"/>
  <c r="C5" i="11"/>
  <c r="J42" i="11"/>
  <c r="G42" i="11"/>
  <c r="J27" i="11"/>
  <c r="G27" i="11"/>
  <c r="J12" i="11"/>
  <c r="G14" i="11"/>
  <c r="G16" i="11"/>
  <c r="G46" i="11"/>
  <c r="G31" i="11"/>
  <c r="G44" i="11"/>
  <c r="G29" i="11"/>
  <c r="R47" i="1"/>
  <c r="S47" i="1" s="1"/>
  <c r="O48" i="32"/>
  <c r="L48" i="32" s="1"/>
  <c r="M48" i="32" s="1"/>
  <c r="M47" i="1"/>
  <c r="N47" i="1" s="1"/>
  <c r="H29" i="31" l="1"/>
  <c r="K29" i="31" s="1"/>
  <c r="L29" i="31" s="1"/>
  <c r="AB52" i="20"/>
  <c r="V69" i="20"/>
  <c r="V125" i="20"/>
  <c r="AA128" i="20"/>
  <c r="V144" i="20"/>
  <c r="AA146" i="20"/>
  <c r="V155" i="20"/>
  <c r="V156" i="20"/>
  <c r="A17" i="35"/>
  <c r="V13" i="20"/>
  <c r="V26" i="20"/>
  <c r="V65" i="20"/>
  <c r="V86" i="20"/>
  <c r="AA14" i="20"/>
  <c r="AB54" i="20"/>
  <c r="AA17" i="20"/>
  <c r="AA85" i="20"/>
  <c r="V98" i="20"/>
  <c r="V145" i="20"/>
  <c r="AA114" i="20"/>
  <c r="V129" i="20"/>
  <c r="A22" i="35"/>
  <c r="V17" i="20"/>
  <c r="W52" i="20"/>
  <c r="W53" i="20"/>
  <c r="AA66" i="20"/>
  <c r="AA115" i="20"/>
  <c r="AA126" i="20"/>
  <c r="V142" i="20"/>
  <c r="AA145" i="20"/>
  <c r="H61" i="31"/>
  <c r="K61" i="31" s="1"/>
  <c r="L61" i="31" s="1"/>
  <c r="A21" i="35"/>
  <c r="AA10" i="20"/>
  <c r="AA11" i="20"/>
  <c r="V84" i="20"/>
  <c r="V95" i="20"/>
  <c r="AA98" i="20"/>
  <c r="AA116" i="20"/>
  <c r="V141" i="20"/>
  <c r="I72" i="4"/>
  <c r="I74" i="4"/>
  <c r="J72" i="4"/>
  <c r="J74" i="4"/>
  <c r="K72" i="4"/>
  <c r="K74" i="4"/>
  <c r="H71" i="4"/>
  <c r="H73" i="4"/>
  <c r="I70" i="4"/>
  <c r="I71" i="4"/>
  <c r="I73" i="4"/>
  <c r="H70" i="4"/>
  <c r="J71" i="4"/>
  <c r="J73" i="4"/>
  <c r="J70" i="4"/>
  <c r="K71" i="4"/>
  <c r="K73" i="4"/>
  <c r="K70" i="4"/>
  <c r="H72" i="4"/>
  <c r="H74" i="4"/>
  <c r="G70" i="4"/>
  <c r="D21" i="38"/>
  <c r="S23" i="4"/>
  <c r="D8" i="35"/>
  <c r="H44" i="11"/>
  <c r="K44" i="11" s="1"/>
  <c r="M44" i="11" s="1"/>
  <c r="P48" i="32"/>
  <c r="C75" i="31"/>
  <c r="CT22" i="40" s="1"/>
  <c r="D12" i="35"/>
  <c r="C75" i="11"/>
  <c r="D62" i="31"/>
  <c r="D30" i="11"/>
  <c r="D15" i="11"/>
  <c r="F30" i="31"/>
  <c r="H30" i="31" s="1"/>
  <c r="K30" i="31" s="1"/>
  <c r="M30" i="31" s="1"/>
  <c r="F81" i="11"/>
  <c r="H81" i="11" s="1"/>
  <c r="K81" i="11" s="1"/>
  <c r="M81" i="11" s="1"/>
  <c r="H14" i="11"/>
  <c r="K14" i="11" s="1"/>
  <c r="L14" i="11" s="1"/>
  <c r="H14" i="31"/>
  <c r="K14" i="31" s="1"/>
  <c r="L14" i="31" s="1"/>
  <c r="F45" i="31"/>
  <c r="F62" i="11"/>
  <c r="H62" i="11" s="1"/>
  <c r="K62" i="11" s="1"/>
  <c r="H29" i="11"/>
  <c r="K29" i="11" s="1"/>
  <c r="L29" i="11" s="1"/>
  <c r="S22" i="4"/>
  <c r="F62" i="31"/>
  <c r="H62" i="31" s="1"/>
  <c r="K62" i="31" s="1"/>
  <c r="M62" i="31" s="1"/>
  <c r="F30" i="11"/>
  <c r="H30" i="11" s="1"/>
  <c r="K30" i="11" s="1"/>
  <c r="F15" i="11"/>
  <c r="H15" i="11" s="1"/>
  <c r="K15" i="11" s="1"/>
  <c r="H61" i="11"/>
  <c r="K61" i="11" s="1"/>
  <c r="L61" i="11" s="1"/>
  <c r="G74" i="4"/>
  <c r="D71" i="4"/>
  <c r="V28" i="20"/>
  <c r="V29" i="20"/>
  <c r="V72" i="20"/>
  <c r="AA132" i="20"/>
  <c r="Q152" i="22"/>
  <c r="AA162" i="20"/>
  <c r="V16" i="20"/>
  <c r="V22" i="20"/>
  <c r="AA147" i="20"/>
  <c r="AA29" i="20"/>
  <c r="AA23" i="20"/>
  <c r="Q28" i="22"/>
  <c r="Q107" i="22"/>
  <c r="Q172" i="22"/>
  <c r="Q197" i="22"/>
  <c r="CT19" i="40"/>
  <c r="BV19" i="40"/>
  <c r="CT20" i="40"/>
  <c r="BV20" i="40"/>
  <c r="W29" i="20"/>
  <c r="V117" i="20"/>
  <c r="H45" i="31"/>
  <c r="K45" i="31" s="1"/>
  <c r="L45" i="31" s="1"/>
  <c r="AA12" i="20"/>
  <c r="AA22" i="20"/>
  <c r="V25" i="20"/>
  <c r="Y28" i="20"/>
  <c r="AA28" i="20" s="1"/>
  <c r="AB56" i="20"/>
  <c r="AA67" i="20"/>
  <c r="V70" i="20"/>
  <c r="AA97" i="20"/>
  <c r="V100" i="20"/>
  <c r="AA127" i="20"/>
  <c r="V130" i="20"/>
  <c r="AA140" i="20"/>
  <c r="V143" i="20"/>
  <c r="AA157" i="20"/>
  <c r="V160" i="20"/>
  <c r="S46" i="20"/>
  <c r="CI21" i="40"/>
  <c r="BK21" i="40"/>
  <c r="Q114" i="22"/>
  <c r="EX18" i="40"/>
  <c r="EZ18" i="40"/>
  <c r="AB17" i="20"/>
  <c r="AA24" i="20"/>
  <c r="V27" i="20"/>
  <c r="AB51" i="20"/>
  <c r="W54" i="20"/>
  <c r="AB57" i="20"/>
  <c r="V82" i="20"/>
  <c r="AA84" i="20"/>
  <c r="V87" i="20"/>
  <c r="AA110" i="20"/>
  <c r="V112" i="20"/>
  <c r="V113" i="20"/>
  <c r="AA141" i="20"/>
  <c r="W147" i="20"/>
  <c r="BV21" i="40"/>
  <c r="CT21" i="40"/>
  <c r="V66" i="20"/>
  <c r="AB72" i="20"/>
  <c r="W87" i="20"/>
  <c r="AB102" i="20"/>
  <c r="W117" i="20"/>
  <c r="AB132" i="20"/>
  <c r="AB162" i="20"/>
  <c r="W47" i="20"/>
  <c r="V47" i="20" s="1"/>
  <c r="H15" i="31"/>
  <c r="K15" i="31" s="1"/>
  <c r="H45" i="11"/>
  <c r="K45" i="11" s="1"/>
  <c r="L45" i="11" s="1"/>
  <c r="V23" i="20"/>
  <c r="W55" i="20"/>
  <c r="AA69" i="20"/>
  <c r="AA80" i="20"/>
  <c r="V83" i="20"/>
  <c r="V101" i="20"/>
  <c r="AA129" i="20"/>
  <c r="V131" i="20"/>
  <c r="V132" i="20"/>
  <c r="V161" i="20"/>
  <c r="V162" i="20"/>
  <c r="CI22" i="40"/>
  <c r="BK22" i="40"/>
  <c r="H80" i="31"/>
  <c r="K80" i="31" s="1"/>
  <c r="F81" i="31"/>
  <c r="H81" i="31" s="1"/>
  <c r="K81" i="31" s="1"/>
  <c r="M81" i="31" s="1"/>
  <c r="AA16" i="20"/>
  <c r="AA82" i="20"/>
  <c r="V85" i="20"/>
  <c r="AA112" i="20"/>
  <c r="V115" i="20"/>
  <c r="V140" i="20"/>
  <c r="AA142" i="20"/>
  <c r="BU24" i="4"/>
  <c r="C24" i="11"/>
  <c r="C49" i="1"/>
  <c r="C50" i="32" s="1"/>
  <c r="W51" i="20"/>
  <c r="AB53" i="20"/>
  <c r="W56" i="20"/>
  <c r="AA65" i="20"/>
  <c r="V68" i="20"/>
  <c r="V97" i="20"/>
  <c r="AA99" i="20"/>
  <c r="V102" i="20"/>
  <c r="AA125" i="20"/>
  <c r="V127" i="20"/>
  <c r="V128" i="20"/>
  <c r="AA155" i="20"/>
  <c r="V157" i="20"/>
  <c r="V158" i="20"/>
  <c r="H44" i="31"/>
  <c r="K44" i="31" s="1"/>
  <c r="M44" i="31" s="1"/>
  <c r="AA26" i="20"/>
  <c r="AA71" i="20"/>
  <c r="V81" i="20"/>
  <c r="AA83" i="20"/>
  <c r="AA101" i="20"/>
  <c r="V111" i="20"/>
  <c r="AA113" i="20"/>
  <c r="AA131" i="20"/>
  <c r="AA144" i="20"/>
  <c r="V147" i="20"/>
  <c r="AA161" i="20"/>
  <c r="C9" i="31"/>
  <c r="C9" i="11"/>
  <c r="C72" i="4"/>
  <c r="E70" i="4"/>
  <c r="D40" i="11"/>
  <c r="D79" i="11"/>
  <c r="D63" i="11"/>
  <c r="D63" i="31"/>
  <c r="D16" i="31"/>
  <c r="D29" i="31"/>
  <c r="K87" i="31"/>
  <c r="D62" i="11"/>
  <c r="B70" i="4"/>
  <c r="G71" i="4"/>
  <c r="F73" i="4"/>
  <c r="D44" i="11"/>
  <c r="D61" i="11"/>
  <c r="D16" i="11"/>
  <c r="D31" i="11"/>
  <c r="D60" i="11"/>
  <c r="D13" i="11"/>
  <c r="D9" i="31"/>
  <c r="D46" i="31"/>
  <c r="D12" i="31"/>
  <c r="D42" i="31"/>
  <c r="D79" i="31"/>
  <c r="K68" i="31"/>
  <c r="D56" i="31"/>
  <c r="D45" i="11"/>
  <c r="D75" i="11"/>
  <c r="D28" i="11"/>
  <c r="K36" i="11"/>
  <c r="D17" i="4"/>
  <c r="D7" i="4"/>
  <c r="D39" i="11"/>
  <c r="D46" i="11"/>
  <c r="D24" i="31"/>
  <c r="D60" i="31"/>
  <c r="D13" i="31"/>
  <c r="D44" i="31"/>
  <c r="D27" i="31"/>
  <c r="D80" i="31"/>
  <c r="D75" i="31"/>
  <c r="D30" i="31"/>
  <c r="D81" i="11"/>
  <c r="F70" i="4"/>
  <c r="E73" i="4"/>
  <c r="K51" i="11"/>
  <c r="K87" i="11"/>
  <c r="D78" i="11"/>
  <c r="D29" i="11"/>
  <c r="D40" i="31"/>
  <c r="D61" i="31"/>
  <c r="D24" i="11"/>
  <c r="K68" i="11"/>
  <c r="D27" i="11"/>
  <c r="D9" i="11"/>
  <c r="D76" i="11"/>
  <c r="D42" i="11"/>
  <c r="D80" i="11"/>
  <c r="D43" i="31"/>
  <c r="D76" i="31"/>
  <c r="D28" i="31"/>
  <c r="D78" i="31"/>
  <c r="K36" i="31"/>
  <c r="D39" i="31"/>
  <c r="C48" i="32"/>
  <c r="F48" i="32" s="1"/>
  <c r="H48" i="32" s="1"/>
  <c r="J48" i="32" s="1"/>
  <c r="K48" i="32" s="1"/>
  <c r="D81" i="31"/>
  <c r="D45" i="31"/>
  <c r="D72" i="4"/>
  <c r="D74" i="4"/>
  <c r="C71" i="4"/>
  <c r="G72" i="4"/>
  <c r="B73" i="4"/>
  <c r="H88" i="30"/>
  <c r="C39" i="11"/>
  <c r="H77" i="26"/>
  <c r="H12" i="26"/>
  <c r="M12" i="26" s="1"/>
  <c r="H90" i="26"/>
  <c r="H96" i="26"/>
  <c r="H105" i="26"/>
  <c r="H84" i="30"/>
  <c r="H11" i="30"/>
  <c r="L11" i="30" s="1"/>
  <c r="AP17" i="41" s="1"/>
  <c r="H38" i="26"/>
  <c r="H94" i="30"/>
  <c r="H76" i="26"/>
  <c r="H79" i="26"/>
  <c r="H66" i="26"/>
  <c r="H53" i="26"/>
  <c r="H77" i="30"/>
  <c r="H52" i="26"/>
  <c r="H51" i="26"/>
  <c r="H9" i="26"/>
  <c r="M9" i="26" s="1"/>
  <c r="H32" i="26"/>
  <c r="H23" i="26"/>
  <c r="H21" i="26"/>
  <c r="H37" i="26"/>
  <c r="H63" i="30"/>
  <c r="T26" i="32"/>
  <c r="Q246" i="22"/>
  <c r="Q84" i="22"/>
  <c r="Q235" i="22"/>
  <c r="Q47" i="22"/>
  <c r="Q133" i="22"/>
  <c r="H92" i="26"/>
  <c r="H68" i="26"/>
  <c r="H48" i="26"/>
  <c r="H28" i="26"/>
  <c r="H99" i="26"/>
  <c r="H71" i="26"/>
  <c r="H47" i="26"/>
  <c r="H15" i="26"/>
  <c r="H86" i="26"/>
  <c r="H58" i="26"/>
  <c r="H26" i="26"/>
  <c r="H101" i="26"/>
  <c r="H73" i="26"/>
  <c r="H41" i="26"/>
  <c r="H13" i="26"/>
  <c r="K13" i="26" s="1"/>
  <c r="AS19" i="41" s="1"/>
  <c r="H90" i="30"/>
  <c r="H39" i="30"/>
  <c r="H110" i="30"/>
  <c r="H31" i="30"/>
  <c r="H57" i="30"/>
  <c r="Q166" i="22"/>
  <c r="Q202" i="22"/>
  <c r="Q191" i="22"/>
  <c r="Q78" i="22"/>
  <c r="Q29" i="22"/>
  <c r="H84" i="26"/>
  <c r="H64" i="26"/>
  <c r="H44" i="26"/>
  <c r="H20" i="26"/>
  <c r="H95" i="26"/>
  <c r="H67" i="26"/>
  <c r="H35" i="26"/>
  <c r="H8" i="26"/>
  <c r="K8" i="26" s="1"/>
  <c r="AS14" i="41" s="1"/>
  <c r="H82" i="26"/>
  <c r="H50" i="26"/>
  <c r="H22" i="26"/>
  <c r="H93" i="26"/>
  <c r="H61" i="26"/>
  <c r="H19" i="30"/>
  <c r="H96" i="30"/>
  <c r="H103" i="30"/>
  <c r="H107" i="30"/>
  <c r="D17" i="38"/>
  <c r="H25" i="26"/>
  <c r="H44" i="30"/>
  <c r="Q240" i="22"/>
  <c r="Q56" i="22"/>
  <c r="Q151" i="22"/>
  <c r="Q14" i="22"/>
  <c r="H100" i="26"/>
  <c r="H80" i="26"/>
  <c r="H60" i="26"/>
  <c r="H36" i="26"/>
  <c r="H16" i="26"/>
  <c r="H87" i="26"/>
  <c r="H55" i="26"/>
  <c r="H31" i="26"/>
  <c r="H102" i="26"/>
  <c r="H70" i="26"/>
  <c r="H42" i="26"/>
  <c r="H18" i="26"/>
  <c r="H85" i="26"/>
  <c r="H57" i="26"/>
  <c r="H29" i="26"/>
  <c r="H67" i="30"/>
  <c r="H105" i="30"/>
  <c r="H52" i="30"/>
  <c r="H18" i="30"/>
  <c r="H12" i="30"/>
  <c r="K12" i="30" s="1"/>
  <c r="AO18" i="41" s="1"/>
  <c r="Q238" i="22"/>
  <c r="Q8" i="22"/>
  <c r="Q52" i="22"/>
  <c r="Q106" i="22"/>
  <c r="Q231" i="22"/>
  <c r="Q143" i="22"/>
  <c r="Q70" i="22"/>
  <c r="Q189" i="22"/>
  <c r="Q61" i="22"/>
  <c r="Q192" i="22"/>
  <c r="Q112" i="22"/>
  <c r="Q206" i="22"/>
  <c r="Q118" i="22"/>
  <c r="Q220" i="22"/>
  <c r="Q132" i="22"/>
  <c r="Q242" i="22"/>
  <c r="Q162" i="22"/>
  <c r="Q48" i="22"/>
  <c r="Q255" i="22"/>
  <c r="Q215" i="22"/>
  <c r="Q171" i="22"/>
  <c r="Q127" i="22"/>
  <c r="Q79" i="22"/>
  <c r="Q15" i="22"/>
  <c r="Q46" i="22"/>
  <c r="Q229" i="22"/>
  <c r="Q165" i="22"/>
  <c r="Q101" i="22"/>
  <c r="Q37" i="22"/>
  <c r="Q144" i="22"/>
  <c r="Q150" i="22"/>
  <c r="Q164" i="22"/>
  <c r="Q194" i="22"/>
  <c r="Q20" i="22"/>
  <c r="Q187" i="22"/>
  <c r="Q103" i="22"/>
  <c r="Q39" i="22"/>
  <c r="Q253" i="22"/>
  <c r="Q125" i="22"/>
  <c r="L44" i="11"/>
  <c r="Q184" i="22"/>
  <c r="Q92" i="22"/>
  <c r="Q198" i="22"/>
  <c r="Q110" i="22"/>
  <c r="Q204" i="22"/>
  <c r="Q124" i="22"/>
  <c r="Q234" i="22"/>
  <c r="Q146" i="22"/>
  <c r="Q44" i="22"/>
  <c r="Q251" i="22"/>
  <c r="Q207" i="22"/>
  <c r="Q167" i="22"/>
  <c r="Q123" i="22"/>
  <c r="Q71" i="22"/>
  <c r="Q10" i="22"/>
  <c r="Q38" i="22"/>
  <c r="Q221" i="22"/>
  <c r="Q157" i="22"/>
  <c r="Q93" i="22"/>
  <c r="L80" i="11"/>
  <c r="M80" i="11"/>
  <c r="Q17" i="22"/>
  <c r="Q13" i="22"/>
  <c r="Q45" i="22"/>
  <c r="Q77" i="22"/>
  <c r="Q109" i="22"/>
  <c r="Q141" i="22"/>
  <c r="Q173" i="22"/>
  <c r="Q205" i="22"/>
  <c r="Q237" i="22"/>
  <c r="Q22" i="22"/>
  <c r="Q54" i="22"/>
  <c r="Q86" i="22"/>
  <c r="Q23" i="22"/>
  <c r="Q55" i="22"/>
  <c r="Q87" i="22"/>
  <c r="Q111" i="22"/>
  <c r="Q135" i="22"/>
  <c r="Q155" i="22"/>
  <c r="Q175" i="22"/>
  <c r="Q199" i="22"/>
  <c r="Q219" i="22"/>
  <c r="Q239" i="22"/>
  <c r="Q12" i="22"/>
  <c r="Q32" i="22"/>
  <c r="Q64" i="22"/>
  <c r="Q130" i="22"/>
  <c r="Q170" i="22"/>
  <c r="Q210" i="22"/>
  <c r="Q258" i="22"/>
  <c r="Q100" i="22"/>
  <c r="Q140" i="22"/>
  <c r="Q188" i="22"/>
  <c r="Q228" i="22"/>
  <c r="Q72" i="22"/>
  <c r="Q134" i="22"/>
  <c r="Q174" i="22"/>
  <c r="Q214" i="22"/>
  <c r="Q60" i="22"/>
  <c r="Q120" i="22"/>
  <c r="Q160" i="22"/>
  <c r="Q208" i="22"/>
  <c r="Q248" i="22"/>
  <c r="Q21" i="22"/>
  <c r="Q85" i="22"/>
  <c r="Q149" i="22"/>
  <c r="Q213" i="22"/>
  <c r="Q30" i="22"/>
  <c r="Q94" i="22"/>
  <c r="Q63" i="22"/>
  <c r="Q95" i="22"/>
  <c r="Q139" i="22"/>
  <c r="Q183" i="22"/>
  <c r="Q223" i="22"/>
  <c r="Q16" i="22"/>
  <c r="Q96" i="22"/>
  <c r="Q178" i="22"/>
  <c r="Q236" i="22"/>
  <c r="Q156" i="22"/>
  <c r="Q244" i="22"/>
  <c r="Q142" i="22"/>
  <c r="Q230" i="22"/>
  <c r="Q128" i="22"/>
  <c r="Q216" i="22"/>
  <c r="Q53" i="22"/>
  <c r="Q117" i="22"/>
  <c r="Q181" i="22"/>
  <c r="Q245" i="22"/>
  <c r="Q62" i="22"/>
  <c r="Q31" i="22"/>
  <c r="Q119" i="22"/>
  <c r="Q159" i="22"/>
  <c r="Q203" i="22"/>
  <c r="Q247" i="22"/>
  <c r="Q36" i="22"/>
  <c r="Q138" i="22"/>
  <c r="Q226" i="22"/>
  <c r="Q108" i="22"/>
  <c r="Q196" i="22"/>
  <c r="Q102" i="22"/>
  <c r="Q182" i="22"/>
  <c r="Q76" i="22"/>
  <c r="Q176" i="22"/>
  <c r="Q256" i="22"/>
  <c r="Q69" i="22"/>
  <c r="Q224" i="22"/>
  <c r="D25" i="11"/>
  <c r="D12" i="11"/>
  <c r="D59" i="11"/>
  <c r="D43" i="11"/>
  <c r="D57" i="11"/>
  <c r="D82" i="11"/>
  <c r="D56" i="11"/>
  <c r="K21" i="11"/>
  <c r="D14" i="11"/>
  <c r="D31" i="31"/>
  <c r="D57" i="31"/>
  <c r="D82" i="31"/>
  <c r="D25" i="31"/>
  <c r="D59" i="31"/>
  <c r="D14" i="31"/>
  <c r="K51" i="31"/>
  <c r="K21" i="31"/>
  <c r="G68" i="4"/>
  <c r="C46" i="1"/>
  <c r="F47" i="1" s="1"/>
  <c r="G47" i="1" s="1"/>
  <c r="H47" i="1" s="1"/>
  <c r="I47" i="1" s="1"/>
  <c r="D15" i="31"/>
  <c r="H104" i="26"/>
  <c r="H88" i="26"/>
  <c r="H72" i="26"/>
  <c r="H56" i="26"/>
  <c r="H40" i="26"/>
  <c r="H24" i="26"/>
  <c r="H103" i="26"/>
  <c r="H83" i="26"/>
  <c r="H63" i="26"/>
  <c r="H39" i="26"/>
  <c r="H19" i="26"/>
  <c r="H98" i="26"/>
  <c r="H74" i="26"/>
  <c r="H54" i="26"/>
  <c r="H34" i="26"/>
  <c r="H10" i="26"/>
  <c r="K10" i="26" s="1"/>
  <c r="AS16" i="41" s="1"/>
  <c r="H89" i="26"/>
  <c r="H69" i="26"/>
  <c r="H45" i="26"/>
  <c r="H17" i="26"/>
  <c r="H33" i="26"/>
  <c r="H49" i="26"/>
  <c r="H65" i="26"/>
  <c r="H81" i="26"/>
  <c r="H97" i="26"/>
  <c r="H14" i="26"/>
  <c r="H30" i="26"/>
  <c r="H46" i="26"/>
  <c r="H62" i="26"/>
  <c r="H78" i="26"/>
  <c r="H94" i="26"/>
  <c r="H11" i="26"/>
  <c r="H27" i="26"/>
  <c r="H43" i="26"/>
  <c r="H59" i="26"/>
  <c r="H75" i="26"/>
  <c r="H91" i="26"/>
  <c r="M61" i="31"/>
  <c r="H34" i="30"/>
  <c r="H62" i="30"/>
  <c r="H78" i="30"/>
  <c r="H33" i="30"/>
  <c r="H46" i="30"/>
  <c r="H22" i="30"/>
  <c r="H58" i="30"/>
  <c r="H37" i="30"/>
  <c r="H56" i="30"/>
  <c r="H75" i="30"/>
  <c r="H73" i="30"/>
  <c r="H10" i="30"/>
  <c r="H45" i="30"/>
  <c r="H32" i="30"/>
  <c r="H83" i="30"/>
  <c r="H108" i="30"/>
  <c r="H95" i="30"/>
  <c r="H8" i="30"/>
  <c r="H24" i="30"/>
  <c r="H65" i="30"/>
  <c r="L81" i="31"/>
  <c r="D19" i="35"/>
  <c r="D19" i="38"/>
  <c r="B59" i="38" s="1"/>
  <c r="S97" i="4"/>
  <c r="AE18" i="40"/>
  <c r="D18" i="35"/>
  <c r="H25" i="30"/>
  <c r="H31" i="28"/>
  <c r="E74" i="4"/>
  <c r="D20" i="35"/>
  <c r="B71" i="4"/>
  <c r="D70" i="4"/>
  <c r="F72" i="4"/>
  <c r="F74" i="4"/>
  <c r="C70" i="4"/>
  <c r="E71" i="4"/>
  <c r="E72" i="4"/>
  <c r="G73" i="4"/>
  <c r="C74" i="4"/>
  <c r="F71" i="4"/>
  <c r="B72" i="4"/>
  <c r="B74" i="4"/>
  <c r="C73" i="4"/>
  <c r="D73" i="4"/>
  <c r="H15" i="28"/>
  <c r="H105" i="28"/>
  <c r="H24" i="28"/>
  <c r="H106" i="28"/>
  <c r="H109" i="28"/>
  <c r="H28" i="28"/>
  <c r="H110" i="28"/>
  <c r="H113" i="28"/>
  <c r="H88" i="28"/>
  <c r="H98" i="28"/>
  <c r="H38" i="28"/>
  <c r="H35" i="28"/>
  <c r="H18" i="28"/>
  <c r="H21" i="28"/>
  <c r="H64" i="28"/>
  <c r="H92" i="28"/>
  <c r="H65" i="28"/>
  <c r="H37" i="28"/>
  <c r="H41" i="28"/>
  <c r="H103" i="28"/>
  <c r="H86" i="28"/>
  <c r="H89" i="28"/>
  <c r="H107" i="28"/>
  <c r="H90" i="28"/>
  <c r="H47" i="28"/>
  <c r="H115" i="28"/>
  <c r="H108" i="28"/>
  <c r="H23" i="28"/>
  <c r="H59" i="28"/>
  <c r="H42" i="28"/>
  <c r="H45" i="28"/>
  <c r="H63" i="28"/>
  <c r="H46" i="28"/>
  <c r="H49" i="28"/>
  <c r="H79" i="28"/>
  <c r="H51" i="28"/>
  <c r="H100" i="28"/>
  <c r="H40" i="28"/>
  <c r="H99" i="28"/>
  <c r="H82" i="28"/>
  <c r="H85" i="28"/>
  <c r="H72" i="28"/>
  <c r="H80" i="28"/>
  <c r="H83" i="28"/>
  <c r="H8" i="28"/>
  <c r="K8" i="28" s="1"/>
  <c r="H39" i="28"/>
  <c r="H22" i="28"/>
  <c r="H25" i="28"/>
  <c r="H68" i="28"/>
  <c r="H26" i="28"/>
  <c r="H61" i="28"/>
  <c r="H33" i="28"/>
  <c r="H104" i="28"/>
  <c r="H73" i="28"/>
  <c r="H27" i="28"/>
  <c r="H13" i="28"/>
  <c r="H14" i="28"/>
  <c r="H48" i="28"/>
  <c r="H69" i="28"/>
  <c r="H67" i="28"/>
  <c r="H53" i="28"/>
  <c r="H111" i="28"/>
  <c r="H36" i="28"/>
  <c r="H60" i="28"/>
  <c r="H16" i="28"/>
  <c r="H29" i="28"/>
  <c r="H34" i="28"/>
  <c r="H11" i="28"/>
  <c r="H91" i="28"/>
  <c r="H77" i="28"/>
  <c r="H78" i="28"/>
  <c r="H30" i="28"/>
  <c r="H87" i="28"/>
  <c r="H56" i="28"/>
  <c r="H12" i="28"/>
  <c r="H94" i="28"/>
  <c r="H70" i="28"/>
  <c r="H54" i="28"/>
  <c r="H43" i="28"/>
  <c r="H20" i="28"/>
  <c r="H101" i="28"/>
  <c r="H19" i="28"/>
  <c r="H10" i="28"/>
  <c r="H44" i="28"/>
  <c r="H17" i="28"/>
  <c r="H97" i="28"/>
  <c r="H112" i="28"/>
  <c r="H50" i="28"/>
  <c r="H75" i="28"/>
  <c r="H96" i="28"/>
  <c r="H9" i="28"/>
  <c r="H52" i="28"/>
  <c r="H76" i="28"/>
  <c r="H62" i="28"/>
  <c r="H102" i="28"/>
  <c r="H71" i="28"/>
  <c r="H32" i="28"/>
  <c r="H66" i="28"/>
  <c r="H84" i="28"/>
  <c r="H55" i="28"/>
  <c r="L44" i="31"/>
  <c r="H74" i="28"/>
  <c r="A2" i="38"/>
  <c r="B50" i="38" s="1"/>
  <c r="J47" i="1"/>
  <c r="K47" i="1" s="1"/>
  <c r="T25" i="32"/>
  <c r="J25" i="32"/>
  <c r="H58" i="28"/>
  <c r="H93" i="28"/>
  <c r="H81" i="28"/>
  <c r="M29" i="31"/>
  <c r="J24" i="32"/>
  <c r="T24" i="32"/>
  <c r="T24" i="1"/>
  <c r="P35" i="4" s="1"/>
  <c r="H13" i="23"/>
  <c r="K13" i="23" s="1"/>
  <c r="H17" i="23"/>
  <c r="M29" i="11"/>
  <c r="H57" i="28"/>
  <c r="H114" i="28"/>
  <c r="H95" i="28"/>
  <c r="Q232" i="22"/>
  <c r="Q200" i="22"/>
  <c r="Q168" i="22"/>
  <c r="Q136" i="22"/>
  <c r="Q104" i="22"/>
  <c r="Q254" i="22"/>
  <c r="Q222" i="22"/>
  <c r="Q190" i="22"/>
  <c r="Q158" i="22"/>
  <c r="Q126" i="22"/>
  <c r="Q88" i="22"/>
  <c r="Q252" i="22"/>
  <c r="Q212" i="22"/>
  <c r="Q180" i="22"/>
  <c r="Q148" i="22"/>
  <c r="Q116" i="22"/>
  <c r="Q68" i="22"/>
  <c r="Q250" i="22"/>
  <c r="Q218" i="22"/>
  <c r="Q186" i="22"/>
  <c r="Q154" i="22"/>
  <c r="Q122" i="22"/>
  <c r="Q80" i="22"/>
  <c r="Q40" i="22"/>
  <c r="Q24" i="22"/>
  <c r="Q259" i="22"/>
  <c r="Q243" i="22"/>
  <c r="Q227" i="22"/>
  <c r="Q211" i="22"/>
  <c r="Q195" i="22"/>
  <c r="Q179" i="22"/>
  <c r="Q163" i="22"/>
  <c r="Q147" i="22"/>
  <c r="Q131" i="22"/>
  <c r="Q115" i="22"/>
  <c r="Q99" i="22"/>
  <c r="Q83" i="22"/>
  <c r="Q67" i="22"/>
  <c r="Q51" i="22"/>
  <c r="Q35" i="22"/>
  <c r="Q19" i="22"/>
  <c r="Q98" i="22"/>
  <c r="Q82" i="22"/>
  <c r="Q66" i="22"/>
  <c r="Q50" i="22"/>
  <c r="Q34" i="22"/>
  <c r="Q18" i="22"/>
  <c r="Q249" i="22"/>
  <c r="Q233" i="22"/>
  <c r="Q217" i="22"/>
  <c r="Q201" i="22"/>
  <c r="Q185" i="22"/>
  <c r="Q169" i="22"/>
  <c r="Q153" i="22"/>
  <c r="Q137" i="22"/>
  <c r="Q121" i="22"/>
  <c r="Q105" i="22"/>
  <c r="Q89" i="22"/>
  <c r="Q73" i="22"/>
  <c r="Q57" i="22"/>
  <c r="Q41" i="22"/>
  <c r="Q25" i="22"/>
  <c r="Q9" i="22"/>
  <c r="L15" i="31"/>
  <c r="M15" i="31"/>
  <c r="H15" i="23"/>
  <c r="K15" i="23" s="1"/>
  <c r="Q91" i="22"/>
  <c r="Q75" i="22"/>
  <c r="Q59" i="22"/>
  <c r="Q43" i="22"/>
  <c r="Q27" i="22"/>
  <c r="Q11" i="22"/>
  <c r="Q90" i="22"/>
  <c r="Q74" i="22"/>
  <c r="Q58" i="22"/>
  <c r="Q42" i="22"/>
  <c r="Q26" i="22"/>
  <c r="Q257" i="22"/>
  <c r="Q241" i="22"/>
  <c r="Q225" i="22"/>
  <c r="Q209" i="22"/>
  <c r="Q193" i="22"/>
  <c r="Q177" i="22"/>
  <c r="Q161" i="22"/>
  <c r="Q145" i="22"/>
  <c r="Q129" i="22"/>
  <c r="Q113" i="22"/>
  <c r="Q97" i="22"/>
  <c r="Q81" i="22"/>
  <c r="Q65" i="22"/>
  <c r="Q49" i="22"/>
  <c r="Q33" i="22"/>
  <c r="L62" i="31"/>
  <c r="D9" i="38"/>
  <c r="H51" i="30"/>
  <c r="H113" i="30"/>
  <c r="H64" i="30"/>
  <c r="H13" i="30"/>
  <c r="H71" i="30"/>
  <c r="H20" i="30"/>
  <c r="H38" i="30"/>
  <c r="H43" i="30"/>
  <c r="H82" i="30"/>
  <c r="H89" i="30"/>
  <c r="H69" i="30"/>
  <c r="H101" i="30"/>
  <c r="H76" i="30"/>
  <c r="H41" i="30"/>
  <c r="H54" i="30"/>
  <c r="H92" i="30"/>
  <c r="H28" i="30"/>
  <c r="H26" i="30"/>
  <c r="H79" i="30"/>
  <c r="H15" i="30"/>
  <c r="H21" i="30"/>
  <c r="H14" i="30"/>
  <c r="H72" i="30"/>
  <c r="H106" i="30"/>
  <c r="H93" i="30"/>
  <c r="H59" i="30"/>
  <c r="H49" i="30"/>
  <c r="H70" i="30"/>
  <c r="H100" i="30"/>
  <c r="H36" i="30"/>
  <c r="H42" i="30"/>
  <c r="H87" i="30"/>
  <c r="H23" i="30"/>
  <c r="H29" i="30"/>
  <c r="H30" i="30"/>
  <c r="H80" i="30"/>
  <c r="H16" i="30"/>
  <c r="H81" i="30"/>
  <c r="H9" i="30"/>
  <c r="H97" i="30"/>
  <c r="H60" i="30"/>
  <c r="H86" i="30"/>
  <c r="H111" i="30"/>
  <c r="H47" i="30"/>
  <c r="H53" i="30"/>
  <c r="H74" i="30"/>
  <c r="H104" i="30"/>
  <c r="H40" i="30"/>
  <c r="H50" i="30"/>
  <c r="H91" i="30"/>
  <c r="H27" i="30"/>
  <c r="H17" i="30"/>
  <c r="H109" i="30"/>
  <c r="H68" i="30"/>
  <c r="H98" i="30"/>
  <c r="H85" i="30"/>
  <c r="H55" i="30"/>
  <c r="H61" i="30"/>
  <c r="H102" i="30"/>
  <c r="H112" i="30"/>
  <c r="H48" i="30"/>
  <c r="H66" i="30"/>
  <c r="H99" i="30"/>
  <c r="H35" i="30"/>
  <c r="D10" i="38"/>
  <c r="D10" i="35"/>
  <c r="AG51" i="20"/>
  <c r="AG133" i="20"/>
  <c r="AG163" i="20"/>
  <c r="AG49" i="20"/>
  <c r="AG83" i="20"/>
  <c r="AG158" i="20"/>
  <c r="AG108" i="20"/>
  <c r="AG74" i="20"/>
  <c r="AG138" i="20"/>
  <c r="AG113" i="20"/>
  <c r="AG84" i="20"/>
  <c r="AG35" i="20"/>
  <c r="AG50" i="20"/>
  <c r="AG29" i="20"/>
  <c r="AG143" i="20"/>
  <c r="AG21" i="20"/>
  <c r="AG114" i="20"/>
  <c r="AG30" i="20"/>
  <c r="AG93" i="20"/>
  <c r="AG148" i="20"/>
  <c r="AG64" i="20"/>
  <c r="AG115" i="20"/>
  <c r="AG94" i="20"/>
  <c r="AG157" i="20"/>
  <c r="AG69" i="20"/>
  <c r="AG128" i="20"/>
  <c r="AG44" i="20"/>
  <c r="AG154" i="20"/>
  <c r="AG110" i="20"/>
  <c r="AG66" i="20"/>
  <c r="AG26" i="20"/>
  <c r="AG129" i="20"/>
  <c r="AG85" i="20"/>
  <c r="AG65" i="20"/>
  <c r="AG164" i="20"/>
  <c r="AG144" i="20"/>
  <c r="AG100" i="20"/>
  <c r="AG36" i="20"/>
  <c r="AG159" i="20"/>
  <c r="AG139" i="20"/>
  <c r="AG111" i="20"/>
  <c r="AG47" i="20"/>
  <c r="AG20" i="20"/>
  <c r="AG146" i="20"/>
  <c r="AG126" i="20"/>
  <c r="AG106" i="20"/>
  <c r="AG82" i="20"/>
  <c r="AG62" i="20"/>
  <c r="AG42" i="20"/>
  <c r="AG165" i="20"/>
  <c r="AG145" i="20"/>
  <c r="AG125" i="20"/>
  <c r="AG101" i="20"/>
  <c r="AG81" i="20"/>
  <c r="AG61" i="20"/>
  <c r="AG37" i="20"/>
  <c r="AG160" i="20"/>
  <c r="AG140" i="20"/>
  <c r="AG116" i="20"/>
  <c r="AG96" i="20"/>
  <c r="AG76" i="20"/>
  <c r="AG52" i="20"/>
  <c r="AG32" i="20"/>
  <c r="AG155" i="20"/>
  <c r="AG131" i="20"/>
  <c r="AG99" i="20"/>
  <c r="AG67" i="20"/>
  <c r="AG10" i="20"/>
  <c r="AG12" i="20"/>
  <c r="AR12" i="20" s="1"/>
  <c r="AR28" i="20" s="1"/>
  <c r="AG18" i="20"/>
  <c r="AG11" i="20"/>
  <c r="AJ11" i="20" s="1"/>
  <c r="AG13" i="20"/>
  <c r="AG17" i="20"/>
  <c r="AN17" i="20" s="1"/>
  <c r="AG19" i="20"/>
  <c r="AG27" i="20"/>
  <c r="AG43" i="20"/>
  <c r="AG59" i="20"/>
  <c r="AG75" i="20"/>
  <c r="AG91" i="20"/>
  <c r="AG107" i="20"/>
  <c r="AG123" i="20"/>
  <c r="AG14" i="20"/>
  <c r="AO14" i="20" s="1"/>
  <c r="AO30" i="20" s="1"/>
  <c r="J18" i="41" s="1"/>
  <c r="M18" i="41" s="1"/>
  <c r="AG130" i="20"/>
  <c r="AG90" i="20"/>
  <c r="AG46" i="20"/>
  <c r="AG149" i="20"/>
  <c r="AG109" i="20"/>
  <c r="AG45" i="20"/>
  <c r="AG124" i="20"/>
  <c r="AG80" i="20"/>
  <c r="AG60" i="20"/>
  <c r="AG79" i="20"/>
  <c r="AG162" i="20"/>
  <c r="AG142" i="20"/>
  <c r="AG122" i="20"/>
  <c r="AG98" i="20"/>
  <c r="AG78" i="20"/>
  <c r="AG58" i="20"/>
  <c r="AG34" i="20"/>
  <c r="AG161" i="20"/>
  <c r="AG141" i="20"/>
  <c r="AG117" i="20"/>
  <c r="AG97" i="20"/>
  <c r="AG77" i="20"/>
  <c r="AG53" i="20"/>
  <c r="AG33" i="20"/>
  <c r="AG156" i="20"/>
  <c r="AG132" i="20"/>
  <c r="AG112" i="20"/>
  <c r="AG92" i="20"/>
  <c r="AG68" i="20"/>
  <c r="AG48" i="20"/>
  <c r="AG28" i="20"/>
  <c r="AG147" i="20"/>
  <c r="AG127" i="20"/>
  <c r="AG95" i="20"/>
  <c r="AG63" i="20"/>
  <c r="AG31" i="20"/>
  <c r="AG15" i="20"/>
  <c r="AP15" i="20" s="1"/>
  <c r="AG150" i="20"/>
  <c r="AG134" i="20"/>
  <c r="AG118" i="20"/>
  <c r="AG102" i="20"/>
  <c r="AG86" i="20"/>
  <c r="AG70" i="20"/>
  <c r="AG54" i="20"/>
  <c r="AG38" i="20"/>
  <c r="AG22" i="20"/>
  <c r="AG153" i="20"/>
  <c r="AG137" i="20"/>
  <c r="AG121" i="20"/>
  <c r="AG105" i="20"/>
  <c r="AG89" i="20"/>
  <c r="AG73" i="20"/>
  <c r="AG57" i="20"/>
  <c r="AG41" i="20"/>
  <c r="AG25" i="20"/>
  <c r="AG152" i="20"/>
  <c r="AG136" i="20"/>
  <c r="AG120" i="20"/>
  <c r="AG104" i="20"/>
  <c r="AG88" i="20"/>
  <c r="AG72" i="20"/>
  <c r="AG56" i="20"/>
  <c r="AG40" i="20"/>
  <c r="AG24" i="20"/>
  <c r="AG151" i="20"/>
  <c r="AG135" i="20"/>
  <c r="AG119" i="20"/>
  <c r="AG103" i="20"/>
  <c r="AG87" i="20"/>
  <c r="AG71" i="20"/>
  <c r="AG55" i="20"/>
  <c r="AG39" i="20"/>
  <c r="AG23" i="20"/>
  <c r="AG16" i="20"/>
  <c r="H21" i="23"/>
  <c r="H16" i="23"/>
  <c r="H14" i="23"/>
  <c r="K14" i="23" s="1"/>
  <c r="H19" i="23"/>
  <c r="H20" i="23"/>
  <c r="H18" i="23"/>
  <c r="R25" i="1"/>
  <c r="T25" i="1" s="1"/>
  <c r="L25" i="32"/>
  <c r="R70" i="4" l="1"/>
  <c r="F12" i="31" s="1"/>
  <c r="L70" i="4"/>
  <c r="Q70" i="4"/>
  <c r="Q72" i="4"/>
  <c r="F42" i="11" s="1"/>
  <c r="H42" i="11" s="1"/>
  <c r="K42" i="11" s="1"/>
  <c r="L72" i="4"/>
  <c r="Q73" i="4"/>
  <c r="F59" i="11" s="1"/>
  <c r="H59" i="11" s="1"/>
  <c r="K59" i="11" s="1"/>
  <c r="M59" i="11" s="1"/>
  <c r="L73" i="4"/>
  <c r="R74" i="4"/>
  <c r="M74" i="4"/>
  <c r="Q71" i="4"/>
  <c r="F27" i="11" s="1"/>
  <c r="H27" i="11" s="1"/>
  <c r="K27" i="11" s="1"/>
  <c r="L71" i="4"/>
  <c r="R71" i="4"/>
  <c r="M71" i="4"/>
  <c r="R73" i="4"/>
  <c r="M73" i="4"/>
  <c r="M70" i="4"/>
  <c r="H12" i="31"/>
  <c r="K12" i="31" s="1"/>
  <c r="Q74" i="4"/>
  <c r="L74" i="4"/>
  <c r="R72" i="4"/>
  <c r="F42" i="31" s="1"/>
  <c r="H42" i="31" s="1"/>
  <c r="K42" i="31" s="1"/>
  <c r="L42" i="31" s="1"/>
  <c r="M72" i="4"/>
  <c r="M14" i="11"/>
  <c r="M45" i="31"/>
  <c r="M14" i="31"/>
  <c r="M61" i="11"/>
  <c r="BV22" i="40"/>
  <c r="AT12" i="20"/>
  <c r="L62" i="11"/>
  <c r="M62" i="11"/>
  <c r="L15" i="11"/>
  <c r="M15" i="11"/>
  <c r="L30" i="11"/>
  <c r="M30" i="11"/>
  <c r="L30" i="31"/>
  <c r="L81" i="11"/>
  <c r="M45" i="11"/>
  <c r="B58" i="38"/>
  <c r="B57" i="38" s="1"/>
  <c r="D22" i="38" s="1"/>
  <c r="U11" i="22"/>
  <c r="W17" i="41" s="1"/>
  <c r="V11" i="22"/>
  <c r="W11" i="22"/>
  <c r="Y17" i="41" s="1"/>
  <c r="X11" i="22"/>
  <c r="Y11" i="22"/>
  <c r="AA17" i="41" s="1"/>
  <c r="Z11" i="22"/>
  <c r="AB17" i="41" s="1"/>
  <c r="T11" i="22"/>
  <c r="V17" i="41" s="1"/>
  <c r="AD11" i="22"/>
  <c r="AD17" i="41" s="1"/>
  <c r="AA11" i="22"/>
  <c r="AC17" i="41" s="1"/>
  <c r="Y8" i="22"/>
  <c r="Z8" i="22"/>
  <c r="AB14" i="41" s="1"/>
  <c r="AA8" i="22"/>
  <c r="AC14" i="41" s="1"/>
  <c r="T8" i="22"/>
  <c r="V14" i="41" s="1"/>
  <c r="AD8" i="22"/>
  <c r="AD14" i="41" s="1"/>
  <c r="AE8" i="22"/>
  <c r="U8" i="22"/>
  <c r="W14" i="41" s="1"/>
  <c r="V8" i="22"/>
  <c r="X14" i="41" s="1"/>
  <c r="X8" i="22"/>
  <c r="Z14" i="41" s="1"/>
  <c r="W8" i="22"/>
  <c r="Y14" i="41" s="1"/>
  <c r="Z14" i="22"/>
  <c r="AB20" i="41" s="1"/>
  <c r="AA14" i="22"/>
  <c r="AC20" i="41" s="1"/>
  <c r="T14" i="22"/>
  <c r="V20" i="41" s="1"/>
  <c r="AD14" i="22"/>
  <c r="AD20" i="41" s="1"/>
  <c r="U14" i="22"/>
  <c r="W20" i="41" s="1"/>
  <c r="V14" i="22"/>
  <c r="X20" i="41" s="1"/>
  <c r="W14" i="22"/>
  <c r="X14" i="22"/>
  <c r="Z20" i="41" s="1"/>
  <c r="Y14" i="22"/>
  <c r="AA20" i="41" s="1"/>
  <c r="W9" i="22"/>
  <c r="Y15" i="41" s="1"/>
  <c r="X9" i="22"/>
  <c r="Z15" i="41" s="1"/>
  <c r="Y9" i="22"/>
  <c r="AA15" i="41" s="1"/>
  <c r="Z9" i="22"/>
  <c r="AB15" i="41" s="1"/>
  <c r="AA9" i="22"/>
  <c r="U9" i="22"/>
  <c r="T9" i="22"/>
  <c r="AD9" i="22"/>
  <c r="V9" i="22"/>
  <c r="CI19" i="40"/>
  <c r="BK19" i="40"/>
  <c r="AA13" i="22"/>
  <c r="AC19" i="41" s="1"/>
  <c r="U13" i="22"/>
  <c r="W19" i="41" s="1"/>
  <c r="V13" i="22"/>
  <c r="W13" i="22"/>
  <c r="Y19" i="41" s="1"/>
  <c r="Y13" i="22"/>
  <c r="AA19" i="41" s="1"/>
  <c r="Z13" i="22"/>
  <c r="AD13" i="22"/>
  <c r="AD19" i="41" s="1"/>
  <c r="X13" i="22"/>
  <c r="T13" i="22"/>
  <c r="V19" i="41" s="1"/>
  <c r="V10" i="22"/>
  <c r="X16" i="41" s="1"/>
  <c r="X10" i="22"/>
  <c r="Z16" i="41" s="1"/>
  <c r="Y10" i="22"/>
  <c r="AA16" i="41" s="1"/>
  <c r="Z10" i="22"/>
  <c r="AB16" i="41" s="1"/>
  <c r="T10" i="22"/>
  <c r="V22" i="4" s="1"/>
  <c r="AD10" i="22"/>
  <c r="AD16" i="41" s="1"/>
  <c r="AA10" i="22"/>
  <c r="AC16" i="41" s="1"/>
  <c r="U10" i="22"/>
  <c r="W22" i="4" s="1"/>
  <c r="W10" i="22"/>
  <c r="Y16" i="41" s="1"/>
  <c r="CI18" i="40"/>
  <c r="BK18" i="40"/>
  <c r="CT18" i="40"/>
  <c r="BV18" i="40"/>
  <c r="AU10" i="20"/>
  <c r="B63" i="32" s="1"/>
  <c r="AT10" i="20"/>
  <c r="AT26" i="20" s="1"/>
  <c r="M80" i="31"/>
  <c r="L80" i="31"/>
  <c r="T12" i="22"/>
  <c r="AD12" i="22"/>
  <c r="AD18" i="41" s="1"/>
  <c r="U12" i="22"/>
  <c r="W18" i="41" s="1"/>
  <c r="V12" i="22"/>
  <c r="X18" i="41" s="1"/>
  <c r="W12" i="22"/>
  <c r="Y18" i="41" s="1"/>
  <c r="X12" i="22"/>
  <c r="Z18" i="41" s="1"/>
  <c r="Z12" i="22"/>
  <c r="AB18" i="41" s="1"/>
  <c r="Y12" i="22"/>
  <c r="AA18" i="41" s="1"/>
  <c r="AA12" i="22"/>
  <c r="CI20" i="40"/>
  <c r="BK20" i="40"/>
  <c r="K11" i="30"/>
  <c r="AO17" i="41" s="1"/>
  <c r="F12" i="11"/>
  <c r="H12" i="11" s="1"/>
  <c r="K12" i="11" s="1"/>
  <c r="L12" i="11" s="1"/>
  <c r="F27" i="31"/>
  <c r="H27" i="31" s="1"/>
  <c r="K27" i="31" s="1"/>
  <c r="M27" i="31" s="1"/>
  <c r="G6" i="32"/>
  <c r="E12" i="38"/>
  <c r="G6" i="1"/>
  <c r="L12" i="26"/>
  <c r="AT18" i="41" s="1"/>
  <c r="K9" i="26"/>
  <c r="AS15" i="41" s="1"/>
  <c r="M11" i="30"/>
  <c r="K12" i="26"/>
  <c r="AS18" i="41" s="1"/>
  <c r="L9" i="26"/>
  <c r="AT15" i="41" s="1"/>
  <c r="AK17" i="20"/>
  <c r="AK33" i="20" s="1"/>
  <c r="L8" i="26"/>
  <c r="AT14" i="41" s="1"/>
  <c r="M8" i="26"/>
  <c r="AL15" i="20"/>
  <c r="AL31" i="20" s="1"/>
  <c r="M12" i="30"/>
  <c r="L12" i="30"/>
  <c r="AP18" i="41" s="1"/>
  <c r="M13" i="26"/>
  <c r="L13" i="26"/>
  <c r="AT19" i="41" s="1"/>
  <c r="F59" i="31"/>
  <c r="H59" i="31" s="1"/>
  <c r="K59" i="31" s="1"/>
  <c r="M8" i="30"/>
  <c r="L8" i="30"/>
  <c r="AP14" i="41" s="1"/>
  <c r="K8" i="30"/>
  <c r="AO14" i="41" s="1"/>
  <c r="K14" i="26"/>
  <c r="L14" i="26"/>
  <c r="AT20" i="41" s="1"/>
  <c r="M14" i="26"/>
  <c r="V18" i="41"/>
  <c r="AC18" i="41"/>
  <c r="F78" i="11"/>
  <c r="H78" i="11" s="1"/>
  <c r="K78" i="11" s="1"/>
  <c r="K10" i="30"/>
  <c r="AO16" i="41" s="1"/>
  <c r="M10" i="30"/>
  <c r="L10" i="30"/>
  <c r="AP16" i="41" s="1"/>
  <c r="L11" i="26"/>
  <c r="AT17" i="41" s="1"/>
  <c r="M11" i="26"/>
  <c r="K11" i="26"/>
  <c r="L10" i="26"/>
  <c r="AT16" i="41" s="1"/>
  <c r="M10" i="26"/>
  <c r="X19" i="41"/>
  <c r="AB19" i="41"/>
  <c r="AQ12" i="20"/>
  <c r="AQ28" i="20" s="1"/>
  <c r="AJ17" i="20"/>
  <c r="G43" i="41" s="1"/>
  <c r="L14" i="30"/>
  <c r="AP20" i="41" s="1"/>
  <c r="K14" i="30"/>
  <c r="AO20" i="41" s="1"/>
  <c r="M14" i="30"/>
  <c r="Z17" i="41"/>
  <c r="X17" i="41"/>
  <c r="L9" i="28"/>
  <c r="AR15" i="41" s="1"/>
  <c r="K9" i="28"/>
  <c r="AQ15" i="41" s="1"/>
  <c r="L10" i="28"/>
  <c r="AR16" i="41" s="1"/>
  <c r="K10" i="28"/>
  <c r="AQ16" i="41" s="1"/>
  <c r="L12" i="28"/>
  <c r="AR18" i="41" s="1"/>
  <c r="K12" i="28"/>
  <c r="AQ18" i="41" s="1"/>
  <c r="W23" i="4"/>
  <c r="AT17" i="20"/>
  <c r="AT33" i="20" s="1"/>
  <c r="AP17" i="20"/>
  <c r="K43" i="41" s="1"/>
  <c r="M17" i="30"/>
  <c r="K17" i="30"/>
  <c r="AO23" i="41" s="1"/>
  <c r="L17" i="30"/>
  <c r="AP23" i="41" s="1"/>
  <c r="M15" i="30"/>
  <c r="L15" i="30"/>
  <c r="AP21" i="41" s="1"/>
  <c r="K15" i="30"/>
  <c r="AO21" i="41" s="1"/>
  <c r="M13" i="30"/>
  <c r="K13" i="30"/>
  <c r="AO19" i="41" s="1"/>
  <c r="L13" i="30"/>
  <c r="AP19" i="41" s="1"/>
  <c r="AA14" i="41"/>
  <c r="K16" i="28"/>
  <c r="AQ22" i="41" s="1"/>
  <c r="L16" i="28"/>
  <c r="AR22" i="41" s="1"/>
  <c r="L14" i="28"/>
  <c r="AR20" i="41" s="1"/>
  <c r="K14" i="28"/>
  <c r="AQ20" i="41" s="1"/>
  <c r="AQ14" i="41"/>
  <c r="L8" i="28"/>
  <c r="AR14" i="41" s="1"/>
  <c r="M8" i="28"/>
  <c r="L15" i="28"/>
  <c r="AR21" i="41" s="1"/>
  <c r="K15" i="28"/>
  <c r="AQ21" i="41" s="1"/>
  <c r="K16" i="30"/>
  <c r="AO22" i="41" s="1"/>
  <c r="M16" i="30"/>
  <c r="L16" i="30"/>
  <c r="AP22" i="41" s="1"/>
  <c r="AC15" i="41"/>
  <c r="AD15" i="41"/>
  <c r="AK12" i="20"/>
  <c r="H38" i="41" s="1"/>
  <c r="M9" i="30"/>
  <c r="K9" i="30"/>
  <c r="AO15" i="41" s="1"/>
  <c r="L9" i="30"/>
  <c r="AP15" i="41" s="1"/>
  <c r="T23" i="4"/>
  <c r="A22" i="38"/>
  <c r="A21" i="38"/>
  <c r="A17" i="38"/>
  <c r="A20" i="38"/>
  <c r="A19" i="38"/>
  <c r="L11" i="28"/>
  <c r="AR17" i="41" s="1"/>
  <c r="K11" i="28"/>
  <c r="AQ17" i="41" s="1"/>
  <c r="K13" i="28"/>
  <c r="AQ19" i="41" s="1"/>
  <c r="L13" i="28"/>
  <c r="AR19" i="41" s="1"/>
  <c r="AM14" i="20"/>
  <c r="AM30" i="20" s="1"/>
  <c r="AL17" i="20"/>
  <c r="AL33" i="20" s="1"/>
  <c r="AQ15" i="20"/>
  <c r="AQ31" i="20" s="1"/>
  <c r="AJ15" i="20"/>
  <c r="T97" i="4" s="1"/>
  <c r="AS15" i="20"/>
  <c r="L41" i="41" s="1"/>
  <c r="AS14" i="20"/>
  <c r="L40" i="41" s="1"/>
  <c r="AT14" i="20"/>
  <c r="AR14" i="20"/>
  <c r="AR30" i="20" s="1"/>
  <c r="J25" i="41"/>
  <c r="AM15" i="20"/>
  <c r="AM31" i="20" s="1"/>
  <c r="AO10" i="20"/>
  <c r="AR10" i="20"/>
  <c r="AR26" i="20" s="1"/>
  <c r="AJ10" i="20"/>
  <c r="AJ26" i="20" s="1"/>
  <c r="G14" i="41" s="1"/>
  <c r="AP10" i="20"/>
  <c r="AP26" i="20" s="1"/>
  <c r="K14" i="41" s="1"/>
  <c r="AR15" i="20"/>
  <c r="AR31" i="20" s="1"/>
  <c r="I25" i="41"/>
  <c r="AQ10" i="20"/>
  <c r="AQ26" i="20" s="1"/>
  <c r="AN10" i="20"/>
  <c r="AN26" i="20" s="1"/>
  <c r="I14" i="41" s="1"/>
  <c r="AM10" i="20"/>
  <c r="AM26" i="20" s="1"/>
  <c r="K25" i="41"/>
  <c r="AL10" i="20"/>
  <c r="AL26" i="20" s="1"/>
  <c r="AK10" i="20"/>
  <c r="H36" i="41" s="1"/>
  <c r="AP14" i="20"/>
  <c r="AP30" i="20" s="1"/>
  <c r="J40" i="41"/>
  <c r="AV15" i="20"/>
  <c r="AO17" i="20"/>
  <c r="AO33" i="20" s="1"/>
  <c r="J21" i="41" s="1"/>
  <c r="M21" i="41" s="1"/>
  <c r="AU14" i="20"/>
  <c r="AQ14" i="20"/>
  <c r="AQ30" i="20" s="1"/>
  <c r="AN11" i="20"/>
  <c r="AK11" i="20"/>
  <c r="AQ11" i="20"/>
  <c r="AQ27" i="20" s="1"/>
  <c r="AL11" i="20"/>
  <c r="AL27" i="20" s="1"/>
  <c r="AM11" i="20"/>
  <c r="AM27" i="20" s="1"/>
  <c r="AT11" i="20"/>
  <c r="AO11" i="20"/>
  <c r="AR11" i="20"/>
  <c r="AR27" i="20" s="1"/>
  <c r="AP11" i="20"/>
  <c r="AS11" i="20"/>
  <c r="AU11" i="20"/>
  <c r="AV11" i="20"/>
  <c r="I47" i="41"/>
  <c r="H47" i="41"/>
  <c r="H25" i="41"/>
  <c r="AV19" i="20"/>
  <c r="AV18" i="20"/>
  <c r="AJ14" i="20"/>
  <c r="G40" i="41" s="1"/>
  <c r="AK14" i="20"/>
  <c r="AK30" i="20" s="1"/>
  <c r="AN15" i="20"/>
  <c r="AU15" i="20"/>
  <c r="AT15" i="20"/>
  <c r="AV17" i="20"/>
  <c r="AM17" i="20"/>
  <c r="AM33" i="20" s="1"/>
  <c r="AQ17" i="20"/>
  <c r="AQ33" i="20" s="1"/>
  <c r="AS17" i="20"/>
  <c r="AS12" i="20"/>
  <c r="AP12" i="20"/>
  <c r="AN12" i="20"/>
  <c r="AL12" i="20"/>
  <c r="AL28" i="20" s="1"/>
  <c r="AU12" i="20"/>
  <c r="AO12" i="20"/>
  <c r="AM12" i="20"/>
  <c r="AM28" i="20" s="1"/>
  <c r="AV20" i="20"/>
  <c r="K46" i="41"/>
  <c r="AV12" i="20"/>
  <c r="AJ12" i="20"/>
  <c r="AJ28" i="20" s="1"/>
  <c r="AN14" i="20"/>
  <c r="AN30" i="20" s="1"/>
  <c r="AK15" i="20"/>
  <c r="U97" i="4" s="1"/>
  <c r="AO15" i="20"/>
  <c r="J41" i="41" s="1"/>
  <c r="AR17" i="20"/>
  <c r="AR33" i="20" s="1"/>
  <c r="AU17" i="20"/>
  <c r="AV14" i="20"/>
  <c r="AL14" i="20"/>
  <c r="AL30" i="20" s="1"/>
  <c r="AJ13" i="20"/>
  <c r="AK13" i="20"/>
  <c r="AT13" i="20"/>
  <c r="AU13" i="20"/>
  <c r="AS13" i="20"/>
  <c r="AN13" i="20"/>
  <c r="AQ13" i="20"/>
  <c r="AQ29" i="20" s="1"/>
  <c r="AV13" i="20"/>
  <c r="AP13" i="20"/>
  <c r="AM13" i="20"/>
  <c r="AM29" i="20" s="1"/>
  <c r="AL13" i="20"/>
  <c r="AL29" i="20" s="1"/>
  <c r="AR13" i="20"/>
  <c r="AR29" i="20" s="1"/>
  <c r="AO13" i="20"/>
  <c r="AS10" i="20"/>
  <c r="AV10" i="20"/>
  <c r="G25" i="41"/>
  <c r="G47" i="41"/>
  <c r="AT28" i="20"/>
  <c r="AS16" i="20"/>
  <c r="AL16" i="20"/>
  <c r="AL32" i="20" s="1"/>
  <c r="AP16" i="20"/>
  <c r="AT16" i="20"/>
  <c r="AQ16" i="20"/>
  <c r="AQ32" i="20" s="1"/>
  <c r="AJ16" i="20"/>
  <c r="AN16" i="20"/>
  <c r="AK16" i="20"/>
  <c r="AM16" i="20"/>
  <c r="AM32" i="20" s="1"/>
  <c r="AV16" i="20"/>
  <c r="AU16" i="20"/>
  <c r="AO16" i="20"/>
  <c r="AR16" i="20"/>
  <c r="AR32" i="20" s="1"/>
  <c r="J23" i="41"/>
  <c r="J45" i="41"/>
  <c r="AP31" i="20"/>
  <c r="K41" i="41"/>
  <c r="I43" i="41"/>
  <c r="AN33" i="20"/>
  <c r="I21" i="41" s="1"/>
  <c r="AS30" i="20"/>
  <c r="AJ27" i="20"/>
  <c r="G37" i="41"/>
  <c r="P36" i="4"/>
  <c r="F22" i="40" l="1"/>
  <c r="S74" i="4"/>
  <c r="S71" i="4"/>
  <c r="H49" i="1" s="1"/>
  <c r="F19" i="40"/>
  <c r="T74" i="4"/>
  <c r="Q22" i="40"/>
  <c r="T73" i="4"/>
  <c r="Q21" i="40"/>
  <c r="F21" i="40"/>
  <c r="S73" i="4"/>
  <c r="Q19" i="40"/>
  <c r="T71" i="4"/>
  <c r="T72" i="4"/>
  <c r="Q20" i="40"/>
  <c r="T70" i="4"/>
  <c r="Q18" i="40"/>
  <c r="F20" i="40"/>
  <c r="S72" i="4"/>
  <c r="F18" i="40"/>
  <c r="S70" i="4"/>
  <c r="W16" i="41"/>
  <c r="V16" i="41"/>
  <c r="DL18" i="40" s="1"/>
  <c r="AP33" i="20"/>
  <c r="AJ33" i="20"/>
  <c r="V85" i="4" s="1"/>
  <c r="F78" i="31"/>
  <c r="H78" i="31" s="1"/>
  <c r="K78" i="31" s="1"/>
  <c r="L59" i="11"/>
  <c r="M12" i="11"/>
  <c r="B62" i="1"/>
  <c r="H43" i="41"/>
  <c r="M42" i="31"/>
  <c r="J36" i="41"/>
  <c r="AO26" i="20"/>
  <c r="J14" i="41" s="1"/>
  <c r="M14" i="41" s="1"/>
  <c r="EX24" i="40"/>
  <c r="EZ24" i="40"/>
  <c r="FI18" i="40"/>
  <c r="FK18" i="40"/>
  <c r="EI18" i="40"/>
  <c r="EG18" i="40"/>
  <c r="AK28" i="20"/>
  <c r="U77" i="4" s="1"/>
  <c r="L27" i="31"/>
  <c r="AS20" i="41"/>
  <c r="M53" i="33"/>
  <c r="I53" i="33" s="1"/>
  <c r="AS17" i="41"/>
  <c r="Y20" i="41"/>
  <c r="V23" i="4"/>
  <c r="EJ18" i="40"/>
  <c r="S80" i="4"/>
  <c r="M42" i="11"/>
  <c r="L42" i="11"/>
  <c r="P50" i="4"/>
  <c r="L50" i="4" s="1"/>
  <c r="P52" i="4"/>
  <c r="L52" i="4" s="1"/>
  <c r="M48" i="33"/>
  <c r="I48" i="33" s="1"/>
  <c r="M51" i="33"/>
  <c r="I51" i="33" s="1"/>
  <c r="P53" i="4"/>
  <c r="L53" i="4" s="1"/>
  <c r="M50" i="33"/>
  <c r="I50" i="33" s="1"/>
  <c r="P48" i="4"/>
  <c r="L48" i="4" s="1"/>
  <c r="P51" i="4"/>
  <c r="L51" i="4" s="1"/>
  <c r="P49" i="4"/>
  <c r="L49" i="4" s="1"/>
  <c r="M49" i="33"/>
  <c r="I49" i="33" s="1"/>
  <c r="M52" i="33"/>
  <c r="I52" i="33" s="1"/>
  <c r="S91" i="4"/>
  <c r="S89" i="4"/>
  <c r="L78" i="11"/>
  <c r="M78" i="11"/>
  <c r="L27" i="11"/>
  <c r="M27" i="11"/>
  <c r="S77" i="4"/>
  <c r="S81" i="4"/>
  <c r="S85" i="4"/>
  <c r="S78" i="4"/>
  <c r="S93" i="4"/>
  <c r="L59" i="31"/>
  <c r="M59" i="31"/>
  <c r="S79" i="4"/>
  <c r="U23" i="4"/>
  <c r="Z19" i="41"/>
  <c r="L12" i="31"/>
  <c r="M12" i="31"/>
  <c r="S90" i="4"/>
  <c r="S92" i="4"/>
  <c r="X15" i="41"/>
  <c r="V22" i="22"/>
  <c r="H14" i="1" s="1"/>
  <c r="H14" i="32" s="1"/>
  <c r="AD22" i="22"/>
  <c r="H16" i="1" s="1"/>
  <c r="H16" i="32" s="1"/>
  <c r="FJ18" i="40"/>
  <c r="M47" i="33"/>
  <c r="I47" i="33" s="1"/>
  <c r="P47" i="4"/>
  <c r="L47" i="4" s="1"/>
  <c r="FA24" i="40"/>
  <c r="EY24" i="40"/>
  <c r="FL18" i="40"/>
  <c r="Y22" i="22"/>
  <c r="H15" i="1" s="1"/>
  <c r="H15" i="32" s="1"/>
  <c r="AS31" i="20"/>
  <c r="L19" i="41" s="1"/>
  <c r="V15" i="41"/>
  <c r="T22" i="4"/>
  <c r="W15" i="41"/>
  <c r="U22" i="4"/>
  <c r="EH18" i="40"/>
  <c r="AK26" i="20"/>
  <c r="H14" i="41" s="1"/>
  <c r="AJ31" i="20"/>
  <c r="V46" i="31" s="1"/>
  <c r="K36" i="41"/>
  <c r="AO31" i="20"/>
  <c r="J19" i="41" s="1"/>
  <c r="M19" i="41" s="1"/>
  <c r="G41" i="41"/>
  <c r="G38" i="41"/>
  <c r="AT30" i="20"/>
  <c r="G36" i="41"/>
  <c r="J43" i="41"/>
  <c r="J47" i="41"/>
  <c r="H41" i="41"/>
  <c r="I36" i="41"/>
  <c r="K40" i="41"/>
  <c r="AK31" i="20"/>
  <c r="H19" i="41" s="1"/>
  <c r="K24" i="41"/>
  <c r="I40" i="41"/>
  <c r="H40" i="41"/>
  <c r="K47" i="41"/>
  <c r="L25" i="41"/>
  <c r="L47" i="41"/>
  <c r="AK29" i="20"/>
  <c r="H39" i="41"/>
  <c r="L46" i="41"/>
  <c r="L24" i="41"/>
  <c r="J46" i="41"/>
  <c r="J24" i="41"/>
  <c r="AJ30" i="20"/>
  <c r="T63" i="31" s="1"/>
  <c r="H46" i="41"/>
  <c r="H24" i="41"/>
  <c r="AO28" i="20"/>
  <c r="J16" i="41" s="1"/>
  <c r="M16" i="41" s="1"/>
  <c r="J38" i="41"/>
  <c r="AP28" i="20"/>
  <c r="K38" i="41"/>
  <c r="AN31" i="20"/>
  <c r="I41" i="41"/>
  <c r="I22" i="41"/>
  <c r="I44" i="41"/>
  <c r="H45" i="41"/>
  <c r="H23" i="41"/>
  <c r="K23" i="41"/>
  <c r="K45" i="41"/>
  <c r="AS27" i="20"/>
  <c r="L37" i="41"/>
  <c r="AT27" i="20"/>
  <c r="AT29" i="20"/>
  <c r="I46" i="41"/>
  <c r="I24" i="41"/>
  <c r="G24" i="41"/>
  <c r="G46" i="41"/>
  <c r="AS28" i="20"/>
  <c r="L38" i="41"/>
  <c r="G22" i="41"/>
  <c r="G44" i="41"/>
  <c r="I45" i="41"/>
  <c r="I23" i="41"/>
  <c r="G45" i="41"/>
  <c r="G23" i="41"/>
  <c r="AP27" i="20"/>
  <c r="K15" i="41" s="1"/>
  <c r="K37" i="41"/>
  <c r="AN27" i="20"/>
  <c r="I37" i="41"/>
  <c r="L36" i="41"/>
  <c r="AS26" i="20"/>
  <c r="L14" i="41" s="1"/>
  <c r="AN29" i="20"/>
  <c r="I39" i="41"/>
  <c r="AS33" i="20"/>
  <c r="L21" i="41" s="1"/>
  <c r="L43" i="41"/>
  <c r="AT31" i="20"/>
  <c r="L22" i="41"/>
  <c r="L44" i="41"/>
  <c r="J22" i="41"/>
  <c r="J44" i="41"/>
  <c r="H44" i="41"/>
  <c r="H22" i="41"/>
  <c r="J39" i="41"/>
  <c r="AO29" i="20"/>
  <c r="J17" i="41" s="1"/>
  <c r="M17" i="41" s="1"/>
  <c r="AP29" i="20"/>
  <c r="K39" i="41"/>
  <c r="AS29" i="20"/>
  <c r="L39" i="41"/>
  <c r="AJ29" i="20"/>
  <c r="G39" i="41"/>
  <c r="AN28" i="20"/>
  <c r="I38" i="41"/>
  <c r="K44" i="41"/>
  <c r="K22" i="41"/>
  <c r="L23" i="41"/>
  <c r="L45" i="41"/>
  <c r="AO27" i="20"/>
  <c r="J15" i="41" s="1"/>
  <c r="M15" i="41" s="1"/>
  <c r="J37" i="41"/>
  <c r="AK27" i="20"/>
  <c r="H15" i="41" s="1"/>
  <c r="H37" i="41"/>
  <c r="I18" i="41"/>
  <c r="U46" i="11"/>
  <c r="U63" i="11"/>
  <c r="K19" i="41"/>
  <c r="W91" i="4"/>
  <c r="U92" i="4"/>
  <c r="V16" i="11"/>
  <c r="T77" i="4"/>
  <c r="T89" i="4"/>
  <c r="G16" i="41"/>
  <c r="J42" i="41"/>
  <c r="AO32" i="20"/>
  <c r="J20" i="41" s="1"/>
  <c r="M20" i="41" s="1"/>
  <c r="AK32" i="20"/>
  <c r="W97" i="4"/>
  <c r="H42" i="41"/>
  <c r="AT32" i="20"/>
  <c r="AJ32" i="20"/>
  <c r="G42" i="41"/>
  <c r="V97" i="4"/>
  <c r="AS32" i="20"/>
  <c r="L42" i="41"/>
  <c r="V93" i="4"/>
  <c r="G21" i="41"/>
  <c r="W85" i="4"/>
  <c r="H21" i="41"/>
  <c r="U63" i="31"/>
  <c r="L18" i="41"/>
  <c r="U46" i="31"/>
  <c r="K18" i="41"/>
  <c r="W90" i="4"/>
  <c r="U91" i="4"/>
  <c r="AN32" i="20"/>
  <c r="I42" i="41"/>
  <c r="AP32" i="20"/>
  <c r="K42" i="41"/>
  <c r="U79" i="4"/>
  <c r="H18" i="41"/>
  <c r="W78" i="4"/>
  <c r="K21" i="41"/>
  <c r="W93" i="4"/>
  <c r="G15" i="41"/>
  <c r="T16" i="11"/>
  <c r="AG18" i="40" l="1"/>
  <c r="AF18" i="40"/>
  <c r="U70" i="4"/>
  <c r="U61" i="4"/>
  <c r="DK24" i="40"/>
  <c r="H16" i="41"/>
  <c r="M78" i="31"/>
  <c r="L78" i="31"/>
  <c r="Q35" i="4"/>
  <c r="U82" i="31"/>
  <c r="W46" i="31"/>
  <c r="FY18" i="40"/>
  <c r="FX18" i="40"/>
  <c r="FV18" i="40"/>
  <c r="FK24" i="40"/>
  <c r="FI24" i="40"/>
  <c r="DI18" i="40"/>
  <c r="DK18" i="40"/>
  <c r="DI24" i="40"/>
  <c r="DU18" i="40"/>
  <c r="DV24" i="40"/>
  <c r="DT24" i="40"/>
  <c r="DT18" i="40"/>
  <c r="DV18" i="40"/>
  <c r="AH18" i="40"/>
  <c r="FW18" i="40"/>
  <c r="FM18" i="40"/>
  <c r="Q36" i="4" s="1"/>
  <c r="X23" i="4"/>
  <c r="Y23" i="4" s="1"/>
  <c r="DW18" i="40"/>
  <c r="DU24" i="40"/>
  <c r="DW24" i="40"/>
  <c r="X22" i="4"/>
  <c r="Y22" i="4" s="1"/>
  <c r="W63" i="31"/>
  <c r="FL24" i="40"/>
  <c r="FJ24" i="40"/>
  <c r="DJ24" i="40"/>
  <c r="T79" i="11"/>
  <c r="DL24" i="40"/>
  <c r="EK18" i="40"/>
  <c r="F27" i="4" s="1"/>
  <c r="F16" i="1" s="1"/>
  <c r="F16" i="32" s="1"/>
  <c r="DJ18" i="40"/>
  <c r="M34" i="32"/>
  <c r="I34" i="1"/>
  <c r="N34" i="1" s="1"/>
  <c r="R35" i="1"/>
  <c r="U34" i="1" s="1"/>
  <c r="I35" i="1" s="1"/>
  <c r="N35" i="1" s="1"/>
  <c r="V63" i="11"/>
  <c r="T82" i="31"/>
  <c r="V60" i="31"/>
  <c r="V79" i="4"/>
  <c r="T79" i="31"/>
  <c r="V60" i="11"/>
  <c r="T92" i="4"/>
  <c r="V43" i="31"/>
  <c r="V63" i="31"/>
  <c r="V91" i="4"/>
  <c r="G19" i="41"/>
  <c r="T80" i="4"/>
  <c r="T82" i="11"/>
  <c r="V46" i="11"/>
  <c r="W79" i="4"/>
  <c r="T91" i="4"/>
  <c r="T60" i="31"/>
  <c r="V78" i="4"/>
  <c r="X97" i="4"/>
  <c r="Y97" i="4" s="1"/>
  <c r="U80" i="4"/>
  <c r="AT38" i="20"/>
  <c r="T43" i="31"/>
  <c r="T46" i="11"/>
  <c r="V90" i="4"/>
  <c r="T79" i="4"/>
  <c r="T60" i="11"/>
  <c r="T63" i="11"/>
  <c r="I16" i="41"/>
  <c r="W16" i="11"/>
  <c r="U31" i="11"/>
  <c r="T90" i="4"/>
  <c r="V77" i="4"/>
  <c r="T78" i="4"/>
  <c r="V89" i="4"/>
  <c r="G17" i="41"/>
  <c r="AI18" i="40" s="1"/>
  <c r="K17" i="41"/>
  <c r="S18" i="40" s="1"/>
  <c r="W89" i="4"/>
  <c r="U90" i="4"/>
  <c r="L16" i="41"/>
  <c r="W16" i="31"/>
  <c r="U31" i="31"/>
  <c r="K16" i="41"/>
  <c r="U89" i="4"/>
  <c r="T46" i="31"/>
  <c r="G18" i="41"/>
  <c r="L17" i="41"/>
  <c r="W31" i="31"/>
  <c r="W31" i="11"/>
  <c r="I17" i="41"/>
  <c r="I15" i="41"/>
  <c r="U16" i="11"/>
  <c r="U16" i="31"/>
  <c r="L15" i="41"/>
  <c r="I19" i="41"/>
  <c r="W46" i="11"/>
  <c r="W63" i="11"/>
  <c r="U82" i="11"/>
  <c r="U78" i="4"/>
  <c r="H17" i="41"/>
  <c r="H18" i="40" s="1"/>
  <c r="W77" i="4"/>
  <c r="W82" i="31"/>
  <c r="L20" i="41"/>
  <c r="U93" i="4"/>
  <c r="W92" i="4"/>
  <c r="K20" i="41"/>
  <c r="H20" i="41"/>
  <c r="U85" i="4"/>
  <c r="W80" i="4"/>
  <c r="W82" i="11"/>
  <c r="I20" i="41"/>
  <c r="V92" i="4"/>
  <c r="T93" i="4"/>
  <c r="G20" i="41"/>
  <c r="V79" i="31"/>
  <c r="T85" i="4"/>
  <c r="V80" i="4"/>
  <c r="V82" i="31"/>
  <c r="V82" i="11"/>
  <c r="V79" i="11"/>
  <c r="AJ18" i="40" l="1"/>
  <c r="S19" i="40"/>
  <c r="J18" i="40"/>
  <c r="S22" i="40"/>
  <c r="S20" i="40"/>
  <c r="S21" i="40"/>
  <c r="U18" i="40"/>
  <c r="BX18" i="40"/>
  <c r="BL18" i="40"/>
  <c r="BW18" i="40"/>
  <c r="CJ18" i="40"/>
  <c r="CU18" i="40"/>
  <c r="T20" i="40"/>
  <c r="U22" i="40"/>
  <c r="BZ18" i="40"/>
  <c r="T22" i="40"/>
  <c r="CJ19" i="40"/>
  <c r="U21" i="40"/>
  <c r="CU20" i="40"/>
  <c r="T18" i="40"/>
  <c r="BY22" i="40"/>
  <c r="X91" i="4"/>
  <c r="Y91" i="4" s="1"/>
  <c r="T19" i="40"/>
  <c r="BN19" i="40"/>
  <c r="U20" i="40"/>
  <c r="U19" i="40"/>
  <c r="T21" i="40"/>
  <c r="CL19" i="40"/>
  <c r="BW19" i="40"/>
  <c r="CJ21" i="40"/>
  <c r="I22" i="40"/>
  <c r="CJ22" i="40"/>
  <c r="CW18" i="40"/>
  <c r="CU19" i="40"/>
  <c r="CW21" i="40"/>
  <c r="X77" i="4"/>
  <c r="Y77" i="4" s="1"/>
  <c r="BY20" i="40"/>
  <c r="CU22" i="40"/>
  <c r="G19" i="40"/>
  <c r="G20" i="40"/>
  <c r="CW19" i="40"/>
  <c r="CM18" i="40"/>
  <c r="CL21" i="40"/>
  <c r="BY18" i="40"/>
  <c r="BW20" i="40"/>
  <c r="G18" i="40"/>
  <c r="I21" i="40"/>
  <c r="I20" i="40"/>
  <c r="CL20" i="40"/>
  <c r="CW22" i="40"/>
  <c r="CU21" i="40"/>
  <c r="BX19" i="40"/>
  <c r="CL18" i="40"/>
  <c r="CL22" i="40"/>
  <c r="I18" i="40"/>
  <c r="G21" i="40"/>
  <c r="BY21" i="40"/>
  <c r="I19" i="40"/>
  <c r="BN22" i="40"/>
  <c r="CJ20" i="40"/>
  <c r="R22" i="40"/>
  <c r="R18" i="40"/>
  <c r="R21" i="40"/>
  <c r="CW20" i="40"/>
  <c r="BW21" i="40"/>
  <c r="R19" i="40"/>
  <c r="BL21" i="40"/>
  <c r="BW22" i="40"/>
  <c r="R20" i="40"/>
  <c r="BY19" i="40"/>
  <c r="G22" i="40"/>
  <c r="BL20" i="40"/>
  <c r="BN21" i="40"/>
  <c r="BX20" i="40"/>
  <c r="BX21" i="40"/>
  <c r="BL22" i="40"/>
  <c r="BL19" i="40"/>
  <c r="BN20" i="40"/>
  <c r="BX22" i="40"/>
  <c r="BN18" i="40"/>
  <c r="FZ18" i="40"/>
  <c r="V36" i="4" s="1"/>
  <c r="FM24" i="40"/>
  <c r="Q37" i="4" s="1"/>
  <c r="DX24" i="40"/>
  <c r="E25" i="4" s="1"/>
  <c r="DX18" i="40"/>
  <c r="D25" i="4" s="1"/>
  <c r="DM18" i="40"/>
  <c r="D24" i="4" s="1"/>
  <c r="DM24" i="40"/>
  <c r="E24" i="4" s="1"/>
  <c r="X79" i="4"/>
  <c r="Y79" i="4" s="1"/>
  <c r="H19" i="40"/>
  <c r="X90" i="4"/>
  <c r="Y90" i="4" s="1"/>
  <c r="X78" i="4"/>
  <c r="Y78" i="4" s="1"/>
  <c r="J19" i="40"/>
  <c r="X89" i="4"/>
  <c r="Y89" i="4" s="1"/>
  <c r="H20" i="40"/>
  <c r="X85" i="4"/>
  <c r="Y85" i="4" s="1"/>
  <c r="X93" i="4"/>
  <c r="Y93" i="4" s="1"/>
  <c r="J20" i="40"/>
  <c r="H21" i="40"/>
  <c r="J21" i="40"/>
  <c r="J22" i="40"/>
  <c r="H22" i="40"/>
  <c r="X80" i="4"/>
  <c r="Y80" i="4" s="1"/>
  <c r="X92" i="4"/>
  <c r="Y92" i="4" s="1"/>
  <c r="D79" i="4" l="1"/>
  <c r="F57" i="1" s="1"/>
  <c r="K18" i="40"/>
  <c r="K20" i="40"/>
  <c r="V18" i="40"/>
  <c r="N70" i="4" s="1"/>
  <c r="V20" i="40"/>
  <c r="T26" i="1"/>
  <c r="AB34" i="4"/>
  <c r="F25" i="4"/>
  <c r="Z23" i="4" s="1"/>
  <c r="F24" i="4"/>
  <c r="Z22" i="4" s="1"/>
  <c r="K22" i="40"/>
  <c r="V21" i="40"/>
  <c r="N73" i="4" s="1"/>
  <c r="F51" i="1" s="1"/>
  <c r="V19" i="40"/>
  <c r="N71" i="4" s="1"/>
  <c r="F49" i="1" s="1"/>
  <c r="K19" i="40"/>
  <c r="K21" i="40"/>
  <c r="V22" i="40"/>
  <c r="N74" i="4" s="1"/>
  <c r="F52" i="1" s="1"/>
  <c r="F48" i="1" l="1"/>
  <c r="F49" i="32" s="1"/>
  <c r="V70" i="4"/>
  <c r="Z97" i="4"/>
  <c r="P57" i="1"/>
  <c r="F58" i="32"/>
  <c r="N72" i="4"/>
  <c r="F50" i="1" s="1"/>
  <c r="F51" i="32" s="1"/>
  <c r="O72" i="4"/>
  <c r="G50" i="1" s="1"/>
  <c r="H51" i="32" s="1"/>
  <c r="O74" i="4"/>
  <c r="G52" i="1" s="1"/>
  <c r="H53" i="32" s="1"/>
  <c r="O73" i="4"/>
  <c r="G51" i="1" s="1"/>
  <c r="H52" i="32" s="1"/>
  <c r="O71" i="4"/>
  <c r="G49" i="1" s="1"/>
  <c r="H50" i="32" s="1"/>
  <c r="Z89" i="4"/>
  <c r="O70" i="4"/>
  <c r="G48" i="1" s="1"/>
  <c r="H48" i="1"/>
  <c r="J49" i="32" s="1"/>
  <c r="S13" i="11"/>
  <c r="X13" i="11" s="1"/>
  <c r="S16" i="11"/>
  <c r="X16" i="11" s="1"/>
  <c r="Z77" i="4"/>
  <c r="R13" i="31"/>
  <c r="S63" i="31"/>
  <c r="X63" i="31" s="1"/>
  <c r="F52" i="32"/>
  <c r="S60" i="31"/>
  <c r="X60" i="31" s="1"/>
  <c r="BO19" i="40"/>
  <c r="F50" i="32"/>
  <c r="S79" i="11"/>
  <c r="X79" i="11" s="1"/>
  <c r="F53" i="32"/>
  <c r="CX20" i="40"/>
  <c r="S82" i="31"/>
  <c r="X82" i="31" s="1"/>
  <c r="S28" i="31"/>
  <c r="X28" i="31" s="1"/>
  <c r="Z25" i="1"/>
  <c r="Z24" i="1"/>
  <c r="AB35" i="4"/>
  <c r="T37" i="4" s="1"/>
  <c r="A86" i="4" s="1"/>
  <c r="P37" i="4"/>
  <c r="F15" i="1"/>
  <c r="F15" i="32" s="1"/>
  <c r="F14" i="1"/>
  <c r="F14" i="32" s="1"/>
  <c r="Z81" i="4"/>
  <c r="R46" i="31"/>
  <c r="CM22" i="40"/>
  <c r="S82" i="11"/>
  <c r="X82" i="11" s="1"/>
  <c r="BZ20" i="40"/>
  <c r="Z85" i="4"/>
  <c r="S60" i="11"/>
  <c r="X60" i="11" s="1"/>
  <c r="R82" i="11"/>
  <c r="R60" i="31"/>
  <c r="R63" i="11"/>
  <c r="S31" i="31"/>
  <c r="X31" i="31" s="1"/>
  <c r="BM19" i="40"/>
  <c r="U62" i="4"/>
  <c r="Z92" i="4"/>
  <c r="BM21" i="40"/>
  <c r="S63" i="11"/>
  <c r="X63" i="11" s="1"/>
  <c r="Z80" i="4"/>
  <c r="CM21" i="40"/>
  <c r="R31" i="31"/>
  <c r="Z90" i="4"/>
  <c r="R79" i="31"/>
  <c r="CV22" i="40"/>
  <c r="Z79" i="4"/>
  <c r="BZ22" i="40"/>
  <c r="Z78" i="4"/>
  <c r="Z93" i="4"/>
  <c r="H50" i="1"/>
  <c r="S43" i="11"/>
  <c r="X43" i="11" s="1"/>
  <c r="S79" i="31"/>
  <c r="X79" i="31" s="1"/>
  <c r="S31" i="11"/>
  <c r="X31" i="11" s="1"/>
  <c r="S28" i="11"/>
  <c r="X28" i="11" s="1"/>
  <c r="S46" i="11"/>
  <c r="X46" i="11" s="1"/>
  <c r="CX21" i="40"/>
  <c r="CV21" i="40"/>
  <c r="R16" i="11"/>
  <c r="R13" i="11"/>
  <c r="CX18" i="40"/>
  <c r="CV18" i="40"/>
  <c r="BM18" i="40"/>
  <c r="BO18" i="40"/>
  <c r="CK18" i="40"/>
  <c r="Z91" i="4" l="1"/>
  <c r="I50" i="1"/>
  <c r="K51" i="32" s="1"/>
  <c r="S46" i="31"/>
  <c r="X46" i="31" s="1"/>
  <c r="S43" i="31"/>
  <c r="X43" i="31" s="1"/>
  <c r="S13" i="31"/>
  <c r="X13" i="31" s="1"/>
  <c r="S16" i="31"/>
  <c r="X16" i="31" s="1"/>
  <c r="I48" i="1"/>
  <c r="K49" i="32" s="1"/>
  <c r="H49" i="32"/>
  <c r="J48" i="1"/>
  <c r="L49" i="32" s="1"/>
  <c r="R16" i="31"/>
  <c r="R43" i="31"/>
  <c r="BP19" i="40"/>
  <c r="F28" i="11" s="1"/>
  <c r="H28" i="11" s="1"/>
  <c r="K28" i="11" s="1"/>
  <c r="M28" i="11" s="1"/>
  <c r="CV20" i="40"/>
  <c r="Z26" i="1"/>
  <c r="P24" i="1" s="1"/>
  <c r="I49" i="1"/>
  <c r="K50" i="32" s="1"/>
  <c r="V73" i="4"/>
  <c r="K51" i="1" s="1"/>
  <c r="M52" i="32" s="1"/>
  <c r="I51" i="1"/>
  <c r="K52" i="32" s="1"/>
  <c r="H52" i="1"/>
  <c r="J53" i="32" s="1"/>
  <c r="U71" i="4"/>
  <c r="J50" i="32"/>
  <c r="V74" i="4"/>
  <c r="K52" i="1" s="1"/>
  <c r="M53" i="32" s="1"/>
  <c r="I52" i="1"/>
  <c r="K53" i="32" s="1"/>
  <c r="H51" i="1"/>
  <c r="J52" i="32" s="1"/>
  <c r="R66" i="1"/>
  <c r="B63" i="1" s="1"/>
  <c r="R65" i="1"/>
  <c r="BO22" i="40"/>
  <c r="CK22" i="40"/>
  <c r="V72" i="4"/>
  <c r="BM22" i="40"/>
  <c r="U73" i="4"/>
  <c r="R63" i="31"/>
  <c r="U64" i="4"/>
  <c r="U74" i="4"/>
  <c r="U65" i="4"/>
  <c r="CX22" i="40"/>
  <c r="R79" i="11"/>
  <c r="BZ21" i="40"/>
  <c r="R60" i="11"/>
  <c r="BO21" i="40"/>
  <c r="V65" i="4"/>
  <c r="BZ19" i="40"/>
  <c r="R28" i="31"/>
  <c r="R82" i="31"/>
  <c r="V64" i="4"/>
  <c r="V71" i="4"/>
  <c r="CK21" i="40"/>
  <c r="CX19" i="40"/>
  <c r="CV19" i="40"/>
  <c r="V62" i="4"/>
  <c r="CM20" i="40"/>
  <c r="CK20" i="40"/>
  <c r="BM20" i="40"/>
  <c r="BO20" i="40"/>
  <c r="U72" i="4"/>
  <c r="J50" i="1" s="1"/>
  <c r="J51" i="32"/>
  <c r="U63" i="4"/>
  <c r="R43" i="11"/>
  <c r="R46" i="11"/>
  <c r="R31" i="11"/>
  <c r="R28" i="11"/>
  <c r="CK19" i="40"/>
  <c r="CM19" i="40"/>
  <c r="CA18" i="40"/>
  <c r="F13" i="31" s="1"/>
  <c r="H13" i="31" s="1"/>
  <c r="K13" i="31" s="1"/>
  <c r="L13" i="31" s="1"/>
  <c r="CY21" i="40"/>
  <c r="F63" i="31" s="1"/>
  <c r="H63" i="31" s="1"/>
  <c r="K63" i="31" s="1"/>
  <c r="L63" i="31" s="1"/>
  <c r="CN18" i="40"/>
  <c r="F16" i="11" s="1"/>
  <c r="H16" i="11" s="1"/>
  <c r="K16" i="11" s="1"/>
  <c r="L16" i="11" s="1"/>
  <c r="BP18" i="40"/>
  <c r="F13" i="11" s="1"/>
  <c r="H13" i="11" s="1"/>
  <c r="K13" i="11" s="1"/>
  <c r="L13" i="11" s="1"/>
  <c r="CY18" i="40"/>
  <c r="F16" i="31" s="1"/>
  <c r="H16" i="31" s="1"/>
  <c r="K16" i="31" s="1"/>
  <c r="L16" i="31" s="1"/>
  <c r="V63" i="4" l="1"/>
  <c r="K48" i="1"/>
  <c r="M49" i="32" s="1"/>
  <c r="V61" i="4"/>
  <c r="CY20" i="40"/>
  <c r="F46" i="31" s="1"/>
  <c r="H46" i="31" s="1"/>
  <c r="K46" i="31" s="1"/>
  <c r="M46" i="31" s="1"/>
  <c r="B61" i="1"/>
  <c r="B61" i="32" s="1"/>
  <c r="B64" i="32"/>
  <c r="CN22" i="40"/>
  <c r="F82" i="11" s="1"/>
  <c r="H82" i="11" s="1"/>
  <c r="K82" i="11" s="1"/>
  <c r="L82" i="11" s="1"/>
  <c r="K49" i="1"/>
  <c r="M50" i="32" s="1"/>
  <c r="L51" i="32"/>
  <c r="J51" i="1"/>
  <c r="L52" i="32" s="1"/>
  <c r="J52" i="1"/>
  <c r="L53" i="32" s="1"/>
  <c r="K50" i="1"/>
  <c r="M51" i="32" s="1"/>
  <c r="J49" i="1"/>
  <c r="L50" i="32" s="1"/>
  <c r="BP21" i="40"/>
  <c r="F60" i="11" s="1"/>
  <c r="H60" i="11" s="1"/>
  <c r="K60" i="11" s="1"/>
  <c r="L60" i="11" s="1"/>
  <c r="CA20" i="40"/>
  <c r="F43" i="31" s="1"/>
  <c r="H43" i="31" s="1"/>
  <c r="K43" i="31" s="1"/>
  <c r="M43" i="31" s="1"/>
  <c r="BP22" i="40"/>
  <c r="F79" i="11" s="1"/>
  <c r="H79" i="11" s="1"/>
  <c r="K79" i="11" s="1"/>
  <c r="L79" i="11" s="1"/>
  <c r="CY22" i="40"/>
  <c r="F82" i="31" s="1"/>
  <c r="H82" i="31" s="1"/>
  <c r="K82" i="31" s="1"/>
  <c r="L82" i="31" s="1"/>
  <c r="CA21" i="40"/>
  <c r="F60" i="31" s="1"/>
  <c r="H60" i="31" s="1"/>
  <c r="K60" i="31" s="1"/>
  <c r="M60" i="31" s="1"/>
  <c r="CA19" i="40"/>
  <c r="F28" i="31" s="1"/>
  <c r="H28" i="31" s="1"/>
  <c r="K28" i="31" s="1"/>
  <c r="M28" i="31" s="1"/>
  <c r="CN21" i="40"/>
  <c r="F63" i="11" s="1"/>
  <c r="H63" i="11" s="1"/>
  <c r="K63" i="11" s="1"/>
  <c r="L63" i="11" s="1"/>
  <c r="CY19" i="40"/>
  <c r="F31" i="31" s="1"/>
  <c r="H31" i="31" s="1"/>
  <c r="K31" i="31" s="1"/>
  <c r="M31" i="31" s="1"/>
  <c r="M13" i="11"/>
  <c r="L28" i="11"/>
  <c r="CA22" i="40"/>
  <c r="F79" i="31" s="1"/>
  <c r="H79" i="31" s="1"/>
  <c r="K79" i="31" s="1"/>
  <c r="L79" i="31" s="1"/>
  <c r="CN20" i="40"/>
  <c r="F46" i="11" s="1"/>
  <c r="H46" i="11" s="1"/>
  <c r="K46" i="11" s="1"/>
  <c r="M46" i="11" s="1"/>
  <c r="BP20" i="40"/>
  <c r="F43" i="11" s="1"/>
  <c r="H43" i="11" s="1"/>
  <c r="K43" i="11" s="1"/>
  <c r="M13" i="31"/>
  <c r="CN19" i="40"/>
  <c r="F31" i="11" s="1"/>
  <c r="H31" i="11" s="1"/>
  <c r="K31" i="11" s="1"/>
  <c r="M16" i="31"/>
  <c r="L17" i="11"/>
  <c r="L18" i="11" s="1"/>
  <c r="M63" i="31"/>
  <c r="M16" i="11"/>
  <c r="L17" i="31"/>
  <c r="L18" i="31" s="1"/>
  <c r="L46" i="31" l="1"/>
  <c r="M47" i="31"/>
  <c r="M82" i="11"/>
  <c r="L83" i="11"/>
  <c r="L84" i="11" s="1"/>
  <c r="M60" i="11"/>
  <c r="L64" i="11"/>
  <c r="L65" i="11" s="1"/>
  <c r="L43" i="31"/>
  <c r="M79" i="11"/>
  <c r="L83" i="31"/>
  <c r="L84" i="31" s="1"/>
  <c r="L31" i="31"/>
  <c r="M64" i="31"/>
  <c r="M82" i="31"/>
  <c r="M32" i="31"/>
  <c r="L60" i="31"/>
  <c r="L64" i="31" s="1"/>
  <c r="L65" i="31" s="1"/>
  <c r="M63" i="11"/>
  <c r="L28" i="31"/>
  <c r="M17" i="11"/>
  <c r="L19" i="11" s="1"/>
  <c r="M79" i="31"/>
  <c r="L46" i="11"/>
  <c r="L43" i="11"/>
  <c r="M43" i="11"/>
  <c r="M47" i="11" s="1"/>
  <c r="M17" i="31"/>
  <c r="L19" i="31" s="1"/>
  <c r="M31" i="11"/>
  <c r="M32" i="11" s="1"/>
  <c r="L31" i="11"/>
  <c r="L32" i="11" s="1"/>
  <c r="L33" i="11" s="1"/>
  <c r="L47" i="31" l="1"/>
  <c r="L48" i="31" s="1"/>
  <c r="L49" i="31" s="1"/>
  <c r="L50" i="31" s="1"/>
  <c r="L51" i="31" s="1"/>
  <c r="L55" i="31" s="1"/>
  <c r="M83" i="11"/>
  <c r="L85" i="11" s="1"/>
  <c r="L86" i="11" s="1"/>
  <c r="L87" i="11" s="1"/>
  <c r="L88" i="11" s="1"/>
  <c r="M64" i="11"/>
  <c r="L66" i="11" s="1"/>
  <c r="L67" i="11" s="1"/>
  <c r="L68" i="11" s="1"/>
  <c r="L69" i="11" s="1"/>
  <c r="L20" i="11"/>
  <c r="L21" i="11" s="1"/>
  <c r="L22" i="11" s="1"/>
  <c r="L20" i="31"/>
  <c r="L21" i="31" s="1"/>
  <c r="L22" i="31" s="1"/>
  <c r="L32" i="31"/>
  <c r="L33" i="31" s="1"/>
  <c r="L34" i="31" s="1"/>
  <c r="M83" i="31"/>
  <c r="L85" i="31" s="1"/>
  <c r="L66" i="31"/>
  <c r="L47" i="11"/>
  <c r="L48" i="11" s="1"/>
  <c r="L49" i="11" s="1"/>
  <c r="L34" i="11"/>
  <c r="R48" i="1" l="1"/>
  <c r="S50" i="1"/>
  <c r="N50" i="1" s="1"/>
  <c r="R51" i="1"/>
  <c r="M51" i="1" s="1"/>
  <c r="S48" i="1"/>
  <c r="N48" i="1" s="1"/>
  <c r="R52" i="1"/>
  <c r="M52" i="1" s="1"/>
  <c r="L86" i="31"/>
  <c r="L87" i="31" s="1"/>
  <c r="L88" i="31" s="1"/>
  <c r="M35" i="11"/>
  <c r="L35" i="11"/>
  <c r="L36" i="11" s="1"/>
  <c r="L37" i="11" s="1"/>
  <c r="L50" i="11"/>
  <c r="L51" i="11" s="1"/>
  <c r="L52" i="11" s="1"/>
  <c r="L35" i="31"/>
  <c r="L36" i="31" s="1"/>
  <c r="L38" i="31" s="1"/>
  <c r="L67" i="31"/>
  <c r="L68" i="31" s="1"/>
  <c r="L75" i="31" s="1"/>
  <c r="M35" i="31"/>
  <c r="M48" i="1" l="1"/>
  <c r="O49" i="32" s="1"/>
  <c r="S52" i="1"/>
  <c r="N52" i="1" s="1"/>
  <c r="R50" i="1"/>
  <c r="S51" i="1"/>
  <c r="S49" i="1"/>
  <c r="P49" i="32"/>
  <c r="V48" i="1"/>
  <c r="Y48" i="1" s="1"/>
  <c r="P51" i="32"/>
  <c r="V50" i="1"/>
  <c r="Y50" i="1" s="1"/>
  <c r="O53" i="32"/>
  <c r="U52" i="1"/>
  <c r="X52" i="1" s="1"/>
  <c r="O52" i="32"/>
  <c r="U51" i="1"/>
  <c r="X51" i="1" s="1"/>
  <c r="R49" i="1"/>
  <c r="M50" i="1" l="1"/>
  <c r="O51" i="32" s="1"/>
  <c r="N49" i="1"/>
  <c r="P50" i="32" s="1"/>
  <c r="M49" i="1"/>
  <c r="O50" i="32" s="1"/>
  <c r="N51" i="1"/>
  <c r="V51" i="1" s="1"/>
  <c r="Y51" i="1" s="1"/>
  <c r="Z51" i="1" s="1"/>
  <c r="U48" i="1"/>
  <c r="X48" i="1" s="1"/>
  <c r="Z48" i="1" s="1"/>
  <c r="P53" i="32"/>
  <c r="V52" i="1"/>
  <c r="Y52" i="1" s="1"/>
  <c r="Z52" i="1" s="1"/>
  <c r="V49" i="1" l="1"/>
  <c r="Y49" i="1" s="1"/>
  <c r="U49" i="1"/>
  <c r="X49" i="1" s="1"/>
  <c r="P52" i="32"/>
  <c r="U50" i="1"/>
  <c r="X50" i="1" s="1"/>
  <c r="Z50" i="1" s="1"/>
  <c r="Z49" i="1" l="1"/>
  <c r="AA48" i="1" s="1"/>
  <c r="AB48" i="1" s="1"/>
  <c r="AC48" i="1" s="1"/>
  <c r="P48" i="1" s="1"/>
  <c r="K81" i="1" s="1"/>
  <c r="L81" i="1" s="1"/>
  <c r="Q86" i="4" l="1"/>
  <c r="P86" i="4" s="1"/>
  <c r="J81" i="1"/>
  <c r="B72" i="1"/>
  <c r="B73" i="32" s="1"/>
  <c r="FA18" i="40"/>
  <c r="EY18" i="40"/>
  <c r="F2" i="4" l="1"/>
  <c r="A2" i="1" s="1"/>
  <c r="A2" i="32" s="1"/>
  <c r="FB18" i="40"/>
  <c r="Q26" i="4" s="1"/>
  <c r="F26" i="4" s="1"/>
  <c r="F17" i="1" s="1"/>
  <c r="F17" i="32" l="1"/>
  <c r="AL21"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tc={531E4969-8511-4374-B432-3AB0BB5A0106}</author>
    <author>ismail - [2010]</author>
  </authors>
  <commentList>
    <comment ref="AB34" authorId="0" shapeId="0" xr:uid="{FBC0B9D7-A0B9-4F99-8B9A-76B4962C658C}">
      <text>
        <r>
          <rPr>
            <b/>
            <sz val="9"/>
            <color indexed="81"/>
            <rFont val="Tahoma"/>
            <family val="2"/>
          </rPr>
          <t>A:</t>
        </r>
        <r>
          <rPr>
            <sz val="9"/>
            <color indexed="81"/>
            <rFont val="Tahoma"/>
            <family val="2"/>
          </rPr>
          <t xml:space="preserve">
MENENTUKAN NILAI SCORING UNTUK MENENTUKAN KETERANGAN DIBAWAH INI
</t>
        </r>
      </text>
    </comment>
    <comment ref="V36" authorId="0" shapeId="0" xr:uid="{9CBCE52E-8975-41D0-831A-D447E6BCAED3}">
      <text>
        <r>
          <rPr>
            <b/>
            <sz val="9"/>
            <color indexed="81"/>
            <rFont val="Tahoma"/>
            <family val="2"/>
          </rPr>
          <t>A:</t>
        </r>
        <r>
          <rPr>
            <sz val="9"/>
            <color indexed="81"/>
            <rFont val="Tahoma"/>
            <family val="2"/>
          </rPr>
          <t xml:space="preserve">
rumus mirip arus bocor</t>
        </r>
      </text>
    </comment>
    <comment ref="AB36" authorId="0" shapeId="0" xr:uid="{52C6FA9F-E49C-4378-A4A6-B7D43623A767}">
      <text>
        <r>
          <rPr>
            <b/>
            <sz val="9"/>
            <color indexed="81"/>
            <rFont val="Tahoma"/>
            <family val="2"/>
          </rPr>
          <t>A:</t>
        </r>
        <r>
          <rPr>
            <sz val="9"/>
            <color indexed="81"/>
            <rFont val="Tahoma"/>
            <family val="2"/>
          </rPr>
          <t xml:space="preserve">
digunakan jika input NC nilai arus terkoreksinya &lt;= 100 mikro ampere</t>
        </r>
      </text>
    </comment>
    <comment ref="AB37" authorId="0" shapeId="0" xr:uid="{E4B4E0C3-B8A9-4A8E-BC81-47C8D5AEB39B}">
      <text>
        <r>
          <rPr>
            <b/>
            <sz val="9"/>
            <color indexed="81"/>
            <rFont val="Tahoma"/>
            <family val="2"/>
          </rPr>
          <t>A:</t>
        </r>
        <r>
          <rPr>
            <sz val="9"/>
            <color indexed="81"/>
            <rFont val="Tahoma"/>
            <family val="2"/>
          </rPr>
          <t xml:space="preserve">
digunakan jika tidak ada grounding ruangan dan arus bocor posisi "-"
</t>
        </r>
      </text>
    </comment>
    <comment ref="B59" authorId="1" shapeId="0" xr:uid="{531E4969-8511-4374-B432-3AB0BB5A010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Jangan dihilangkan tanda = dan "</t>
        </r>
      </text>
    </comment>
    <comment ref="A60" authorId="2" shapeId="0" xr:uid="{3137865F-086D-4FDB-AFF7-5A8F6731697E}">
      <text>
        <r>
          <rPr>
            <b/>
            <sz val="9"/>
            <color indexed="81"/>
            <rFont val="Tahoma"/>
            <family val="2"/>
          </rPr>
          <t>Rangga - [2022]:</t>
        </r>
        <r>
          <rPr>
            <sz val="9"/>
            <color indexed="81"/>
            <rFont val="Tahoma"/>
            <family val="2"/>
          </rPr>
          <t xml:space="preserve">
penulisan disesuaikan dengan yang tertera pada UUT</t>
        </r>
      </text>
    </comment>
    <comment ref="B60" authorId="2" shapeId="0" xr:uid="{FB0F5A54-5FDE-4B70-93BE-6D1F6E0A3CB2}">
      <text>
        <r>
          <rPr>
            <b/>
            <sz val="9"/>
            <color indexed="81"/>
            <rFont val="Tahoma"/>
            <family val="2"/>
          </rPr>
          <t xml:space="preserve">Rangga - [2022]:
</t>
        </r>
        <r>
          <rPr>
            <sz val="9"/>
            <color indexed="81"/>
            <rFont val="Tahoma"/>
            <family val="2"/>
          </rPr>
          <t>penulisan disesuaikan dengan hasil baca pada standar</t>
        </r>
      </text>
    </comment>
    <comment ref="A87" authorId="0" shapeId="0" xr:uid="{07F95065-E98C-424A-9646-B635B9AC5D02}">
      <text>
        <r>
          <rPr>
            <b/>
            <sz val="9"/>
            <color indexed="81"/>
            <rFont val="Tahoma"/>
            <family val="2"/>
          </rPr>
          <t>A:</t>
        </r>
        <r>
          <rPr>
            <sz val="9"/>
            <color indexed="81"/>
            <rFont val="Tahoma"/>
            <family val="2"/>
          </rPr>
          <t xml:space="preserve">
jika keterangan catu daya menggunakan baterai aktif maka akan menghapus seluruh keterangan diatasnya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G18" authorId="0" shapeId="0" xr:uid="{7E151C94-B2C4-4144-9E94-7A7E89DDAF09}">
      <text>
        <r>
          <rPr>
            <b/>
            <sz val="9"/>
            <color indexed="81"/>
            <rFont val="Tahoma"/>
            <family val="2"/>
          </rPr>
          <t>A:</t>
        </r>
        <r>
          <rPr>
            <sz val="9"/>
            <color indexed="81"/>
            <rFont val="Tahoma"/>
            <family val="2"/>
          </rPr>
          <t xml:space="preserve">
copy cell di LH untuk membuat sama karakter huruf agar terintegrasi ke program mr. janawi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AJ26" authorId="0" shapeId="0" xr:uid="{99FC25D8-7D77-4F26-A228-F9DD2107EA7F}">
      <text>
        <r>
          <rPr>
            <b/>
            <sz val="9"/>
            <color indexed="81"/>
            <rFont val="Tahoma"/>
            <family val="2"/>
          </rPr>
          <t>A:</t>
        </r>
        <r>
          <rPr>
            <sz val="9"/>
            <color indexed="81"/>
            <rFont val="Tahoma"/>
            <family val="2"/>
          </rPr>
          <t xml:space="preserve">
tambahan rumus if error untuk menghilangkan value; if error(rumus asli;"-")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R66" authorId="0" shapeId="0" xr:uid="{1620CD7E-C024-4E53-A406-E4F377C1DF5A}">
      <text>
        <r>
          <rPr>
            <b/>
            <sz val="9"/>
            <color indexed="81"/>
            <rFont val="Tahoma"/>
            <family val="2"/>
          </rPr>
          <t>A:</t>
        </r>
        <r>
          <rPr>
            <sz val="9"/>
            <color indexed="81"/>
            <rFont val="Tahoma"/>
            <family val="2"/>
          </rPr>
          <t xml:space="preserve">
Menentukan ketika kosong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PC-PK</author>
  </authors>
  <commentList>
    <comment ref="D22" authorId="0" shapeId="0" xr:uid="{27DDB8DF-3F74-488D-BD24-40C0D90A71AB}">
      <text>
        <r>
          <rPr>
            <b/>
            <sz val="9"/>
            <color indexed="81"/>
            <rFont val="Tahoma"/>
            <family val="2"/>
          </rPr>
          <t>PC-PK:</t>
        </r>
        <r>
          <rPr>
            <sz val="9"/>
            <color indexed="81"/>
            <rFont val="Tahoma"/>
            <family val="2"/>
          </rPr>
          <t xml:space="preserve">
CONTOH</t>
        </r>
      </text>
    </comment>
  </commentList>
</comments>
</file>

<file path=xl/sharedStrings.xml><?xml version="1.0" encoding="utf-8"?>
<sst xmlns="http://schemas.openxmlformats.org/spreadsheetml/2006/main" count="3468" uniqueCount="915">
  <si>
    <t>:</t>
  </si>
  <si>
    <t>I.</t>
  </si>
  <si>
    <t>III.</t>
  </si>
  <si>
    <t>Tanggal Kalibrasi</t>
  </si>
  <si>
    <t>Tempat Kalibrasi</t>
  </si>
  <si>
    <t>No.</t>
  </si>
  <si>
    <t>(mmHg)</t>
  </si>
  <si>
    <t>Alat</t>
  </si>
  <si>
    <t xml:space="preserve">No. Seri         </t>
  </si>
  <si>
    <t>Normal</t>
  </si>
  <si>
    <t>IV.</t>
  </si>
  <si>
    <t>Petugas Kalibrasi</t>
  </si>
  <si>
    <t>V.</t>
  </si>
  <si>
    <t>Divisor</t>
  </si>
  <si>
    <t>Kondisi Ruang</t>
  </si>
  <si>
    <t xml:space="preserve">1. Suhu                                                                        </t>
  </si>
  <si>
    <t>Keterangan</t>
  </si>
  <si>
    <t>Menyetujui,</t>
  </si>
  <si>
    <t>Metode Kerja</t>
  </si>
  <si>
    <t>Pembacaan</t>
  </si>
  <si>
    <t>Pembacaan  Standar</t>
  </si>
  <si>
    <t xml:space="preserve">Merek                </t>
  </si>
  <si>
    <t>Nama Ruang</t>
  </si>
  <si>
    <t xml:space="preserve">2. Kelembaban                                                            </t>
  </si>
  <si>
    <t>Rangga Setya Hantoko</t>
  </si>
  <si>
    <t>Choirul Huda</t>
  </si>
  <si>
    <t>Dani Firmanto</t>
  </si>
  <si>
    <t>Supriyanto</t>
  </si>
  <si>
    <t>1. Fisik</t>
  </si>
  <si>
    <t>: BAIK</t>
  </si>
  <si>
    <t>2. Fungsi</t>
  </si>
  <si>
    <t>Kesimpulan</t>
  </si>
  <si>
    <t>Toleransi</t>
  </si>
  <si>
    <t>mmHg</t>
  </si>
  <si>
    <t>Component</t>
  </si>
  <si>
    <t>Units</t>
  </si>
  <si>
    <t>Coverage factor, k, for for CL 95 %</t>
  </si>
  <si>
    <t>awal</t>
  </si>
  <si>
    <t>akhir</t>
  </si>
  <si>
    <t>Nilai rata- rata terkoreksi</t>
  </si>
  <si>
    <t>terkoreksi</t>
  </si>
  <si>
    <t>PA</t>
  </si>
  <si>
    <t>Koreksi</t>
  </si>
  <si>
    <t xml:space="preserve">terkoreksi </t>
  </si>
  <si>
    <t>Drift</t>
  </si>
  <si>
    <t>Pembacaan Alat</t>
  </si>
  <si>
    <t>Parameter</t>
  </si>
  <si>
    <t>Kebocoran Tekanan</t>
  </si>
  <si>
    <t>ALAT YANG DIGUNAKAN</t>
  </si>
  <si>
    <t>SIMBOL</t>
  </si>
  <si>
    <t>PA  (°C)</t>
  </si>
  <si>
    <t>PA(%RH)</t>
  </si>
  <si>
    <t>koreksi  (°C)</t>
  </si>
  <si>
    <t>Koreksi  (%RH)</t>
  </si>
  <si>
    <t>U(sh)</t>
  </si>
  <si>
    <t>U(kb)</t>
  </si>
  <si>
    <t>TAHUN :</t>
  </si>
  <si>
    <t>Baik</t>
  </si>
  <si>
    <t>Tidak Baik</t>
  </si>
  <si>
    <t xml:space="preserve">Tanggal Pembuatan laporan </t>
  </si>
  <si>
    <t xml:space="preserve">Pemeriksaan Fisik            </t>
  </si>
  <si>
    <t xml:space="preserve">Pemeriksaan Fungsi       </t>
  </si>
  <si>
    <t xml:space="preserve">Daya Baca Operator UUT </t>
  </si>
  <si>
    <t>Muhammad Zaenuri Sugiasmoro</t>
  </si>
  <si>
    <t>Muhammad Arrizal Septiawan</t>
  </si>
  <si>
    <t>Isra Mahensa</t>
  </si>
  <si>
    <t>Penunjukan Standar</t>
  </si>
  <si>
    <t>Penunjukan Standar Awal</t>
  </si>
  <si>
    <t>Penunjukan Standar Akhir</t>
  </si>
  <si>
    <t>Nilai Rata - Rata</t>
  </si>
  <si>
    <t>Resolusi</t>
  </si>
  <si>
    <t>Laju Kebocoran tekanan dalam 1 menit</t>
  </si>
  <si>
    <t>u</t>
  </si>
  <si>
    <t>Distribusi</t>
  </si>
  <si>
    <t xml:space="preserve">Repeatability           </t>
  </si>
  <si>
    <t>Dany Firmanto</t>
  </si>
  <si>
    <t xml:space="preserve">Pembacaan Standar </t>
  </si>
  <si>
    <t xml:space="preserve">Sertifikat standar </t>
  </si>
  <si>
    <t>Repeatability</t>
  </si>
  <si>
    <t xml:space="preserve">Sums </t>
  </si>
  <si>
    <t>Rectangular</t>
  </si>
  <si>
    <t xml:space="preserve">Hasil Uji Kebocoran Tekanan </t>
  </si>
  <si>
    <t>Effective degree of freedom</t>
  </si>
  <si>
    <t xml:space="preserve">Dibuat Oleh </t>
  </si>
  <si>
    <t xml:space="preserve">Penyelia   </t>
  </si>
  <si>
    <t>Halaman 2 dari 2 halaman</t>
  </si>
  <si>
    <t>Kepala Instalasi Laboratorium</t>
  </si>
  <si>
    <t>Pengujian dan Kalibrasi</t>
  </si>
  <si>
    <t xml:space="preserve">Nilai rata- rata </t>
  </si>
  <si>
    <t>KESIMPULAN</t>
  </si>
  <si>
    <t>P1</t>
  </si>
  <si>
    <t>P2</t>
  </si>
  <si>
    <t>P3</t>
  </si>
  <si>
    <t>KETELUSURAN</t>
  </si>
  <si>
    <t xml:space="preserve">KESIMPULAN : </t>
  </si>
  <si>
    <t/>
  </si>
  <si>
    <t>DEWASA</t>
  </si>
  <si>
    <t>ANAK</t>
  </si>
  <si>
    <t>BAYI</t>
  </si>
  <si>
    <r>
      <t>u</t>
    </r>
    <r>
      <rPr>
        <b/>
        <i/>
        <vertAlign val="subscript"/>
        <sz val="12"/>
        <color theme="1"/>
        <rFont val="Calibri"/>
        <family val="2"/>
        <scheme val="minor"/>
      </rPr>
      <t>i</t>
    </r>
  </si>
  <si>
    <r>
      <t>c</t>
    </r>
    <r>
      <rPr>
        <b/>
        <i/>
        <vertAlign val="subscript"/>
        <sz val="12"/>
        <color theme="1"/>
        <rFont val="Calibri"/>
        <family val="2"/>
        <scheme val="minor"/>
      </rPr>
      <t>i</t>
    </r>
  </si>
  <si>
    <r>
      <t>v</t>
    </r>
    <r>
      <rPr>
        <b/>
        <i/>
        <vertAlign val="subscript"/>
        <sz val="12"/>
        <color theme="1"/>
        <rFont val="Calibri"/>
        <family val="2"/>
        <scheme val="minor"/>
      </rPr>
      <t>i</t>
    </r>
  </si>
  <si>
    <r>
      <t>(u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t>
    </r>
  </si>
  <si>
    <r>
      <t>( 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 xml:space="preserve"> ) ^ 2</t>
    </r>
  </si>
  <si>
    <r>
      <t>(u</t>
    </r>
    <r>
      <rPr>
        <b/>
        <vertAlign val="subscript"/>
        <sz val="12"/>
        <color theme="1"/>
        <rFont val="Calibri"/>
        <family val="2"/>
        <scheme val="minor"/>
      </rPr>
      <t>i</t>
    </r>
    <r>
      <rPr>
        <b/>
        <sz val="12"/>
        <color theme="1"/>
        <rFont val="Calibri"/>
        <family val="2"/>
        <scheme val="minor"/>
      </rPr>
      <t>c</t>
    </r>
    <r>
      <rPr>
        <b/>
        <vertAlign val="subscript"/>
        <sz val="12"/>
        <color theme="1"/>
        <rFont val="Calibri"/>
        <family val="2"/>
        <scheme val="minor"/>
      </rPr>
      <t>i</t>
    </r>
    <r>
      <rPr>
        <b/>
        <sz val="12"/>
        <color theme="1"/>
        <rFont val="Calibri"/>
        <family val="2"/>
        <scheme val="minor"/>
      </rPr>
      <t>)^4/v</t>
    </r>
    <r>
      <rPr>
        <b/>
        <vertAlign val="subscript"/>
        <sz val="12"/>
        <color theme="1"/>
        <rFont val="Calibri"/>
        <family val="2"/>
        <scheme val="minor"/>
      </rPr>
      <t>i</t>
    </r>
  </si>
  <si>
    <r>
      <t>Combined Standard uncertainty, u</t>
    </r>
    <r>
      <rPr>
        <i/>
        <vertAlign val="subscript"/>
        <sz val="12"/>
        <color theme="1"/>
        <rFont val="Calibri"/>
        <family val="2"/>
        <scheme val="minor"/>
      </rPr>
      <t xml:space="preserve">c  </t>
    </r>
  </si>
  <si>
    <t>KOLOM KETERANGAN :</t>
  </si>
  <si>
    <t>Jenis tensimeter :</t>
  </si>
  <si>
    <t>JENIS TENSIMETER :</t>
  </si>
  <si>
    <t>TENSIMETER DEWASA</t>
  </si>
  <si>
    <t>TENSIMETER ANAK</t>
  </si>
  <si>
    <t>TENSIMETER BAYI</t>
  </si>
  <si>
    <t>60, 120, 150</t>
  </si>
  <si>
    <t>50, 120, 150</t>
  </si>
  <si>
    <t>30, 60, 80</t>
  </si>
  <si>
    <t>RANGGA</t>
  </si>
  <si>
    <t>CHAIRUL HUDA</t>
  </si>
  <si>
    <t>cmHg</t>
  </si>
  <si>
    <t>kPa</t>
  </si>
  <si>
    <t>Bar</t>
  </si>
  <si>
    <t>mBar</t>
  </si>
  <si>
    <t>Mpa</t>
  </si>
  <si>
    <t>Psi</t>
  </si>
  <si>
    <t>mmHg ke mmHg</t>
  </si>
  <si>
    <t>mmHg ke cmHg</t>
  </si>
  <si>
    <t>kPa ke kPa</t>
  </si>
  <si>
    <t>mBar ke mBar</t>
  </si>
  <si>
    <t>mBar ke Bar</t>
  </si>
  <si>
    <t>Konversi satuan :</t>
  </si>
  <si>
    <t>kPa ke Mpa</t>
  </si>
  <si>
    <t>mmHg ke Psi</t>
  </si>
  <si>
    <t>Psi ke Psi</t>
  </si>
  <si>
    <t>Hasil Konversi :</t>
  </si>
  <si>
    <t>Satuan Kalibrator :</t>
  </si>
  <si>
    <t>mmHg ke kPa</t>
  </si>
  <si>
    <t>mmHg ke Mpa</t>
  </si>
  <si>
    <t>mmHg ke mBar</t>
  </si>
  <si>
    <t>mmHg ke Bar</t>
  </si>
  <si>
    <r>
      <t>Expanded uncertainty, U = k u</t>
    </r>
    <r>
      <rPr>
        <i/>
        <vertAlign val="subscript"/>
        <sz val="12"/>
        <color theme="1"/>
        <rFont val="Calibri"/>
        <family val="2"/>
        <scheme val="minor"/>
      </rPr>
      <t>c</t>
    </r>
    <r>
      <rPr>
        <i/>
        <sz val="12"/>
        <color theme="1"/>
        <rFont val="Calibri"/>
        <family val="2"/>
        <scheme val="minor"/>
      </rPr>
      <t xml:space="preserve">,         </t>
    </r>
  </si>
  <si>
    <t>VI.</t>
  </si>
  <si>
    <t>VII.</t>
  </si>
  <si>
    <r>
      <t>+</t>
    </r>
    <r>
      <rPr>
        <sz val="12"/>
        <color theme="1"/>
        <rFont val="Calibri"/>
        <family val="2"/>
        <scheme val="minor"/>
      </rPr>
      <t xml:space="preserve"> 10 </t>
    </r>
  </si>
  <si>
    <t>(%)</t>
  </si>
  <si>
    <t>(kPa)</t>
  </si>
  <si>
    <t>(Mpa)</t>
  </si>
  <si>
    <t>(mBar)</t>
  </si>
  <si>
    <t>(Bar)</t>
  </si>
  <si>
    <t>(Psi)</t>
  </si>
  <si>
    <t>(cmHg)</t>
  </si>
  <si>
    <t>Satuan U95 :</t>
  </si>
  <si>
    <r>
      <rPr>
        <sz val="10"/>
        <rFont val="Calibri"/>
        <family val="2"/>
      </rPr>
      <t xml:space="preserve">± </t>
    </r>
    <r>
      <rPr>
        <sz val="10"/>
        <rFont val="Arial"/>
        <family val="2"/>
      </rPr>
      <t>(mmHg)</t>
    </r>
  </si>
  <si>
    <t>± (cmHg)</t>
  </si>
  <si>
    <t>± (kPa)</t>
  </si>
  <si>
    <t>± (Mpa)</t>
  </si>
  <si>
    <t>± (mBar)</t>
  </si>
  <si>
    <t>± (Bar)</t>
  </si>
  <si>
    <t>± (Psi)</t>
  </si>
  <si>
    <t>Hasil Ukur</t>
  </si>
  <si>
    <t xml:space="preserve"> Ambang Batas yang Diijinkan</t>
  </si>
  <si>
    <t>Ω</t>
  </si>
  <si>
    <r>
      <rPr>
        <sz val="12"/>
        <rFont val="Calibri"/>
        <family val="2"/>
      </rPr>
      <t>≤</t>
    </r>
    <r>
      <rPr>
        <sz val="12"/>
        <rFont val="Calibri"/>
        <family val="2"/>
        <scheme val="minor"/>
      </rPr>
      <t xml:space="preserve"> 0.5 Ω</t>
    </r>
  </si>
  <si>
    <t>µA</t>
  </si>
  <si>
    <t>1. Tahanan Hubungan Pentanahan dengan selungkup</t>
  </si>
  <si>
    <r>
      <t xml:space="preserve">2. Arus bocor pada selungkup dengan pembumian unit </t>
    </r>
    <r>
      <rPr>
        <i/>
        <sz val="12"/>
        <rFont val="Calibri"/>
        <family val="2"/>
        <scheme val="minor"/>
      </rPr>
      <t xml:space="preserve">off </t>
    </r>
    <r>
      <rPr>
        <sz val="12"/>
        <rFont val="Calibri"/>
        <family val="2"/>
        <scheme val="minor"/>
      </rPr>
      <t>polaritas normal</t>
    </r>
  </si>
  <si>
    <r>
      <t xml:space="preserve">3. Arus bocor pada selungkup tanpa pembumian unit </t>
    </r>
    <r>
      <rPr>
        <i/>
        <sz val="12"/>
        <rFont val="Calibri"/>
        <family val="2"/>
        <scheme val="minor"/>
      </rPr>
      <t xml:space="preserve">off </t>
    </r>
    <r>
      <rPr>
        <sz val="12"/>
        <rFont val="Calibri"/>
        <family val="2"/>
        <scheme val="minor"/>
      </rPr>
      <t>polaritas normal</t>
    </r>
  </si>
  <si>
    <r>
      <t xml:space="preserve">4. Arus bocor pada selungkup dengan pembumian unit </t>
    </r>
    <r>
      <rPr>
        <i/>
        <sz val="12"/>
        <rFont val="Calibri"/>
        <family val="2"/>
        <scheme val="minor"/>
      </rPr>
      <t xml:space="preserve">standby </t>
    </r>
    <r>
      <rPr>
        <sz val="12"/>
        <rFont val="Calibri"/>
        <family val="2"/>
        <scheme val="minor"/>
      </rPr>
      <t>polaritas normal</t>
    </r>
  </si>
  <si>
    <r>
      <t xml:space="preserve">5. Arus bocor pada selungkup tanpa pembumian unit </t>
    </r>
    <r>
      <rPr>
        <i/>
        <sz val="12"/>
        <rFont val="Calibri"/>
        <family val="2"/>
        <scheme val="minor"/>
      </rPr>
      <t xml:space="preserve">standby </t>
    </r>
    <r>
      <rPr>
        <sz val="12"/>
        <rFont val="Calibri"/>
        <family val="2"/>
        <scheme val="minor"/>
      </rPr>
      <t>polaritas normal</t>
    </r>
  </si>
  <si>
    <r>
      <t xml:space="preserve">6. Arus bocor pada selungkup dengan pembumian unit </t>
    </r>
    <r>
      <rPr>
        <i/>
        <sz val="12"/>
        <rFont val="Calibri"/>
        <family val="2"/>
        <scheme val="minor"/>
      </rPr>
      <t>on</t>
    </r>
    <r>
      <rPr>
        <sz val="12"/>
        <rFont val="Calibri"/>
        <family val="2"/>
        <scheme val="minor"/>
      </rPr>
      <t xml:space="preserve"> polaritas normal</t>
    </r>
  </si>
  <si>
    <r>
      <t>7. Arus bocor pada selungkup tanpa pembumian unit</t>
    </r>
    <r>
      <rPr>
        <i/>
        <sz val="12"/>
        <rFont val="Calibri"/>
        <family val="2"/>
        <scheme val="minor"/>
      </rPr>
      <t xml:space="preserve"> on </t>
    </r>
    <r>
      <rPr>
        <sz val="12"/>
        <rFont val="Calibri"/>
        <family val="2"/>
        <scheme val="minor"/>
      </rPr>
      <t>polaritas normal</t>
    </r>
  </si>
  <si>
    <t>≤ 0.5 Ω</t>
  </si>
  <si>
    <t>≤ 500 µA</t>
  </si>
  <si>
    <t>VIII.</t>
  </si>
  <si>
    <t>II. Hasil Pengukuran Keselamatan Kelistrikan</t>
  </si>
  <si>
    <t>Tegangan Jala-jala terkoreksi :</t>
  </si>
  <si>
    <t>III. Hasil Pengukuran Kinerja Akurasi Vacuum Gauge</t>
  </si>
  <si>
    <t xml:space="preserve">Pembacaan Alat                         ( Terkonversi )                                               </t>
  </si>
  <si>
    <t>MASUKKAN HASIL PENGUKURAN ( ketik tanpa tanda (-) :</t>
  </si>
  <si>
    <t>Konversi satuan   :</t>
  </si>
  <si>
    <t>Pengali :</t>
  </si>
  <si>
    <t>Satuan :</t>
  </si>
  <si>
    <t>PA VAC</t>
  </si>
  <si>
    <t xml:space="preserve">koreksi </t>
  </si>
  <si>
    <t>PA ( uA )</t>
  </si>
  <si>
    <t>PA ( Ω )</t>
  </si>
  <si>
    <t xml:space="preserve">2. Electrical Safety Analyzer, Merek : FLUKE, Model : ESA620 (1837056) </t>
  </si>
  <si>
    <t xml:space="preserve">2. Electrical Safety Analyzer, Merek : FLUKE, Model : ESA620 (1834020) </t>
  </si>
  <si>
    <t xml:space="preserve">2. Electrical Safety Analyzer, Merek : FLUKE, Model : ESA615 (2853077) </t>
  </si>
  <si>
    <t xml:space="preserve">2. Electrical Safety Analyzer, Merek : FLUKE, Model : ESA615 (2853078) </t>
  </si>
  <si>
    <t xml:space="preserve">2. Electrical Safety Analyzer, Merek : FLUKE, Model : ESA615 (3148907) </t>
  </si>
  <si>
    <t xml:space="preserve">2. Electrical Safety Analyzer, Merek : FLUKE, Model : ESA615 (3148908) </t>
  </si>
  <si>
    <t>Keterangan :</t>
  </si>
  <si>
    <t>Hasil Konversi sertifikat:</t>
  </si>
  <si>
    <t xml:space="preserve">Pembacaan Standar                   </t>
  </si>
  <si>
    <t>No</t>
  </si>
  <si>
    <t>Tahanan Hubungan Pentanahan dengan selungkup</t>
  </si>
  <si>
    <t>Arus bocor pada selungkup</t>
  </si>
  <si>
    <t>Donny Martha</t>
  </si>
  <si>
    <t>Hasil Ukur Terkoreksi</t>
  </si>
  <si>
    <t>interpolasi hasil ukur terkoreksi+PS</t>
  </si>
  <si>
    <t>pengolah data max (peralihan)</t>
  </si>
  <si>
    <t>Max arus bocor selungkup (peralihan)</t>
  </si>
  <si>
    <t>-</t>
  </si>
  <si>
    <t>Hary Ernanto</t>
  </si>
  <si>
    <t>Tanggal Penerimaan Alat</t>
  </si>
  <si>
    <t>Model</t>
  </si>
  <si>
    <t>Ambang Batas yang Diijinkan</t>
  </si>
  <si>
    <t>Tekanan udara</t>
  </si>
  <si>
    <t>Tegangan Jala-jala :</t>
  </si>
  <si>
    <t>Kelembaban (% RH)</t>
  </si>
  <si>
    <t>Suhu ( °C )</t>
  </si>
  <si>
    <t>≤ 0.2 Ω</t>
  </si>
  <si>
    <t>U95</t>
  </si>
  <si>
    <t>IV. PENGUJIAN KINERJA</t>
  </si>
  <si>
    <t>A. PENGUKURAN AKURASI VACUUM GAUGE</t>
  </si>
  <si>
    <t>PA ( MΩ )</t>
  </si>
  <si>
    <r>
      <t xml:space="preserve">PA ( </t>
    </r>
    <r>
      <rPr>
        <b/>
        <sz val="10"/>
        <rFont val="Calibri"/>
        <family val="2"/>
      </rPr>
      <t>μ</t>
    </r>
    <r>
      <rPr>
        <b/>
        <sz val="10"/>
        <rFont val="Times New Roman"/>
        <family val="1"/>
      </rPr>
      <t>A )</t>
    </r>
  </si>
  <si>
    <t xml:space="preserve">Hasil Ukur terkoreksi </t>
  </si>
  <si>
    <t>Toleransi (mmHg)</t>
  </si>
  <si>
    <t>Tekanan Hisap Maksimum (mmHg)</t>
  </si>
  <si>
    <t xml:space="preserve">Thoracic, low volume  ≥ 40                 Surgical, Tracheal, Uterine ≥ 300 </t>
  </si>
  <si>
    <t>NAIK</t>
  </si>
  <si>
    <t>TURUN</t>
  </si>
  <si>
    <t xml:space="preserve">DRIFT NAIK </t>
  </si>
  <si>
    <t>U95 Naik terbaru</t>
  </si>
  <si>
    <t>DRIFT TURUN</t>
  </si>
  <si>
    <t>U95 Turun terbaru</t>
  </si>
  <si>
    <t>koreksi</t>
  </si>
  <si>
    <t>21.2.2018</t>
  </si>
  <si>
    <t>Naik terbaru</t>
  </si>
  <si>
    <t>Turun Terbaru</t>
  </si>
  <si>
    <t>Ketidakpastian pengukuran pada tingkat kepercayaan 95 % dengan faktor cakupan k = 2</t>
  </si>
  <si>
    <t>KONVERSI</t>
  </si>
  <si>
    <t>UNCERTAINTY BUDGET TURUN</t>
  </si>
  <si>
    <t>UNCERTAINTY BUDGET NAIK</t>
  </si>
  <si>
    <t>Hasil Ukur terkonversi</t>
  </si>
  <si>
    <t>Tekanan udara terkoreksi :</t>
  </si>
  <si>
    <t>PA(hPa)</t>
  </si>
  <si>
    <t>U(hPa)</t>
  </si>
  <si>
    <t>Naik(hPa)</t>
  </si>
  <si>
    <t>27.3.2019</t>
  </si>
  <si>
    <t>SUHU</t>
  </si>
  <si>
    <t>KELEMBABABN</t>
  </si>
  <si>
    <t>TEKANAN UDARA</t>
  </si>
  <si>
    <t>max :</t>
  </si>
  <si>
    <t>MK 046-18</t>
  </si>
  <si>
    <t>3. Tekanan udara</t>
  </si>
  <si>
    <t>4. Tegangan jala jala</t>
  </si>
  <si>
    <t>Naik</t>
  </si>
  <si>
    <t>Turun</t>
  </si>
  <si>
    <t>Catu daya menggunakan baterai</t>
  </si>
  <si>
    <t>Tidak terdapat grounding</t>
  </si>
  <si>
    <t>Fikry Faradinna</t>
  </si>
  <si>
    <t>Gusti Arya Dinata</t>
  </si>
  <si>
    <t>Hamdan Syarif</t>
  </si>
  <si>
    <t>Muhammad Iqbal Saiful Rahman</t>
  </si>
  <si>
    <t>Muhammad Irfan Husnuzhzhan</t>
  </si>
  <si>
    <t>Septia Khairunnisa</t>
  </si>
  <si>
    <t>Taufik Priawan</t>
  </si>
  <si>
    <t>Venna Filosofia</t>
  </si>
  <si>
    <t>Wardimanul Abrar</t>
  </si>
  <si>
    <t>.............................................</t>
  </si>
  <si>
    <t>Tegangan Jala-jala (Volt)</t>
  </si>
  <si>
    <t>Tekanan udara (hPa)</t>
  </si>
  <si>
    <t>Baik / Tidak Baik</t>
  </si>
  <si>
    <t>..................</t>
  </si>
  <si>
    <t>20% :           -</t>
  </si>
  <si>
    <t>40% :           -</t>
  </si>
  <si>
    <t>60% :           -</t>
  </si>
  <si>
    <t>80% :           -</t>
  </si>
  <si>
    <t>100% :         -</t>
  </si>
  <si>
    <t>Toleransi (%)</t>
  </si>
  <si>
    <t>NAMA</t>
  </si>
  <si>
    <t>PARAF</t>
  </si>
  <si>
    <t>BOBOT (%)</t>
  </si>
  <si>
    <t>LABEL</t>
  </si>
  <si>
    <t>III. Pengujian Keselamatan Listrik</t>
  </si>
  <si>
    <t>&gt; 2 MΩ</t>
  </si>
  <si>
    <t>Keterangan : ...................................................................................................................................................</t>
  </si>
  <si>
    <t>SKOR</t>
  </si>
  <si>
    <r>
      <t>&lt;</t>
    </r>
    <r>
      <rPr>
        <sz val="11"/>
        <color theme="1"/>
        <rFont val="Arial"/>
        <family val="2"/>
      </rPr>
      <t xml:space="preserve"> 15 </t>
    </r>
  </si>
  <si>
    <r>
      <t>+</t>
    </r>
    <r>
      <rPr>
        <sz val="11"/>
        <color theme="1"/>
        <rFont val="Arial"/>
        <family val="2"/>
      </rPr>
      <t xml:space="preserve"> 10 </t>
    </r>
  </si>
  <si>
    <t>Klasifikasi Suction Pump</t>
  </si>
  <si>
    <t>( Thoracic, low volume ) / (Surgical, Tracheal, Uterine)</t>
  </si>
  <si>
    <t>(Surgical, Tracheal, Uterine)</t>
  </si>
  <si>
    <t>(Thoracic, low volume)</t>
  </si>
  <si>
    <t>%</t>
  </si>
  <si>
    <t>FIX</t>
  </si>
  <si>
    <t>Ketidakpastian  Pengukuran</t>
  </si>
  <si>
    <r>
      <rPr>
        <sz val="12"/>
        <rFont val="Wingdings 2"/>
        <family val="1"/>
        <charset val="2"/>
      </rPr>
      <t>£</t>
    </r>
    <r>
      <rPr>
        <sz val="12"/>
        <rFont val="Calibri"/>
        <family val="2"/>
      </rPr>
      <t xml:space="preserve">  </t>
    </r>
    <r>
      <rPr>
        <sz val="12"/>
        <rFont val="Calibri"/>
        <family val="2"/>
        <scheme val="minor"/>
      </rPr>
      <t xml:space="preserve">Digital Pressure Meter, Merek : Fluke Biomedical, Model : DPM 4-2G  (1831021), (1831023) </t>
    </r>
  </si>
  <si>
    <r>
      <rPr>
        <sz val="12"/>
        <rFont val="Wingdings 2"/>
        <family val="1"/>
        <charset val="2"/>
      </rPr>
      <t>£</t>
    </r>
    <r>
      <rPr>
        <sz val="12"/>
        <rFont val="Calibri"/>
        <family val="2"/>
      </rPr>
      <t xml:space="preserve">  </t>
    </r>
    <r>
      <rPr>
        <sz val="12"/>
        <rFont val="Calibri"/>
        <family val="2"/>
        <scheme val="minor"/>
      </rPr>
      <t xml:space="preserve">Universal Biometer, Merek : BIO-TEK, Model : DPM 3  (126143) </t>
    </r>
  </si>
  <si>
    <r>
      <rPr>
        <sz val="12"/>
        <rFont val="Wingdings 2"/>
        <family val="1"/>
        <charset val="2"/>
      </rPr>
      <t>£</t>
    </r>
    <r>
      <rPr>
        <sz val="12"/>
        <rFont val="Calibri"/>
        <family val="2"/>
      </rPr>
      <t xml:space="preserve">  </t>
    </r>
    <r>
      <rPr>
        <sz val="12"/>
        <rFont val="Calibri"/>
        <family val="2"/>
        <scheme val="minor"/>
      </rPr>
      <t>Digital Thermohygrobarometer, Merek : Greisinger, Model : GFT 200 ( 34903046 ), ( 34903051 ),  ( 34903053 ), ( 34904091 )</t>
    </r>
  </si>
  <si>
    <r>
      <rPr>
        <sz val="11"/>
        <rFont val="Wingdings 2"/>
        <family val="1"/>
        <charset val="2"/>
      </rPr>
      <t>£</t>
    </r>
    <r>
      <rPr>
        <sz val="11"/>
        <rFont val="Arial"/>
        <family val="2"/>
      </rPr>
      <t xml:space="preserve">  Electrical Safety Analyzer, Merek : Fluke, Model : ESA 620 (1837056) / (1834020)</t>
    </r>
  </si>
  <si>
    <r>
      <rPr>
        <sz val="11"/>
        <rFont val="Wingdings 2"/>
        <family val="1"/>
        <charset val="2"/>
      </rPr>
      <t>£</t>
    </r>
    <r>
      <rPr>
        <sz val="11"/>
        <rFont val="Arial"/>
        <family val="2"/>
      </rPr>
      <t xml:space="preserve">  Electrical Safety Analyzer, Merek : Fluke, Model : ESA 615 (2853077) / (2853078) / (3148907) / (3148908) / (3699030)</t>
    </r>
  </si>
  <si>
    <t>CmHg ke MmHg</t>
  </si>
  <si>
    <t>kPa ke mmHg</t>
  </si>
  <si>
    <t>Mpa ke mmHg</t>
  </si>
  <si>
    <t>mBar ke mmHg</t>
  </si>
  <si>
    <t>Bar ke mmHg</t>
  </si>
  <si>
    <t>Psi ke mmHg</t>
  </si>
  <si>
    <t>MPa ke kPa</t>
  </si>
  <si>
    <t>Bar ke mBar</t>
  </si>
  <si>
    <t>Hasil Konversi satuan:</t>
  </si>
  <si>
    <t>Hasil Ukur (Satuan : ......................)</t>
  </si>
  <si>
    <t>TANGGAL</t>
  </si>
  <si>
    <t>Pengujian Keselamatan Listrik</t>
  </si>
  <si>
    <t>II.</t>
  </si>
  <si>
    <t>Achmad Fauzan Adzim</t>
  </si>
  <si>
    <t>Fatimah Novrianisa</t>
  </si>
  <si>
    <t>17.7.2019</t>
  </si>
  <si>
    <t xml:space="preserve">Koreksi Relatif </t>
  </si>
  <si>
    <t>( - ..............)</t>
  </si>
  <si>
    <t>satuan :...........</t>
  </si>
  <si>
    <t xml:space="preserve">Koreksi Relatif (%) </t>
  </si>
  <si>
    <t>Daya Baca Alat standar</t>
  </si>
  <si>
    <t>Resolusi Alat</t>
  </si>
  <si>
    <t xml:space="preserve">Ketidakpastian  Pengukuran relatif </t>
  </si>
  <si>
    <t>|KOREKSI RELATIF|+|U95 RELATIF|</t>
  </si>
  <si>
    <t>Koversi DBAL :</t>
  </si>
  <si>
    <t>Satuan Akhir DBAL :</t>
  </si>
  <si>
    <t>Satuan Akhir sertifikat :</t>
  </si>
  <si>
    <t>Konversi sertifikat :</t>
  </si>
  <si>
    <t xml:space="preserve">Arus bocor peralatan untuk peralatan elektromedik kelas I </t>
  </si>
  <si>
    <t xml:space="preserve">Arus bocor peralatan untuk peralatan elektromedik kelas II </t>
  </si>
  <si>
    <t>Resistansi isolasi</t>
  </si>
  <si>
    <t>I. Kondisi Ruang</t>
  </si>
  <si>
    <t>IV. Pengujian Kinerja</t>
  </si>
  <si>
    <t xml:space="preserve">     A. Pengukuran Akurasi Vacuum Gauge</t>
  </si>
  <si>
    <t>A. Pengukuran Akurasi Vacuum Gauge</t>
  </si>
  <si>
    <t xml:space="preserve">     B. Pengukuran Tekanan Hisap Maksimum</t>
  </si>
  <si>
    <t>Pengujian Kinerja</t>
  </si>
  <si>
    <t>B. Pengukuran Tekanan Hisap Maksimum</t>
  </si>
  <si>
    <t xml:space="preserve">Alat Ukur Yang Digunakan :       </t>
  </si>
  <si>
    <t>Alat ukur Yang Digunakan</t>
  </si>
  <si>
    <t>Pemeriksaan Kondisi Fisik dan Fungsi Alat</t>
  </si>
  <si>
    <t>II. Pemeriksaan Kondisi Fisik dan Fungsi Alat</t>
  </si>
  <si>
    <t>Alat Ukur Yang Digunakan :</t>
  </si>
  <si>
    <t>Satuan Standar   :</t>
  </si>
  <si>
    <t>Satuan Akhir Standar :</t>
  </si>
  <si>
    <t>Hasil Konversi Satuan Standar :</t>
  </si>
  <si>
    <t>Hasil Koversi DBAL :</t>
  </si>
  <si>
    <t xml:space="preserve">          MASUKKAN HASIL PENGUKURAN ( ketik tanpa tanda (-) :</t>
  </si>
  <si>
    <t>Daya Baca Alat Standar</t>
  </si>
  <si>
    <t>Petugas Kalibrasi  :  .....................................................</t>
  </si>
  <si>
    <t>26.2.2020</t>
  </si>
  <si>
    <t>MΩ</t>
  </si>
  <si>
    <t>μA</t>
  </si>
  <si>
    <t>SMAF</t>
  </si>
  <si>
    <t>YX980D</t>
  </si>
  <si>
    <t>D11-18-047</t>
  </si>
  <si>
    <t>Ruang Bersalin</t>
  </si>
  <si>
    <t>NIP 198008062010121001</t>
  </si>
  <si>
    <t>cmH20</t>
  </si>
  <si>
    <t>cmH20 ke cmH20</t>
  </si>
  <si>
    <t>mmhg ke cmH20</t>
  </si>
  <si>
    <t>(cmH20)</t>
  </si>
  <si>
    <r>
      <rPr>
        <sz val="10"/>
        <rFont val="Calibri"/>
        <family val="2"/>
      </rPr>
      <t>±</t>
    </r>
    <r>
      <rPr>
        <sz val="10"/>
        <rFont val="Arial"/>
        <family val="2"/>
      </rPr>
      <t xml:space="preserve"> (cmH20)</t>
    </r>
  </si>
  <si>
    <t>Digital Pressure Meter, Merek : Fluke Biomedical, Model : DPM 4-2G, SN : 1831021</t>
  </si>
  <si>
    <t xml:space="preserve">Universal Biometer, Merek : BIO-TEK, Model : DPM 3, SN : 126143 </t>
  </si>
  <si>
    <t>Electrical Safety Analyzer, Merek : FLUKE, Model : ESA620, SN : 1837056</t>
  </si>
  <si>
    <t>Electrical Safety Analyzer, Merek : FLUKE, Model : ESA615, SN : 2853077</t>
  </si>
  <si>
    <t>Electrical Safety Analyzer, Merek : FLUKE, Model : ESA615, SN : 2853078</t>
  </si>
  <si>
    <t>Electrical Safety Analyzer, Merek : FLUKE, Model : ESA615, SN : 3148907</t>
  </si>
  <si>
    <t>Electrical Safety Analyzer, Merek : FLUKE, Model : ESA615, SN : 3148908</t>
  </si>
  <si>
    <t>9.9.2019</t>
  </si>
  <si>
    <t xml:space="preserve">Digital Thermohygrobarometer, Merek : Greisinger, Model : GFT 200, SN : 34903046 </t>
  </si>
  <si>
    <t>Digital Thermohygrobarometer, Merek : Greisinger, Model : GFTB 200, SN : 34903051</t>
  </si>
  <si>
    <t>Digital Thermohygrobarometer, Merek : EXTECH, Model : SD700, SN : A.100609</t>
  </si>
  <si>
    <t>Digital Thermohygrobarometer, Merek : EXTECH, Model : SD700, SN : A.100611</t>
  </si>
  <si>
    <t>Digital Thermohygrobarometer, Merek : EXTECH, Model : SD700, SN : A.100605</t>
  </si>
  <si>
    <t>Electrical Safety Analyzer, Merek : FLUKE, Model : ESA615, SN : 4669058</t>
  </si>
  <si>
    <t>Electrical Safety Analyzer, Merek : FLUKE, Model : ESA615, SN : 4670010</t>
  </si>
  <si>
    <t>TERBARU</t>
  </si>
  <si>
    <t>LAMA</t>
  </si>
  <si>
    <t>Digital Pressure Meter, Merek : Fluke Biomedical, Model : DPM 4-2G, SN : 4611021</t>
  </si>
  <si>
    <t>23.7.2020</t>
  </si>
  <si>
    <t>K. Naik</t>
  </si>
  <si>
    <t>K. Turun</t>
  </si>
  <si>
    <t>K.Turun</t>
  </si>
  <si>
    <t>Digital Pressure Meter, Merek : Fluke Biomedical, Model : DPM 4-2G, SN : 4821027</t>
  </si>
  <si>
    <t>Digital Pressure Meter, Merek : Fluke Biomedical, Model : DPM 4-2G, SN : 4600002</t>
  </si>
  <si>
    <t>Digital Pressure Meter, Merek : Fluke Biomedical, Model : DPM 4-2G, SN : 4821028</t>
  </si>
  <si>
    <t>Digital Pressure Meter, Merek : Fluke Biomedical, Model : DPM 4-2G, SN : 4819018</t>
  </si>
  <si>
    <t>Digital Pressure Meter, Merek : Fluke Biomedical, Model : DPM 4-2G, SN : 4813009</t>
  </si>
  <si>
    <t>Digital Pressure Meter, Merek : Fluke Biomedical, Model : DPM 4-2G, SN : 1831021, 1831023, 4414016, 4414018, 4611021, 4821027</t>
  </si>
  <si>
    <t>Digital Pressure Meter, Merek : Fluke Biomedical, Model : DPM 4-2G, SN : 4600002, 4821028, 4819018, 4813009</t>
  </si>
  <si>
    <t xml:space="preserve">Electrical Safety Analyzer, Merek : FLUKE, Model : ESA620, SN : 1837056, 1834020 </t>
  </si>
  <si>
    <t xml:space="preserve">Digital Thermohygrobarometer, Merek : Greisinger, Model : GFTB 200, SN : 34903051, 34903053 , 34904091 </t>
  </si>
  <si>
    <t>Digital Thermohygrobarometer, Merek : EXTECH, Model : SD700, SN : A.100609, A.100611, A.100605</t>
  </si>
  <si>
    <t>Alat yang dikalibrasi dalam batas toleransi dan dinyatakan LAIK PAKAI, dimana hasil atau skor akhir sama dengan atau melampaui 70% berdasarkan Keputusan Direktur Jenderal Pelayanan Kesehatan No : HK.02.02/V/0412/2020</t>
  </si>
  <si>
    <t>Alat yang dikalibrasi melebihi batas toleransi dan dinyatakan TIDAK LAIK PAKAI, dimana hasil atau skor akhir dibawah 70% berdasarkan Keputusan Direktur Jenderal Pelayanan Kesehatan No : HK.02.02/V/0412/2020</t>
  </si>
  <si>
    <t>Muhammad Alpian Hadi</t>
  </si>
  <si>
    <t>Ahmad Ghazali</t>
  </si>
  <si>
    <t>Ryan Rama Chaesar R</t>
  </si>
  <si>
    <t>Siti Fathul Jannah</t>
  </si>
  <si>
    <t>Azhar Alamsyah</t>
  </si>
  <si>
    <t>Sholihatussa'diah</t>
  </si>
  <si>
    <t>16.11.2020</t>
  </si>
  <si>
    <t>Tanggal</t>
  </si>
  <si>
    <t>Revisi</t>
  </si>
  <si>
    <t>Awal</t>
  </si>
  <si>
    <t>Akhir</t>
  </si>
  <si>
    <t>Belum ada NC NO</t>
  </si>
  <si>
    <t>Arus bocor out masih hijau</t>
  </si>
  <si>
    <t>6.4.2021</t>
  </si>
  <si>
    <t>5.2.2021</t>
  </si>
  <si>
    <t>Hasil pengujian keselamatan listrik tertelusur ke Satuan SI melalui PT. Kaliman</t>
  </si>
  <si>
    <t xml:space="preserve">Hasil pengujian keselamatan listrik tertelusur ke Satuan SI melalui PT. Kaliman </t>
  </si>
  <si>
    <t>16.4.2021</t>
  </si>
  <si>
    <t>Sertifikat SN : 1357056, 3699030, 3148907</t>
  </si>
  <si>
    <t>Nama</t>
  </si>
  <si>
    <t>Venna</t>
  </si>
  <si>
    <t>Rangga</t>
  </si>
  <si>
    <t>Sertifikat 5.2.2021 SN: 1831021, 1831023</t>
  </si>
  <si>
    <t>4.5.2021</t>
  </si>
  <si>
    <t>Sudah diperbaiki</t>
  </si>
  <si>
    <t>Satuan resolusi terlalu jauh (LHK)</t>
  </si>
  <si>
    <t>Iqbal + Venna</t>
  </si>
  <si>
    <t>1.4.2021</t>
  </si>
  <si>
    <t>12.7.2019</t>
  </si>
  <si>
    <t>Electrical Safety Analyzer, Merek : FLUKE, Model : ESA615, SN : 2853077, 2853078, 3148907,  3148908, 3699030, 4669058, 4670010, 3263027</t>
  </si>
  <si>
    <t>Digital Thermohygrobarometer, Merek : EXTECH, Model : SD700, SN : A.100586</t>
  </si>
  <si>
    <t>11.11.2020</t>
  </si>
  <si>
    <t>Digital Thermohygrobarometer, Merek : EXTECH, Model : SD700, SN : A.100616</t>
  </si>
  <si>
    <t>12.11.2020</t>
  </si>
  <si>
    <t>Digital Thermohygrobarometer, Merek : EXTECH, Model : SD700, SN : A.100617</t>
  </si>
  <si>
    <t>Digital Thermohygrobarometer, Merek : EXTECH, Model : SD700, SN : A.100618</t>
  </si>
  <si>
    <t>Digital Thermohygrobarometer, Merek : EXTECH, Model : SD700, SN : A.100615</t>
  </si>
  <si>
    <t>Digital Thermohygrobarometer, Merek : EXTECH, Model : SD700, SN : A.100615, A.100618, A.100617, A.100616, A.100586</t>
  </si>
  <si>
    <t>29.3.2021</t>
  </si>
  <si>
    <t>28.7.2021</t>
  </si>
  <si>
    <t>Update Sertifikat Dpm, thermohygro</t>
  </si>
  <si>
    <t>DONE</t>
  </si>
  <si>
    <t>Hasil pengujian kebocoran dan kalibrasi akurasi tekanan tertelusur ke Satuan SI melalui</t>
  </si>
  <si>
    <t>Hasil pengukuran akurasi vacuum gauge dan tekanan hisap maksimum kalibrasi tertelusur ke Satuan SI melalui</t>
  </si>
  <si>
    <t>9.12.2021</t>
  </si>
  <si>
    <t>Hasil pengukuran akurasi vacuum gauge dan tekanan hisap maksimum tertelusur ke Satuan SI melalui PT. KALIMAN</t>
  </si>
  <si>
    <t>Hasil pengukuran akurasi vacuum gauge dan tekanan hisap maksimum tertelusur ke Satuan SI melalui PPM-LIPI</t>
  </si>
  <si>
    <t>3.1.2022</t>
  </si>
  <si>
    <t>Diman</t>
  </si>
  <si>
    <r>
      <t xml:space="preserve">2. Arus bocor pada selungkup dengan pembumian unit </t>
    </r>
    <r>
      <rPr>
        <i/>
        <sz val="11"/>
        <rFont val="Arial"/>
        <family val="2"/>
      </rPr>
      <t xml:space="preserve">off </t>
    </r>
    <r>
      <rPr>
        <sz val="11"/>
        <rFont val="Arial"/>
        <family val="2"/>
      </rPr>
      <t>polaritas normal</t>
    </r>
  </si>
  <si>
    <r>
      <t xml:space="preserve">3. Arus bocor pada selungkup tanpa pembumian unit </t>
    </r>
    <r>
      <rPr>
        <i/>
        <sz val="11"/>
        <rFont val="Arial"/>
        <family val="2"/>
      </rPr>
      <t xml:space="preserve">off </t>
    </r>
    <r>
      <rPr>
        <sz val="11"/>
        <rFont val="Arial"/>
        <family val="2"/>
      </rPr>
      <t>polaritas normal</t>
    </r>
  </si>
  <si>
    <r>
      <t xml:space="preserve">4. Arus bocor pada selungkup dengan pembumian unit </t>
    </r>
    <r>
      <rPr>
        <i/>
        <sz val="11"/>
        <rFont val="Arial"/>
        <family val="2"/>
      </rPr>
      <t xml:space="preserve">standby </t>
    </r>
    <r>
      <rPr>
        <sz val="11"/>
        <rFont val="Arial"/>
        <family val="2"/>
      </rPr>
      <t>polaritas normal</t>
    </r>
  </si>
  <si>
    <r>
      <t xml:space="preserve">5. Arus bocor pada selungkup tanpa pembumian unit </t>
    </r>
    <r>
      <rPr>
        <i/>
        <sz val="11"/>
        <rFont val="Arial"/>
        <family val="2"/>
      </rPr>
      <t xml:space="preserve">standby </t>
    </r>
    <r>
      <rPr>
        <sz val="11"/>
        <rFont val="Arial"/>
        <family val="2"/>
      </rPr>
      <t>polaritas normal</t>
    </r>
  </si>
  <si>
    <r>
      <t xml:space="preserve">6. Arus bocor pada selungkup dengan pembumian unit </t>
    </r>
    <r>
      <rPr>
        <i/>
        <sz val="11"/>
        <rFont val="Arial"/>
        <family val="2"/>
      </rPr>
      <t>on</t>
    </r>
    <r>
      <rPr>
        <sz val="11"/>
        <rFont val="Arial"/>
        <family val="2"/>
      </rPr>
      <t xml:space="preserve"> polaritas normal</t>
    </r>
  </si>
  <si>
    <r>
      <t>7. Arus bocor pada selungkup tanpa pembumian unit</t>
    </r>
    <r>
      <rPr>
        <i/>
        <sz val="11"/>
        <rFont val="Arial"/>
        <family val="2"/>
      </rPr>
      <t xml:space="preserve"> on </t>
    </r>
    <r>
      <rPr>
        <sz val="11"/>
        <rFont val="Arial"/>
        <family val="2"/>
      </rPr>
      <t>polaritas normal</t>
    </r>
  </si>
  <si>
    <r>
      <t xml:space="preserve">Pembacaan Alat                                                 </t>
    </r>
    <r>
      <rPr>
        <b/>
        <sz val="11"/>
        <color theme="1"/>
        <rFont val="Arial"/>
        <family val="2"/>
      </rPr>
      <t>(Satuan : ......................)</t>
    </r>
  </si>
  <si>
    <r>
      <rPr>
        <sz val="11"/>
        <color theme="1"/>
        <rFont val="Arial"/>
        <family val="2"/>
      </rPr>
      <t>Pembacaan Standar</t>
    </r>
    <r>
      <rPr>
        <b/>
        <sz val="11"/>
        <color theme="1"/>
        <rFont val="Arial"/>
        <family val="2"/>
      </rPr>
      <t xml:space="preserve"> ( Satuan : ...................................)</t>
    </r>
  </si>
  <si>
    <r>
      <rPr>
        <u/>
        <sz val="8"/>
        <color indexed="8"/>
        <rFont val="Arial"/>
        <family val="2"/>
      </rPr>
      <t>&lt;</t>
    </r>
    <r>
      <rPr>
        <sz val="8"/>
        <color indexed="8"/>
        <rFont val="Arial"/>
        <family val="2"/>
      </rPr>
      <t xml:space="preserve"> 500 µA </t>
    </r>
  </si>
  <si>
    <r>
      <t xml:space="preserve">Awal </t>
    </r>
    <r>
      <rPr>
        <b/>
        <sz val="11"/>
        <color theme="1"/>
        <rFont val="Arial"/>
        <family val="2"/>
      </rPr>
      <t>:</t>
    </r>
  </si>
  <si>
    <r>
      <t xml:space="preserve">Akhir </t>
    </r>
    <r>
      <rPr>
        <b/>
        <sz val="11"/>
        <color theme="1"/>
        <rFont val="Arial"/>
        <family val="2"/>
      </rPr>
      <t>:</t>
    </r>
  </si>
  <si>
    <t>Pembacaan           Alat</t>
  </si>
  <si>
    <t>5.1.2022</t>
  </si>
  <si>
    <t>Kesalahan formula pada nilai rata-rata terkoreksi turun (linknya pada koreksi naik) AD26</t>
  </si>
  <si>
    <t>DONE (AH26)</t>
  </si>
  <si>
    <t>Choirul Huda, S.Tr. Kes</t>
  </si>
  <si>
    <t>TENGAH</t>
  </si>
  <si>
    <t>Naik Tengah</t>
  </si>
  <si>
    <t>Naik Lama</t>
  </si>
  <si>
    <t>Turun Tengah</t>
  </si>
  <si>
    <t>Turun Lama</t>
  </si>
  <si>
    <t>27.1.2022</t>
  </si>
  <si>
    <t>ditambahkan max U95</t>
  </si>
  <si>
    <t>tidak ada max U95 pada tegangan jala jala</t>
  </si>
  <si>
    <t>mucul jenis error : value pada sertifikat dpm pada kolom konversi</t>
  </si>
  <si>
    <t>penambahan 1 buah koreksi sertifikat ( sertifikat lama) sehingga saat ini muncul 3 buah koreksi sertifikat berbeda ( sertifikat baru, tengah dan lama) pada tahun berbeda guna keperluan drift</t>
  </si>
  <si>
    <t>2 buah koreksi setifikat (sertifikat terbaru dan sertifikat sebelumnya)</t>
  </si>
  <si>
    <t>G</t>
  </si>
  <si>
    <t>NG</t>
  </si>
  <si>
    <t>KELAS 1</t>
  </si>
  <si>
    <t>KELAS 1 (KABEL)</t>
  </si>
  <si>
    <t>posisi NG (arus bocor (-) nilai 20) + Resistansi isolasi nilai 10 + Resistansi pembumian protektif  nilai 10 sehingga total nilai 40</t>
  </si>
  <si>
    <t>posisi NG (arus bocor (-) nilai 0) + Resistansi isolasi nilai 10 + Resistansi pembumian protektif  nilai 10 sehingga total nilai 20</t>
  </si>
  <si>
    <t>posisi G (arus bocor (&gt;=500) nilai 0) + Resistansi isolasi nilai 10 + Resistansi pembumian protektif  nilai 10 sehingga total nilai 20</t>
  </si>
  <si>
    <t>posisi G (arus bocor (&gt;=500) nilai 0) + Resistansi isolasi nilai 10 + Resistansi pembumian protektif  nilai 10 sehingga total nilai 0</t>
  </si>
  <si>
    <t>jenis error value dirapikan menjadi "-" pada rumus if error</t>
  </si>
  <si>
    <t>9.3.2017</t>
  </si>
  <si>
    <t>16.6.2021</t>
  </si>
  <si>
    <t>8.6.2021</t>
  </si>
  <si>
    <t>27.7.2020</t>
  </si>
  <si>
    <t>31.5.2021</t>
  </si>
  <si>
    <t>34903051, 1.4.2021</t>
  </si>
  <si>
    <t>suhu</t>
  </si>
  <si>
    <t>kelembaban</t>
  </si>
  <si>
    <t>Tegangan</t>
  </si>
  <si>
    <t>Tekanan Udara</t>
  </si>
  <si>
    <t xml:space="preserve">1000-1010 </t>
  </si>
  <si>
    <t>Resistansi</t>
  </si>
  <si>
    <t>PE</t>
  </si>
  <si>
    <t>220-230</t>
  </si>
  <si>
    <t>3148908, 28.1.2019</t>
  </si>
  <si>
    <t>0.1-1</t>
  </si>
  <si>
    <t>Leakage</t>
  </si>
  <si>
    <t>200-500</t>
  </si>
  <si>
    <t>1831023, 5.2.2021</t>
  </si>
  <si>
    <t>-100 s.d -200</t>
  </si>
  <si>
    <t>-200 s.d -300</t>
  </si>
  <si>
    <t>-300 s.d -400</t>
  </si>
  <si>
    <t>0 s.d -100</t>
  </si>
  <si>
    <t>vacuum gauge</t>
  </si>
  <si>
    <t>Tekanan hisap maksimal</t>
  </si>
  <si>
    <t>-500 s.d -600</t>
  </si>
  <si>
    <t>sertifikat standar</t>
  </si>
  <si>
    <t>drift</t>
  </si>
  <si>
    <t>3.2.2022</t>
  </si>
  <si>
    <t>Validasi rumus excell setelah perubahan</t>
  </si>
  <si>
    <t>sudah divalidasi rumus excell</t>
  </si>
  <si>
    <t>Koreksi 0 Leakage ESA 615 3699030 = 0</t>
  </si>
  <si>
    <t>Koreksi 0 Leakage ESA 615 3699030 = 1.7</t>
  </si>
  <si>
    <t>4.2.2022</t>
  </si>
  <si>
    <t>NIP 197806222002122001</t>
  </si>
  <si>
    <t>Yuni Irmawati, SKM., MA</t>
  </si>
  <si>
    <t>Fasilitas Kesehatan Banjarbaru</t>
  </si>
  <si>
    <t>Kepala Loka Pengamanan</t>
  </si>
  <si>
    <t>Banjarbaru,</t>
  </si>
  <si>
    <t>Laboratorium Kalibrasi LPFK Banjarbaru</t>
  </si>
  <si>
    <t xml:space="preserve">: </t>
  </si>
  <si>
    <t>Jalan Brigjend Hasan Basri</t>
  </si>
  <si>
    <t>Alamat Pemilik</t>
  </si>
  <si>
    <t>Negeri</t>
  </si>
  <si>
    <t xml:space="preserve">Identitas Pemilik     : </t>
  </si>
  <si>
    <t>RSUD Datu Sanggul</t>
  </si>
  <si>
    <t>Nama Pemilik      :</t>
  </si>
  <si>
    <t>Kapasitas</t>
  </si>
  <si>
    <t>Nomor Seri</t>
  </si>
  <si>
    <t>Model / Tipe</t>
  </si>
  <si>
    <t>Merek</t>
  </si>
  <si>
    <t xml:space="preserve">Nomor Order           : </t>
  </si>
  <si>
    <t>Timbangan Dewasa</t>
  </si>
  <si>
    <t xml:space="preserve">Nama Alat            : </t>
  </si>
  <si>
    <t>ISI DATA DISINI ^^</t>
  </si>
  <si>
    <t>Agustus</t>
  </si>
  <si>
    <t xml:space="preserve">                                                                 </t>
  </si>
  <si>
    <t>Tahun</t>
  </si>
  <si>
    <t>Bulan</t>
  </si>
  <si>
    <t>Tanggal kalibrasi alat</t>
  </si>
  <si>
    <t>SERTIFIKAT KALIBRASI</t>
  </si>
  <si>
    <t>Nama Alat</t>
  </si>
  <si>
    <t>MK 141 - 19</t>
  </si>
  <si>
    <t>GM.S - 141-2019 / REV : 0</t>
  </si>
  <si>
    <t>FV.MK - 14</t>
  </si>
  <si>
    <t>FV.S - 14 / REV : 0</t>
  </si>
  <si>
    <t>HFNC</t>
  </si>
  <si>
    <t>KL.MK - 14</t>
  </si>
  <si>
    <t>KL. S - 14 / REV : 0</t>
  </si>
  <si>
    <t>Bedside Monitor with Defibrillator</t>
  </si>
  <si>
    <t>KL.S - 14 / REV : 0</t>
  </si>
  <si>
    <r>
      <t>Defibrillator with ECG with SPO</t>
    </r>
    <r>
      <rPr>
        <sz val="11"/>
        <color theme="1"/>
        <rFont val="Calibri"/>
        <family val="2"/>
      </rPr>
      <t>₂</t>
    </r>
  </si>
  <si>
    <t>MK 081 - 2019</t>
  </si>
  <si>
    <t>SH.S - 081 - 2019 / REV :0</t>
  </si>
  <si>
    <t>Blood Warmer</t>
  </si>
  <si>
    <t>Medical Freezer</t>
  </si>
  <si>
    <t>Stirrer</t>
  </si>
  <si>
    <t>Parafin Bath</t>
  </si>
  <si>
    <t>Mikropipet Multi Channel</t>
  </si>
  <si>
    <t>SK.MK - 09</t>
  </si>
  <si>
    <t>SH.S - 09 / REV : 0</t>
  </si>
  <si>
    <t>Water Bath</t>
  </si>
  <si>
    <t>T.MK - 04 (ECRI 459 - 20010301)</t>
  </si>
  <si>
    <t>T.S - 04 / REV : 0</t>
  </si>
  <si>
    <t>Wall Suction</t>
  </si>
  <si>
    <t>FV.MK - 10</t>
  </si>
  <si>
    <t>FV.S - 10 / REV : 0</t>
  </si>
  <si>
    <t>Ventilator</t>
  </si>
  <si>
    <t>FV.MK - 08 (ECRI 436 - 20010301)</t>
  </si>
  <si>
    <t>FV.S - 08 / REV : 0</t>
  </si>
  <si>
    <t>Vaporizer</t>
  </si>
  <si>
    <t>Vacuum Extractor</t>
  </si>
  <si>
    <t>MK 067 - 18</t>
  </si>
  <si>
    <t>OA.S - 067 - 18 / REV : 0</t>
  </si>
  <si>
    <t>UV Sterilizer</t>
  </si>
  <si>
    <t>UV Lamp</t>
  </si>
  <si>
    <t>MK 065 - 18</t>
  </si>
  <si>
    <t>OA.S - 065 - 18 / REV : 0</t>
  </si>
  <si>
    <t>USG</t>
  </si>
  <si>
    <t>KL.MK - 10</t>
  </si>
  <si>
    <t>KL.S - 11 / REV : 0</t>
  </si>
  <si>
    <t>Ultrasound Therapy</t>
  </si>
  <si>
    <t>MK 054 - 18</t>
  </si>
  <si>
    <t>WF.S - 054-18 / REV : 1</t>
  </si>
  <si>
    <t>Treadmill with ECG</t>
  </si>
  <si>
    <t>Treadmill</t>
  </si>
  <si>
    <t>GM.MK - 07</t>
  </si>
  <si>
    <t>GM.S - 07 / REV : 1</t>
  </si>
  <si>
    <t>Traction Unit</t>
  </si>
  <si>
    <t>MK 051-18</t>
  </si>
  <si>
    <t>GM.S - 051-18 / REV : 0</t>
  </si>
  <si>
    <t>Timbangan Bayi</t>
  </si>
  <si>
    <t>SH.MK - 11</t>
  </si>
  <si>
    <t>SH.S - 11 / REV : 0</t>
  </si>
  <si>
    <t>Thermometer Klinik</t>
  </si>
  <si>
    <t>MK 047 - 18</t>
  </si>
  <si>
    <t>FV.S - 047-18 / REV : 0</t>
  </si>
  <si>
    <t>Syringe Pump</t>
  </si>
  <si>
    <t>Suction Thorax</t>
  </si>
  <si>
    <t>MK 044 - 18</t>
  </si>
  <si>
    <t>SH.S - 044-18 / REV : 1</t>
  </si>
  <si>
    <t>Sterilisator Kering</t>
  </si>
  <si>
    <t>SH.MK - 08</t>
  </si>
  <si>
    <t>SH.LHU - 08 / REV.0</t>
  </si>
  <si>
    <t>Sterilisator Basah</t>
  </si>
  <si>
    <t>FV.MK - 04</t>
  </si>
  <si>
    <t>FV.S - 04 / REV : 0</t>
  </si>
  <si>
    <t>Spirometer</t>
  </si>
  <si>
    <t>MK 042 - 18</t>
  </si>
  <si>
    <t>T.S - 042 - 18 / REV : 1</t>
  </si>
  <si>
    <t>Sphygmomanometer</t>
  </si>
  <si>
    <t>Short Wave Diathermi</t>
  </si>
  <si>
    <t>MK 041-18</t>
  </si>
  <si>
    <t>OA.S - 041-18 / REV : 1</t>
  </si>
  <si>
    <t>Pulse Oxymeter</t>
  </si>
  <si>
    <t>MK 038 - 18</t>
  </si>
  <si>
    <t>OA.S - 038-18 / REV : 0</t>
  </si>
  <si>
    <t>Phototherapy</t>
  </si>
  <si>
    <t>MK 036 - 18</t>
  </si>
  <si>
    <t>SH.S - 036-18 /REV : 0</t>
  </si>
  <si>
    <t>Oven</t>
  </si>
  <si>
    <t>MK 037 - 18</t>
  </si>
  <si>
    <t>FV.S - 037-18 / REV : 0</t>
  </si>
  <si>
    <t>Oxygen Concentrator</t>
  </si>
  <si>
    <t>MK 035 - 18</t>
  </si>
  <si>
    <t>FV.S - 035-18 / REV : 0</t>
  </si>
  <si>
    <t>Nebulizer</t>
  </si>
  <si>
    <t>FV.MK - 13</t>
  </si>
  <si>
    <t>FV.S - 13 / REV : 0</t>
  </si>
  <si>
    <t>Mikropipet Variable</t>
  </si>
  <si>
    <t>MK 114 - 2019</t>
  </si>
  <si>
    <t>FV.S - 114-19 / REV : 0</t>
  </si>
  <si>
    <t>Mikropipet Fixed</t>
  </si>
  <si>
    <t>FV.MK - 07</t>
  </si>
  <si>
    <t>FV.S - 07 / REV : 0</t>
  </si>
  <si>
    <t>Anesthesi Unit</t>
  </si>
  <si>
    <t>OA.MK - 06 (IEC 60601 - 2 41)</t>
  </si>
  <si>
    <t>OA.S - 06 / REV : 0</t>
  </si>
  <si>
    <t>Lampu Operasi (Mobile Type)</t>
  </si>
  <si>
    <t>MK 029 - 18</t>
  </si>
  <si>
    <t>OA.S - 029-18 / REV : 0</t>
  </si>
  <si>
    <t>Lampu Operasi (Ceiling Type)</t>
  </si>
  <si>
    <t>MK 040-18</t>
  </si>
  <si>
    <t>WF.S - 040-18 / REV : 1</t>
  </si>
  <si>
    <t>Rotator</t>
  </si>
  <si>
    <t>SH.MK - 07</t>
  </si>
  <si>
    <t>SH.S - 07 / REV : 0</t>
  </si>
  <si>
    <t>Laboratorium Refrigerator</t>
  </si>
  <si>
    <t>MK 028 - 18</t>
  </si>
  <si>
    <t>SH.S - 028 - 18 / REV : 1</t>
  </si>
  <si>
    <t>Inkubator Laboratorium</t>
  </si>
  <si>
    <t>MK 027-18</t>
  </si>
  <si>
    <t>FV.S - 027-18 / REV : 0</t>
  </si>
  <si>
    <t>Infusion Pump</t>
  </si>
  <si>
    <t>SH.MK - 04</t>
  </si>
  <si>
    <t>SH.S - 04 / REV : 0</t>
  </si>
  <si>
    <t>Infant Warmer</t>
  </si>
  <si>
    <t>Heart Rate Monitor</t>
  </si>
  <si>
    <t>OA.MK - 011</t>
  </si>
  <si>
    <t>OA.S - 011 / REV : 0</t>
  </si>
  <si>
    <t>Head Lamp</t>
  </si>
  <si>
    <t>FV.MK - 12</t>
  </si>
  <si>
    <t>FV.S - 12 / REV : 0</t>
  </si>
  <si>
    <t>Hemodialisa</t>
  </si>
  <si>
    <t>MK 025 - 18</t>
  </si>
  <si>
    <t>FV.S - 025-18 / REV : 0</t>
  </si>
  <si>
    <t>Flowmeter</t>
  </si>
  <si>
    <t>OA.MK - 04</t>
  </si>
  <si>
    <t>OA.S - 04 / REV : 0</t>
  </si>
  <si>
    <t>Examination Lamp</t>
  </si>
  <si>
    <t>KL.MK - 06</t>
  </si>
  <si>
    <t>KL.S - 06 / REV : 0</t>
  </si>
  <si>
    <t>Electrosurgery Unit</t>
  </si>
  <si>
    <t>KL.MK - 11</t>
  </si>
  <si>
    <t>Elektro Stimulator</t>
  </si>
  <si>
    <t>MK 021 - 18</t>
  </si>
  <si>
    <t>KL.S - 021-18 / REV : 1</t>
  </si>
  <si>
    <t>EEG</t>
  </si>
  <si>
    <t>MK 020 - 18</t>
  </si>
  <si>
    <t>KL.S - 020-18 / REV : 0</t>
  </si>
  <si>
    <t>Electrocardiograph</t>
  </si>
  <si>
    <t>MK 024 - 18</t>
  </si>
  <si>
    <t>OA.S - 024 - 18 / REV : 1</t>
  </si>
  <si>
    <t>Fetal Doppler</t>
  </si>
  <si>
    <t>GM.MK - 03</t>
  </si>
  <si>
    <t>GM.S - 03 / REV : 0</t>
  </si>
  <si>
    <t>Dental Unit</t>
  </si>
  <si>
    <t>KL.MK - 03</t>
  </si>
  <si>
    <t>KL.S - 03 / REV : 0</t>
  </si>
  <si>
    <t>Defibrillator with ECG</t>
  </si>
  <si>
    <t>Defibrillator Monitor</t>
  </si>
  <si>
    <t>Defibrillator</t>
  </si>
  <si>
    <t>MK 015 - 18</t>
  </si>
  <si>
    <t>OA.S - 015-18 / REV : 1</t>
  </si>
  <si>
    <t>CTG</t>
  </si>
  <si>
    <t>Desember</t>
  </si>
  <si>
    <t>MK 017-18</t>
  </si>
  <si>
    <t>FV.S 017-18 / REV : 0</t>
  </si>
  <si>
    <t>CPAP</t>
  </si>
  <si>
    <t>November</t>
  </si>
  <si>
    <t>MK 016 - 18</t>
  </si>
  <si>
    <t>WF.S - 016-18 / REV : 0</t>
  </si>
  <si>
    <t>Centrifuge Refrigerator</t>
  </si>
  <si>
    <t xml:space="preserve">Oktober </t>
  </si>
  <si>
    <t>Centrifuge</t>
  </si>
  <si>
    <t>September</t>
  </si>
  <si>
    <t>MK 014 - 18</t>
  </si>
  <si>
    <t>T.S 014-18 / REV : 1</t>
  </si>
  <si>
    <t>Blood Pressure Monitor</t>
  </si>
  <si>
    <t>SH.MK - 03</t>
  </si>
  <si>
    <t>SH.S - 03 / REV : 0</t>
  </si>
  <si>
    <t>Blood Bank</t>
  </si>
  <si>
    <t xml:space="preserve">Juli </t>
  </si>
  <si>
    <t>KL.MK - 05</t>
  </si>
  <si>
    <t>KL.S - 05 / REV : 0</t>
  </si>
  <si>
    <t>Patient Monitor</t>
  </si>
  <si>
    <t>Juni</t>
  </si>
  <si>
    <t>SH.MK - 02</t>
  </si>
  <si>
    <t>SH.S - 02 / REV : 0</t>
  </si>
  <si>
    <t>Baby Incubator</t>
  </si>
  <si>
    <t>Mei</t>
  </si>
  <si>
    <t>SH.MK - 01</t>
  </si>
  <si>
    <t>SH.S - 01 / REV : 0</t>
  </si>
  <si>
    <t>Autoclave</t>
  </si>
  <si>
    <t xml:space="preserve">April </t>
  </si>
  <si>
    <t>MK 007 - 18</t>
  </si>
  <si>
    <t>OA.S - 007-18 / REV : 1</t>
  </si>
  <si>
    <t>Audiometer</t>
  </si>
  <si>
    <t xml:space="preserve">Maret </t>
  </si>
  <si>
    <t>FV.MK - 09</t>
  </si>
  <si>
    <t>FV. S - 09 / REV : 0</t>
  </si>
  <si>
    <t>Anasthesi Ventilator</t>
  </si>
  <si>
    <t xml:space="preserve">Februari </t>
  </si>
  <si>
    <t>MK 004 - 18</t>
  </si>
  <si>
    <t>GM.S - 004-18 / REV : 1</t>
  </si>
  <si>
    <t>Analitical Balance</t>
  </si>
  <si>
    <t>Januari</t>
  </si>
  <si>
    <t>MK 046 - 18</t>
  </si>
  <si>
    <t>T.S - 046 - 18 / REV : 1</t>
  </si>
  <si>
    <t>Suction Pump</t>
  </si>
  <si>
    <t>Kode MK</t>
  </si>
  <si>
    <t>Kode Alat</t>
  </si>
  <si>
    <t>6 / II - 21 / E - 012.12 DL</t>
  </si>
  <si>
    <t>Menambahkan sheet Sertifikat</t>
  </si>
  <si>
    <t>11.2.2022</t>
  </si>
  <si>
    <t>tegangan jala jala pada maksimal U95 tidak bisa (-)</t>
  </si>
  <si>
    <t>sudah bisa (-) pada maksimal U95</t>
  </si>
  <si>
    <t>14.2.2022</t>
  </si>
  <si>
    <t>Kelas I</t>
  </si>
  <si>
    <t>Input NC</t>
  </si>
  <si>
    <t>NO</t>
  </si>
  <si>
    <t>TERKOREKSI</t>
  </si>
  <si>
    <t>Tidak terdapat grounding di ruangan</t>
  </si>
  <si>
    <t>Alat tidak boleh digunakan pada instalasi tanpa dilengkapi grounding</t>
  </si>
  <si>
    <t>NC</t>
  </si>
  <si>
    <t>PENTING</t>
  </si>
  <si>
    <t>KETERANGAN :</t>
  </si>
  <si>
    <t>Resistansi pembumian protektif (kabel dapat dilepas)</t>
  </si>
  <si>
    <t>Resistansi pembumian protektif (kabel tidak dapat dilepas)</t>
  </si>
  <si>
    <t>≤ 0.3 Ω</t>
  </si>
  <si>
    <t xml:space="preserve"> MΩ</t>
  </si>
  <si>
    <t xml:space="preserve"> Ω</t>
  </si>
  <si>
    <t xml:space="preserve"> μA</t>
  </si>
  <si>
    <t>Misal : T.UB - 046-18/ REV : 1</t>
  </si>
  <si>
    <t>menjadi :T.046-18 pada semua sheet</t>
  </si>
  <si>
    <t>2.3.2022</t>
  </si>
  <si>
    <t xml:space="preserve">Resistansi pembumian protektif </t>
  </si>
  <si>
    <t>Menjadi : Resistansi pembumian protektif (kabel dapat dilepas) ≤ 0.2 Ω dan Resistansi pembumian protektif (kabel tidak dapat dilepas) ≤ 0.3 Ω</t>
  </si>
  <si>
    <t>menjadi 3 µA terpisah menjadi 1 cell untuk 3 dan µA</t>
  </si>
  <si>
    <t>Hasil ukur pada input data misal 3 µA dalam satu cell</t>
  </si>
  <si>
    <t>kolom keterangan : catu daya baterai dan tidak terdapat grounding ruangan</t>
  </si>
  <si>
    <t>Menjadi : Alat tidak boleh digunakan pada instalasi tanpa dilengkapi grounding, Tidak terdapat grounding di ruangan, Catu daya menggunakan baterai</t>
  </si>
  <si>
    <t>Penggunaan  Catu daya menggunakan baterai ketika aktif akan menghilangkan keterangan diatasnya</t>
  </si>
  <si>
    <t>4.3.2022</t>
  </si>
  <si>
    <t>Satuan pada hasil ukur LH : MΩ, Ω, µa</t>
  </si>
  <si>
    <t>berubah menjadi otomatis contoh : IF(Q24="-","",IF(Q24="NC","",IF(Q24="OL","",IF(Q24="OR",""," MΩ"))))</t>
  </si>
  <si>
    <t>±</t>
  </si>
  <si>
    <t xml:space="preserve"> µa</t>
  </si>
  <si>
    <t xml:space="preserve"> ˚C</t>
  </si>
  <si>
    <t xml:space="preserve"> % RH</t>
  </si>
  <si>
    <t xml:space="preserve"> Volt</t>
  </si>
  <si>
    <t xml:space="preserve"> hPa</t>
  </si>
  <si>
    <t>7.3.2022</t>
  </si>
  <si>
    <t>skor ARUS BOCOR KELAS II kondisi "-" dan kondisi melebihi MPE</t>
  </si>
  <si>
    <t>ARUS BOCOR KELAS II kondisi "-" skor 20dan kondisi melebihi MPE skor 0</t>
  </si>
  <si>
    <t>Rangga dan alphian</t>
  </si>
  <si>
    <t>skor kelas 1 dan 2</t>
  </si>
  <si>
    <t>Jalan ABC</t>
  </si>
  <si>
    <t>NOMOR ORDER</t>
  </si>
  <si>
    <t>KUNCI KOP SERTIFIKAT</t>
  </si>
  <si>
    <t>PENENTU KOP SERTIFIKAT</t>
  </si>
  <si>
    <t>BAHAN</t>
  </si>
  <si>
    <t>SERTIFIKAT PENGUJIAN</t>
  </si>
  <si>
    <t>BAHAN RUANGAN &amp; PENANGGUNG JAWAB</t>
  </si>
  <si>
    <t>NAMA RUANGAN PADA INPUT DATA</t>
  </si>
  <si>
    <t>MENAMBAH 1 TAHUN SEBELUMNYA</t>
  </si>
  <si>
    <t>MERUBAH DARI ANGKA KE HURUF</t>
  </si>
  <si>
    <t>HASIL KALIBRASI</t>
  </si>
  <si>
    <t>BAHAN GABUNGAN</t>
  </si>
  <si>
    <t xml:space="preserve">Laik Pakai, disarankan untuk dikalibrasi ulang pada tanggal </t>
  </si>
  <si>
    <t xml:space="preserve">Laik Pakai, disarankan untuk diuji ulang pada tanggal </t>
  </si>
  <si>
    <t>Digital Pressure Meter, Merek : Fluke Biomedical, Model : DPM 4-2G, SN : 1831023</t>
  </si>
  <si>
    <t>Digital Pressure Meter, Merek : Fluke Biomedical, Model : DPM 4-2G, SN : 4414016</t>
  </si>
  <si>
    <t>Digital Pressure Meter, Merek : Fluke Biomedical, Model : DPM 4-2G, SN : 4414018</t>
  </si>
  <si>
    <t>Universal Biometer, Merek : BIO-TEK, Model : DPM 3, SN : 126143</t>
  </si>
  <si>
    <t>OA.046-18</t>
  </si>
  <si>
    <t>KUNCI :</t>
  </si>
  <si>
    <t>H68+(FORECAST(H68,INDEX('DATA 1'!$C$6:$C$14,MATCH(H68,'DATA 1'!$B$6:$B$14,1)):INDEX('DATA 1'!$C$6:$C$14,MATCH(H68,'DATA 1'!$B$6:$B$14,1)+1),INDEX('DATA 1'!$B$6:$B$14,MATCH(H68,'DATA 1'!$B$6:$B$14,1)):INDEX('DATA 1'!$B$6:$B$14,MATCH(H68,'DATA 1'!$B$6:$B$14,1)+1)))</t>
  </si>
  <si>
    <t>UNCERTAINTY BUDGET  (SERTIFIKAT STANDAR)</t>
  </si>
  <si>
    <t>UNCERTAINTY BUDGET  (DRIFT)</t>
  </si>
  <si>
    <t>INTERPOLASI KOREKSI NAIK</t>
  </si>
  <si>
    <t>INTERPOLASI KOREKSI TURUN</t>
  </si>
  <si>
    <t>INTERPOLASI U95 NAIK</t>
  </si>
  <si>
    <t>INTERPOLASI U95 TURUN</t>
  </si>
  <si>
    <t>DRIFT NAIK</t>
  </si>
  <si>
    <t>X</t>
  </si>
  <si>
    <t>Y1</t>
  </si>
  <si>
    <t>Y2</t>
  </si>
  <si>
    <t>X1</t>
  </si>
  <si>
    <t>X2</t>
  </si>
  <si>
    <t>INTERPOLASI (Y)</t>
  </si>
  <si>
    <t>Koreksi Naik Terbaru</t>
  </si>
  <si>
    <t>Koreksi Turun Terbaru</t>
  </si>
  <si>
    <t>BAB : INTERPOLASI PENGHASIL NILAI RATA RATA TERKOREKSI TEKANAN HISAP MAKSIMUM</t>
  </si>
  <si>
    <t>BAB : INTERPOLASI PENGHASIL NILAI RATA RATA TERKOREKSI AKURASI VACUUM GAUGE</t>
  </si>
  <si>
    <t>SERTIFIKAT THERMOHYGROMETER</t>
  </si>
  <si>
    <t>BAB : SUHU KELEMBABABAN TEKANAN</t>
  </si>
  <si>
    <t>KOREKSI SUHU AWAL</t>
  </si>
  <si>
    <t>KOREKSI SUHU AKHIR</t>
  </si>
  <si>
    <t>KOREKSI KELEMBABABAN AWAL</t>
  </si>
  <si>
    <t>KOREKSI KELEMBABABAN AKHIR</t>
  </si>
  <si>
    <t>KOREKSI TEKANAN UDARA</t>
  </si>
  <si>
    <t>VAC</t>
  </si>
  <si>
    <t>SERTIFIKAT KELISTRIKAN</t>
  </si>
  <si>
    <t>RISISTANCE</t>
  </si>
  <si>
    <t>EARTH LEAKAGE</t>
  </si>
  <si>
    <t>KELEMBABABAN</t>
  </si>
  <si>
    <t>KOREKSI PROTECTIVE EARTH (PE)  ( MΩ )</t>
  </si>
  <si>
    <t>KOREKSI TEGANGAN JALA JALA (Volt)</t>
  </si>
  <si>
    <t>KOREKSI RESISTANCE  ( Ω )</t>
  </si>
  <si>
    <t>KOREKSI EARTH LEAKAGE ( uA )</t>
  </si>
  <si>
    <t>KOREKSI EARTH LEAKAGE ( uA ) UNTUK INPUT NC</t>
  </si>
  <si>
    <t>12.4.2022</t>
  </si>
  <si>
    <t>update interpolasi</t>
  </si>
  <si>
    <t>27.2.2022</t>
  </si>
  <si>
    <t>Hasil pengukuran akurasi vacuum gauge dan tekanan hisap maksimum tertelusur ke Satuan SI melalui  Laboratorium SNSU-BSN</t>
  </si>
  <si>
    <t>Digital Thermohygrobarometer, Merek : Greisinger, Model : GFT 200, SN : 34903046</t>
  </si>
  <si>
    <t>Digital Thermohygrobarometer, Merek : Greisinger, Model : GFTB 200, SN : 34903053</t>
  </si>
  <si>
    <t>Digital Thermohygrobarometer, Merek : Greisinger, Model : GFTB 200, SN : 34904091</t>
  </si>
  <si>
    <t>9.3.2022</t>
  </si>
  <si>
    <t>Electrical Safety Analyzer, Merek : FLUKE, Model : ESA615, SN : 3699030</t>
  </si>
  <si>
    <t>Electrical Safety Analyzer, Merek : FLUKE, Model : ESA620, SN : 1834020</t>
  </si>
  <si>
    <t>6.4.2022</t>
  </si>
  <si>
    <t>update sertifikat suction pump 4600002 (27.2.2022), 4821028 (27.2.2022),  4821027 (27.2.2022), 4819018 (27.2.2022), 4813009 (27.2.2022),  4611021 (27.2.2022), 4669058 (9.3.2022), 2853077 (9.3.2022), 4670010 (11.2.2022), 3699030 (11.2.2022), 3148908 (11.2.2022), 3148907 (8.6.2021), A.100605 (2.3.2022). A.100611 (4.3.2022), A.100609 (4.3.2022)</t>
  </si>
  <si>
    <t xml:space="preserve">Rangga </t>
  </si>
  <si>
    <r>
      <t>Resistansi isolasi (M</t>
    </r>
    <r>
      <rPr>
        <sz val="12"/>
        <rFont val="Calibri"/>
        <family val="2"/>
      </rPr>
      <t>Ω)</t>
    </r>
  </si>
  <si>
    <r>
      <t>Arus bocor peralatan untuk peralatan elektromedik kelas I (</t>
    </r>
    <r>
      <rPr>
        <sz val="12"/>
        <rFont val="Calibri"/>
        <family val="2"/>
      </rPr>
      <t>µA</t>
    </r>
    <r>
      <rPr>
        <sz val="12"/>
        <rFont val="Calibri"/>
        <family val="2"/>
        <scheme val="minor"/>
      </rPr>
      <t>)</t>
    </r>
  </si>
  <si>
    <t>Arus bocor peralatan untuk peralatan elektromedik kelas II (µA)</t>
  </si>
  <si>
    <r>
      <t>Resistansi pembumian protektif (kabel dapat dilepas) (</t>
    </r>
    <r>
      <rPr>
        <sz val="12"/>
        <rFont val="Calibri"/>
        <family val="2"/>
      </rPr>
      <t>Ω)</t>
    </r>
  </si>
  <si>
    <t>Resistansi pembumian protektif (kabel tidak dapat dilepas) (Ω)</t>
  </si>
  <si>
    <t>Resistansi pembumian protektif (kabel dapat dilepas) (Ω)</t>
  </si>
  <si>
    <t>≤ 100 µA</t>
  </si>
  <si>
    <t>BAB : KELISTRIKAN</t>
  </si>
  <si>
    <t>OL</t>
  </si>
  <si>
    <t>Rev 25 : 12.4.2022</t>
  </si>
  <si>
    <t>KONVERSI DARI SERTIFIKAT DPM UNTUK TEKANAN HISAP MAKSIMUM</t>
  </si>
  <si>
    <t>BERASAL DARI SERTIFIKAT DPM TERKONVERSI</t>
  </si>
  <si>
    <t>BERASAL DARI SERTIFIKAT DPM SATUAN mmHg</t>
  </si>
  <si>
    <t>BERASAL DARI SERTIFIKAT THERMOHYGROMETER</t>
  </si>
  <si>
    <t>BERASAL DARI SERTIFIKAT KELISTRIKAN</t>
  </si>
  <si>
    <t>18.5.2022</t>
  </si>
  <si>
    <t>revisi interpolasi tekanan hisap</t>
  </si>
  <si>
    <t>T.UB 046-18/REV:1</t>
  </si>
  <si>
    <t>revisi T.LHK, LP, UB, ID, LK</t>
  </si>
  <si>
    <t>mmHg ke inHg</t>
  </si>
  <si>
    <t>(inHg)</t>
  </si>
  <si>
    <r>
      <rPr>
        <sz val="10"/>
        <rFont val="Calibri"/>
        <family val="2"/>
      </rPr>
      <t>±</t>
    </r>
    <r>
      <rPr>
        <sz val="10"/>
        <rFont val="Arial"/>
        <family val="2"/>
      </rPr>
      <t xml:space="preserve"> (inHg)</t>
    </r>
  </si>
  <si>
    <t>update konversi di sheet ID (input data) untuk satuan inHg</t>
  </si>
  <si>
    <t xml:space="preserve">revisi pembacaan alat terkonversi pada sheet ID input data untuk tidak dikalikan hasil konversi satuan standar atau pada cell L59 </t>
  </si>
  <si>
    <t>revisi jarak suhu dan kelembaban LH dan memperbesar ukuran page menjadi 69%</t>
  </si>
  <si>
    <t>KONVERSI DARI SERTIFIKAT DPM TERKONVERSI</t>
  </si>
  <si>
    <t>average naik</t>
  </si>
  <si>
    <t>nilai rata-rata terkoreksi (naik)</t>
  </si>
  <si>
    <t>nilai rata-rata terkoreksi (turun)</t>
  </si>
  <si>
    <t>tekanan hisap maksimum</t>
  </si>
  <si>
    <t>14.7.2022</t>
  </si>
  <si>
    <t>sheet ID dan budget belum divalidasi</t>
  </si>
  <si>
    <t>sheet ID dan budget sudah divalidasi</t>
  </si>
  <si>
    <t>Liha</t>
  </si>
  <si>
    <t>0.5*(MAX-MIN)</t>
  </si>
  <si>
    <t>1/3*u95</t>
  </si>
  <si>
    <t>2.8.2022</t>
  </si>
  <si>
    <t>validasi excell</t>
  </si>
  <si>
    <t>4.10.2022</t>
  </si>
  <si>
    <t>sheet budget naik dan turun pada Coverage factor, k, for for CL 95 % RUMUS : 1.95996+2.37356/v+2.818745/v
2 +2.546662/v3 +1.761829/v4+0.245458/v5 +1.000764/v6</t>
  </si>
  <si>
    <t>sheet ESA VOLT Kolom M8 PA VAC : IFERROR(INDEX($B7:$F98;2;1);"")</t>
  </si>
  <si>
    <t>sheet sertifikat DPM delette rumus aj18:au22</t>
  </si>
  <si>
    <t>sheet sertifikat DPM rumus aj18:au22 bikin error software Laragon milik janawi</t>
  </si>
  <si>
    <t>sheet sertifikat thermohygrometer rumus t15:ae21 bikin error software Laragon milik janawi</t>
  </si>
  <si>
    <t xml:space="preserve">sheet sertifikat thermohygrometer delette rumus t15:ae21 </t>
  </si>
  <si>
    <t>sheet budget naik dan turun pada Coverage factor, k, for for CL 95 % RUMUS TINV(0.05;L85) bikin error software laragon milik janawi</t>
  </si>
  <si>
    <t>sheet ESA VOLT Kolom M8 PA VAC : IFERROR(@INDEX($B$8:$F$98;$J8;COLUMNS(L$8:$L8));"")  bikin error software laragon milik janawi</t>
  </si>
  <si>
    <t>sheet ESA VOLT Kolom M8 PA VAC : IFERROR(INDEX($B7:$F98;2;1);"") TIDAK BEKERJA MAKSIMAL ketika berganti jenis alat pada input data.</t>
  </si>
  <si>
    <t>sheet ESA VOLT Kolom M8 PA VAC : INDEX(B8:B165;MATCH(ID!$A$92;$G$8:$G$98;0))</t>
  </si>
  <si>
    <t>LARAGON</t>
  </si>
  <si>
    <t>Digit Desimal Penyelia &amp; LH:</t>
  </si>
  <si>
    <r>
      <rPr>
        <u/>
        <sz val="12"/>
        <rFont val="Calibri"/>
        <family val="2"/>
        <scheme val="minor"/>
      </rPr>
      <t>&lt;</t>
    </r>
    <r>
      <rPr>
        <sz val="12"/>
        <rFont val="Calibri"/>
        <family val="2"/>
        <scheme val="minor"/>
      </rPr>
      <t xml:space="preserve"> 500 µA </t>
    </r>
  </si>
  <si>
    <r>
      <t>Koreksi Relatif (%) + U</t>
    </r>
    <r>
      <rPr>
        <sz val="8"/>
        <rFont val="Calibri"/>
        <family val="2"/>
        <scheme val="minor"/>
      </rPr>
      <t>95</t>
    </r>
  </si>
  <si>
    <t>LAIK</t>
  </si>
  <si>
    <t>Arus bocor peralatan untuk peralatan elektromedik kelas I (µA)</t>
  </si>
  <si>
    <t>11 Maret 2022</t>
  </si>
  <si>
    <t>Nomor Sertifikat : 59 /</t>
  </si>
  <si>
    <t>Nomor Surat Keterangan : 59 / M -</t>
  </si>
  <si>
    <t>Nomor Sertifikat / Nomor Surat keterangan : 59 / …....... / .......... - .......... / E - ………...………………. DL  / Dt</t>
  </si>
  <si>
    <t>LEMBAR KERJA KALIBRASI VACUUM EXTRACTOR</t>
  </si>
  <si>
    <t>HASIL KALIBRASI VACUUM EXTRACTOR</t>
  </si>
  <si>
    <t>INPUT DATA KALIBRASI VACUUM EXTRACTOR</t>
  </si>
  <si>
    <t xml:space="preserve">≥ -300 </t>
  </si>
  <si>
    <t>&gt;</t>
  </si>
  <si>
    <t>MK 132-2019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</si>
</sst>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4">
    <numFmt numFmtId="164" formatCode="0.0"/>
    <numFmt numFmtId="165" formatCode="0.0000"/>
    <numFmt numFmtId="166" formatCode="\±\ \ 0.0"/>
    <numFmt numFmtId="167" formatCode="0.0\ \ \ \°\C"/>
    <numFmt numFmtId="168" formatCode="0.0\ \ &quot;% RH&quot;"/>
    <numFmt numFmtId="169" formatCode="0.00\ \°\C"/>
    <numFmt numFmtId="170" formatCode="0.000"/>
    <numFmt numFmtId="171" formatCode="0.000000000"/>
    <numFmt numFmtId="172" formatCode="0.0000000"/>
    <numFmt numFmtId="173" formatCode="0.0000000000"/>
    <numFmt numFmtId="174" formatCode="0.000000"/>
    <numFmt numFmtId="175" formatCode="0.0000000000000"/>
    <numFmt numFmtId="176" formatCode="0.000000000000000"/>
    <numFmt numFmtId="177" formatCode="0.000\ \Ω"/>
    <numFmt numFmtId="178" formatCode="0.0\ &quot;µA&quot;"/>
    <numFmt numFmtId="179" formatCode="0.00000"/>
    <numFmt numFmtId="180" formatCode="0.00000000000"/>
    <numFmt numFmtId="181" formatCode="0.0\ &quot;hpa&quot;"/>
    <numFmt numFmtId="182" formatCode="\≥\ 0\ &quot;MΩ&quot;"/>
    <numFmt numFmtId="183" formatCode="\≤\ 0.0\ \Ω"/>
    <numFmt numFmtId="184" formatCode="\≤\ 0\ \µ\A"/>
    <numFmt numFmtId="185" formatCode="0.0\ &quot;naik&quot;"/>
    <numFmt numFmtId="186" formatCode="0.0000\ &quot;naik&quot;"/>
    <numFmt numFmtId="187" formatCode="0.0000\ &quot;turun&quot;"/>
    <numFmt numFmtId="188" formatCode="0.0\ &quot;hPa&quot;"/>
    <numFmt numFmtId="189" formatCode="dd/mm/yyyy;@"/>
    <numFmt numFmtId="190" formatCode="0.0\ &quot;μA&quot;"/>
    <numFmt numFmtId="191" formatCode="[$-421]dd\ mmmm\ yyyy;@"/>
    <numFmt numFmtId="192" formatCode="&quot;max U95 :&quot;\ 0.00"/>
    <numFmt numFmtId="193" formatCode="0.0\ \ &quot;awal&quot;"/>
    <numFmt numFmtId="194" formatCode="0.0\ \ &quot;akhir&quot;"/>
    <numFmt numFmtId="195" formatCode="0.0\ \ &quot;x1&quot;"/>
    <numFmt numFmtId="196" formatCode="0.0\ \ &quot;x2&quot;"/>
    <numFmt numFmtId="197" formatCode="0.0\ \ &quot;y1&quot;"/>
    <numFmt numFmtId="198" formatCode="0.0\ \ &quot;y2&quot;"/>
    <numFmt numFmtId="199" formatCode="0.000\ &quot;interpolasi&quot;\ "/>
    <numFmt numFmtId="200" formatCode="0.000\ &quot;x&quot;"/>
    <numFmt numFmtId="201" formatCode="0.000\ \ &quot;x terkoreksi&quot;"/>
    <numFmt numFmtId="202" formatCode="0.00\ \ &quot;y2&quot;"/>
    <numFmt numFmtId="203" formatCode="0.000\ &quot;Volt&quot;"/>
    <numFmt numFmtId="204" formatCode="0\ \ &quot;x2&quot;"/>
    <numFmt numFmtId="205" formatCode="0\ \ &quot;x1&quot;"/>
    <numFmt numFmtId="206" formatCode="0.000\ \ &quot;y2&quot;"/>
    <numFmt numFmtId="207" formatCode="0.0000\ \ &quot;x terkoreksi naik&quot;"/>
    <numFmt numFmtId="208" formatCode="0.0000\ \ &quot;x terkoreksi&quot;"/>
    <numFmt numFmtId="209" formatCode="0.0\ "/>
    <numFmt numFmtId="210" formatCode="0.0000\ &quot;interpolasi&quot;\ "/>
    <numFmt numFmtId="211" formatCode="0.00\ \ &quot;y1&quot;"/>
    <numFmt numFmtId="212" formatCode="0.00\ "/>
    <numFmt numFmtId="213" formatCode="0.00\ &quot;x&quot;"/>
    <numFmt numFmtId="214" formatCode="[$-C09]d\ mmmm\ yyyy;@"/>
    <numFmt numFmtId="215" formatCode="[$-F800]dddd\,\ mmmm\ dd\,\ yyyy"/>
    <numFmt numFmtId="216" formatCode="0.0E+00"/>
    <numFmt numFmtId="217" formatCode="0.0\ &quot;average&quot;\ &quot;(x)&quot;"/>
    <numFmt numFmtId="218" formatCode="0.00\ &quot;(y1)&quot;"/>
    <numFmt numFmtId="219" formatCode="0.00\ &quot;(y2)&quot;"/>
    <numFmt numFmtId="220" formatCode="0.00\ &quot;(x1)&quot;"/>
    <numFmt numFmtId="221" formatCode="0.00\ &quot;(x2)&quot;"/>
    <numFmt numFmtId="222" formatCode="0.0000\ &quot;average&quot;\ &quot;(x)&quot;"/>
    <numFmt numFmtId="223" formatCode="0.000\ &quot;(y1)&quot;"/>
    <numFmt numFmtId="224" formatCode="0.000\ &quot;(y2)&quot;"/>
    <numFmt numFmtId="225" formatCode="0.0000\ \(\x\)"/>
    <numFmt numFmtId="226" formatCode="0.0000\ \(\x\1\)"/>
    <numFmt numFmtId="227" formatCode="0.0000\ &quot;(x2)&quot;"/>
  </numFmts>
  <fonts count="1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name val="Times New Roman"/>
      <family val="1"/>
    </font>
    <font>
      <sz val="8"/>
      <name val="Arial"/>
      <family val="2"/>
    </font>
    <font>
      <sz val="10"/>
      <name val="Arial"/>
      <family val="2"/>
    </font>
    <font>
      <sz val="12"/>
      <name val="Calibri"/>
      <family val="2"/>
    </font>
    <font>
      <sz val="10"/>
      <color theme="1"/>
      <name val="Times New Roman"/>
      <family val="1"/>
    </font>
    <font>
      <b/>
      <sz val="10"/>
      <name val="Arial"/>
      <family val="2"/>
    </font>
    <font>
      <b/>
      <sz val="10"/>
      <name val="Times New Roman"/>
      <family val="1"/>
    </font>
    <font>
      <b/>
      <sz val="12"/>
      <name val="Calibri"/>
      <family val="2"/>
    </font>
    <font>
      <sz val="12"/>
      <name val="Calibri"/>
      <family val="2"/>
      <scheme val="minor"/>
    </font>
    <font>
      <b/>
      <sz val="12"/>
      <name val="Calibri"/>
      <family val="2"/>
      <scheme val="minor"/>
    </font>
    <font>
      <b/>
      <vertAlign val="superscript"/>
      <sz val="12"/>
      <name val="Calibri"/>
      <family val="2"/>
    </font>
    <font>
      <sz val="12"/>
      <color theme="1"/>
      <name val="Calibri"/>
      <family val="2"/>
      <scheme val="minor"/>
    </font>
    <font>
      <i/>
      <sz val="12"/>
      <color theme="1"/>
      <name val="Calibri"/>
      <family val="2"/>
      <scheme val="minor"/>
    </font>
    <font>
      <b/>
      <sz val="8"/>
      <name val="Times New Roman"/>
      <family val="1"/>
    </font>
    <font>
      <b/>
      <sz val="8"/>
      <color theme="1"/>
      <name val="Times New Roman"/>
      <family val="1"/>
    </font>
    <font>
      <sz val="8"/>
      <name val="Calibri"/>
      <family val="2"/>
      <scheme val="minor"/>
    </font>
    <font>
      <sz val="10"/>
      <color theme="1"/>
      <name val="Calibri"/>
      <family val="2"/>
      <scheme val="minor"/>
    </font>
    <font>
      <i/>
      <sz val="8"/>
      <color theme="1"/>
      <name val="Tahoma"/>
      <family val="2"/>
    </font>
    <font>
      <sz val="8"/>
      <name val="Tahoma"/>
      <family val="2"/>
    </font>
    <font>
      <b/>
      <sz val="8"/>
      <name val="Tahoma"/>
      <family val="2"/>
    </font>
    <font>
      <b/>
      <sz val="8"/>
      <color theme="1"/>
      <name val="Tahoma"/>
      <family val="2"/>
    </font>
    <font>
      <b/>
      <u/>
      <sz val="14"/>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sz val="10"/>
      <color theme="1"/>
      <name val="Arial"/>
      <family val="2"/>
    </font>
    <font>
      <sz val="8"/>
      <color theme="1"/>
      <name val="Calibri"/>
      <family val="2"/>
      <scheme val="minor"/>
    </font>
    <font>
      <b/>
      <sz val="13"/>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
      <i/>
      <vertAlign val="subscript"/>
      <sz val="12"/>
      <color theme="1"/>
      <name val="Calibri"/>
      <family val="2"/>
      <scheme val="minor"/>
    </font>
    <font>
      <sz val="13"/>
      <color theme="1"/>
      <name val="Calibri"/>
      <family val="2"/>
      <scheme val="minor"/>
    </font>
    <font>
      <b/>
      <sz val="10"/>
      <color theme="1"/>
      <name val="Arial"/>
      <family val="2"/>
    </font>
    <font>
      <sz val="12"/>
      <color theme="1"/>
      <name val="Calibri"/>
      <family val="2"/>
    </font>
    <font>
      <b/>
      <u/>
      <sz val="10"/>
      <color theme="1"/>
      <name val="Arial"/>
      <family val="2"/>
    </font>
    <font>
      <sz val="10"/>
      <name val="Calibri"/>
      <family val="2"/>
    </font>
    <font>
      <sz val="10"/>
      <color theme="0"/>
      <name val="Times New Roman"/>
      <family val="1"/>
    </font>
    <font>
      <sz val="10"/>
      <name val="Calibri"/>
      <family val="2"/>
      <scheme val="minor"/>
    </font>
    <font>
      <b/>
      <sz val="8"/>
      <name val="Calibri"/>
      <family val="2"/>
      <scheme val="minor"/>
    </font>
    <font>
      <i/>
      <sz val="12"/>
      <name val="Calibri"/>
      <family val="2"/>
      <scheme val="minor"/>
    </font>
    <font>
      <sz val="12"/>
      <color indexed="8"/>
      <name val="Calibri"/>
      <family val="2"/>
      <scheme val="minor"/>
    </font>
    <font>
      <b/>
      <i/>
      <sz val="10"/>
      <name val="Arial"/>
      <family val="2"/>
    </font>
    <font>
      <i/>
      <sz val="11"/>
      <name val="Times New Roman"/>
      <family val="1"/>
    </font>
    <font>
      <i/>
      <sz val="10"/>
      <name val="Arial"/>
      <family val="2"/>
    </font>
    <font>
      <sz val="11"/>
      <name val="Times New Roman"/>
      <family val="1"/>
    </font>
    <font>
      <b/>
      <sz val="11"/>
      <name val="Calibri"/>
      <family val="2"/>
      <scheme val="minor"/>
    </font>
    <font>
      <sz val="8"/>
      <name val="Times New Roman"/>
      <family val="1"/>
    </font>
    <font>
      <b/>
      <sz val="11"/>
      <name val="Arial"/>
      <family val="2"/>
    </font>
    <font>
      <sz val="11"/>
      <name val="Arial"/>
      <family val="2"/>
    </font>
    <font>
      <sz val="11"/>
      <name val="Calibri"/>
      <family val="2"/>
      <scheme val="minor"/>
    </font>
    <font>
      <vertAlign val="superscript"/>
      <sz val="11"/>
      <name val="Calibri"/>
      <family val="2"/>
      <scheme val="minor"/>
    </font>
    <font>
      <b/>
      <sz val="10"/>
      <name val="Calibri"/>
      <family val="2"/>
    </font>
    <font>
      <sz val="8"/>
      <color theme="1"/>
      <name val="Arial"/>
      <family val="2"/>
    </font>
    <font>
      <b/>
      <u/>
      <sz val="12"/>
      <name val="Calibri"/>
      <family val="2"/>
    </font>
    <font>
      <sz val="12"/>
      <name val="Arial"/>
      <family val="2"/>
    </font>
    <font>
      <b/>
      <sz val="12"/>
      <name val="Arial"/>
      <family val="2"/>
    </font>
    <font>
      <sz val="12"/>
      <color theme="1"/>
      <name val="Arial"/>
      <family val="2"/>
    </font>
    <font>
      <b/>
      <u/>
      <sz val="14"/>
      <color theme="1"/>
      <name val="Arial"/>
      <family val="2"/>
    </font>
    <font>
      <sz val="11"/>
      <color theme="1"/>
      <name val="Arial"/>
      <family val="2"/>
    </font>
    <font>
      <b/>
      <sz val="11"/>
      <color theme="1"/>
      <name val="Arial"/>
      <family val="2"/>
    </font>
    <font>
      <sz val="11"/>
      <color indexed="8"/>
      <name val="Arial"/>
      <family val="2"/>
    </font>
    <font>
      <u/>
      <sz val="11"/>
      <color theme="1"/>
      <name val="Arial"/>
      <family val="2"/>
    </font>
    <font>
      <sz val="12"/>
      <color theme="0"/>
      <name val="Arial"/>
      <family val="2"/>
    </font>
    <font>
      <sz val="12"/>
      <name val="Wingdings 2"/>
      <family val="1"/>
      <charset val="2"/>
    </font>
    <font>
      <sz val="11"/>
      <name val="Wingdings 2"/>
      <family val="1"/>
      <charset val="2"/>
    </font>
    <font>
      <b/>
      <sz val="8"/>
      <color theme="0"/>
      <name val="Calibri"/>
      <family val="2"/>
      <scheme val="minor"/>
    </font>
    <font>
      <b/>
      <sz val="10"/>
      <color rgb="FFFF0000"/>
      <name val="Arial"/>
      <family val="2"/>
    </font>
    <font>
      <b/>
      <sz val="10"/>
      <color rgb="FFFF0000"/>
      <name val="Times New Roman"/>
      <family val="1"/>
    </font>
    <font>
      <b/>
      <i/>
      <sz val="8"/>
      <color rgb="FFFF0000"/>
      <name val="Tahoma"/>
      <family val="2"/>
    </font>
    <font>
      <b/>
      <sz val="8"/>
      <color rgb="FFFF0000"/>
      <name val="Tahoma"/>
      <family val="2"/>
    </font>
    <font>
      <b/>
      <i/>
      <sz val="10"/>
      <color rgb="FFFF0000"/>
      <name val="Arial"/>
      <family val="2"/>
    </font>
    <font>
      <sz val="10"/>
      <color rgb="FFFF0000"/>
      <name val="Times New Roman"/>
      <family val="1"/>
    </font>
    <font>
      <b/>
      <i/>
      <sz val="10"/>
      <color theme="1"/>
      <name val="Arial"/>
      <family val="2"/>
    </font>
    <font>
      <b/>
      <sz val="12"/>
      <color theme="1"/>
      <name val="Arial"/>
      <family val="2"/>
    </font>
    <font>
      <sz val="8"/>
      <color rgb="FFFF0000"/>
      <name val="Tahoma"/>
      <family val="2"/>
    </font>
    <font>
      <i/>
      <sz val="8"/>
      <color rgb="FFFF0000"/>
      <name val="Tahoma"/>
      <family val="2"/>
    </font>
    <font>
      <sz val="10"/>
      <color rgb="FFFF0000"/>
      <name val="Arial"/>
      <family val="2"/>
    </font>
    <font>
      <sz val="8"/>
      <color theme="1"/>
      <name val="Tahoma"/>
      <family val="2"/>
    </font>
    <font>
      <sz val="10"/>
      <color theme="0" tint="-0.249977111117893"/>
      <name val="Arial"/>
      <family val="2"/>
    </font>
    <font>
      <b/>
      <u/>
      <sz val="11"/>
      <name val="Arial"/>
      <family val="2"/>
    </font>
    <font>
      <b/>
      <u/>
      <sz val="11"/>
      <color theme="1"/>
      <name val="Arial"/>
      <family val="2"/>
    </font>
    <font>
      <b/>
      <i/>
      <sz val="11"/>
      <color theme="1"/>
      <name val="Arial"/>
      <family val="2"/>
    </font>
    <font>
      <vertAlign val="superscript"/>
      <sz val="11"/>
      <color theme="1"/>
      <name val="Arial"/>
      <family val="2"/>
    </font>
    <font>
      <vertAlign val="superscript"/>
      <sz val="11"/>
      <name val="Arial"/>
      <family val="2"/>
    </font>
    <font>
      <i/>
      <sz val="11"/>
      <name val="Arial"/>
      <family val="2"/>
    </font>
    <font>
      <b/>
      <vertAlign val="superscript"/>
      <sz val="12"/>
      <name val="Arial"/>
      <family val="2"/>
    </font>
    <font>
      <b/>
      <sz val="8"/>
      <name val="Arial"/>
      <family val="2"/>
    </font>
    <font>
      <sz val="8"/>
      <color indexed="8"/>
      <name val="Arial"/>
      <family val="2"/>
    </font>
    <font>
      <u/>
      <sz val="8"/>
      <color indexed="8"/>
      <name val="Arial"/>
      <family val="2"/>
    </font>
    <font>
      <sz val="9"/>
      <color indexed="81"/>
      <name val="Tahoma"/>
      <family val="2"/>
    </font>
    <font>
      <b/>
      <sz val="9"/>
      <color indexed="81"/>
      <name val="Tahoma"/>
      <family val="2"/>
    </font>
    <font>
      <b/>
      <sz val="22"/>
      <color theme="1"/>
      <name val="Calibri"/>
      <family val="2"/>
      <scheme val="minor"/>
    </font>
    <font>
      <b/>
      <sz val="36"/>
      <color theme="1"/>
      <name val="Wingdings 2"/>
      <family val="1"/>
      <charset val="2"/>
    </font>
    <font>
      <b/>
      <sz val="11"/>
      <color theme="0"/>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sz val="11"/>
      <name val="Times New Roman"/>
      <family val="1"/>
    </font>
    <font>
      <b/>
      <sz val="11"/>
      <color theme="1"/>
      <name val="Calibri"/>
      <family val="2"/>
      <charset val="1"/>
      <scheme val="minor"/>
    </font>
    <font>
      <sz val="10"/>
      <color theme="1"/>
      <name val="Calibri"/>
      <family val="2"/>
      <charset val="1"/>
      <scheme val="minor"/>
    </font>
    <font>
      <b/>
      <sz val="11"/>
      <color theme="1"/>
      <name val="Times New Roman"/>
      <family val="1"/>
    </font>
    <font>
      <sz val="9"/>
      <name val="Calibri"/>
      <family val="2"/>
      <scheme val="minor"/>
    </font>
    <font>
      <b/>
      <u/>
      <sz val="24"/>
      <name val="Times New Roman"/>
      <family val="1"/>
    </font>
    <font>
      <sz val="8"/>
      <color theme="1"/>
      <name val="Times New Roman"/>
      <family val="1"/>
    </font>
    <font>
      <sz val="11"/>
      <color theme="1"/>
      <name val="Times New Roman"/>
      <family val="1"/>
    </font>
    <font>
      <sz val="11"/>
      <color theme="1"/>
      <name val="Calibri"/>
      <family val="2"/>
    </font>
    <font>
      <sz val="9"/>
      <name val="Arial"/>
      <family val="2"/>
    </font>
    <font>
      <sz val="11"/>
      <name val="Calibri"/>
      <family val="2"/>
    </font>
    <font>
      <sz val="10"/>
      <color theme="5" tint="-0.249977111117893"/>
      <name val="Arial"/>
      <family val="2"/>
    </font>
    <font>
      <sz val="11"/>
      <color theme="5" tint="-0.249977111117893"/>
      <name val="Times New Roman"/>
      <family val="1"/>
    </font>
    <font>
      <b/>
      <sz val="10"/>
      <name val="Calibri"/>
      <family val="2"/>
      <scheme val="minor"/>
    </font>
    <font>
      <sz val="10"/>
      <color rgb="FFFF0000"/>
      <name val="Calibri"/>
      <family val="2"/>
      <scheme val="minor"/>
    </font>
    <font>
      <sz val="8"/>
      <color rgb="FFFF0000"/>
      <name val="Calibri"/>
      <family val="2"/>
      <scheme val="minor"/>
    </font>
    <font>
      <b/>
      <sz val="14"/>
      <color rgb="FFFF0000"/>
      <name val="Arial"/>
      <family val="2"/>
    </font>
    <font>
      <sz val="7"/>
      <name val="Arial"/>
      <family val="2"/>
    </font>
    <font>
      <sz val="7"/>
      <color theme="1"/>
      <name val="Arial"/>
      <family val="2"/>
    </font>
    <font>
      <sz val="10"/>
      <color theme="0"/>
      <name val="Arial"/>
      <family val="2"/>
    </font>
    <font>
      <b/>
      <sz val="8"/>
      <color theme="0"/>
      <name val="Times New Roman"/>
      <family val="1"/>
    </font>
    <font>
      <b/>
      <sz val="10"/>
      <color theme="0"/>
      <name val="Arial"/>
      <family val="2"/>
    </font>
    <font>
      <b/>
      <sz val="10"/>
      <color theme="0"/>
      <name val="Times New Roman"/>
      <family val="1"/>
    </font>
    <font>
      <sz val="36"/>
      <name val="Arial"/>
      <family val="2"/>
    </font>
    <font>
      <b/>
      <u/>
      <sz val="14"/>
      <name val="Calibri"/>
      <family val="2"/>
      <scheme val="minor"/>
    </font>
    <font>
      <i/>
      <sz val="13"/>
      <name val="Calibri"/>
      <family val="2"/>
      <scheme val="minor"/>
    </font>
    <font>
      <b/>
      <i/>
      <sz val="13"/>
      <name val="Calibri"/>
      <family val="2"/>
      <scheme val="minor"/>
    </font>
    <font>
      <b/>
      <u/>
      <sz val="13"/>
      <name val="Calibri"/>
      <family val="2"/>
      <scheme val="minor"/>
    </font>
    <font>
      <b/>
      <u/>
      <sz val="12"/>
      <name val="Calibri"/>
      <family val="2"/>
      <scheme val="minor"/>
    </font>
    <font>
      <u/>
      <sz val="12"/>
      <name val="Calibri"/>
      <family val="2"/>
      <scheme val="minor"/>
    </font>
    <font>
      <b/>
      <sz val="9"/>
      <name val="Calibri"/>
      <family val="2"/>
      <scheme val="minor"/>
    </font>
    <font>
      <b/>
      <sz val="28"/>
      <name val="Wingdings 2"/>
      <family val="1"/>
      <charset val="2"/>
    </font>
    <font>
      <sz val="72"/>
      <name val="Calibri"/>
      <family val="2"/>
      <scheme val="minor"/>
    </font>
    <font>
      <sz val="72"/>
      <name val="Wingdings 2"/>
      <family val="1"/>
      <charset val="2"/>
    </font>
    <font>
      <sz val="12"/>
      <color rgb="FFC00000"/>
      <name val="Calibri"/>
      <family val="2"/>
      <scheme val="minor"/>
    </font>
    <font>
      <sz val="12"/>
      <color theme="0"/>
      <name val="Calibri"/>
      <family val="2"/>
      <scheme val="minor"/>
    </font>
    <font>
      <sz val="12"/>
      <color rgb="FFFF0000"/>
      <name val="Arial"/>
      <family val="2"/>
    </font>
    <font>
      <sz val="11"/>
      <color rgb="FFFF0000"/>
      <name val="Arial"/>
      <family val="2"/>
    </font>
    <font>
      <sz val="12"/>
      <color rgb="FFFF0000"/>
      <name val="Calibri"/>
      <family val="2"/>
      <scheme val="minor"/>
    </font>
    <font>
      <i/>
      <sz val="13"/>
      <color rgb="FFFF0000"/>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1"/>
        <bgColor indexed="64"/>
      </patternFill>
    </fill>
    <fill>
      <patternFill patternType="solid">
        <fgColor rgb="FF7030A0"/>
        <bgColor indexed="64"/>
      </patternFill>
    </fill>
    <fill>
      <patternFill patternType="solid">
        <fgColor rgb="FFFF66CC"/>
        <bgColor indexed="64"/>
      </patternFill>
    </fill>
    <fill>
      <patternFill patternType="solid">
        <fgColor rgb="FF35EB35"/>
        <bgColor indexed="64"/>
      </patternFill>
    </fill>
    <fill>
      <patternFill patternType="solid">
        <fgColor theme="9" tint="-0.249977111117893"/>
        <bgColor indexed="64"/>
      </patternFill>
    </fill>
    <fill>
      <patternFill patternType="solid">
        <fgColor rgb="FF00FF00"/>
        <bgColor indexed="64"/>
      </patternFill>
    </fill>
    <fill>
      <patternFill patternType="solid">
        <fgColor rgb="FFD9E1F2"/>
        <bgColor indexed="64"/>
      </patternFill>
    </fill>
    <fill>
      <patternFill patternType="solid">
        <fgColor rgb="FF4472C4"/>
        <bgColor indexed="64"/>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indexed="64"/>
      </bottom>
      <diagonal/>
    </border>
    <border>
      <left style="thin">
        <color indexed="64"/>
      </left>
      <right style="medium">
        <color theme="1"/>
      </right>
      <top/>
      <bottom style="medium">
        <color indexed="64"/>
      </bottom>
      <diagonal/>
    </border>
    <border>
      <left style="thin">
        <color indexed="64"/>
      </left>
      <right style="medium">
        <color theme="1"/>
      </right>
      <top/>
      <bottom style="medium">
        <color theme="1"/>
      </bottom>
      <diagonal/>
    </border>
    <border>
      <left style="medium">
        <color theme="1"/>
      </left>
      <right/>
      <top style="thin">
        <color indexed="64"/>
      </top>
      <bottom style="medium">
        <color theme="1"/>
      </bottom>
      <diagonal/>
    </border>
    <border>
      <left style="medium">
        <color theme="1"/>
      </left>
      <right/>
      <top style="thin">
        <color indexed="64"/>
      </top>
      <bottom/>
      <diagonal/>
    </border>
    <border>
      <left style="thin">
        <color indexed="64"/>
      </left>
      <right style="medium">
        <color theme="1"/>
      </right>
      <top/>
      <bottom/>
      <diagonal/>
    </border>
    <border>
      <left/>
      <right/>
      <top style="thin">
        <color indexed="64"/>
      </top>
      <bottom style="medium">
        <color indexed="64"/>
      </bottom>
      <diagonal/>
    </border>
    <border>
      <left/>
      <right/>
      <top style="medium">
        <color indexed="64"/>
      </top>
      <bottom/>
      <diagonal/>
    </border>
    <border>
      <left style="medium">
        <color auto="1"/>
      </left>
      <right/>
      <top style="medium">
        <color auto="1"/>
      </top>
      <bottom/>
      <diagonal/>
    </border>
    <border>
      <left/>
      <right style="medium">
        <color auto="1"/>
      </right>
      <top style="medium">
        <color auto="1"/>
      </top>
      <bottom/>
      <diagonal/>
    </border>
    <border>
      <left/>
      <right/>
      <top/>
      <bottom style="medium">
        <color indexed="64"/>
      </bottom>
      <diagonal/>
    </border>
    <border>
      <left style="medium">
        <color indexed="64"/>
      </left>
      <right/>
      <top/>
      <bottom style="medium">
        <color auto="1"/>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theme="1"/>
      </left>
      <right style="thin">
        <color indexed="64"/>
      </right>
      <top style="thin">
        <color indexed="64"/>
      </top>
      <bottom/>
      <diagonal/>
    </border>
    <border>
      <left style="medium">
        <color theme="1"/>
      </left>
      <right style="thin">
        <color indexed="64"/>
      </right>
      <top/>
      <bottom/>
      <diagonal/>
    </border>
    <border>
      <left style="medium">
        <color theme="1"/>
      </left>
      <right/>
      <top/>
      <bottom style="thin">
        <color theme="1"/>
      </bottom>
      <diagonal/>
    </border>
    <border>
      <left style="medium">
        <color theme="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medium">
        <color auto="1"/>
      </left>
      <right/>
      <top/>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s>
  <cellStyleXfs count="8">
    <xf numFmtId="0" fontId="0" fillId="0" borderId="0"/>
    <xf numFmtId="0" fontId="9" fillId="0" borderId="0"/>
    <xf numFmtId="0" fontId="9" fillId="0" borderId="0"/>
    <xf numFmtId="0" fontId="9" fillId="0" borderId="0"/>
    <xf numFmtId="0" fontId="9" fillId="0" borderId="0"/>
    <xf numFmtId="0" fontId="4" fillId="0" borderId="0"/>
    <xf numFmtId="0" fontId="1" fillId="0" borderId="0"/>
    <xf numFmtId="0" fontId="9" fillId="0" borderId="0"/>
  </cellStyleXfs>
  <cellXfs count="1922">
    <xf numFmtId="0" fontId="0" fillId="0" borderId="0" xfId="0"/>
    <xf numFmtId="1" fontId="12" fillId="0" borderId="1" xfId="0" applyNumberFormat="1" applyFont="1" applyBorder="1" applyAlignment="1" applyProtection="1">
      <alignment horizontal="center"/>
      <protection hidden="1"/>
    </xf>
    <xf numFmtId="1" fontId="7" fillId="0" borderId="1" xfId="0" applyNumberFormat="1" applyFont="1" applyBorder="1" applyAlignment="1" applyProtection="1">
      <alignment horizontal="left"/>
      <protection hidden="1"/>
    </xf>
    <xf numFmtId="1" fontId="9" fillId="0" borderId="1" xfId="0" applyNumberFormat="1" applyFont="1" applyBorder="1" applyAlignment="1" applyProtection="1">
      <alignment horizontal="center"/>
      <protection hidden="1"/>
    </xf>
    <xf numFmtId="1" fontId="13" fillId="0" borderId="1" xfId="0" applyNumberFormat="1" applyFont="1" applyBorder="1" applyAlignment="1" applyProtection="1">
      <alignment horizontal="center"/>
      <protection hidden="1"/>
    </xf>
    <xf numFmtId="1" fontId="13" fillId="3" borderId="1" xfId="0" applyNumberFormat="1" applyFont="1" applyFill="1" applyBorder="1" applyAlignment="1" applyProtection="1">
      <alignment vertical="center"/>
      <protection hidden="1"/>
    </xf>
    <xf numFmtId="0" fontId="25" fillId="0" borderId="0" xfId="0" applyFont="1" applyProtection="1">
      <protection hidden="1"/>
    </xf>
    <xf numFmtId="0" fontId="26" fillId="0" borderId="1" xfId="0" applyFont="1" applyBorder="1" applyAlignment="1" applyProtection="1">
      <alignment horizontal="center"/>
      <protection hidden="1"/>
    </xf>
    <xf numFmtId="0" fontId="25" fillId="0" borderId="1" xfId="0" applyFont="1" applyBorder="1" applyProtection="1">
      <protection hidden="1"/>
    </xf>
    <xf numFmtId="0" fontId="15" fillId="0" borderId="0" xfId="0" applyFont="1" applyAlignment="1" applyProtection="1">
      <alignment horizontal="left"/>
      <protection hidden="1"/>
    </xf>
    <xf numFmtId="0" fontId="18" fillId="3" borderId="0" xfId="0" applyFont="1" applyFill="1" applyAlignment="1" applyProtection="1">
      <alignment vertical="center"/>
      <protection locked="0"/>
    </xf>
    <xf numFmtId="0" fontId="18" fillId="3" borderId="0" xfId="0" applyFont="1" applyFill="1" applyAlignment="1" applyProtection="1">
      <alignment horizontal="left" vertical="center"/>
      <protection locked="0"/>
    </xf>
    <xf numFmtId="0" fontId="18" fillId="3" borderId="0" xfId="0" applyFont="1" applyFill="1" applyProtection="1">
      <protection locked="0"/>
    </xf>
    <xf numFmtId="0" fontId="32" fillId="0" borderId="0" xfId="0" applyFont="1" applyProtection="1">
      <protection hidden="1"/>
    </xf>
    <xf numFmtId="0" fontId="32" fillId="3" borderId="0" xfId="0" applyFont="1" applyFill="1" applyProtection="1">
      <protection hidden="1"/>
    </xf>
    <xf numFmtId="1" fontId="32" fillId="3" borderId="0" xfId="0" applyNumberFormat="1" applyFont="1" applyFill="1" applyProtection="1">
      <protection hidden="1"/>
    </xf>
    <xf numFmtId="0" fontId="41" fillId="0" borderId="0" xfId="0" applyFont="1" applyAlignment="1">
      <alignment vertical="center"/>
    </xf>
    <xf numFmtId="0" fontId="32" fillId="0" borderId="0" xfId="0" applyFont="1"/>
    <xf numFmtId="0" fontId="42" fillId="0" borderId="0" xfId="0" applyFont="1" applyProtection="1">
      <protection hidden="1"/>
    </xf>
    <xf numFmtId="0" fontId="40" fillId="4" borderId="1" xfId="0" applyFont="1" applyFill="1" applyBorder="1" applyAlignment="1" applyProtection="1">
      <alignment horizontal="center"/>
      <protection hidden="1"/>
    </xf>
    <xf numFmtId="0" fontId="32" fillId="4" borderId="0" xfId="0" applyFont="1" applyFill="1" applyProtection="1">
      <protection hidden="1"/>
    </xf>
    <xf numFmtId="0" fontId="42" fillId="4" borderId="1" xfId="0" applyFont="1" applyFill="1" applyBorder="1" applyProtection="1">
      <protection hidden="1"/>
    </xf>
    <xf numFmtId="0" fontId="32" fillId="4" borderId="1" xfId="0" applyFont="1" applyFill="1" applyBorder="1" applyProtection="1">
      <protection hidden="1"/>
    </xf>
    <xf numFmtId="0" fontId="41" fillId="4" borderId="1" xfId="0" applyFont="1" applyFill="1" applyBorder="1" applyAlignment="1">
      <alignment vertical="center"/>
    </xf>
    <xf numFmtId="0" fontId="32" fillId="7" borderId="0" xfId="0" applyFont="1" applyFill="1" applyProtection="1">
      <protection hidden="1"/>
    </xf>
    <xf numFmtId="1" fontId="32" fillId="4" borderId="0" xfId="0" applyNumberFormat="1" applyFont="1" applyFill="1" applyProtection="1">
      <protection hidden="1"/>
    </xf>
    <xf numFmtId="0" fontId="32" fillId="3" borderId="0" xfId="4" applyFont="1" applyFill="1" applyAlignment="1">
      <alignment horizontal="left"/>
    </xf>
    <xf numFmtId="0" fontId="7" fillId="3" borderId="0" xfId="0" applyFont="1" applyFill="1" applyAlignment="1">
      <alignment horizontal="left"/>
    </xf>
    <xf numFmtId="0" fontId="7" fillId="3" borderId="0" xfId="0" applyFont="1" applyFill="1"/>
    <xf numFmtId="1" fontId="7" fillId="3" borderId="0" xfId="0" applyNumberFormat="1" applyFont="1" applyFill="1" applyAlignment="1">
      <alignment horizontal="left"/>
    </xf>
    <xf numFmtId="0" fontId="9" fillId="3" borderId="0" xfId="4" applyFill="1" applyAlignment="1">
      <alignment horizontal="left"/>
    </xf>
    <xf numFmtId="0" fontId="9" fillId="0" borderId="1" xfId="0" applyFont="1" applyBorder="1"/>
    <xf numFmtId="0" fontId="0" fillId="0" borderId="1" xfId="0" applyBorder="1"/>
    <xf numFmtId="0" fontId="49" fillId="0" borderId="23" xfId="0" applyFont="1" applyBorder="1" applyAlignment="1">
      <alignment horizontal="center" vertical="center"/>
    </xf>
    <xf numFmtId="0" fontId="51" fillId="0" borderId="23" xfId="0" applyFont="1" applyBorder="1" applyAlignment="1">
      <alignment horizontal="center" vertical="center"/>
    </xf>
    <xf numFmtId="2" fontId="0" fillId="0" borderId="23" xfId="0" applyNumberFormat="1" applyBorder="1" applyAlignment="1">
      <alignment horizontal="center" vertical="center"/>
    </xf>
    <xf numFmtId="170" fontId="0" fillId="0" borderId="25" xfId="0" applyNumberFormat="1" applyBorder="1" applyAlignment="1">
      <alignment horizontal="center" vertical="center"/>
    </xf>
    <xf numFmtId="170" fontId="0" fillId="0" borderId="23" xfId="0" applyNumberFormat="1" applyBorder="1" applyAlignment="1">
      <alignment horizontal="center" vertical="center"/>
    </xf>
    <xf numFmtId="0" fontId="0" fillId="0" borderId="0" xfId="0" quotePrefix="1"/>
    <xf numFmtId="0" fontId="9" fillId="0" borderId="0" xfId="0" quotePrefix="1" applyFont="1"/>
    <xf numFmtId="170" fontId="0" fillId="0" borderId="29" xfId="0" applyNumberFormat="1" applyBorder="1" applyAlignment="1">
      <alignment horizontal="center" vertical="center"/>
    </xf>
    <xf numFmtId="170" fontId="0" fillId="0" borderId="1" xfId="0" applyNumberFormat="1" applyBorder="1" applyAlignment="1">
      <alignment horizontal="center" vertical="center"/>
    </xf>
    <xf numFmtId="0" fontId="51" fillId="0" borderId="1" xfId="0" applyFont="1" applyBorder="1" applyAlignment="1">
      <alignment horizontal="center" vertical="center"/>
    </xf>
    <xf numFmtId="0" fontId="49" fillId="0" borderId="1" xfId="0" applyFont="1" applyBorder="1" applyAlignment="1">
      <alignment horizontal="center" vertical="center"/>
    </xf>
    <xf numFmtId="2" fontId="0" fillId="0" borderId="1" xfId="0" applyNumberFormat="1" applyBorder="1" applyAlignment="1">
      <alignment horizontal="center" vertical="center"/>
    </xf>
    <xf numFmtId="0" fontId="26" fillId="0" borderId="0" xfId="0" applyFont="1" applyProtection="1">
      <protection hidden="1"/>
    </xf>
    <xf numFmtId="1" fontId="7" fillId="0" borderId="7" xfId="0" applyNumberFormat="1" applyFont="1" applyBorder="1" applyAlignment="1" applyProtection="1">
      <alignment horizontal="left"/>
      <protection hidden="1"/>
    </xf>
    <xf numFmtId="1" fontId="15" fillId="0" borderId="0" xfId="0" applyNumberFormat="1" applyFont="1" applyAlignment="1" applyProtection="1">
      <alignment horizontal="left"/>
      <protection hidden="1"/>
    </xf>
    <xf numFmtId="0" fontId="0" fillId="0" borderId="8" xfId="0" applyBorder="1"/>
    <xf numFmtId="0" fontId="0" fillId="0" borderId="11" xfId="0" applyBorder="1"/>
    <xf numFmtId="0" fontId="0" fillId="0" borderId="6" xfId="0" applyBorder="1"/>
    <xf numFmtId="0" fontId="18" fillId="3" borderId="12" xfId="0" applyFont="1" applyFill="1" applyBorder="1" applyAlignment="1" applyProtection="1">
      <alignment vertical="center"/>
      <protection locked="0"/>
    </xf>
    <xf numFmtId="0" fontId="9" fillId="0" borderId="0" xfId="0" applyFont="1"/>
    <xf numFmtId="0" fontId="0" fillId="0" borderId="14" xfId="0" applyBorder="1"/>
    <xf numFmtId="0" fontId="9" fillId="0" borderId="12" xfId="0" applyFont="1" applyBorder="1"/>
    <xf numFmtId="176" fontId="0" fillId="0" borderId="0" xfId="0" applyNumberFormat="1"/>
    <xf numFmtId="0" fontId="0" fillId="0" borderId="2" xfId="0" applyBorder="1"/>
    <xf numFmtId="0" fontId="0" fillId="0" borderId="9" xfId="0" applyBorder="1"/>
    <xf numFmtId="0" fontId="5" fillId="3" borderId="0" xfId="0" applyFont="1" applyFill="1" applyAlignment="1">
      <alignment vertical="center"/>
    </xf>
    <xf numFmtId="0" fontId="52" fillId="8" borderId="1" xfId="4" applyFont="1" applyFill="1" applyBorder="1" applyAlignment="1">
      <alignment vertical="center"/>
    </xf>
    <xf numFmtId="0" fontId="0" fillId="8" borderId="1" xfId="0" applyFill="1" applyBorder="1" applyAlignment="1">
      <alignment vertical="center"/>
    </xf>
    <xf numFmtId="1" fontId="13" fillId="8" borderId="1" xfId="0" applyNumberFormat="1" applyFont="1" applyFill="1" applyBorder="1" applyAlignment="1" applyProtection="1">
      <alignment horizontal="center"/>
      <protection hidden="1"/>
    </xf>
    <xf numFmtId="0" fontId="52" fillId="8" borderId="22" xfId="4" applyFont="1" applyFill="1" applyBorder="1" applyAlignment="1">
      <alignment vertical="center"/>
    </xf>
    <xf numFmtId="0" fontId="0" fillId="8" borderId="22" xfId="0" applyFill="1" applyBorder="1" applyAlignment="1">
      <alignment vertical="center"/>
    </xf>
    <xf numFmtId="0" fontId="0" fillId="8" borderId="27" xfId="0" applyFill="1" applyBorder="1" applyAlignment="1">
      <alignment vertical="center"/>
    </xf>
    <xf numFmtId="0" fontId="0" fillId="8" borderId="24" xfId="0" applyFill="1" applyBorder="1" applyAlignment="1">
      <alignment vertical="center"/>
    </xf>
    <xf numFmtId="0" fontId="0" fillId="8" borderId="0" xfId="0" applyFill="1" applyAlignment="1">
      <alignment vertical="center"/>
    </xf>
    <xf numFmtId="0" fontId="50" fillId="8" borderId="1" xfId="4" applyFont="1" applyFill="1" applyBorder="1" applyAlignment="1">
      <alignment vertical="center"/>
    </xf>
    <xf numFmtId="0" fontId="9" fillId="8" borderId="1" xfId="4" applyFill="1" applyBorder="1" applyAlignment="1">
      <alignment vertical="center"/>
    </xf>
    <xf numFmtId="0" fontId="0" fillId="8" borderId="0" xfId="0" applyFill="1"/>
    <xf numFmtId="0" fontId="15" fillId="3" borderId="1" xfId="0" applyFont="1" applyFill="1" applyBorder="1" applyAlignment="1">
      <alignment vertical="center"/>
    </xf>
    <xf numFmtId="0" fontId="5" fillId="3" borderId="1" xfId="0" applyFont="1" applyFill="1" applyBorder="1" applyProtection="1">
      <protection hidden="1"/>
    </xf>
    <xf numFmtId="0" fontId="15" fillId="3" borderId="0" xfId="0" applyFont="1" applyFill="1" applyAlignment="1">
      <alignment vertical="center"/>
    </xf>
    <xf numFmtId="164" fontId="5" fillId="3" borderId="0" xfId="0" applyNumberFormat="1" applyFont="1" applyFill="1" applyAlignment="1">
      <alignment vertical="center"/>
    </xf>
    <xf numFmtId="0" fontId="43" fillId="4" borderId="1" xfId="0" quotePrefix="1" applyFont="1" applyFill="1" applyBorder="1" applyAlignment="1">
      <alignment horizontal="left" vertical="center"/>
    </xf>
    <xf numFmtId="0" fontId="56" fillId="0" borderId="0" xfId="0" applyFont="1"/>
    <xf numFmtId="0" fontId="5" fillId="3" borderId="0" xfId="0" applyFont="1" applyFill="1" applyAlignment="1" applyProtection="1">
      <alignment vertical="center"/>
      <protection locked="0"/>
    </xf>
    <xf numFmtId="1" fontId="66" fillId="3" borderId="0" xfId="0" applyNumberFormat="1" applyFont="1" applyFill="1" applyAlignment="1" applyProtection="1">
      <alignment horizontal="left"/>
      <protection locked="0"/>
    </xf>
    <xf numFmtId="0" fontId="56" fillId="0" borderId="0" xfId="0" applyFont="1" applyAlignment="1" applyProtection="1">
      <alignment vertical="center"/>
      <protection locked="0"/>
    </xf>
    <xf numFmtId="0" fontId="18" fillId="3" borderId="30" xfId="0" applyFont="1" applyFill="1" applyBorder="1" applyAlignment="1">
      <alignment vertical="center"/>
    </xf>
    <xf numFmtId="0" fontId="5" fillId="3" borderId="3" xfId="0" applyFont="1" applyFill="1" applyBorder="1" applyAlignment="1">
      <alignment vertical="center"/>
    </xf>
    <xf numFmtId="0" fontId="18" fillId="3" borderId="15" xfId="0" applyFont="1" applyFill="1" applyBorder="1" applyAlignment="1">
      <alignment vertical="center"/>
    </xf>
    <xf numFmtId="0" fontId="0" fillId="0" borderId="12" xfId="0" applyBorder="1"/>
    <xf numFmtId="0" fontId="5" fillId="3" borderId="0" xfId="0" applyFont="1" applyFill="1" applyAlignment="1" applyProtection="1">
      <alignment horizontal="left" vertical="center"/>
      <protection locked="0"/>
    </xf>
    <xf numFmtId="0" fontId="9" fillId="0" borderId="11" xfId="0" applyFont="1" applyBorder="1"/>
    <xf numFmtId="0" fontId="9" fillId="0" borderId="4" xfId="0" applyFont="1" applyBorder="1"/>
    <xf numFmtId="0" fontId="9" fillId="0" borderId="2" xfId="0" applyFont="1" applyBorder="1"/>
    <xf numFmtId="0" fontId="49" fillId="7" borderId="23" xfId="0" applyFont="1" applyFill="1" applyBorder="1" applyAlignment="1">
      <alignment horizontal="center" vertical="center"/>
    </xf>
    <xf numFmtId="0" fontId="74" fillId="10" borderId="28" xfId="0" applyFont="1" applyFill="1" applyBorder="1" applyAlignment="1">
      <alignment vertical="center"/>
    </xf>
    <xf numFmtId="2" fontId="74" fillId="10" borderId="15" xfId="0" applyNumberFormat="1" applyFont="1" applyFill="1" applyBorder="1" applyAlignment="1">
      <alignment horizontal="center" vertical="center"/>
    </xf>
    <xf numFmtId="1" fontId="75" fillId="0" borderId="1" xfId="0" applyNumberFormat="1" applyFont="1" applyBorder="1" applyAlignment="1" applyProtection="1">
      <alignment horizontal="left"/>
      <protection hidden="1"/>
    </xf>
    <xf numFmtId="0" fontId="49" fillId="7" borderId="1" xfId="0" applyFont="1" applyFill="1" applyBorder="1" applyAlignment="1">
      <alignment horizontal="center" vertical="center"/>
    </xf>
    <xf numFmtId="170" fontId="74" fillId="0" borderId="25" xfId="0" applyNumberFormat="1" applyFont="1" applyBorder="1" applyAlignment="1">
      <alignment horizontal="center" vertical="center"/>
    </xf>
    <xf numFmtId="0" fontId="78" fillId="0" borderId="23" xfId="0" applyFont="1" applyBorder="1" applyAlignment="1">
      <alignment horizontal="center" vertical="center"/>
    </xf>
    <xf numFmtId="0" fontId="18" fillId="3" borderId="0" xfId="0" applyFont="1" applyFill="1" applyAlignment="1">
      <alignment vertical="center"/>
    </xf>
    <xf numFmtId="0" fontId="30" fillId="3" borderId="0" xfId="0" applyFont="1" applyFill="1" applyAlignment="1">
      <alignment horizontal="right" vertical="center"/>
    </xf>
    <xf numFmtId="0" fontId="5" fillId="3" borderId="0" xfId="0" applyFont="1" applyFill="1" applyAlignment="1">
      <alignment horizontal="left" vertical="center"/>
    </xf>
    <xf numFmtId="0" fontId="29" fillId="3" borderId="0" xfId="0" applyFont="1" applyFill="1" applyAlignment="1">
      <alignment vertical="center"/>
    </xf>
    <xf numFmtId="0" fontId="30" fillId="3" borderId="0" xfId="0" applyFont="1" applyFill="1" applyAlignment="1">
      <alignment horizontal="left" vertical="center"/>
    </xf>
    <xf numFmtId="0" fontId="5" fillId="3" borderId="0" xfId="0" quotePrefix="1" applyFont="1" applyFill="1" applyAlignment="1">
      <alignment horizontal="right" vertical="center"/>
    </xf>
    <xf numFmtId="0" fontId="31" fillId="3" borderId="0" xfId="0" quotePrefix="1" applyFont="1" applyFill="1" applyAlignment="1">
      <alignment horizontal="center" vertical="center"/>
    </xf>
    <xf numFmtId="0" fontId="16" fillId="3" borderId="0" xfId="0" applyFont="1" applyFill="1" applyAlignment="1">
      <alignment vertical="center"/>
    </xf>
    <xf numFmtId="0" fontId="56" fillId="3" borderId="0" xfId="0" applyFont="1" applyFill="1" applyAlignment="1">
      <alignment vertical="center"/>
    </xf>
    <xf numFmtId="0" fontId="55" fillId="3" borderId="0" xfId="0" applyFont="1" applyFill="1" applyAlignment="1">
      <alignment vertical="center" wrapText="1"/>
    </xf>
    <xf numFmtId="0" fontId="15" fillId="3" borderId="13" xfId="0" applyFont="1" applyFill="1" applyBorder="1" applyAlignment="1">
      <alignment horizontal="left" vertical="center" wrapText="1"/>
    </xf>
    <xf numFmtId="0" fontId="30" fillId="3" borderId="0" xfId="0" applyFont="1" applyFill="1" applyAlignment="1">
      <alignment vertical="center"/>
    </xf>
    <xf numFmtId="0" fontId="15" fillId="3" borderId="0" xfId="1" applyFont="1" applyFill="1" applyAlignment="1">
      <alignment vertical="center"/>
    </xf>
    <xf numFmtId="165" fontId="23" fillId="3" borderId="0" xfId="0" applyNumberFormat="1" applyFont="1" applyFill="1" applyAlignment="1">
      <alignment horizontal="center" vertical="center"/>
    </xf>
    <xf numFmtId="165" fontId="30" fillId="3" borderId="0" xfId="0" applyNumberFormat="1" applyFont="1" applyFill="1" applyAlignment="1">
      <alignment horizontal="center" vertical="center" wrapText="1"/>
    </xf>
    <xf numFmtId="0" fontId="30" fillId="3" borderId="0" xfId="0" applyFont="1" applyFill="1"/>
    <xf numFmtId="1" fontId="21" fillId="0" borderId="1" xfId="0" applyNumberFormat="1" applyFont="1" applyBorder="1" applyAlignment="1">
      <alignment horizontal="center"/>
    </xf>
    <xf numFmtId="1" fontId="0" fillId="0" borderId="1" xfId="0" applyNumberFormat="1" applyBorder="1" applyAlignment="1">
      <alignment horizontal="center"/>
    </xf>
    <xf numFmtId="0" fontId="0" fillId="3" borderId="0" xfId="0" applyFill="1"/>
    <xf numFmtId="0" fontId="80" fillId="0" borderId="1" xfId="0" applyFont="1" applyBorder="1" applyAlignment="1">
      <alignment horizontal="center" vertical="center"/>
    </xf>
    <xf numFmtId="0" fontId="49" fillId="9" borderId="1" xfId="0" applyFont="1" applyFill="1" applyBorder="1" applyAlignment="1">
      <alignment horizontal="center" vertical="center"/>
    </xf>
    <xf numFmtId="2" fontId="40" fillId="3" borderId="1" xfId="0" applyNumberFormat="1" applyFont="1" applyFill="1" applyBorder="1" applyAlignment="1">
      <alignment horizontal="center" vertical="center"/>
    </xf>
    <xf numFmtId="0" fontId="80" fillId="3" borderId="1" xfId="0" applyFont="1" applyFill="1" applyBorder="1" applyAlignment="1">
      <alignment horizontal="center" vertical="center"/>
    </xf>
    <xf numFmtId="0" fontId="0" fillId="4" borderId="0" xfId="0" applyFill="1"/>
    <xf numFmtId="1" fontId="0" fillId="0" borderId="0" xfId="0" applyNumberFormat="1"/>
    <xf numFmtId="1" fontId="7" fillId="3" borderId="0" xfId="0" applyNumberFormat="1" applyFont="1" applyFill="1"/>
    <xf numFmtId="1" fontId="12" fillId="0" borderId="1" xfId="0" applyNumberFormat="1" applyFont="1" applyBorder="1" applyAlignment="1">
      <alignment horizontal="center"/>
    </xf>
    <xf numFmtId="1" fontId="9" fillId="0" borderId="1" xfId="0" applyNumberFormat="1" applyFont="1" applyBorder="1" applyAlignment="1">
      <alignment horizontal="left" vertical="top"/>
    </xf>
    <xf numFmtId="1" fontId="13" fillId="0" borderId="0" xfId="0" applyNumberFormat="1" applyFont="1" applyAlignment="1">
      <alignment horizontal="center"/>
    </xf>
    <xf numFmtId="1" fontId="21" fillId="0" borderId="0" xfId="0" applyNumberFormat="1" applyFont="1" applyAlignment="1">
      <alignment horizontal="center"/>
    </xf>
    <xf numFmtId="1" fontId="13" fillId="0" borderId="0" xfId="0" applyNumberFormat="1" applyFont="1" applyAlignment="1">
      <alignment horizontal="center" vertical="center"/>
    </xf>
    <xf numFmtId="1" fontId="7" fillId="0" borderId="13" xfId="0" applyNumberFormat="1" applyFont="1" applyBorder="1" applyAlignment="1">
      <alignment horizontal="left"/>
    </xf>
    <xf numFmtId="1" fontId="44" fillId="0" borderId="1" xfId="0" applyNumberFormat="1" applyFont="1" applyBorder="1" applyAlignment="1">
      <alignment horizontal="left"/>
    </xf>
    <xf numFmtId="1" fontId="7" fillId="0" borderId="1" xfId="0" applyNumberFormat="1" applyFont="1" applyBorder="1" applyAlignment="1">
      <alignment horizontal="left"/>
    </xf>
    <xf numFmtId="1" fontId="20" fillId="8" borderId="1" xfId="0" applyNumberFormat="1" applyFont="1" applyFill="1" applyBorder="1" applyAlignment="1">
      <alignment horizontal="center"/>
    </xf>
    <xf numFmtId="1" fontId="21" fillId="8" borderId="1" xfId="0" applyNumberFormat="1" applyFont="1" applyFill="1" applyBorder="1" applyAlignment="1">
      <alignment horizontal="center"/>
    </xf>
    <xf numFmtId="1" fontId="20" fillId="9" borderId="1" xfId="0" applyNumberFormat="1" applyFont="1" applyFill="1" applyBorder="1" applyAlignment="1">
      <alignment horizontal="center"/>
    </xf>
    <xf numFmtId="1" fontId="21" fillId="9" borderId="1" xfId="0" applyNumberFormat="1" applyFont="1" applyFill="1" applyBorder="1" applyAlignment="1">
      <alignment horizontal="center"/>
    </xf>
    <xf numFmtId="1" fontId="13" fillId="0" borderId="3" xfId="0" applyNumberFormat="1" applyFont="1" applyBorder="1" applyAlignment="1">
      <alignment horizontal="center" vertical="center"/>
    </xf>
    <xf numFmtId="1" fontId="9" fillId="0" borderId="1" xfId="0" applyNumberFormat="1" applyFont="1" applyBorder="1" applyAlignment="1">
      <alignment horizontal="center"/>
    </xf>
    <xf numFmtId="1" fontId="0" fillId="0" borderId="0" xfId="0" applyNumberFormat="1" applyAlignment="1">
      <alignment horizontal="center"/>
    </xf>
    <xf numFmtId="1" fontId="0" fillId="0" borderId="12" xfId="0" applyNumberFormat="1" applyBorder="1"/>
    <xf numFmtId="1" fontId="0" fillId="0" borderId="1" xfId="0" applyNumberFormat="1" applyBorder="1"/>
    <xf numFmtId="164" fontId="0" fillId="0" borderId="1" xfId="0" applyNumberFormat="1" applyBorder="1"/>
    <xf numFmtId="1" fontId="0" fillId="7" borderId="0" xfId="0" applyNumberFormat="1" applyFill="1"/>
    <xf numFmtId="1" fontId="0" fillId="7" borderId="12" xfId="0" applyNumberFormat="1" applyFill="1" applyBorder="1"/>
    <xf numFmtId="1" fontId="7" fillId="7" borderId="0" xfId="0" applyNumberFormat="1" applyFont="1" applyFill="1" applyAlignment="1">
      <alignment horizontal="left"/>
    </xf>
    <xf numFmtId="1" fontId="0" fillId="4" borderId="0" xfId="0" applyNumberFormat="1" applyFill="1"/>
    <xf numFmtId="1" fontId="9" fillId="0" borderId="0" xfId="0" applyNumberFormat="1" applyFont="1" applyAlignment="1">
      <alignment horizontal="left" vertical="top"/>
    </xf>
    <xf numFmtId="1" fontId="0" fillId="8" borderId="1" xfId="0" applyNumberFormat="1" applyFill="1" applyBorder="1" applyAlignment="1">
      <alignment horizontal="center"/>
    </xf>
    <xf numFmtId="1" fontId="0" fillId="9" borderId="1" xfId="0" applyNumberFormat="1" applyFill="1" applyBorder="1" applyAlignment="1">
      <alignment horizontal="center"/>
    </xf>
    <xf numFmtId="170" fontId="0" fillId="0" borderId="1" xfId="0" applyNumberFormat="1" applyBorder="1" applyAlignment="1">
      <alignment horizontal="right"/>
    </xf>
    <xf numFmtId="1" fontId="9" fillId="7" borderId="0" xfId="0" applyNumberFormat="1" applyFont="1" applyFill="1" applyAlignment="1">
      <alignment horizontal="left" vertical="top"/>
    </xf>
    <xf numFmtId="0" fontId="0" fillId="7" borderId="0" xfId="0" applyFill="1"/>
    <xf numFmtId="1" fontId="7" fillId="0" borderId="9" xfId="0" applyNumberFormat="1" applyFont="1" applyBorder="1" applyAlignment="1">
      <alignment horizontal="left"/>
    </xf>
    <xf numFmtId="1" fontId="0" fillId="3" borderId="0" xfId="0" applyNumberFormat="1" applyFill="1"/>
    <xf numFmtId="1" fontId="7" fillId="3" borderId="1" xfId="0" applyNumberFormat="1" applyFont="1" applyFill="1" applyBorder="1" applyAlignment="1">
      <alignment horizontal="left"/>
    </xf>
    <xf numFmtId="1" fontId="9" fillId="0" borderId="1" xfId="0" applyNumberFormat="1" applyFont="1" applyBorder="1" applyProtection="1">
      <protection hidden="1"/>
    </xf>
    <xf numFmtId="0" fontId="25" fillId="3" borderId="0" xfId="0" applyFont="1" applyFill="1"/>
    <xf numFmtId="0" fontId="27" fillId="3" borderId="1" xfId="0" applyFont="1" applyFill="1" applyBorder="1" applyAlignment="1">
      <alignment horizontal="center"/>
    </xf>
    <xf numFmtId="0" fontId="9" fillId="0" borderId="0" xfId="5" applyFont="1"/>
    <xf numFmtId="191" fontId="9" fillId="0" borderId="1" xfId="0" applyNumberFormat="1" applyFont="1" applyBorder="1" applyAlignment="1">
      <alignment horizontal="center" vertical="center"/>
    </xf>
    <xf numFmtId="191" fontId="32" fillId="0" borderId="1" xfId="0" applyNumberFormat="1" applyFont="1" applyBorder="1" applyAlignment="1">
      <alignment horizontal="center" vertical="center"/>
    </xf>
    <xf numFmtId="0" fontId="64" fillId="0" borderId="0" xfId="0" applyFont="1" applyAlignment="1">
      <alignment horizontal="left"/>
    </xf>
    <xf numFmtId="0" fontId="66" fillId="2" borderId="0" xfId="0" applyFont="1" applyFill="1"/>
    <xf numFmtId="0" fontId="67" fillId="2" borderId="0" xfId="0" applyFont="1" applyFill="1" applyAlignment="1">
      <alignment horizontal="center"/>
    </xf>
    <xf numFmtId="0" fontId="66" fillId="0" borderId="0" xfId="0" applyFont="1"/>
    <xf numFmtId="0" fontId="18" fillId="0" borderId="0" xfId="0" applyFont="1"/>
    <xf numFmtId="0" fontId="66" fillId="2" borderId="0" xfId="0" applyFont="1" applyFill="1" applyAlignment="1">
      <alignment horizontal="left"/>
    </xf>
    <xf numFmtId="0" fontId="66" fillId="3" borderId="0" xfId="0" applyFont="1" applyFill="1"/>
    <xf numFmtId="0" fontId="67" fillId="2" borderId="0" xfId="0" applyFont="1" applyFill="1" applyAlignment="1">
      <alignment horizontal="right"/>
    </xf>
    <xf numFmtId="0" fontId="67" fillId="2" borderId="0" xfId="0" applyFont="1" applyFill="1"/>
    <xf numFmtId="0" fontId="56" fillId="0" borderId="0" xfId="1" applyFont="1" applyAlignment="1">
      <alignment vertical="center"/>
    </xf>
    <xf numFmtId="0" fontId="67" fillId="3" borderId="0" xfId="0" applyFont="1" applyFill="1" applyAlignment="1">
      <alignment horizontal="right"/>
    </xf>
    <xf numFmtId="0" fontId="67" fillId="0" borderId="0" xfId="0" applyFont="1"/>
    <xf numFmtId="0" fontId="66" fillId="0" borderId="0" xfId="0" applyFont="1" applyAlignment="1">
      <alignment horizontal="left"/>
    </xf>
    <xf numFmtId="0" fontId="55" fillId="3" borderId="0" xfId="0" applyFont="1" applyFill="1" applyAlignment="1">
      <alignment horizontal="right" vertical="center"/>
    </xf>
    <xf numFmtId="0" fontId="55" fillId="0" borderId="0" xfId="1" applyFont="1" applyAlignment="1">
      <alignment vertical="top"/>
    </xf>
    <xf numFmtId="0" fontId="55" fillId="0" borderId="0" xfId="1" applyFont="1" applyAlignment="1">
      <alignment vertical="center"/>
    </xf>
    <xf numFmtId="0" fontId="15" fillId="0" borderId="0" xfId="1" applyFont="1" applyAlignment="1">
      <alignment vertical="center"/>
    </xf>
    <xf numFmtId="0" fontId="56" fillId="3" borderId="1" xfId="0" applyFont="1" applyFill="1" applyBorder="1" applyAlignment="1">
      <alignment horizontal="center" vertical="center" wrapText="1"/>
    </xf>
    <xf numFmtId="0" fontId="56" fillId="3" borderId="3" xfId="0" applyFont="1" applyFill="1" applyBorder="1" applyAlignment="1">
      <alignment vertical="center"/>
    </xf>
    <xf numFmtId="0" fontId="56" fillId="3" borderId="15" xfId="0" applyFont="1" applyFill="1" applyBorder="1" applyAlignment="1">
      <alignment vertical="center"/>
    </xf>
    <xf numFmtId="0" fontId="56" fillId="3" borderId="1" xfId="0" applyFont="1" applyFill="1" applyBorder="1" applyAlignment="1">
      <alignment horizontal="center" vertical="center"/>
    </xf>
    <xf numFmtId="0" fontId="55" fillId="3" borderId="0" xfId="0" applyFont="1" applyFill="1" applyAlignment="1">
      <alignment vertical="center"/>
    </xf>
    <xf numFmtId="0" fontId="55" fillId="3" borderId="12" xfId="1" applyFont="1" applyFill="1" applyBorder="1" applyAlignment="1">
      <alignment horizontal="center" vertical="center" wrapText="1"/>
    </xf>
    <xf numFmtId="0" fontId="56" fillId="0" borderId="14" xfId="1" quotePrefix="1" applyFont="1" applyBorder="1" applyAlignment="1">
      <alignment horizontal="center" vertical="center"/>
    </xf>
    <xf numFmtId="0" fontId="56" fillId="0" borderId="1" xfId="1" applyFont="1" applyBorder="1" applyAlignment="1">
      <alignment horizontal="center" vertical="center"/>
    </xf>
    <xf numFmtId="0" fontId="56" fillId="0" borderId="15" xfId="1" applyFont="1" applyBorder="1" applyAlignment="1">
      <alignment vertical="center"/>
    </xf>
    <xf numFmtId="0" fontId="56" fillId="0" borderId="13" xfId="1" applyFont="1" applyBorder="1" applyAlignment="1">
      <alignment vertical="center"/>
    </xf>
    <xf numFmtId="177" fontId="56" fillId="0" borderId="3" xfId="1" applyNumberFormat="1" applyFont="1" applyBorder="1" applyAlignment="1">
      <alignment horizontal="center" vertical="center"/>
    </xf>
    <xf numFmtId="0" fontId="56" fillId="0" borderId="3" xfId="1" applyFont="1" applyBorder="1" applyAlignment="1">
      <alignment horizontal="center" vertical="center"/>
    </xf>
    <xf numFmtId="0" fontId="56" fillId="0" borderId="12" xfId="1" applyFont="1" applyBorder="1" applyAlignment="1">
      <alignment horizontal="center" vertical="center"/>
    </xf>
    <xf numFmtId="178" fontId="66" fillId="3" borderId="1" xfId="0" applyNumberFormat="1" applyFont="1" applyFill="1" applyBorder="1" applyAlignment="1">
      <alignment horizontal="center"/>
    </xf>
    <xf numFmtId="0" fontId="68" fillId="0" borderId="3" xfId="0" applyFont="1" applyBorder="1" applyAlignment="1">
      <alignment horizontal="center" vertical="center" readingOrder="1"/>
    </xf>
    <xf numFmtId="0" fontId="68" fillId="0" borderId="12" xfId="0" applyFont="1" applyBorder="1" applyAlignment="1">
      <alignment horizontal="center" vertical="center" readingOrder="1"/>
    </xf>
    <xf numFmtId="0" fontId="67" fillId="2" borderId="0" xfId="0" applyFont="1" applyFill="1" applyAlignment="1">
      <alignment horizontal="left"/>
    </xf>
    <xf numFmtId="0" fontId="69" fillId="0" borderId="1" xfId="0" quotePrefix="1" applyFont="1" applyBorder="1" applyAlignment="1">
      <alignment horizontal="center" vertical="center" wrapText="1"/>
    </xf>
    <xf numFmtId="0" fontId="67" fillId="3" borderId="0" xfId="0" applyFont="1" applyFill="1" applyAlignment="1">
      <alignment horizontal="right" vertical="center"/>
    </xf>
    <xf numFmtId="0" fontId="67" fillId="2" borderId="0" xfId="0" applyFont="1" applyFill="1" applyAlignment="1">
      <alignment vertical="center"/>
    </xf>
    <xf numFmtId="0" fontId="67" fillId="2" borderId="2" xfId="0" applyFont="1" applyFill="1" applyBorder="1" applyAlignment="1">
      <alignment vertical="top"/>
    </xf>
    <xf numFmtId="0" fontId="67" fillId="2" borderId="2" xfId="0" applyFont="1" applyFill="1" applyBorder="1"/>
    <xf numFmtId="0" fontId="66" fillId="0" borderId="5" xfId="0" applyFont="1" applyBorder="1" applyAlignment="1">
      <alignment horizontal="center"/>
    </xf>
    <xf numFmtId="166" fontId="66" fillId="2" borderId="7" xfId="0" applyNumberFormat="1" applyFont="1" applyFill="1" applyBorder="1" applyAlignment="1">
      <alignment horizontal="center" vertical="top"/>
    </xf>
    <xf numFmtId="166" fontId="66" fillId="2" borderId="4" xfId="0" applyNumberFormat="1" applyFont="1" applyFill="1" applyBorder="1" applyAlignment="1">
      <alignment horizontal="center" vertical="top"/>
    </xf>
    <xf numFmtId="166" fontId="66" fillId="0" borderId="7" xfId="0" applyNumberFormat="1" applyFont="1" applyBorder="1" applyAlignment="1">
      <alignment horizontal="center"/>
    </xf>
    <xf numFmtId="0" fontId="66" fillId="2" borderId="1" xfId="0" applyFont="1" applyFill="1" applyBorder="1" applyAlignment="1">
      <alignment horizontal="center"/>
    </xf>
    <xf numFmtId="2" fontId="66" fillId="2" borderId="0" xfId="0" applyNumberFormat="1" applyFont="1" applyFill="1" applyAlignment="1">
      <alignment horizontal="center"/>
    </xf>
    <xf numFmtId="165" fontId="67" fillId="3" borderId="0" xfId="0" applyNumberFormat="1" applyFont="1" applyFill="1" applyAlignment="1">
      <alignment horizontal="left" vertical="center"/>
    </xf>
    <xf numFmtId="165" fontId="67" fillId="3" borderId="0" xfId="0" applyNumberFormat="1" applyFont="1" applyFill="1" applyAlignment="1">
      <alignment horizontal="center" vertical="center" wrapText="1"/>
    </xf>
    <xf numFmtId="0" fontId="5" fillId="0" borderId="0" xfId="0" applyFont="1"/>
    <xf numFmtId="165" fontId="67" fillId="3" borderId="0" xfId="0" applyNumberFormat="1" applyFont="1" applyFill="1" applyAlignment="1">
      <alignment horizontal="center" vertical="top" wrapText="1"/>
    </xf>
    <xf numFmtId="165" fontId="66" fillId="3" borderId="0" xfId="0" applyNumberFormat="1" applyFont="1" applyFill="1" applyAlignment="1">
      <alignment horizontal="center" vertical="center" wrapText="1"/>
    </xf>
    <xf numFmtId="0" fontId="18" fillId="3" borderId="0" xfId="0" applyFont="1" applyFill="1"/>
    <xf numFmtId="0" fontId="18" fillId="2" borderId="0" xfId="0" applyFont="1" applyFill="1"/>
    <xf numFmtId="0" fontId="34" fillId="2" borderId="0" xfId="0" applyFont="1" applyFill="1" applyAlignment="1">
      <alignment horizontal="center"/>
    </xf>
    <xf numFmtId="0" fontId="18" fillId="2" borderId="0" xfId="0" applyFont="1" applyFill="1" applyAlignment="1">
      <alignment horizontal="left"/>
    </xf>
    <xf numFmtId="0" fontId="5" fillId="3" borderId="0" xfId="0" applyFont="1" applyFill="1"/>
    <xf numFmtId="0" fontId="30" fillId="2" borderId="0" xfId="0" applyFont="1" applyFill="1" applyAlignment="1">
      <alignment horizontal="right"/>
    </xf>
    <xf numFmtId="0" fontId="30" fillId="2" borderId="0" xfId="0" applyFont="1" applyFill="1" applyAlignment="1">
      <alignment horizontal="left"/>
    </xf>
    <xf numFmtId="0" fontId="30" fillId="2" borderId="0" xfId="0" applyFont="1" applyFill="1"/>
    <xf numFmtId="0" fontId="5" fillId="2" borderId="0" xfId="0" applyFont="1" applyFill="1" applyAlignment="1">
      <alignment horizontal="left"/>
    </xf>
    <xf numFmtId="0" fontId="5" fillId="2" borderId="0" xfId="0" applyFont="1" applyFill="1"/>
    <xf numFmtId="0" fontId="30" fillId="3" borderId="0" xfId="0" applyFont="1" applyFill="1" applyAlignment="1">
      <alignment horizontal="right"/>
    </xf>
    <xf numFmtId="0" fontId="30" fillId="0" borderId="0" xfId="0" applyFont="1"/>
    <xf numFmtId="0" fontId="18" fillId="0" borderId="0" xfId="0" applyFont="1" applyAlignment="1">
      <alignment horizontal="left"/>
    </xf>
    <xf numFmtId="0" fontId="22" fillId="3" borderId="1" xfId="0" applyFont="1" applyFill="1" applyBorder="1" applyAlignment="1">
      <alignment horizontal="right"/>
    </xf>
    <xf numFmtId="0" fontId="33" fillId="0" borderId="0" xfId="0" applyFont="1" applyAlignment="1">
      <alignment horizontal="right"/>
    </xf>
    <xf numFmtId="0" fontId="16" fillId="3" borderId="0" xfId="0" applyFont="1" applyFill="1" applyAlignment="1">
      <alignment horizontal="right" vertical="center"/>
    </xf>
    <xf numFmtId="0" fontId="16" fillId="0" borderId="0" xfId="1" applyFont="1" applyAlignment="1">
      <alignment vertical="center"/>
    </xf>
    <xf numFmtId="0" fontId="22" fillId="0" borderId="0" xfId="1" applyFont="1" applyAlignment="1">
      <alignment horizontal="right" vertical="center"/>
    </xf>
    <xf numFmtId="0" fontId="22" fillId="3" borderId="0" xfId="0" applyFont="1" applyFill="1" applyAlignment="1">
      <alignment horizontal="right" vertical="center"/>
    </xf>
    <xf numFmtId="0" fontId="15" fillId="3" borderId="3" xfId="0" applyFont="1" applyFill="1" applyBorder="1" applyAlignment="1">
      <alignment vertical="center"/>
    </xf>
    <xf numFmtId="0" fontId="15" fillId="3" borderId="15" xfId="0" applyFont="1" applyFill="1" applyBorder="1" applyAlignment="1">
      <alignment vertical="center"/>
    </xf>
    <xf numFmtId="164" fontId="15" fillId="3" borderId="15" xfId="0" quotePrefix="1" applyNumberFormat="1" applyFont="1" applyFill="1" applyBorder="1" applyAlignment="1">
      <alignment horizontal="right" vertical="center" wrapText="1"/>
    </xf>
    <xf numFmtId="170" fontId="15" fillId="3" borderId="15" xfId="0" quotePrefix="1" applyNumberFormat="1" applyFont="1" applyFill="1" applyBorder="1" applyAlignment="1">
      <alignment horizontal="right" vertical="center" wrapText="1"/>
    </xf>
    <xf numFmtId="0" fontId="8" fillId="7" borderId="1" xfId="0" applyFont="1" applyFill="1" applyBorder="1" applyAlignment="1">
      <alignment horizontal="right"/>
    </xf>
    <xf numFmtId="0" fontId="8" fillId="7" borderId="0" xfId="0" applyFont="1" applyFill="1" applyAlignment="1">
      <alignment horizontal="right"/>
    </xf>
    <xf numFmtId="0" fontId="22" fillId="7" borderId="0" xfId="0" applyFont="1" applyFill="1" applyAlignment="1">
      <alignment horizontal="right"/>
    </xf>
    <xf numFmtId="0" fontId="16" fillId="3" borderId="12" xfId="1" applyFont="1" applyFill="1" applyBorder="1" applyAlignment="1">
      <alignment horizontal="center" vertical="center" wrapText="1"/>
    </xf>
    <xf numFmtId="0" fontId="15" fillId="0" borderId="14" xfId="1" quotePrefix="1" applyFont="1" applyBorder="1" applyAlignment="1">
      <alignment horizontal="center" vertical="center"/>
    </xf>
    <xf numFmtId="0" fontId="15" fillId="0" borderId="1" xfId="1" applyFont="1" applyBorder="1" applyAlignment="1">
      <alignment horizontal="center" vertical="center"/>
    </xf>
    <xf numFmtId="0" fontId="15" fillId="0" borderId="15" xfId="1" applyFont="1" applyBorder="1" applyAlignment="1">
      <alignment vertical="center"/>
    </xf>
    <xf numFmtId="0" fontId="15" fillId="0" borderId="13" xfId="1" applyFont="1" applyBorder="1" applyAlignment="1">
      <alignment vertical="center"/>
    </xf>
    <xf numFmtId="177" fontId="15" fillId="0" borderId="3" xfId="1" applyNumberFormat="1" applyFont="1" applyBorder="1" applyAlignment="1">
      <alignment horizontal="center" vertical="center"/>
    </xf>
    <xf numFmtId="0" fontId="15" fillId="0" borderId="3" xfId="1" applyFont="1" applyBorder="1" applyAlignment="1">
      <alignment horizontal="center" vertical="center"/>
    </xf>
    <xf numFmtId="0" fontId="15" fillId="0" borderId="12" xfId="1" applyFont="1" applyBorder="1" applyAlignment="1">
      <alignment horizontal="center" vertical="center"/>
    </xf>
    <xf numFmtId="178" fontId="6" fillId="3" borderId="1" xfId="0" applyNumberFormat="1" applyFont="1" applyFill="1" applyBorder="1" applyAlignment="1">
      <alignment horizontal="center"/>
    </xf>
    <xf numFmtId="0" fontId="48" fillId="0" borderId="3" xfId="0" applyFont="1" applyBorder="1" applyAlignment="1">
      <alignment horizontal="center" vertical="center" readingOrder="1"/>
    </xf>
    <xf numFmtId="0" fontId="48" fillId="0" borderId="12" xfId="0" applyFont="1" applyBorder="1" applyAlignment="1">
      <alignment horizontal="center" vertical="center" readingOrder="1"/>
    </xf>
    <xf numFmtId="0" fontId="30" fillId="2" borderId="0" xfId="0" applyFont="1" applyFill="1" applyAlignment="1">
      <alignment horizontal="center"/>
    </xf>
    <xf numFmtId="0" fontId="18" fillId="2" borderId="10" xfId="0" applyFont="1" applyFill="1" applyBorder="1" applyAlignment="1">
      <alignment horizontal="center"/>
    </xf>
    <xf numFmtId="0" fontId="31" fillId="0" borderId="0" xfId="0" quotePrefix="1" applyFont="1" applyAlignment="1">
      <alignment horizontal="center" vertical="center" wrapText="1"/>
    </xf>
    <xf numFmtId="0" fontId="8" fillId="7" borderId="5" xfId="0" applyFont="1" applyFill="1" applyBorder="1" applyAlignment="1">
      <alignment horizontal="right"/>
    </xf>
    <xf numFmtId="0" fontId="8" fillId="3" borderId="0" xfId="0" applyFont="1" applyFill="1" applyAlignment="1">
      <alignment horizontal="right"/>
    </xf>
    <xf numFmtId="0" fontId="22" fillId="3" borderId="0" xfId="0" applyFont="1" applyFill="1" applyAlignment="1">
      <alignment horizontal="right"/>
    </xf>
    <xf numFmtId="0" fontId="30" fillId="0" borderId="0" xfId="0" applyFont="1" applyAlignment="1">
      <alignment vertical="center" wrapText="1"/>
    </xf>
    <xf numFmtId="0" fontId="30" fillId="0" borderId="0" xfId="0" applyFont="1" applyAlignment="1">
      <alignment vertical="center"/>
    </xf>
    <xf numFmtId="0" fontId="18" fillId="2" borderId="0" xfId="0" applyFont="1" applyFill="1" applyAlignment="1">
      <alignment horizontal="center" vertical="top" wrapText="1"/>
    </xf>
    <xf numFmtId="0" fontId="33" fillId="2" borderId="0" xfId="0" applyFont="1" applyFill="1" applyAlignment="1">
      <alignment horizontal="right" vertical="top" wrapText="1"/>
    </xf>
    <xf numFmtId="0" fontId="18" fillId="2" borderId="10" xfId="0" applyFont="1" applyFill="1" applyBorder="1" applyAlignment="1">
      <alignment horizontal="center" vertical="top" wrapText="1"/>
    </xf>
    <xf numFmtId="0" fontId="5" fillId="2" borderId="10" xfId="0" applyFont="1" applyFill="1" applyBorder="1" applyAlignment="1">
      <alignment horizontal="center" vertical="top" wrapText="1"/>
    </xf>
    <xf numFmtId="0" fontId="18" fillId="0" borderId="10" xfId="0" applyFont="1" applyBorder="1" applyAlignment="1">
      <alignment horizontal="center"/>
    </xf>
    <xf numFmtId="0" fontId="18" fillId="0" borderId="0" xfId="0" applyFont="1" applyAlignment="1">
      <alignment horizontal="center"/>
    </xf>
    <xf numFmtId="166" fontId="18" fillId="2" borderId="7" xfId="0" applyNumberFormat="1" applyFont="1" applyFill="1" applyBorder="1" applyAlignment="1">
      <alignment horizontal="center" vertical="top"/>
    </xf>
    <xf numFmtId="166" fontId="18" fillId="2" borderId="4" xfId="0" applyNumberFormat="1" applyFont="1" applyFill="1" applyBorder="1" applyAlignment="1">
      <alignment horizontal="center" vertical="top"/>
    </xf>
    <xf numFmtId="166" fontId="18" fillId="0" borderId="7" xfId="0" applyNumberFormat="1" applyFont="1" applyBorder="1" applyAlignment="1">
      <alignment horizontal="center"/>
    </xf>
    <xf numFmtId="166" fontId="18" fillId="0" borderId="0" xfId="0" applyNumberFormat="1" applyFont="1" applyAlignment="1">
      <alignment horizontal="center"/>
    </xf>
    <xf numFmtId="166" fontId="33" fillId="0" borderId="0" xfId="0" applyNumberFormat="1" applyFont="1" applyAlignment="1">
      <alignment horizontal="right"/>
    </xf>
    <xf numFmtId="0" fontId="18" fillId="2" borderId="1" xfId="0" applyFont="1" applyFill="1" applyBorder="1" applyAlignment="1">
      <alignment horizontal="center"/>
    </xf>
    <xf numFmtId="164" fontId="5" fillId="2" borderId="0" xfId="0" applyNumberFormat="1" applyFont="1" applyFill="1" applyAlignment="1">
      <alignment horizontal="center" vertical="center"/>
    </xf>
    <xf numFmtId="2" fontId="18" fillId="2" borderId="0" xfId="0" applyNumberFormat="1" applyFont="1" applyFill="1" applyAlignment="1">
      <alignment horizontal="center"/>
    </xf>
    <xf numFmtId="165" fontId="30" fillId="3" borderId="0" xfId="0" applyNumberFormat="1" applyFont="1" applyFill="1" applyAlignment="1">
      <alignment vertical="center" wrapText="1"/>
    </xf>
    <xf numFmtId="165" fontId="30" fillId="3" borderId="0" xfId="0" applyNumberFormat="1" applyFont="1" applyFill="1" applyAlignment="1">
      <alignment vertical="center"/>
    </xf>
    <xf numFmtId="2" fontId="5" fillId="2" borderId="0" xfId="0" applyNumberFormat="1" applyFont="1" applyFill="1" applyAlignment="1">
      <alignment horizontal="center"/>
    </xf>
    <xf numFmtId="165" fontId="30" fillId="3" borderId="0" xfId="0" applyNumberFormat="1" applyFont="1" applyFill="1" applyAlignment="1">
      <alignment horizontal="center" vertical="top" wrapText="1"/>
    </xf>
    <xf numFmtId="165" fontId="5" fillId="3" borderId="0" xfId="0" applyNumberFormat="1" applyFont="1" applyFill="1" applyAlignment="1">
      <alignment horizontal="center" vertical="center" wrapText="1"/>
    </xf>
    <xf numFmtId="0" fontId="33" fillId="0" borderId="1" xfId="0" applyFont="1" applyBorder="1" applyAlignment="1">
      <alignment horizontal="right" vertical="center"/>
    </xf>
    <xf numFmtId="0" fontId="32" fillId="3" borderId="28" xfId="0" applyFont="1" applyFill="1" applyBorder="1" applyAlignment="1">
      <alignment vertical="center"/>
    </xf>
    <xf numFmtId="2" fontId="32" fillId="3" borderId="15" xfId="0" applyNumberFormat="1" applyFont="1" applyFill="1" applyBorder="1" applyAlignment="1">
      <alignment horizontal="center" vertical="center"/>
    </xf>
    <xf numFmtId="2" fontId="51" fillId="0" borderId="23" xfId="0" applyNumberFormat="1" applyFont="1" applyBorder="1" applyAlignment="1">
      <alignment horizontal="center" vertical="center"/>
    </xf>
    <xf numFmtId="0" fontId="74" fillId="10" borderId="42" xfId="0" applyFont="1" applyFill="1" applyBorder="1" applyAlignment="1">
      <alignment vertical="center"/>
    </xf>
    <xf numFmtId="2" fontId="74" fillId="10" borderId="1" xfId="0" applyNumberFormat="1" applyFont="1" applyFill="1" applyBorder="1"/>
    <xf numFmtId="1" fontId="75" fillId="3" borderId="1" xfId="0" applyNumberFormat="1" applyFont="1" applyFill="1" applyBorder="1" applyAlignment="1" applyProtection="1">
      <alignment horizontal="left"/>
      <protection hidden="1"/>
    </xf>
    <xf numFmtId="0" fontId="25" fillId="3" borderId="0" xfId="0" applyFont="1" applyFill="1" applyProtection="1">
      <protection hidden="1"/>
    </xf>
    <xf numFmtId="0" fontId="0" fillId="3" borderId="0" xfId="0" quotePrefix="1" applyFill="1"/>
    <xf numFmtId="0" fontId="74" fillId="8" borderId="1" xfId="0" applyFont="1" applyFill="1" applyBorder="1" applyAlignment="1">
      <alignment vertical="center"/>
    </xf>
    <xf numFmtId="0" fontId="64" fillId="0" borderId="0" xfId="0" applyFont="1"/>
    <xf numFmtId="0" fontId="62" fillId="0" borderId="0" xfId="1" applyFont="1" applyAlignment="1">
      <alignment vertical="center"/>
    </xf>
    <xf numFmtId="165" fontId="81" fillId="3" borderId="0" xfId="0" applyNumberFormat="1" applyFont="1" applyFill="1" applyAlignment="1">
      <alignment horizontal="right" vertical="center"/>
    </xf>
    <xf numFmtId="0" fontId="64" fillId="3" borderId="0" xfId="0" applyFont="1" applyFill="1" applyProtection="1">
      <protection locked="0"/>
    </xf>
    <xf numFmtId="1" fontId="0" fillId="7" borderId="1" xfId="0" applyNumberFormat="1" applyFill="1" applyBorder="1"/>
    <xf numFmtId="0" fontId="82" fillId="3" borderId="0" xfId="0" applyFont="1" applyFill="1"/>
    <xf numFmtId="0" fontId="25" fillId="3" borderId="1" xfId="0" applyFont="1" applyFill="1" applyBorder="1"/>
    <xf numFmtId="2" fontId="25" fillId="3" borderId="1" xfId="0" applyNumberFormat="1" applyFont="1" applyFill="1" applyBorder="1"/>
    <xf numFmtId="0" fontId="25" fillId="3" borderId="1" xfId="0" applyFont="1" applyFill="1" applyBorder="1" applyAlignment="1">
      <alignment horizontal="left"/>
    </xf>
    <xf numFmtId="0" fontId="25" fillId="0" borderId="0" xfId="0" applyFont="1" applyAlignment="1">
      <alignment horizontal="left"/>
    </xf>
    <xf numFmtId="1" fontId="7" fillId="5" borderId="1" xfId="0" applyNumberFormat="1" applyFont="1" applyFill="1" applyBorder="1" applyAlignment="1" applyProtection="1">
      <alignment horizontal="left"/>
      <protection hidden="1"/>
    </xf>
    <xf numFmtId="1" fontId="11" fillId="5" borderId="1" xfId="0" applyNumberFormat="1" applyFont="1" applyFill="1" applyBorder="1" applyAlignment="1" applyProtection="1">
      <alignment horizontal="left"/>
      <protection hidden="1"/>
    </xf>
    <xf numFmtId="1" fontId="79" fillId="5" borderId="1" xfId="0" applyNumberFormat="1" applyFont="1" applyFill="1" applyBorder="1" applyAlignment="1" applyProtection="1">
      <alignment horizontal="left"/>
      <protection hidden="1"/>
    </xf>
    <xf numFmtId="0" fontId="84" fillId="0" borderId="0" xfId="0" applyFont="1"/>
    <xf numFmtId="0" fontId="84" fillId="10" borderId="28" xfId="0" applyFont="1" applyFill="1" applyBorder="1" applyAlignment="1">
      <alignment vertical="center"/>
    </xf>
    <xf numFmtId="2" fontId="84" fillId="10" borderId="15" xfId="0" applyNumberFormat="1" applyFont="1" applyFill="1" applyBorder="1" applyAlignment="1">
      <alignment horizontal="center" vertical="center"/>
    </xf>
    <xf numFmtId="1" fontId="7" fillId="0" borderId="5" xfId="0" applyNumberFormat="1" applyFont="1" applyBorder="1" applyAlignment="1" applyProtection="1">
      <alignment horizontal="left"/>
      <protection hidden="1"/>
    </xf>
    <xf numFmtId="0" fontId="78" fillId="0" borderId="1" xfId="0" applyFont="1" applyBorder="1" applyAlignment="1">
      <alignment horizontal="center" vertical="center"/>
    </xf>
    <xf numFmtId="0" fontId="84" fillId="8" borderId="22" xfId="0" applyFont="1" applyFill="1" applyBorder="1" applyAlignment="1">
      <alignment vertical="center"/>
    </xf>
    <xf numFmtId="1" fontId="75" fillId="5" borderId="1" xfId="0" applyNumberFormat="1" applyFont="1" applyFill="1" applyBorder="1" applyAlignment="1" applyProtection="1">
      <alignment horizontal="left"/>
      <protection hidden="1"/>
    </xf>
    <xf numFmtId="0" fontId="0" fillId="0" borderId="0" xfId="0" applyAlignment="1">
      <alignment horizontal="right"/>
    </xf>
    <xf numFmtId="1" fontId="13" fillId="0" borderId="1" xfId="0" applyNumberFormat="1" applyFont="1" applyBorder="1" applyAlignment="1" applyProtection="1">
      <alignment horizontal="right"/>
      <protection hidden="1"/>
    </xf>
    <xf numFmtId="0" fontId="9" fillId="0" borderId="1" xfId="0" applyFont="1" applyBorder="1" applyAlignment="1">
      <alignment horizontal="right" vertical="center"/>
    </xf>
    <xf numFmtId="170" fontId="0" fillId="0" borderId="1" xfId="0" applyNumberFormat="1" applyBorder="1" applyAlignment="1">
      <alignment horizontal="right" vertical="center"/>
    </xf>
    <xf numFmtId="170" fontId="32" fillId="0" borderId="1" xfId="0" applyNumberFormat="1" applyFont="1" applyBorder="1" applyAlignment="1">
      <alignment horizontal="right" vertical="center"/>
    </xf>
    <xf numFmtId="170" fontId="40" fillId="0" borderId="1" xfId="0" applyNumberFormat="1" applyFont="1" applyBorder="1" applyAlignment="1">
      <alignment horizontal="right" vertical="center"/>
    </xf>
    <xf numFmtId="170" fontId="0" fillId="0" borderId="0" xfId="0" applyNumberFormat="1" applyAlignment="1">
      <alignment horizontal="right"/>
    </xf>
    <xf numFmtId="170" fontId="13" fillId="0" borderId="1" xfId="0" applyNumberFormat="1" applyFont="1" applyBorder="1" applyAlignment="1" applyProtection="1">
      <alignment horizontal="right"/>
      <protection hidden="1"/>
    </xf>
    <xf numFmtId="170" fontId="74" fillId="3" borderId="0" xfId="0" applyNumberFormat="1" applyFont="1" applyFill="1" applyAlignment="1">
      <alignment horizontal="right"/>
    </xf>
    <xf numFmtId="170" fontId="32" fillId="3" borderId="1" xfId="0" applyNumberFormat="1" applyFont="1" applyFill="1" applyBorder="1" applyAlignment="1">
      <alignment horizontal="right"/>
    </xf>
    <xf numFmtId="170" fontId="74" fillId="10" borderId="1" xfId="0" applyNumberFormat="1" applyFont="1" applyFill="1" applyBorder="1" applyAlignment="1">
      <alignment horizontal="right"/>
    </xf>
    <xf numFmtId="170" fontId="9" fillId="0" borderId="1" xfId="0" applyNumberFormat="1" applyFont="1" applyBorder="1" applyAlignment="1">
      <alignment horizontal="right" vertical="center"/>
    </xf>
    <xf numFmtId="170" fontId="74" fillId="0" borderId="1" xfId="0" applyNumberFormat="1" applyFont="1" applyBorder="1" applyAlignment="1">
      <alignment horizontal="right"/>
    </xf>
    <xf numFmtId="170" fontId="32" fillId="0" borderId="0" xfId="0" applyNumberFormat="1" applyFont="1" applyAlignment="1">
      <alignment horizontal="right"/>
    </xf>
    <xf numFmtId="0" fontId="84" fillId="0" borderId="1" xfId="0" applyFont="1" applyBorder="1"/>
    <xf numFmtId="0" fontId="9" fillId="8" borderId="1" xfId="0" applyFont="1" applyFill="1" applyBorder="1" applyAlignment="1">
      <alignment vertical="center"/>
    </xf>
    <xf numFmtId="170" fontId="9" fillId="0" borderId="0" xfId="0" applyNumberFormat="1" applyFont="1" applyAlignment="1">
      <alignment horizontal="right"/>
    </xf>
    <xf numFmtId="0" fontId="78" fillId="5" borderId="1" xfId="0" applyFont="1" applyFill="1" applyBorder="1" applyAlignment="1">
      <alignment horizontal="center" vertical="center"/>
    </xf>
    <xf numFmtId="0" fontId="78" fillId="5" borderId="23" xfId="0" applyFont="1" applyFill="1" applyBorder="1" applyAlignment="1">
      <alignment horizontal="center" vertical="center"/>
    </xf>
    <xf numFmtId="0" fontId="0" fillId="8" borderId="1" xfId="0" applyFill="1" applyBorder="1"/>
    <xf numFmtId="0" fontId="49" fillId="5" borderId="1" xfId="0" applyFont="1" applyFill="1" applyBorder="1" applyAlignment="1">
      <alignment horizontal="center" vertical="center"/>
    </xf>
    <xf numFmtId="1" fontId="7" fillId="0" borderId="10" xfId="0" applyNumberFormat="1" applyFont="1" applyBorder="1" applyAlignment="1" applyProtection="1">
      <alignment horizontal="left"/>
      <protection hidden="1"/>
    </xf>
    <xf numFmtId="164" fontId="0" fillId="0" borderId="1" xfId="0" applyNumberFormat="1" applyBorder="1" applyAlignment="1">
      <alignment horizontal="right" vertical="center"/>
    </xf>
    <xf numFmtId="0" fontId="49" fillId="5" borderId="23" xfId="0" applyFont="1" applyFill="1" applyBorder="1" applyAlignment="1">
      <alignment horizontal="center" vertical="center"/>
    </xf>
    <xf numFmtId="0" fontId="74" fillId="8" borderId="0" xfId="0" applyFont="1" applyFill="1"/>
    <xf numFmtId="0" fontId="12" fillId="8" borderId="1" xfId="0" applyFont="1" applyFill="1" applyBorder="1" applyAlignment="1">
      <alignment vertical="center"/>
    </xf>
    <xf numFmtId="0" fontId="32" fillId="8" borderId="1" xfId="0" applyFont="1" applyFill="1" applyBorder="1" applyAlignment="1">
      <alignment horizontal="right"/>
    </xf>
    <xf numFmtId="0" fontId="74" fillId="8" borderId="1" xfId="0" applyFont="1" applyFill="1" applyBorder="1"/>
    <xf numFmtId="0" fontId="32" fillId="8" borderId="1" xfId="0" applyFont="1" applyFill="1" applyBorder="1" applyAlignment="1">
      <alignment vertical="center"/>
    </xf>
    <xf numFmtId="0" fontId="80" fillId="5" borderId="1" xfId="0" applyFont="1" applyFill="1" applyBorder="1" applyAlignment="1">
      <alignment horizontal="center" vertical="center"/>
    </xf>
    <xf numFmtId="0" fontId="40" fillId="8" borderId="1" xfId="0" applyFont="1" applyFill="1" applyBorder="1" applyAlignment="1">
      <alignment vertical="center"/>
    </xf>
    <xf numFmtId="170" fontId="32" fillId="0" borderId="1" xfId="0" applyNumberFormat="1" applyFont="1" applyBorder="1" applyAlignment="1">
      <alignment horizontal="right"/>
    </xf>
    <xf numFmtId="0" fontId="32" fillId="0" borderId="1" xfId="0" applyFont="1" applyBorder="1"/>
    <xf numFmtId="0" fontId="80" fillId="7" borderId="1" xfId="0" applyFont="1" applyFill="1" applyBorder="1" applyAlignment="1">
      <alignment horizontal="center" vertical="center"/>
    </xf>
    <xf numFmtId="0" fontId="80" fillId="5" borderId="23" xfId="0" applyFont="1" applyFill="1" applyBorder="1" applyAlignment="1">
      <alignment horizontal="center" vertical="center"/>
    </xf>
    <xf numFmtId="0" fontId="0" fillId="5" borderId="1" xfId="0" applyFill="1" applyBorder="1"/>
    <xf numFmtId="0" fontId="74" fillId="5" borderId="1" xfId="0" applyFont="1" applyFill="1" applyBorder="1"/>
    <xf numFmtId="0" fontId="0" fillId="5" borderId="0" xfId="0" applyFill="1"/>
    <xf numFmtId="1" fontId="75" fillId="3" borderId="7" xfId="0" applyNumberFormat="1" applyFont="1" applyFill="1" applyBorder="1" applyAlignment="1" applyProtection="1">
      <alignment horizontal="left"/>
      <protection hidden="1"/>
    </xf>
    <xf numFmtId="0" fontId="32" fillId="8" borderId="1" xfId="0" applyFont="1" applyFill="1" applyBorder="1"/>
    <xf numFmtId="170" fontId="9" fillId="5" borderId="23" xfId="0" applyNumberFormat="1" applyFont="1" applyFill="1" applyBorder="1" applyAlignment="1">
      <alignment horizontal="right" vertical="center"/>
    </xf>
    <xf numFmtId="0" fontId="78" fillId="0" borderId="0" xfId="0" applyFont="1" applyAlignment="1">
      <alignment horizontal="center" vertical="center"/>
    </xf>
    <xf numFmtId="0" fontId="82" fillId="0" borderId="0" xfId="0" applyFont="1" applyProtection="1">
      <protection hidden="1"/>
    </xf>
    <xf numFmtId="0" fontId="84" fillId="0" borderId="0" xfId="0" quotePrefix="1" applyFont="1"/>
    <xf numFmtId="0" fontId="84" fillId="5" borderId="0" xfId="0" applyFont="1" applyFill="1"/>
    <xf numFmtId="1" fontId="7" fillId="0" borderId="14" xfId="0" applyNumberFormat="1" applyFont="1" applyBorder="1" applyAlignment="1" applyProtection="1">
      <alignment horizontal="left"/>
      <protection hidden="1"/>
    </xf>
    <xf numFmtId="1" fontId="7" fillId="0" borderId="9" xfId="0" applyNumberFormat="1" applyFont="1" applyBorder="1" applyAlignment="1" applyProtection="1">
      <alignment horizontal="left"/>
      <protection hidden="1"/>
    </xf>
    <xf numFmtId="0" fontId="84" fillId="10" borderId="0" xfId="0" applyFont="1" applyFill="1" applyAlignment="1">
      <alignment vertical="center"/>
    </xf>
    <xf numFmtId="170" fontId="84" fillId="10" borderId="0" xfId="0" applyNumberFormat="1" applyFont="1" applyFill="1" applyAlignment="1">
      <alignment horizontal="right" vertical="center"/>
    </xf>
    <xf numFmtId="0" fontId="84" fillId="10" borderId="24" xfId="0" applyFont="1" applyFill="1" applyBorder="1" applyAlignment="1">
      <alignment vertical="center"/>
    </xf>
    <xf numFmtId="170" fontId="74" fillId="10" borderId="25" xfId="0" applyNumberFormat="1" applyFont="1" applyFill="1" applyBorder="1" applyAlignment="1">
      <alignment horizontal="center" vertical="center"/>
    </xf>
    <xf numFmtId="0" fontId="26" fillId="3" borderId="1" xfId="0" applyFont="1" applyFill="1" applyBorder="1" applyAlignment="1">
      <alignment horizontal="center"/>
    </xf>
    <xf numFmtId="0" fontId="27" fillId="9" borderId="1" xfId="0" applyFont="1" applyFill="1" applyBorder="1" applyAlignment="1">
      <alignment horizontal="center"/>
    </xf>
    <xf numFmtId="0" fontId="26" fillId="3" borderId="3" xfId="0" applyFont="1" applyFill="1" applyBorder="1" applyAlignment="1">
      <alignment vertical="center"/>
    </xf>
    <xf numFmtId="0" fontId="25" fillId="3" borderId="1" xfId="0" applyFont="1" applyFill="1" applyBorder="1" applyAlignment="1">
      <alignment horizontal="center"/>
    </xf>
    <xf numFmtId="0" fontId="25" fillId="3" borderId="0" xfId="0" applyFont="1" applyFill="1" applyAlignment="1">
      <alignment horizontal="left"/>
    </xf>
    <xf numFmtId="0" fontId="25" fillId="3" borderId="0" xfId="0" applyFont="1" applyFill="1" applyAlignment="1">
      <alignment horizontal="right"/>
    </xf>
    <xf numFmtId="2" fontId="25" fillId="3" borderId="0" xfId="0" applyNumberFormat="1" applyFont="1" applyFill="1" applyAlignment="1">
      <alignment horizontal="left"/>
    </xf>
    <xf numFmtId="14" fontId="25" fillId="9" borderId="6" xfId="0" quotePrefix="1" applyNumberFormat="1" applyFont="1" applyFill="1" applyBorder="1" applyAlignment="1">
      <alignment horizontal="left" vertical="center"/>
    </xf>
    <xf numFmtId="0" fontId="86" fillId="0" borderId="0" xfId="0" applyFont="1"/>
    <xf numFmtId="0" fontId="56" fillId="0" borderId="0" xfId="0" applyFont="1" applyAlignment="1">
      <alignment horizontal="left"/>
    </xf>
    <xf numFmtId="0" fontId="9" fillId="0" borderId="0" xfId="0" applyFont="1" applyAlignment="1">
      <alignment horizontal="right"/>
    </xf>
    <xf numFmtId="170" fontId="0" fillId="0" borderId="0" xfId="0" applyNumberFormat="1"/>
    <xf numFmtId="0" fontId="9" fillId="9" borderId="1" xfId="0" applyFont="1" applyFill="1" applyBorder="1" applyAlignment="1">
      <alignment horizontal="left" vertical="center"/>
    </xf>
    <xf numFmtId="0" fontId="32" fillId="9" borderId="1" xfId="0" applyFont="1" applyFill="1" applyBorder="1" applyAlignment="1">
      <alignment horizontal="left" vertical="center"/>
    </xf>
    <xf numFmtId="0" fontId="9" fillId="4" borderId="1" xfId="0" applyFont="1" applyFill="1" applyBorder="1" applyAlignment="1">
      <alignment horizontal="left" vertical="center" wrapText="1"/>
    </xf>
    <xf numFmtId="0" fontId="32" fillId="4" borderId="1" xfId="0" applyFont="1" applyFill="1" applyBorder="1" applyAlignment="1">
      <alignment horizontal="left" vertical="center"/>
    </xf>
    <xf numFmtId="0" fontId="0" fillId="12" borderId="1" xfId="0" applyFill="1" applyBorder="1"/>
    <xf numFmtId="0" fontId="9" fillId="12" borderId="1" xfId="0" applyFont="1" applyFill="1" applyBorder="1"/>
    <xf numFmtId="0" fontId="9" fillId="13" borderId="1" xfId="0" applyFont="1" applyFill="1" applyBorder="1"/>
    <xf numFmtId="0" fontId="0" fillId="14" borderId="1" xfId="0" applyFill="1" applyBorder="1"/>
    <xf numFmtId="0" fontId="9" fillId="14" borderId="1" xfId="0" applyFont="1" applyFill="1" applyBorder="1" applyAlignment="1">
      <alignment vertical="center"/>
    </xf>
    <xf numFmtId="2" fontId="51" fillId="15" borderId="23" xfId="0" applyNumberFormat="1" applyFont="1" applyFill="1" applyBorder="1" applyAlignment="1">
      <alignment horizontal="center" vertical="center"/>
    </xf>
    <xf numFmtId="2" fontId="51" fillId="15" borderId="3" xfId="0" applyNumberFormat="1" applyFont="1" applyFill="1" applyBorder="1" applyAlignment="1">
      <alignment horizontal="center" vertical="center"/>
    </xf>
    <xf numFmtId="0" fontId="78" fillId="7" borderId="1" xfId="0" applyFont="1" applyFill="1" applyBorder="1" applyAlignment="1">
      <alignment horizontal="center" vertical="center"/>
    </xf>
    <xf numFmtId="0" fontId="3" fillId="3" borderId="1" xfId="0" applyFont="1" applyFill="1" applyBorder="1" applyAlignment="1">
      <alignment horizontal="right" vertical="center"/>
    </xf>
    <xf numFmtId="197" fontId="3" fillId="3" borderId="1" xfId="0" applyNumberFormat="1" applyFont="1" applyFill="1" applyBorder="1" applyAlignment="1">
      <alignment vertical="center"/>
    </xf>
    <xf numFmtId="198" fontId="3" fillId="3" borderId="1" xfId="0" applyNumberFormat="1" applyFont="1" applyFill="1" applyBorder="1" applyAlignment="1">
      <alignment vertical="center"/>
    </xf>
    <xf numFmtId="200" fontId="3" fillId="3" borderId="1" xfId="0" applyNumberFormat="1" applyFont="1" applyFill="1" applyBorder="1" applyAlignment="1">
      <alignment vertical="center"/>
    </xf>
    <xf numFmtId="204" fontId="3" fillId="3" borderId="1" xfId="0" applyNumberFormat="1" applyFont="1" applyFill="1" applyBorder="1" applyAlignment="1">
      <alignment vertical="center"/>
    </xf>
    <xf numFmtId="205" fontId="3" fillId="3" borderId="1" xfId="0" applyNumberFormat="1" applyFont="1" applyFill="1" applyBorder="1" applyAlignment="1">
      <alignment vertical="center"/>
    </xf>
    <xf numFmtId="193" fontId="3" fillId="3" borderId="1" xfId="0" quotePrefix="1" applyNumberFormat="1" applyFont="1" applyFill="1" applyBorder="1" applyAlignment="1">
      <alignment horizontal="right" vertical="center"/>
    </xf>
    <xf numFmtId="193" fontId="2" fillId="3" borderId="1" xfId="0" quotePrefix="1" applyNumberFormat="1" applyFont="1" applyFill="1" applyBorder="1" applyAlignment="1">
      <alignment horizontal="right" vertical="center"/>
    </xf>
    <xf numFmtId="209" fontId="3" fillId="3" borderId="1" xfId="0" applyNumberFormat="1" applyFont="1" applyFill="1" applyBorder="1" applyAlignment="1">
      <alignment vertical="center"/>
    </xf>
    <xf numFmtId="207" fontId="3" fillId="3" borderId="12" xfId="0" applyNumberFormat="1" applyFont="1" applyFill="1" applyBorder="1" applyAlignment="1">
      <alignment vertical="center"/>
    </xf>
    <xf numFmtId="211" fontId="3" fillId="3" borderId="1" xfId="0" applyNumberFormat="1" applyFont="1" applyFill="1" applyBorder="1" applyAlignment="1">
      <alignment vertical="center"/>
    </xf>
    <xf numFmtId="212" fontId="3" fillId="3" borderId="1" xfId="0" applyNumberFormat="1" applyFont="1" applyFill="1" applyBorder="1" applyAlignment="1">
      <alignment vertical="center"/>
    </xf>
    <xf numFmtId="213" fontId="3" fillId="3" borderId="1" xfId="0" applyNumberFormat="1" applyFont="1" applyFill="1" applyBorder="1" applyAlignment="1">
      <alignment vertical="center"/>
    </xf>
    <xf numFmtId="0" fontId="9" fillId="0" borderId="0" xfId="4"/>
    <xf numFmtId="0" fontId="104" fillId="0" borderId="0" xfId="4" applyFont="1" applyAlignment="1">
      <alignment vertical="center"/>
    </xf>
    <xf numFmtId="0" fontId="105" fillId="0" borderId="0" xfId="4" applyFont="1" applyAlignment="1">
      <alignment horizontal="justify" vertical="center" wrapText="1"/>
    </xf>
    <xf numFmtId="0" fontId="105" fillId="0" borderId="0" xfId="4" applyFont="1" applyAlignment="1">
      <alignment horizontal="center" vertical="center" wrapText="1"/>
    </xf>
    <xf numFmtId="0" fontId="105" fillId="0" borderId="0" xfId="4" applyFont="1" applyAlignment="1">
      <alignment horizontal="center" vertical="top" wrapText="1"/>
    </xf>
    <xf numFmtId="0" fontId="102" fillId="0" borderId="0" xfId="4" applyFont="1"/>
    <xf numFmtId="0" fontId="101" fillId="0" borderId="0" xfId="4" applyFont="1" applyAlignment="1">
      <alignment horizontal="center"/>
    </xf>
    <xf numFmtId="0" fontId="105" fillId="0" borderId="0" xfId="4" applyFont="1" applyAlignment="1">
      <alignment horizontal="left" vertical="top" wrapText="1"/>
    </xf>
    <xf numFmtId="0" fontId="107" fillId="0" borderId="0" xfId="4" applyFont="1" applyAlignment="1">
      <alignment wrapText="1"/>
    </xf>
    <xf numFmtId="0" fontId="105" fillId="0" borderId="0" xfId="4" applyFont="1" applyAlignment="1">
      <alignment vertical="center" wrapText="1"/>
    </xf>
    <xf numFmtId="0" fontId="53" fillId="0" borderId="0" xfId="4" applyFont="1" applyAlignment="1">
      <alignment vertical="top"/>
    </xf>
    <xf numFmtId="0" fontId="108" fillId="0" borderId="0" xfId="4" applyFont="1"/>
    <xf numFmtId="0" fontId="105" fillId="0" borderId="13" xfId="4" applyFont="1" applyBorder="1" applyAlignment="1" applyProtection="1">
      <alignment vertical="top"/>
      <protection locked="0"/>
    </xf>
    <xf numFmtId="0" fontId="105" fillId="0" borderId="13" xfId="4" applyFont="1" applyBorder="1" applyAlignment="1" applyProtection="1">
      <alignment vertical="top" wrapText="1"/>
      <protection locked="0"/>
    </xf>
    <xf numFmtId="0" fontId="105" fillId="0" borderId="3" xfId="4" applyFont="1" applyBorder="1" applyAlignment="1">
      <alignment vertical="top"/>
    </xf>
    <xf numFmtId="0" fontId="9" fillId="0" borderId="0" xfId="4" applyAlignment="1">
      <alignment vertical="top" wrapText="1"/>
    </xf>
    <xf numFmtId="1" fontId="106" fillId="0" borderId="0" xfId="4" quotePrefix="1" applyNumberFormat="1" applyFont="1"/>
    <xf numFmtId="0" fontId="105" fillId="0" borderId="0" xfId="4" applyFont="1"/>
    <xf numFmtId="164" fontId="105" fillId="0" borderId="0" xfId="4" quotePrefix="1" applyNumberFormat="1" applyFont="1" applyAlignment="1">
      <alignment horizontal="left"/>
    </xf>
    <xf numFmtId="1" fontId="105" fillId="0" borderId="0" xfId="4" quotePrefix="1" applyNumberFormat="1" applyFont="1" applyAlignment="1">
      <alignment horizontal="left"/>
    </xf>
    <xf numFmtId="0" fontId="105" fillId="0" borderId="13" xfId="4" applyFont="1" applyBorder="1" applyAlignment="1">
      <alignment horizontal="left" vertical="top"/>
    </xf>
    <xf numFmtId="0" fontId="9" fillId="0" borderId="0" xfId="4" applyAlignment="1">
      <alignment horizontal="left" vertical="top"/>
    </xf>
    <xf numFmtId="0" fontId="105" fillId="0" borderId="13" xfId="4" applyFont="1" applyBorder="1" applyAlignment="1">
      <alignment horizontal="left" vertical="top" wrapText="1"/>
    </xf>
    <xf numFmtId="0" fontId="105" fillId="0" borderId="3" xfId="4" applyFont="1" applyBorder="1" applyAlignment="1">
      <alignment horizontal="left" vertical="top" wrapText="1"/>
    </xf>
    <xf numFmtId="0" fontId="12" fillId="5" borderId="47" xfId="4" applyFont="1" applyFill="1" applyBorder="1" applyProtection="1">
      <protection locked="0"/>
    </xf>
    <xf numFmtId="0" fontId="12" fillId="5" borderId="16" xfId="4" applyFont="1" applyFill="1" applyBorder="1" applyProtection="1">
      <protection locked="0"/>
    </xf>
    <xf numFmtId="0" fontId="12" fillId="5" borderId="48" xfId="4" applyFont="1" applyFill="1" applyBorder="1" applyProtection="1">
      <protection locked="0"/>
    </xf>
    <xf numFmtId="0" fontId="9" fillId="16" borderId="49" xfId="4" applyFill="1" applyBorder="1"/>
    <xf numFmtId="0" fontId="9" fillId="16" borderId="50" xfId="4" applyFill="1" applyBorder="1"/>
    <xf numFmtId="0" fontId="9" fillId="16" borderId="51" xfId="4" applyFill="1" applyBorder="1"/>
    <xf numFmtId="0" fontId="107" fillId="0" borderId="0" xfId="4" applyFont="1" applyAlignment="1">
      <alignment horizontal="center" vertical="center" wrapText="1"/>
    </xf>
    <xf numFmtId="0" fontId="9" fillId="0" borderId="0" xfId="4" applyAlignment="1">
      <alignment wrapText="1"/>
    </xf>
    <xf numFmtId="0" fontId="112" fillId="0" borderId="1" xfId="4" applyFont="1" applyBorder="1"/>
    <xf numFmtId="0" fontId="112" fillId="0" borderId="1" xfId="4" applyFont="1" applyBorder="1" applyAlignment="1">
      <alignment horizontal="left"/>
    </xf>
    <xf numFmtId="0" fontId="112" fillId="0" borderId="0" xfId="4" applyFont="1" applyAlignment="1">
      <alignment horizontal="left"/>
    </xf>
    <xf numFmtId="0" fontId="112" fillId="0" borderId="0" xfId="4" applyFont="1"/>
    <xf numFmtId="0" fontId="9" fillId="0" borderId="16" xfId="4" applyBorder="1"/>
    <xf numFmtId="0" fontId="9" fillId="0" borderId="0" xfId="4" quotePrefix="1"/>
    <xf numFmtId="17" fontId="9" fillId="0" borderId="0" xfId="4" quotePrefix="1" applyNumberFormat="1"/>
    <xf numFmtId="0" fontId="52" fillId="0" borderId="0" xfId="4" applyFont="1"/>
    <xf numFmtId="0" fontId="52" fillId="17" borderId="16" xfId="4" applyFont="1" applyFill="1" applyBorder="1"/>
    <xf numFmtId="0" fontId="52" fillId="18" borderId="3" xfId="4" applyFont="1" applyFill="1" applyBorder="1"/>
    <xf numFmtId="0" fontId="52" fillId="18" borderId="1" xfId="4" applyFont="1" applyFill="1" applyBorder="1"/>
    <xf numFmtId="0" fontId="32" fillId="0" borderId="1" xfId="0" applyFont="1" applyBorder="1" applyAlignment="1">
      <alignment horizontal="center" vertical="center"/>
    </xf>
    <xf numFmtId="0" fontId="32" fillId="9" borderId="1" xfId="0" applyFont="1" applyFill="1" applyBorder="1" applyAlignment="1">
      <alignment horizontal="left" vertical="center" wrapText="1"/>
    </xf>
    <xf numFmtId="0" fontId="9" fillId="14" borderId="1" xfId="0" applyFont="1" applyFill="1" applyBorder="1"/>
    <xf numFmtId="0" fontId="32" fillId="4" borderId="1" xfId="0" applyFont="1" applyFill="1" applyBorder="1" applyAlignment="1">
      <alignment horizontal="left" vertical="center" wrapText="1"/>
    </xf>
    <xf numFmtId="0" fontId="32" fillId="0" borderId="1" xfId="0" applyFont="1" applyBorder="1" applyProtection="1">
      <protection hidden="1"/>
    </xf>
    <xf numFmtId="182" fontId="56" fillId="3" borderId="0" xfId="0" applyNumberFormat="1" applyFont="1" applyFill="1" applyAlignment="1">
      <alignment vertical="center" wrapText="1"/>
    </xf>
    <xf numFmtId="183" fontId="56" fillId="3" borderId="0" xfId="0" applyNumberFormat="1" applyFont="1" applyFill="1" applyAlignment="1">
      <alignment vertical="center" wrapText="1"/>
    </xf>
    <xf numFmtId="184" fontId="115" fillId="3" borderId="0" xfId="0" applyNumberFormat="1" applyFont="1" applyFill="1" applyAlignment="1">
      <alignment vertical="center" wrapText="1"/>
    </xf>
    <xf numFmtId="0" fontId="9" fillId="4" borderId="1" xfId="0" applyFont="1" applyFill="1" applyBorder="1"/>
    <xf numFmtId="164" fontId="66" fillId="3" borderId="1" xfId="0" applyNumberFormat="1" applyFont="1" applyFill="1" applyBorder="1" applyAlignment="1">
      <alignment horizontal="right" vertical="center"/>
    </xf>
    <xf numFmtId="0" fontId="66" fillId="3" borderId="1" xfId="0" applyFont="1" applyFill="1" applyBorder="1" applyAlignment="1">
      <alignment horizontal="right" vertical="center"/>
    </xf>
    <xf numFmtId="0" fontId="0" fillId="4" borderId="1" xfId="0" applyFill="1" applyBorder="1"/>
    <xf numFmtId="164" fontId="5" fillId="3" borderId="0" xfId="0" applyNumberFormat="1" applyFont="1" applyFill="1" applyAlignment="1">
      <alignment horizontal="left"/>
    </xf>
    <xf numFmtId="164" fontId="18" fillId="0" borderId="0" xfId="0" applyNumberFormat="1" applyFont="1" applyAlignment="1">
      <alignment horizontal="left"/>
    </xf>
    <xf numFmtId="164" fontId="66" fillId="3" borderId="0" xfId="0" quotePrefix="1" applyNumberFormat="1" applyFont="1" applyFill="1" applyAlignment="1">
      <alignment vertical="center"/>
    </xf>
    <xf numFmtId="0" fontId="32" fillId="0" borderId="1" xfId="0" applyFont="1" applyBorder="1" applyAlignment="1">
      <alignment horizontal="center" vertical="center" wrapText="1"/>
    </xf>
    <xf numFmtId="191" fontId="32" fillId="0" borderId="1" xfId="0" applyNumberFormat="1" applyFont="1" applyBorder="1" applyAlignment="1">
      <alignment horizontal="center" vertical="center" wrapText="1"/>
    </xf>
    <xf numFmtId="0" fontId="9" fillId="14" borderId="1" xfId="0" applyFont="1" applyFill="1" applyBorder="1" applyAlignment="1">
      <alignment wrapText="1"/>
    </xf>
    <xf numFmtId="0" fontId="9" fillId="0" borderId="0" xfId="7"/>
    <xf numFmtId="0" fontId="9" fillId="0" borderId="0" xfId="7" applyProtection="1">
      <protection locked="0"/>
    </xf>
    <xf numFmtId="0" fontId="107" fillId="0" borderId="0" xfId="7" applyFont="1" applyAlignment="1">
      <alignment horizontal="center" vertical="center" wrapText="1"/>
    </xf>
    <xf numFmtId="0" fontId="12" fillId="0" borderId="0" xfId="7" applyFont="1" applyProtection="1">
      <protection locked="0"/>
    </xf>
    <xf numFmtId="0" fontId="105" fillId="0" borderId="13" xfId="7" applyFont="1" applyBorder="1" applyAlignment="1">
      <alignment horizontal="left" vertical="top" wrapText="1"/>
    </xf>
    <xf numFmtId="0" fontId="9" fillId="0" borderId="0" xfId="7" applyAlignment="1">
      <alignment horizontal="left" vertical="top"/>
    </xf>
    <xf numFmtId="0" fontId="105" fillId="0" borderId="13" xfId="7" applyFont="1" applyBorder="1" applyAlignment="1">
      <alignment horizontal="left" vertical="top"/>
    </xf>
    <xf numFmtId="0" fontId="105" fillId="0" borderId="0" xfId="7" applyFont="1" applyAlignment="1">
      <alignment vertical="center" wrapText="1"/>
    </xf>
    <xf numFmtId="0" fontId="105" fillId="0" borderId="0" xfId="7" applyFont="1" applyAlignment="1">
      <alignment horizontal="center" vertical="center" wrapText="1"/>
    </xf>
    <xf numFmtId="0" fontId="108" fillId="0" borderId="0" xfId="7" applyFont="1"/>
    <xf numFmtId="0" fontId="105" fillId="0" borderId="0" xfId="7" applyFont="1" applyAlignment="1" applyProtection="1">
      <alignment horizontal="center" vertical="center" wrapText="1"/>
      <protection locked="0"/>
    </xf>
    <xf numFmtId="1" fontId="105" fillId="0" borderId="0" xfId="7" quotePrefix="1" applyNumberFormat="1" applyFont="1" applyAlignment="1" applyProtection="1">
      <alignment horizontal="left"/>
      <protection locked="0"/>
    </xf>
    <xf numFmtId="0" fontId="105" fillId="0" borderId="0" xfId="7" applyFont="1" applyProtection="1">
      <protection locked="0"/>
    </xf>
    <xf numFmtId="1" fontId="106" fillId="0" borderId="0" xfId="7" quotePrefix="1" applyNumberFormat="1" applyFont="1" applyProtection="1">
      <protection locked="0"/>
    </xf>
    <xf numFmtId="0" fontId="108" fillId="0" borderId="0" xfId="7" applyFont="1" applyProtection="1">
      <protection locked="0"/>
    </xf>
    <xf numFmtId="2" fontId="106" fillId="0" borderId="0" xfId="7" quotePrefix="1" applyNumberFormat="1" applyFont="1" applyProtection="1">
      <protection locked="0"/>
    </xf>
    <xf numFmtId="0" fontId="9" fillId="0" borderId="0" xfId="7" applyAlignment="1">
      <alignment vertical="top" wrapText="1"/>
    </xf>
    <xf numFmtId="0" fontId="105" fillId="0" borderId="3" xfId="7" applyFont="1" applyBorder="1" applyAlignment="1">
      <alignment vertical="top"/>
    </xf>
    <xf numFmtId="0" fontId="105" fillId="0" borderId="13" xfId="7" applyFont="1" applyBorder="1" applyAlignment="1" applyProtection="1">
      <alignment vertical="top" wrapText="1"/>
      <protection locked="0"/>
    </xf>
    <xf numFmtId="0" fontId="105" fillId="0" borderId="13" xfId="7" applyFont="1" applyBorder="1" applyAlignment="1" applyProtection="1">
      <alignment vertical="top"/>
      <protection locked="0"/>
    </xf>
    <xf numFmtId="0" fontId="53" fillId="0" borderId="0" xfId="7" applyFont="1" applyAlignment="1">
      <alignment vertical="top"/>
    </xf>
    <xf numFmtId="0" fontId="105" fillId="0" borderId="0" xfId="7" applyFont="1" applyAlignment="1" applyProtection="1">
      <alignment horizontal="center" vertical="top" wrapText="1"/>
      <protection locked="0"/>
    </xf>
    <xf numFmtId="0" fontId="107" fillId="0" borderId="0" xfId="7" applyFont="1" applyAlignment="1">
      <alignment wrapText="1"/>
    </xf>
    <xf numFmtId="0" fontId="101" fillId="0" borderId="0" xfId="7" applyFont="1" applyAlignment="1">
      <alignment horizontal="center"/>
    </xf>
    <xf numFmtId="0" fontId="102" fillId="0" borderId="0" xfId="7" applyFont="1"/>
    <xf numFmtId="0" fontId="105" fillId="0" borderId="0" xfId="7" applyFont="1" applyAlignment="1">
      <alignment horizontal="center" vertical="top" wrapText="1"/>
    </xf>
    <xf numFmtId="0" fontId="105" fillId="0" borderId="0" xfId="7" applyFont="1" applyAlignment="1">
      <alignment vertical="top" wrapText="1"/>
    </xf>
    <xf numFmtId="0" fontId="105" fillId="0" borderId="0" xfId="7" applyFont="1" applyAlignment="1">
      <alignment horizontal="justify" vertical="center" wrapText="1"/>
    </xf>
    <xf numFmtId="0" fontId="104" fillId="0" borderId="0" xfId="7" applyFont="1" applyAlignment="1">
      <alignment vertical="center"/>
    </xf>
    <xf numFmtId="0" fontId="9" fillId="0" borderId="32" xfId="7" applyBorder="1"/>
    <xf numFmtId="0" fontId="116" fillId="0" borderId="33" xfId="7" applyFont="1" applyBorder="1"/>
    <xf numFmtId="0" fontId="9" fillId="0" borderId="52" xfId="7" applyBorder="1"/>
    <xf numFmtId="0" fontId="9" fillId="0" borderId="53" xfId="7" applyBorder="1"/>
    <xf numFmtId="0" fontId="9" fillId="0" borderId="52" xfId="7" applyBorder="1" applyAlignment="1">
      <alignment wrapText="1"/>
    </xf>
    <xf numFmtId="0" fontId="9" fillId="0" borderId="53" xfId="7" applyBorder="1" applyAlignment="1">
      <alignment wrapText="1"/>
    </xf>
    <xf numFmtId="0" fontId="116" fillId="0" borderId="53" xfId="7" applyFont="1" applyBorder="1"/>
    <xf numFmtId="0" fontId="112" fillId="0" borderId="53" xfId="7" applyFont="1" applyBorder="1" applyAlignment="1">
      <alignment horizontal="left" wrapText="1"/>
    </xf>
    <xf numFmtId="0" fontId="9" fillId="0" borderId="0" xfId="7" applyAlignment="1">
      <alignment wrapText="1"/>
    </xf>
    <xf numFmtId="0" fontId="112" fillId="0" borderId="52" xfId="7" applyFont="1" applyBorder="1" applyAlignment="1">
      <alignment wrapText="1"/>
    </xf>
    <xf numFmtId="191" fontId="112" fillId="0" borderId="53" xfId="7" applyNumberFormat="1" applyFont="1" applyBorder="1" applyAlignment="1">
      <alignment horizontal="left"/>
    </xf>
    <xf numFmtId="191" fontId="9" fillId="0" borderId="53" xfId="7" applyNumberFormat="1" applyBorder="1"/>
    <xf numFmtId="0" fontId="117" fillId="0" borderId="53" xfId="7" applyFont="1" applyBorder="1" applyAlignment="1">
      <alignment horizontal="left" wrapText="1"/>
    </xf>
    <xf numFmtId="0" fontId="112" fillId="0" borderId="53" xfId="7" applyFont="1" applyBorder="1" applyAlignment="1">
      <alignment wrapText="1"/>
    </xf>
    <xf numFmtId="0" fontId="112" fillId="0" borderId="52" xfId="7" applyFont="1" applyBorder="1"/>
    <xf numFmtId="0" fontId="112" fillId="0" borderId="35" xfId="7" applyFont="1" applyBorder="1"/>
    <xf numFmtId="0" fontId="112" fillId="0" borderId="38" xfId="7" applyFont="1" applyBorder="1" applyAlignment="1">
      <alignment wrapText="1"/>
    </xf>
    <xf numFmtId="2" fontId="45" fillId="0" borderId="0" xfId="0" applyNumberFormat="1" applyFont="1" applyAlignment="1">
      <alignment vertical="center"/>
    </xf>
    <xf numFmtId="2" fontId="23" fillId="3" borderId="1" xfId="0" applyNumberFormat="1" applyFont="1" applyFill="1" applyBorder="1" applyAlignment="1" applyProtection="1">
      <alignment vertical="center"/>
      <protection locked="0"/>
    </xf>
    <xf numFmtId="2" fontId="45" fillId="0" borderId="52" xfId="0" applyNumberFormat="1" applyFont="1" applyBorder="1" applyAlignment="1">
      <alignment vertical="center"/>
    </xf>
    <xf numFmtId="2" fontId="45" fillId="0" borderId="53" xfId="0" applyNumberFormat="1" applyFont="1" applyBorder="1" applyAlignment="1">
      <alignment vertical="center"/>
    </xf>
    <xf numFmtId="2" fontId="118" fillId="0" borderId="52" xfId="0" applyNumberFormat="1" applyFont="1" applyBorder="1" applyAlignment="1">
      <alignment vertical="center"/>
    </xf>
    <xf numFmtId="2" fontId="118" fillId="0" borderId="53" xfId="0" applyNumberFormat="1" applyFont="1" applyBorder="1" applyAlignment="1">
      <alignment vertical="center"/>
    </xf>
    <xf numFmtId="2" fontId="118" fillId="0" borderId="0" xfId="0" applyNumberFormat="1" applyFont="1" applyAlignment="1">
      <alignment vertical="center"/>
    </xf>
    <xf numFmtId="2" fontId="45" fillId="15" borderId="0" xfId="0" applyNumberFormat="1" applyFont="1" applyFill="1" applyAlignment="1">
      <alignment vertical="center"/>
    </xf>
    <xf numFmtId="2" fontId="23" fillId="15" borderId="0" xfId="0" applyNumberFormat="1" applyFont="1" applyFill="1" applyAlignment="1" applyProtection="1">
      <alignment vertical="center"/>
      <protection locked="0"/>
    </xf>
    <xf numFmtId="2" fontId="23" fillId="15" borderId="0" xfId="0" applyNumberFormat="1" applyFont="1" applyFill="1" applyAlignment="1" applyProtection="1">
      <alignment horizontal="right" vertical="center"/>
      <protection hidden="1"/>
    </xf>
    <xf numFmtId="2" fontId="23" fillId="3" borderId="0" xfId="0" applyNumberFormat="1" applyFont="1" applyFill="1" applyAlignment="1" applyProtection="1">
      <alignment horizontal="center" vertical="center" wrapText="1"/>
      <protection locked="0"/>
    </xf>
    <xf numFmtId="2" fontId="119" fillId="3" borderId="0" xfId="0" applyNumberFormat="1" applyFont="1" applyFill="1" applyAlignment="1" applyProtection="1">
      <alignment horizontal="center" vertical="center" wrapText="1"/>
      <protection locked="0"/>
    </xf>
    <xf numFmtId="2" fontId="23" fillId="0" borderId="0" xfId="0" applyNumberFormat="1" applyFont="1" applyAlignment="1" applyProtection="1">
      <alignment horizontal="right" vertical="center"/>
      <protection hidden="1"/>
    </xf>
    <xf numFmtId="2" fontId="119" fillId="0" borderId="0" xfId="0" applyNumberFormat="1" applyFont="1" applyAlignment="1" applyProtection="1">
      <alignment horizontal="right" vertical="center"/>
      <protection hidden="1"/>
    </xf>
    <xf numFmtId="2" fontId="23" fillId="3" borderId="0" xfId="0" applyNumberFormat="1" applyFont="1" applyFill="1" applyAlignment="1" applyProtection="1">
      <alignment vertical="center"/>
      <protection locked="0"/>
    </xf>
    <xf numFmtId="2" fontId="45" fillId="0" borderId="35" xfId="0" applyNumberFormat="1" applyFont="1" applyBorder="1" applyAlignment="1">
      <alignment vertical="center"/>
    </xf>
    <xf numFmtId="2" fontId="45" fillId="0" borderId="34" xfId="0" applyNumberFormat="1" applyFont="1" applyBorder="1" applyAlignment="1">
      <alignment vertical="center"/>
    </xf>
    <xf numFmtId="2" fontId="45" fillId="0" borderId="38" xfId="0" applyNumberFormat="1" applyFont="1" applyBorder="1" applyAlignment="1">
      <alignment vertical="center"/>
    </xf>
    <xf numFmtId="1" fontId="20" fillId="8" borderId="7" xfId="0" applyNumberFormat="1" applyFont="1" applyFill="1" applyBorder="1" applyAlignment="1">
      <alignment horizontal="center"/>
    </xf>
    <xf numFmtId="1" fontId="21" fillId="8" borderId="7" xfId="0" applyNumberFormat="1" applyFont="1" applyFill="1" applyBorder="1" applyAlignment="1">
      <alignment horizontal="center"/>
    </xf>
    <xf numFmtId="1" fontId="20" fillId="9" borderId="7" xfId="0" applyNumberFormat="1" applyFont="1" applyFill="1" applyBorder="1" applyAlignment="1">
      <alignment horizontal="center"/>
    </xf>
    <xf numFmtId="1" fontId="21" fillId="9" borderId="7" xfId="0" applyNumberFormat="1" applyFont="1" applyFill="1" applyBorder="1" applyAlignment="1">
      <alignment horizontal="center"/>
    </xf>
    <xf numFmtId="0" fontId="0" fillId="0" borderId="52" xfId="0" applyBorder="1"/>
    <xf numFmtId="0" fontId="0" fillId="0" borderId="53" xfId="0" applyBorder="1"/>
    <xf numFmtId="0" fontId="0" fillId="0" borderId="35" xfId="0" applyBorder="1"/>
    <xf numFmtId="0" fontId="0" fillId="0" borderId="34" xfId="0" applyBorder="1"/>
    <xf numFmtId="0" fontId="0" fillId="0" borderId="38" xfId="0" applyBorder="1"/>
    <xf numFmtId="0" fontId="0" fillId="8" borderId="34" xfId="0" applyFill="1" applyBorder="1"/>
    <xf numFmtId="0" fontId="0" fillId="9" borderId="0" xfId="0" applyFill="1"/>
    <xf numFmtId="0" fontId="0" fillId="9" borderId="34" xfId="0" applyFill="1" applyBorder="1"/>
    <xf numFmtId="0" fontId="0" fillId="8" borderId="5" xfId="0" applyFill="1" applyBorder="1"/>
    <xf numFmtId="0" fontId="0" fillId="9" borderId="5" xfId="0" applyFill="1" applyBorder="1"/>
    <xf numFmtId="0" fontId="0" fillId="8" borderId="10" xfId="0" applyFill="1" applyBorder="1"/>
    <xf numFmtId="170" fontId="0" fillId="8" borderId="10" xfId="0" applyNumberFormat="1" applyFill="1" applyBorder="1"/>
    <xf numFmtId="170" fontId="0" fillId="9" borderId="10" xfId="0" applyNumberFormat="1" applyFill="1" applyBorder="1"/>
    <xf numFmtId="0" fontId="0" fillId="8" borderId="7" xfId="0" applyFill="1" applyBorder="1"/>
    <xf numFmtId="170" fontId="0" fillId="8" borderId="7" xfId="0" applyNumberFormat="1" applyFill="1" applyBorder="1"/>
    <xf numFmtId="170" fontId="0" fillId="9" borderId="7" xfId="0" applyNumberFormat="1" applyFill="1" applyBorder="1"/>
    <xf numFmtId="2" fontId="119" fillId="3" borderId="0" xfId="0" applyNumberFormat="1" applyFont="1" applyFill="1" applyAlignment="1" applyProtection="1">
      <alignment vertical="center"/>
      <protection locked="0"/>
    </xf>
    <xf numFmtId="2" fontId="45" fillId="3" borderId="0" xfId="0" applyNumberFormat="1" applyFont="1" applyFill="1" applyAlignment="1">
      <alignment vertical="center"/>
    </xf>
    <xf numFmtId="2" fontId="23" fillId="3" borderId="0" xfId="0" applyNumberFormat="1" applyFont="1" applyFill="1" applyAlignment="1" applyProtection="1">
      <alignment horizontal="right" vertical="center"/>
      <protection hidden="1"/>
    </xf>
    <xf numFmtId="2" fontId="119" fillId="3" borderId="0" xfId="0" applyNumberFormat="1" applyFont="1" applyFill="1" applyAlignment="1" applyProtection="1">
      <alignment horizontal="right" vertical="center"/>
      <protection hidden="1"/>
    </xf>
    <xf numFmtId="2" fontId="45" fillId="3" borderId="53" xfId="0" applyNumberFormat="1" applyFont="1" applyFill="1" applyBorder="1" applyAlignment="1">
      <alignment vertical="center"/>
    </xf>
    <xf numFmtId="0" fontId="27" fillId="8" borderId="1" xfId="0" applyFont="1" applyFill="1" applyBorder="1" applyAlignment="1">
      <alignment horizontal="center"/>
    </xf>
    <xf numFmtId="2" fontId="0" fillId="8" borderId="5" xfId="0" applyNumberFormat="1" applyFill="1" applyBorder="1"/>
    <xf numFmtId="2" fontId="0" fillId="8" borderId="10" xfId="0" applyNumberFormat="1" applyFill="1" applyBorder="1"/>
    <xf numFmtId="2" fontId="0" fillId="8" borderId="7" xfId="0" applyNumberFormat="1" applyFill="1" applyBorder="1"/>
    <xf numFmtId="2" fontId="0" fillId="9" borderId="5" xfId="0" applyNumberFormat="1" applyFill="1" applyBorder="1"/>
    <xf numFmtId="2" fontId="0" fillId="9" borderId="10" xfId="0" applyNumberFormat="1" applyFill="1" applyBorder="1"/>
    <xf numFmtId="2" fontId="0" fillId="9" borderId="7" xfId="0" applyNumberFormat="1" applyFill="1" applyBorder="1"/>
    <xf numFmtId="2" fontId="0" fillId="3" borderId="0" xfId="0" applyNumberFormat="1" applyFill="1"/>
    <xf numFmtId="2" fontId="84" fillId="3" borderId="0" xfId="0" applyNumberFormat="1" applyFont="1" applyFill="1"/>
    <xf numFmtId="2" fontId="84" fillId="3" borderId="11" xfId="0" applyNumberFormat="1" applyFont="1" applyFill="1" applyBorder="1"/>
    <xf numFmtId="1" fontId="104" fillId="13" borderId="1" xfId="0" applyNumberFormat="1" applyFont="1" applyFill="1" applyBorder="1" applyAlignment="1" applyProtection="1">
      <alignment horizontal="center"/>
      <protection hidden="1"/>
    </xf>
    <xf numFmtId="2" fontId="32" fillId="13" borderId="5" xfId="0" applyNumberFormat="1" applyFont="1" applyFill="1" applyBorder="1"/>
    <xf numFmtId="1" fontId="13" fillId="9" borderId="1" xfId="0" applyNumberFormat="1" applyFont="1" applyFill="1" applyBorder="1" applyAlignment="1" applyProtection="1">
      <alignment horizontal="center"/>
      <protection hidden="1"/>
    </xf>
    <xf numFmtId="2" fontId="32" fillId="9" borderId="5" xfId="0" applyNumberFormat="1" applyFont="1" applyFill="1" applyBorder="1"/>
    <xf numFmtId="2" fontId="32" fillId="13" borderId="10" xfId="0" applyNumberFormat="1" applyFont="1" applyFill="1" applyBorder="1"/>
    <xf numFmtId="2" fontId="32" fillId="9" borderId="10" xfId="0" applyNumberFormat="1" applyFont="1" applyFill="1" applyBorder="1"/>
    <xf numFmtId="2" fontId="32" fillId="13" borderId="7" xfId="0" applyNumberFormat="1" applyFont="1" applyFill="1" applyBorder="1"/>
    <xf numFmtId="2" fontId="32" fillId="9" borderId="7" xfId="0" applyNumberFormat="1" applyFont="1" applyFill="1" applyBorder="1"/>
    <xf numFmtId="2" fontId="0" fillId="3" borderId="11" xfId="0" applyNumberFormat="1" applyFill="1" applyBorder="1"/>
    <xf numFmtId="1" fontId="13" fillId="12" borderId="1" xfId="0" applyNumberFormat="1" applyFont="1" applyFill="1" applyBorder="1" applyAlignment="1" applyProtection="1">
      <alignment horizontal="center"/>
      <protection hidden="1"/>
    </xf>
    <xf numFmtId="2" fontId="0" fillId="12" borderId="5" xfId="0" applyNumberFormat="1" applyFill="1" applyBorder="1"/>
    <xf numFmtId="2" fontId="0" fillId="12" borderId="10" xfId="0" applyNumberFormat="1" applyFill="1" applyBorder="1"/>
    <xf numFmtId="2" fontId="0" fillId="12" borderId="7" xfId="0" applyNumberFormat="1" applyFill="1" applyBorder="1"/>
    <xf numFmtId="0" fontId="27" fillId="13" borderId="1" xfId="0" applyFont="1" applyFill="1" applyBorder="1" applyAlignment="1">
      <alignment horizontal="center"/>
    </xf>
    <xf numFmtId="1" fontId="0" fillId="9" borderId="0" xfId="0" applyNumberFormat="1" applyFill="1"/>
    <xf numFmtId="1" fontId="0" fillId="11" borderId="0" xfId="0" applyNumberFormat="1" applyFill="1"/>
    <xf numFmtId="1" fontId="121" fillId="9" borderId="0" xfId="0" applyNumberFormat="1" applyFont="1" applyFill="1"/>
    <xf numFmtId="1" fontId="121" fillId="11" borderId="0" xfId="0" applyNumberFormat="1" applyFont="1" applyFill="1"/>
    <xf numFmtId="1" fontId="7" fillId="0" borderId="2" xfId="0" applyNumberFormat="1" applyFont="1" applyBorder="1" applyAlignment="1">
      <alignment vertical="center"/>
    </xf>
    <xf numFmtId="1" fontId="0" fillId="0" borderId="2" xfId="0" applyNumberFormat="1" applyBorder="1"/>
    <xf numFmtId="1" fontId="7" fillId="0" borderId="1" xfId="0" applyNumberFormat="1" applyFont="1" applyBorder="1" applyAlignment="1">
      <alignment horizontal="center"/>
    </xf>
    <xf numFmtId="170" fontId="7" fillId="0" borderId="1" xfId="0" applyNumberFormat="1" applyFont="1" applyBorder="1" applyAlignment="1">
      <alignment horizontal="center"/>
    </xf>
    <xf numFmtId="2" fontId="7" fillId="0" borderId="1" xfId="0" applyNumberFormat="1" applyFont="1" applyBorder="1" applyAlignment="1">
      <alignment horizontal="center"/>
    </xf>
    <xf numFmtId="165" fontId="9" fillId="8" borderId="1" xfId="0" applyNumberFormat="1" applyFont="1" applyFill="1" applyBorder="1" applyAlignment="1">
      <alignment horizontal="right"/>
    </xf>
    <xf numFmtId="165" fontId="9" fillId="0" borderId="1" xfId="0" applyNumberFormat="1" applyFont="1" applyBorder="1" applyAlignment="1">
      <alignment horizontal="right"/>
    </xf>
    <xf numFmtId="165" fontId="9" fillId="9" borderId="1" xfId="0" applyNumberFormat="1" applyFont="1" applyFill="1" applyBorder="1" applyAlignment="1">
      <alignment horizontal="right"/>
    </xf>
    <xf numFmtId="165" fontId="54" fillId="9" borderId="1" xfId="0" quotePrefix="1" applyNumberFormat="1" applyFont="1" applyFill="1" applyBorder="1" applyAlignment="1">
      <alignment horizontal="right" vertical="center"/>
    </xf>
    <xf numFmtId="1" fontId="7" fillId="0" borderId="12" xfId="0" applyNumberFormat="1" applyFont="1" applyBorder="1" applyAlignment="1">
      <alignment horizontal="left"/>
    </xf>
    <xf numFmtId="1" fontId="0" fillId="7" borderId="1" xfId="0" applyNumberFormat="1" applyFill="1" applyBorder="1" applyAlignment="1">
      <alignment horizontal="center"/>
    </xf>
    <xf numFmtId="170" fontId="0" fillId="7" borderId="1" xfId="0" applyNumberFormat="1" applyFill="1" applyBorder="1" applyAlignment="1">
      <alignment horizontal="center"/>
    </xf>
    <xf numFmtId="170" fontId="7" fillId="7" borderId="1" xfId="0" applyNumberFormat="1" applyFont="1" applyFill="1" applyBorder="1" applyAlignment="1">
      <alignment horizontal="center"/>
    </xf>
    <xf numFmtId="1" fontId="7" fillId="7" borderId="1" xfId="0" applyNumberFormat="1" applyFont="1" applyFill="1" applyBorder="1" applyAlignment="1">
      <alignment horizontal="center"/>
    </xf>
    <xf numFmtId="1" fontId="7" fillId="7" borderId="12" xfId="0" applyNumberFormat="1" applyFont="1" applyFill="1" applyBorder="1" applyAlignment="1">
      <alignment horizontal="left"/>
    </xf>
    <xf numFmtId="1" fontId="9" fillId="7" borderId="1" xfId="0" applyNumberFormat="1" applyFont="1" applyFill="1" applyBorder="1" applyAlignment="1">
      <alignment horizontal="left" vertical="top"/>
    </xf>
    <xf numFmtId="2" fontId="0" fillId="7" borderId="1" xfId="0" applyNumberFormat="1" applyFill="1" applyBorder="1" applyAlignment="1">
      <alignment horizontal="center"/>
    </xf>
    <xf numFmtId="1" fontId="7" fillId="3" borderId="0" xfId="0" quotePrefix="1" applyNumberFormat="1" applyFont="1" applyFill="1" applyAlignment="1">
      <alignment horizontal="left" vertical="center"/>
    </xf>
    <xf numFmtId="1" fontId="7" fillId="3" borderId="0" xfId="0" applyNumberFormat="1" applyFont="1" applyFill="1" applyAlignment="1">
      <alignment vertical="center"/>
    </xf>
    <xf numFmtId="1" fontId="7" fillId="3" borderId="1" xfId="0" applyNumberFormat="1" applyFont="1" applyFill="1" applyBorder="1" applyAlignment="1">
      <alignment horizontal="center"/>
    </xf>
    <xf numFmtId="165" fontId="7" fillId="8" borderId="1" xfId="0" applyNumberFormat="1" applyFont="1" applyFill="1" applyBorder="1" applyAlignment="1">
      <alignment horizontal="right"/>
    </xf>
    <xf numFmtId="165" fontId="7" fillId="9" borderId="1" xfId="0" applyNumberFormat="1" applyFont="1" applyFill="1" applyBorder="1" applyAlignment="1">
      <alignment horizontal="right"/>
    </xf>
    <xf numFmtId="165" fontId="54" fillId="9" borderId="1" xfId="0" quotePrefix="1" applyNumberFormat="1" applyFont="1" applyFill="1" applyBorder="1" applyAlignment="1">
      <alignment horizontal="left" vertical="center"/>
    </xf>
    <xf numFmtId="170" fontId="0" fillId="0" borderId="1" xfId="0" applyNumberFormat="1" applyBorder="1" applyAlignment="1">
      <alignment horizontal="center"/>
    </xf>
    <xf numFmtId="1" fontId="0" fillId="3" borderId="1" xfId="0" applyNumberFormat="1" applyFill="1" applyBorder="1" applyAlignment="1">
      <alignment horizontal="center"/>
    </xf>
    <xf numFmtId="2" fontId="0" fillId="3" borderId="1" xfId="0" applyNumberFormat="1" applyFill="1" applyBorder="1" applyAlignment="1">
      <alignment horizontal="center"/>
    </xf>
    <xf numFmtId="1" fontId="0" fillId="4" borderId="1" xfId="0" applyNumberFormat="1" applyFill="1" applyBorder="1" applyAlignment="1">
      <alignment horizontal="center"/>
    </xf>
    <xf numFmtId="2" fontId="0" fillId="4" borderId="1" xfId="0" applyNumberFormat="1" applyFill="1" applyBorder="1" applyAlignment="1">
      <alignment horizontal="center"/>
    </xf>
    <xf numFmtId="1" fontId="12" fillId="0" borderId="12" xfId="0" applyNumberFormat="1" applyFont="1" applyBorder="1" applyAlignment="1">
      <alignment vertical="center" textRotation="90"/>
    </xf>
    <xf numFmtId="1" fontId="12" fillId="0" borderId="10" xfId="0" applyNumberFormat="1" applyFont="1" applyBorder="1" applyAlignment="1">
      <alignment vertical="center" textRotation="90"/>
    </xf>
    <xf numFmtId="170" fontId="0" fillId="4" borderId="1" xfId="0" applyNumberFormat="1" applyFill="1" applyBorder="1" applyAlignment="1">
      <alignment horizontal="center"/>
    </xf>
    <xf numFmtId="164" fontId="7" fillId="0" borderId="1" xfId="0" applyNumberFormat="1" applyFont="1" applyBorder="1" applyAlignment="1">
      <alignment horizontal="right"/>
    </xf>
    <xf numFmtId="164" fontId="7" fillId="0" borderId="15" xfId="0" applyNumberFormat="1" applyFont="1" applyBorder="1" applyAlignment="1">
      <alignment horizontal="right"/>
    </xf>
    <xf numFmtId="1" fontId="7" fillId="5" borderId="15" xfId="0" quotePrefix="1" applyNumberFormat="1" applyFont="1" applyFill="1" applyBorder="1" applyAlignment="1">
      <alignment horizontal="left" vertical="center"/>
    </xf>
    <xf numFmtId="1" fontId="12" fillId="0" borderId="7" xfId="0" applyNumberFormat="1" applyFont="1" applyBorder="1" applyAlignment="1">
      <alignment vertical="center" textRotation="90"/>
    </xf>
    <xf numFmtId="164" fontId="7" fillId="0" borderId="1" xfId="0" applyNumberFormat="1" applyFont="1" applyBorder="1" applyAlignment="1">
      <alignment horizontal="center"/>
    </xf>
    <xf numFmtId="164" fontId="7" fillId="3" borderId="1" xfId="0" applyNumberFormat="1" applyFont="1" applyFill="1" applyBorder="1" applyAlignment="1">
      <alignment horizontal="center"/>
    </xf>
    <xf numFmtId="164" fontId="0" fillId="3" borderId="1" xfId="0" applyNumberFormat="1" applyFill="1" applyBorder="1" applyAlignment="1">
      <alignment horizontal="center"/>
    </xf>
    <xf numFmtId="170" fontId="0" fillId="3" borderId="1" xfId="0" applyNumberFormat="1" applyFill="1" applyBorder="1" applyAlignment="1">
      <alignment horizontal="center"/>
    </xf>
    <xf numFmtId="1" fontId="12" fillId="3" borderId="12" xfId="0" applyNumberFormat="1" applyFont="1" applyFill="1" applyBorder="1" applyAlignment="1">
      <alignment vertical="center" textRotation="90"/>
    </xf>
    <xf numFmtId="170" fontId="0" fillId="3" borderId="10" xfId="0" applyNumberFormat="1" applyFill="1" applyBorder="1" applyAlignment="1">
      <alignment horizontal="center"/>
    </xf>
    <xf numFmtId="1" fontId="12" fillId="3" borderId="10" xfId="0" applyNumberFormat="1" applyFont="1" applyFill="1" applyBorder="1" applyAlignment="1">
      <alignment vertical="center" textRotation="90"/>
    </xf>
    <xf numFmtId="1" fontId="7" fillId="3" borderId="12" xfId="0" applyNumberFormat="1" applyFont="1" applyFill="1" applyBorder="1" applyAlignment="1">
      <alignment horizontal="left"/>
    </xf>
    <xf numFmtId="170" fontId="0" fillId="4" borderId="10" xfId="0" applyNumberFormat="1" applyFill="1" applyBorder="1" applyAlignment="1">
      <alignment horizontal="center"/>
    </xf>
    <xf numFmtId="170" fontId="0" fillId="4" borderId="7" xfId="0" applyNumberFormat="1" applyFill="1" applyBorder="1" applyAlignment="1">
      <alignment horizontal="center"/>
    </xf>
    <xf numFmtId="1" fontId="7" fillId="5" borderId="1" xfId="0" quotePrefix="1" applyNumberFormat="1" applyFont="1" applyFill="1" applyBorder="1" applyAlignment="1">
      <alignment horizontal="left" vertical="center"/>
    </xf>
    <xf numFmtId="2" fontId="0" fillId="0" borderId="0" xfId="0" applyNumberFormat="1"/>
    <xf numFmtId="1" fontId="32" fillId="3" borderId="1" xfId="0" applyNumberFormat="1" applyFont="1" applyFill="1" applyBorder="1" applyAlignment="1">
      <alignment horizontal="center"/>
    </xf>
    <xf numFmtId="164" fontId="32" fillId="3" borderId="1" xfId="0" applyNumberFormat="1" applyFont="1" applyFill="1" applyBorder="1" applyAlignment="1">
      <alignment horizontal="center"/>
    </xf>
    <xf numFmtId="170" fontId="32" fillId="3" borderId="1" xfId="0" applyNumberFormat="1" applyFont="1" applyFill="1" applyBorder="1" applyAlignment="1">
      <alignment horizontal="center"/>
    </xf>
    <xf numFmtId="0" fontId="25" fillId="9" borderId="0" xfId="0" applyFont="1" applyFill="1"/>
    <xf numFmtId="0" fontId="25" fillId="4" borderId="0" xfId="0" applyFont="1" applyFill="1"/>
    <xf numFmtId="0" fontId="25" fillId="5" borderId="0" xfId="0" applyFont="1" applyFill="1"/>
    <xf numFmtId="0" fontId="25" fillId="7" borderId="0" xfId="0" applyFont="1" applyFill="1"/>
    <xf numFmtId="0" fontId="27" fillId="4" borderId="1" xfId="0" applyFont="1" applyFill="1" applyBorder="1" applyAlignment="1">
      <alignment horizontal="center"/>
    </xf>
    <xf numFmtId="0" fontId="27" fillId="5" borderId="1" xfId="0" applyFont="1" applyFill="1" applyBorder="1" applyAlignment="1">
      <alignment horizontal="center"/>
    </xf>
    <xf numFmtId="0" fontId="26" fillId="7" borderId="3" xfId="0" applyFont="1" applyFill="1" applyBorder="1" applyAlignment="1">
      <alignment vertical="center"/>
    </xf>
    <xf numFmtId="164" fontId="24" fillId="9" borderId="1" xfId="3" applyNumberFormat="1" applyFont="1" applyFill="1" applyBorder="1" applyAlignment="1">
      <alignment horizontal="center" vertical="center" wrapText="1"/>
    </xf>
    <xf numFmtId="164" fontId="24" fillId="9" borderId="1" xfId="3" applyNumberFormat="1" applyFont="1" applyFill="1" applyBorder="1" applyAlignment="1">
      <alignment horizontal="right" vertical="center"/>
    </xf>
    <xf numFmtId="164" fontId="24" fillId="4" borderId="1" xfId="3" applyNumberFormat="1" applyFont="1" applyFill="1" applyBorder="1" applyAlignment="1">
      <alignment horizontal="center" vertical="center" wrapText="1"/>
    </xf>
    <xf numFmtId="164" fontId="24" fillId="4" borderId="1" xfId="3" applyNumberFormat="1" applyFont="1" applyFill="1" applyBorder="1" applyAlignment="1">
      <alignment horizontal="right" vertical="center"/>
    </xf>
    <xf numFmtId="164" fontId="24" fillId="5" borderId="6" xfId="3" applyNumberFormat="1" applyFont="1" applyFill="1" applyBorder="1" applyAlignment="1">
      <alignment horizontal="right" vertical="center"/>
    </xf>
    <xf numFmtId="1" fontId="7" fillId="7" borderId="15" xfId="0" quotePrefix="1" applyNumberFormat="1" applyFont="1" applyFill="1" applyBorder="1" applyAlignment="1">
      <alignment horizontal="left" vertical="center"/>
    </xf>
    <xf numFmtId="164" fontId="83" fillId="5" borderId="6" xfId="3" applyNumberFormat="1" applyFont="1" applyFill="1" applyBorder="1" applyAlignment="1">
      <alignment horizontal="right" vertical="center"/>
    </xf>
    <xf numFmtId="1" fontId="79" fillId="7" borderId="15" xfId="0" quotePrefix="1" applyNumberFormat="1" applyFont="1" applyFill="1" applyBorder="1" applyAlignment="1">
      <alignment horizontal="left" vertical="center"/>
    </xf>
    <xf numFmtId="164" fontId="25" fillId="9" borderId="1" xfId="0" applyNumberFormat="1" applyFont="1" applyFill="1" applyBorder="1" applyAlignment="1">
      <alignment horizontal="center"/>
    </xf>
    <xf numFmtId="164" fontId="25" fillId="4" borderId="1" xfId="0" applyNumberFormat="1" applyFont="1" applyFill="1" applyBorder="1" applyAlignment="1">
      <alignment horizontal="center"/>
    </xf>
    <xf numFmtId="0" fontId="25" fillId="4" borderId="1" xfId="0" applyFont="1" applyFill="1" applyBorder="1" applyAlignment="1">
      <alignment horizontal="right"/>
    </xf>
    <xf numFmtId="164" fontId="25" fillId="9" borderId="5" xfId="0" applyNumberFormat="1" applyFont="1" applyFill="1" applyBorder="1" applyAlignment="1">
      <alignment horizontal="center"/>
    </xf>
    <xf numFmtId="164" fontId="25" fillId="9" borderId="5" xfId="0" applyNumberFormat="1" applyFont="1" applyFill="1" applyBorder="1" applyAlignment="1">
      <alignment horizontal="right"/>
    </xf>
    <xf numFmtId="164" fontId="24" fillId="9" borderId="5" xfId="3" applyNumberFormat="1" applyFont="1" applyFill="1" applyBorder="1" applyAlignment="1">
      <alignment horizontal="right" vertical="center"/>
    </xf>
    <xf numFmtId="164" fontId="25" fillId="4" borderId="5" xfId="0" applyNumberFormat="1" applyFont="1" applyFill="1" applyBorder="1" applyAlignment="1">
      <alignment horizontal="center"/>
    </xf>
    <xf numFmtId="164" fontId="24" fillId="4" borderId="5" xfId="3" applyNumberFormat="1" applyFont="1" applyFill="1" applyBorder="1" applyAlignment="1">
      <alignment horizontal="right" vertical="center"/>
    </xf>
    <xf numFmtId="164" fontId="25" fillId="9" borderId="11" xfId="0" applyNumberFormat="1" applyFont="1" applyFill="1" applyBorder="1" applyAlignment="1">
      <alignment horizontal="center"/>
    </xf>
    <xf numFmtId="0" fontId="25" fillId="9" borderId="11" xfId="0" applyFont="1" applyFill="1" applyBorder="1" applyAlignment="1">
      <alignment horizontal="right"/>
    </xf>
    <xf numFmtId="164" fontId="24" fillId="9" borderId="11" xfId="3" applyNumberFormat="1" applyFont="1" applyFill="1" applyBorder="1" applyAlignment="1">
      <alignment horizontal="right" vertical="center"/>
    </xf>
    <xf numFmtId="164" fontId="25" fillId="4" borderId="11" xfId="0" applyNumberFormat="1" applyFont="1" applyFill="1" applyBorder="1" applyAlignment="1">
      <alignment horizontal="center"/>
    </xf>
    <xf numFmtId="0" fontId="25" fillId="4" borderId="11" xfId="0" applyFont="1" applyFill="1" applyBorder="1" applyAlignment="1">
      <alignment horizontal="right"/>
    </xf>
    <xf numFmtId="164" fontId="24" fillId="4" borderId="11" xfId="3" applyNumberFormat="1" applyFont="1" applyFill="1" applyBorder="1" applyAlignment="1">
      <alignment horizontal="right" vertical="center"/>
    </xf>
    <xf numFmtId="164" fontId="24" fillId="5" borderId="11" xfId="3" applyNumberFormat="1" applyFont="1" applyFill="1" applyBorder="1" applyAlignment="1">
      <alignment horizontal="right" vertical="center"/>
    </xf>
    <xf numFmtId="164" fontId="25" fillId="9" borderId="0" xfId="0" applyNumberFormat="1" applyFont="1" applyFill="1" applyAlignment="1">
      <alignment horizontal="center"/>
    </xf>
    <xf numFmtId="0" fontId="25" fillId="9" borderId="0" xfId="0" applyFont="1" applyFill="1" applyAlignment="1">
      <alignment horizontal="right"/>
    </xf>
    <xf numFmtId="164" fontId="24" fillId="9" borderId="0" xfId="3" applyNumberFormat="1" applyFont="1" applyFill="1" applyAlignment="1">
      <alignment horizontal="right" vertical="center"/>
    </xf>
    <xf numFmtId="164" fontId="25" fillId="4" borderId="0" xfId="0" applyNumberFormat="1" applyFont="1" applyFill="1" applyAlignment="1">
      <alignment horizontal="center"/>
    </xf>
    <xf numFmtId="0" fontId="25" fillId="4" borderId="0" xfId="0" applyFont="1" applyFill="1" applyAlignment="1">
      <alignment horizontal="right"/>
    </xf>
    <xf numFmtId="164" fontId="24" fillId="4" borderId="0" xfId="3" applyNumberFormat="1" applyFont="1" applyFill="1" applyAlignment="1">
      <alignment horizontal="right" vertical="center"/>
    </xf>
    <xf numFmtId="164" fontId="24" fillId="5" borderId="0" xfId="3" applyNumberFormat="1" applyFont="1" applyFill="1" applyAlignment="1">
      <alignment horizontal="right" vertical="center"/>
    </xf>
    <xf numFmtId="14" fontId="77" fillId="7" borderId="0" xfId="0" quotePrefix="1" applyNumberFormat="1" applyFont="1" applyFill="1" applyAlignment="1">
      <alignment horizontal="left" vertical="center"/>
    </xf>
    <xf numFmtId="164" fontId="82" fillId="9" borderId="2" xfId="0" applyNumberFormat="1" applyFont="1" applyFill="1" applyBorder="1" applyAlignment="1">
      <alignment horizontal="center"/>
    </xf>
    <xf numFmtId="0" fontId="82" fillId="9" borderId="2" xfId="0" applyFont="1" applyFill="1" applyBorder="1" applyAlignment="1">
      <alignment horizontal="right"/>
    </xf>
    <xf numFmtId="164" fontId="83" fillId="9" borderId="2" xfId="3" applyNumberFormat="1" applyFont="1" applyFill="1" applyBorder="1" applyAlignment="1">
      <alignment horizontal="right" vertical="center"/>
    </xf>
    <xf numFmtId="164" fontId="82" fillId="4" borderId="2" xfId="0" applyNumberFormat="1" applyFont="1" applyFill="1" applyBorder="1" applyAlignment="1">
      <alignment horizontal="center"/>
    </xf>
    <xf numFmtId="0" fontId="82" fillId="4" borderId="2" xfId="0" applyFont="1" applyFill="1" applyBorder="1" applyAlignment="1">
      <alignment horizontal="right"/>
    </xf>
    <xf numFmtId="164" fontId="83" fillId="4" borderId="2" xfId="3" applyNumberFormat="1" applyFont="1" applyFill="1" applyBorder="1" applyAlignment="1">
      <alignment horizontal="right" vertical="center"/>
    </xf>
    <xf numFmtId="164" fontId="83" fillId="5" borderId="2" xfId="3" applyNumberFormat="1" applyFont="1" applyFill="1" applyBorder="1" applyAlignment="1">
      <alignment horizontal="right" vertical="center"/>
    </xf>
    <xf numFmtId="0" fontId="25" fillId="7" borderId="2" xfId="0" applyFont="1" applyFill="1" applyBorder="1"/>
    <xf numFmtId="0" fontId="25" fillId="9" borderId="1" xfId="0" applyFont="1" applyFill="1" applyBorder="1" applyAlignment="1">
      <alignment horizontal="right"/>
    </xf>
    <xf numFmtId="0" fontId="25" fillId="5" borderId="6" xfId="0" applyFont="1" applyFill="1" applyBorder="1" applyAlignment="1">
      <alignment horizontal="right"/>
    </xf>
    <xf numFmtId="164" fontId="24" fillId="4" borderId="1" xfId="3" applyNumberFormat="1" applyFont="1" applyFill="1" applyBorder="1" applyAlignment="1">
      <alignment horizontal="right" vertical="center" wrapText="1"/>
    </xf>
    <xf numFmtId="164" fontId="24" fillId="9" borderId="1" xfId="3" applyNumberFormat="1" applyFont="1" applyFill="1" applyBorder="1" applyAlignment="1">
      <alignment horizontal="right" vertical="center" wrapText="1"/>
    </xf>
    <xf numFmtId="0" fontId="25" fillId="4" borderId="1" xfId="0" applyFont="1" applyFill="1" applyBorder="1"/>
    <xf numFmtId="0" fontId="25" fillId="9" borderId="1" xfId="0" applyFont="1" applyFill="1" applyBorder="1"/>
    <xf numFmtId="164" fontId="25" fillId="4" borderId="1" xfId="0" applyNumberFormat="1" applyFont="1" applyFill="1" applyBorder="1"/>
    <xf numFmtId="0" fontId="25" fillId="7" borderId="6" xfId="0" quotePrefix="1" applyFont="1" applyFill="1" applyBorder="1" applyAlignment="1">
      <alignment horizontal="left" vertical="center"/>
    </xf>
    <xf numFmtId="1" fontId="7" fillId="9" borderId="1" xfId="0" quotePrefix="1" applyNumberFormat="1" applyFont="1" applyFill="1" applyBorder="1" applyAlignment="1">
      <alignment horizontal="center"/>
    </xf>
    <xf numFmtId="1" fontId="7" fillId="4" borderId="1" xfId="0" quotePrefix="1" applyNumberFormat="1" applyFont="1" applyFill="1" applyBorder="1" applyAlignment="1">
      <alignment horizontal="center"/>
    </xf>
    <xf numFmtId="1" fontId="7" fillId="5" borderId="6" xfId="0" quotePrefix="1" applyNumberFormat="1" applyFont="1" applyFill="1" applyBorder="1" applyAlignment="1">
      <alignment horizontal="center"/>
    </xf>
    <xf numFmtId="14" fontId="25" fillId="7" borderId="6" xfId="0" quotePrefix="1" applyNumberFormat="1" applyFont="1" applyFill="1" applyBorder="1" applyAlignment="1">
      <alignment horizontal="left" vertical="center"/>
    </xf>
    <xf numFmtId="0" fontId="25" fillId="11" borderId="1" xfId="0" applyFont="1" applyFill="1" applyBorder="1" applyAlignment="1">
      <alignment horizontal="left"/>
    </xf>
    <xf numFmtId="164" fontId="76" fillId="5" borderId="0" xfId="3" applyNumberFormat="1" applyFont="1" applyFill="1" applyAlignment="1">
      <alignment horizontal="right" vertical="center"/>
    </xf>
    <xf numFmtId="164" fontId="76" fillId="3" borderId="0" xfId="3" applyNumberFormat="1" applyFont="1" applyFill="1" applyAlignment="1">
      <alignment horizontal="right" vertical="center"/>
    </xf>
    <xf numFmtId="14" fontId="25" fillId="7" borderId="0" xfId="0" quotePrefix="1" applyNumberFormat="1" applyFont="1" applyFill="1" applyAlignment="1">
      <alignment horizontal="left" vertical="center"/>
    </xf>
    <xf numFmtId="164" fontId="83" fillId="5" borderId="0" xfId="3" applyNumberFormat="1" applyFont="1" applyFill="1" applyAlignment="1">
      <alignment horizontal="right" vertical="center"/>
    </xf>
    <xf numFmtId="164" fontId="25" fillId="9" borderId="1" xfId="0" applyNumberFormat="1" applyFont="1" applyFill="1" applyBorder="1" applyAlignment="1">
      <alignment horizontal="right"/>
    </xf>
    <xf numFmtId="164" fontId="82" fillId="9" borderId="0" xfId="0" applyNumberFormat="1" applyFont="1" applyFill="1" applyAlignment="1">
      <alignment horizontal="center"/>
    </xf>
    <xf numFmtId="0" fontId="82" fillId="9" borderId="0" xfId="0" applyFont="1" applyFill="1" applyAlignment="1">
      <alignment horizontal="right"/>
    </xf>
    <xf numFmtId="164" fontId="83" fillId="9" borderId="0" xfId="3" applyNumberFormat="1" applyFont="1" applyFill="1" applyAlignment="1">
      <alignment horizontal="right" vertical="center"/>
    </xf>
    <xf numFmtId="164" fontId="82" fillId="4" borderId="0" xfId="0" applyNumberFormat="1" applyFont="1" applyFill="1" applyAlignment="1">
      <alignment horizontal="center"/>
    </xf>
    <xf numFmtId="0" fontId="82" fillId="4" borderId="0" xfId="0" applyFont="1" applyFill="1" applyAlignment="1">
      <alignment horizontal="right"/>
    </xf>
    <xf numFmtId="164" fontId="83" fillId="4" borderId="0" xfId="3" applyNumberFormat="1" applyFont="1" applyFill="1" applyAlignment="1">
      <alignment horizontal="right" vertical="center"/>
    </xf>
    <xf numFmtId="14" fontId="82" fillId="7" borderId="6" xfId="0" quotePrefix="1" applyNumberFormat="1" applyFont="1" applyFill="1" applyBorder="1" applyAlignment="1">
      <alignment horizontal="left" vertical="center"/>
    </xf>
    <xf numFmtId="0" fontId="82" fillId="3" borderId="1" xfId="0" applyFont="1" applyFill="1" applyBorder="1" applyAlignment="1">
      <alignment horizontal="left"/>
    </xf>
    <xf numFmtId="164" fontId="24" fillId="4" borderId="3" xfId="3" applyNumberFormat="1" applyFont="1" applyFill="1" applyBorder="1" applyAlignment="1">
      <alignment horizontal="right" vertical="center"/>
    </xf>
    <xf numFmtId="164" fontId="24" fillId="5" borderId="1" xfId="3" applyNumberFormat="1" applyFont="1" applyFill="1" applyBorder="1" applyAlignment="1">
      <alignment horizontal="right" vertical="center"/>
    </xf>
    <xf numFmtId="164" fontId="83" fillId="5" borderId="1" xfId="3" applyNumberFormat="1" applyFont="1" applyFill="1" applyBorder="1" applyAlignment="1">
      <alignment horizontal="right" vertical="center"/>
    </xf>
    <xf numFmtId="14" fontId="25" fillId="7" borderId="1" xfId="0" quotePrefix="1" applyNumberFormat="1" applyFont="1" applyFill="1" applyBorder="1" applyAlignment="1">
      <alignment horizontal="left" vertical="center"/>
    </xf>
    <xf numFmtId="164" fontId="25" fillId="4" borderId="1" xfId="0" applyNumberFormat="1" applyFont="1" applyFill="1" applyBorder="1" applyAlignment="1">
      <alignment horizontal="right"/>
    </xf>
    <xf numFmtId="14" fontId="77" fillId="7" borderId="1" xfId="0" quotePrefix="1" applyNumberFormat="1" applyFont="1" applyFill="1" applyBorder="1" applyAlignment="1">
      <alignment horizontal="left" vertical="center"/>
    </xf>
    <xf numFmtId="14" fontId="82" fillId="7" borderId="1" xfId="0" quotePrefix="1" applyNumberFormat="1" applyFont="1" applyFill="1" applyBorder="1" applyAlignment="1">
      <alignment horizontal="left" vertical="center"/>
    </xf>
    <xf numFmtId="164" fontId="24" fillId="6" borderId="1" xfId="3" applyNumberFormat="1" applyFont="1" applyFill="1" applyBorder="1" applyAlignment="1">
      <alignment horizontal="center" vertical="center" wrapText="1"/>
    </xf>
    <xf numFmtId="164" fontId="24" fillId="0" borderId="1" xfId="3" applyNumberFormat="1" applyFont="1" applyBorder="1" applyAlignment="1">
      <alignment horizontal="right" vertical="center"/>
    </xf>
    <xf numFmtId="0" fontId="25" fillId="5" borderId="1" xfId="0" applyFont="1" applyFill="1" applyBorder="1"/>
    <xf numFmtId="14" fontId="25" fillId="13" borderId="1" xfId="0" quotePrefix="1" applyNumberFormat="1" applyFont="1" applyFill="1" applyBorder="1" applyAlignment="1">
      <alignment horizontal="left" vertical="center"/>
    </xf>
    <xf numFmtId="164" fontId="85" fillId="5" borderId="1" xfId="3" applyNumberFormat="1" applyFont="1" applyFill="1" applyBorder="1" applyAlignment="1">
      <alignment horizontal="right" vertical="center"/>
    </xf>
    <xf numFmtId="164" fontId="25" fillId="6" borderId="1" xfId="0" applyNumberFormat="1" applyFont="1" applyFill="1" applyBorder="1" applyAlignment="1">
      <alignment horizontal="center"/>
    </xf>
    <xf numFmtId="0" fontId="82" fillId="5" borderId="1" xfId="0" applyFont="1" applyFill="1" applyBorder="1"/>
    <xf numFmtId="0" fontId="25" fillId="0" borderId="1" xfId="0" applyFont="1" applyBorder="1" applyAlignment="1">
      <alignment horizontal="right"/>
    </xf>
    <xf numFmtId="0" fontId="25" fillId="7" borderId="1" xfId="0" applyFont="1" applyFill="1" applyBorder="1"/>
    <xf numFmtId="164" fontId="76" fillId="3" borderId="1" xfId="3" applyNumberFormat="1" applyFont="1" applyFill="1" applyBorder="1" applyAlignment="1">
      <alignment horizontal="right" vertical="center"/>
    </xf>
    <xf numFmtId="164" fontId="25" fillId="0" borderId="1" xfId="0" applyNumberFormat="1" applyFont="1" applyBorder="1" applyAlignment="1">
      <alignment horizontal="right"/>
    </xf>
    <xf numFmtId="0" fontId="85" fillId="5" borderId="1" xfId="0" applyFont="1" applyFill="1" applyBorder="1"/>
    <xf numFmtId="0" fontId="9" fillId="0" borderId="23" xfId="0" applyFont="1" applyBorder="1" applyAlignment="1">
      <alignment horizontal="right" vertical="center"/>
    </xf>
    <xf numFmtId="170" fontId="0" fillId="0" borderId="23" xfId="0" applyNumberFormat="1" applyBorder="1" applyAlignment="1">
      <alignment horizontal="right" vertical="center"/>
    </xf>
    <xf numFmtId="1" fontId="105" fillId="9" borderId="1" xfId="0" applyNumberFormat="1" applyFont="1" applyFill="1" applyBorder="1" applyAlignment="1" applyProtection="1">
      <alignment horizontal="center"/>
      <protection hidden="1"/>
    </xf>
    <xf numFmtId="1" fontId="105" fillId="9" borderId="1" xfId="0" applyNumberFormat="1" applyFont="1" applyFill="1" applyBorder="1" applyAlignment="1" applyProtection="1">
      <alignment horizontal="right"/>
      <protection hidden="1"/>
    </xf>
    <xf numFmtId="1" fontId="105" fillId="9" borderId="1" xfId="0" applyNumberFormat="1" applyFont="1" applyFill="1" applyBorder="1" applyAlignment="1" applyProtection="1">
      <alignment vertical="center"/>
      <protection hidden="1"/>
    </xf>
    <xf numFmtId="164" fontId="9" fillId="0" borderId="1" xfId="0" applyNumberFormat="1" applyFont="1" applyBorder="1" applyAlignment="1">
      <alignment horizontal="right" vertical="center"/>
    </xf>
    <xf numFmtId="1" fontId="13" fillId="9" borderId="1" xfId="0" applyNumberFormat="1" applyFont="1" applyFill="1" applyBorder="1" applyAlignment="1" applyProtection="1">
      <alignment vertical="center"/>
      <protection hidden="1"/>
    </xf>
    <xf numFmtId="0" fontId="0" fillId="0" borderId="1" xfId="0" applyBorder="1" applyAlignment="1">
      <alignment horizontal="right"/>
    </xf>
    <xf numFmtId="164" fontId="0" fillId="0" borderId="0" xfId="0" applyNumberFormat="1" applyAlignment="1">
      <alignment horizontal="right" vertical="center"/>
    </xf>
    <xf numFmtId="164" fontId="9" fillId="0" borderId="23" xfId="0" applyNumberFormat="1" applyFont="1" applyBorder="1" applyAlignment="1">
      <alignment horizontal="right" vertical="center"/>
    </xf>
    <xf numFmtId="164" fontId="0" fillId="0" borderId="23" xfId="0" applyNumberFormat="1" applyBorder="1" applyAlignment="1">
      <alignment horizontal="right" vertical="center"/>
    </xf>
    <xf numFmtId="164" fontId="0" fillId="0" borderId="26" xfId="0" applyNumberFormat="1" applyBorder="1" applyAlignment="1">
      <alignment horizontal="right" vertical="center"/>
    </xf>
    <xf numFmtId="164" fontId="84" fillId="10" borderId="0" xfId="0" applyNumberFormat="1" applyFont="1" applyFill="1" applyAlignment="1">
      <alignment horizontal="right" vertical="center"/>
    </xf>
    <xf numFmtId="170" fontId="105" fillId="9" borderId="1" xfId="0" applyNumberFormat="1" applyFont="1" applyFill="1" applyBorder="1" applyAlignment="1" applyProtection="1">
      <alignment horizontal="right"/>
      <protection hidden="1"/>
    </xf>
    <xf numFmtId="0" fontId="9" fillId="8" borderId="0" xfId="0" applyFont="1" applyFill="1" applyAlignment="1">
      <alignment vertical="center"/>
    </xf>
    <xf numFmtId="1" fontId="7" fillId="5" borderId="0" xfId="0" applyNumberFormat="1" applyFont="1" applyFill="1" applyAlignment="1" applyProtection="1">
      <alignment horizontal="left"/>
      <protection hidden="1"/>
    </xf>
    <xf numFmtId="170" fontId="9" fillId="5" borderId="1" xfId="0" applyNumberFormat="1" applyFont="1" applyFill="1" applyBorder="1" applyAlignment="1">
      <alignment horizontal="right" vertical="center"/>
    </xf>
    <xf numFmtId="0" fontId="40" fillId="8" borderId="1" xfId="0" applyFont="1" applyFill="1" applyBorder="1"/>
    <xf numFmtId="170" fontId="40" fillId="3" borderId="1" xfId="0" applyNumberFormat="1" applyFont="1" applyFill="1" applyBorder="1" applyAlignment="1">
      <alignment horizontal="right"/>
    </xf>
    <xf numFmtId="170" fontId="32" fillId="5" borderId="1" xfId="0" applyNumberFormat="1" applyFont="1" applyFill="1" applyBorder="1" applyAlignment="1">
      <alignment horizontal="right" vertical="center"/>
    </xf>
    <xf numFmtId="0" fontId="84" fillId="8" borderId="1" xfId="0" applyFont="1" applyFill="1" applyBorder="1"/>
    <xf numFmtId="170" fontId="74" fillId="3" borderId="1" xfId="0" applyNumberFormat="1" applyFont="1" applyFill="1" applyBorder="1" applyAlignment="1">
      <alignment horizontal="right"/>
    </xf>
    <xf numFmtId="1" fontId="75" fillId="5" borderId="7" xfId="0" applyNumberFormat="1" applyFont="1" applyFill="1" applyBorder="1" applyAlignment="1" applyProtection="1">
      <alignment horizontal="left"/>
      <protection hidden="1"/>
    </xf>
    <xf numFmtId="0" fontId="74" fillId="10" borderId="1" xfId="0" applyFont="1" applyFill="1" applyBorder="1" applyAlignment="1">
      <alignment vertical="center"/>
    </xf>
    <xf numFmtId="170" fontId="25" fillId="0" borderId="1" xfId="0" applyNumberFormat="1" applyFont="1" applyBorder="1" applyProtection="1">
      <protection hidden="1"/>
    </xf>
    <xf numFmtId="164" fontId="84" fillId="0" borderId="23" xfId="0" applyNumberFormat="1" applyFont="1" applyBorder="1" applyAlignment="1">
      <alignment horizontal="center" vertical="center"/>
    </xf>
    <xf numFmtId="164" fontId="0" fillId="0" borderId="23" xfId="0" applyNumberFormat="1" applyBorder="1" applyAlignment="1">
      <alignment horizontal="center" vertical="center"/>
    </xf>
    <xf numFmtId="0" fontId="32" fillId="8" borderId="24" xfId="0" applyFont="1" applyFill="1" applyBorder="1" applyAlignment="1">
      <alignment vertical="center"/>
    </xf>
    <xf numFmtId="164" fontId="40" fillId="3" borderId="25" xfId="0" applyNumberFormat="1" applyFont="1" applyFill="1" applyBorder="1" applyAlignment="1">
      <alignment horizontal="center" vertical="center"/>
    </xf>
    <xf numFmtId="0" fontId="84" fillId="10" borderId="0" xfId="0" applyFont="1" applyFill="1"/>
    <xf numFmtId="170" fontId="84" fillId="10" borderId="0" xfId="0" applyNumberFormat="1" applyFont="1" applyFill="1"/>
    <xf numFmtId="2" fontId="84" fillId="0" borderId="23" xfId="0" applyNumberFormat="1" applyFont="1" applyBorder="1" applyAlignment="1">
      <alignment horizontal="center" vertical="center"/>
    </xf>
    <xf numFmtId="164" fontId="0" fillId="0" borderId="29" xfId="0" applyNumberFormat="1" applyBorder="1" applyAlignment="1">
      <alignment horizontal="center" vertical="center"/>
    </xf>
    <xf numFmtId="0" fontId="80" fillId="3" borderId="23" xfId="0" applyFont="1" applyFill="1" applyBorder="1" applyAlignment="1">
      <alignment horizontal="center" vertical="center"/>
    </xf>
    <xf numFmtId="1" fontId="11" fillId="3" borderId="1" xfId="0" applyNumberFormat="1" applyFont="1" applyFill="1" applyBorder="1" applyAlignment="1" applyProtection="1">
      <alignment horizontal="left"/>
      <protection hidden="1"/>
    </xf>
    <xf numFmtId="164" fontId="84" fillId="0" borderId="0" xfId="0" applyNumberFormat="1" applyFont="1" applyAlignment="1">
      <alignment horizontal="center"/>
    </xf>
    <xf numFmtId="164" fontId="51"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70" fontId="40" fillId="3" borderId="25" xfId="0" applyNumberFormat="1" applyFont="1" applyFill="1" applyBorder="1" applyAlignment="1">
      <alignment horizontal="center" vertical="center"/>
    </xf>
    <xf numFmtId="2" fontId="74" fillId="10" borderId="1" xfId="0" applyNumberFormat="1" applyFont="1" applyFill="1" applyBorder="1" applyAlignment="1">
      <alignment horizontal="center" vertical="center"/>
    </xf>
    <xf numFmtId="164" fontId="74" fillId="10" borderId="25" xfId="0" applyNumberFormat="1" applyFont="1" applyFill="1" applyBorder="1" applyAlignment="1">
      <alignment horizontal="center" vertical="center"/>
    </xf>
    <xf numFmtId="0" fontId="9" fillId="14" borderId="1" xfId="0" applyFont="1" applyFill="1" applyBorder="1" applyAlignment="1">
      <alignment vertical="center" wrapText="1"/>
    </xf>
    <xf numFmtId="1" fontId="18" fillId="3" borderId="0" xfId="0" applyNumberFormat="1" applyFont="1" applyFill="1" applyAlignment="1" applyProtection="1">
      <alignment vertical="top"/>
      <protection locked="0"/>
    </xf>
    <xf numFmtId="164" fontId="5" fillId="3" borderId="13" xfId="0" applyNumberFormat="1" applyFont="1" applyFill="1" applyBorder="1" applyAlignment="1">
      <alignment horizontal="center" vertical="center"/>
    </xf>
    <xf numFmtId="170" fontId="5" fillId="3" borderId="13" xfId="0" applyNumberFormat="1" applyFont="1" applyFill="1" applyBorder="1" applyAlignment="1">
      <alignment horizontal="center" vertical="center"/>
    </xf>
    <xf numFmtId="2" fontId="45" fillId="0" borderId="0" xfId="0" applyNumberFormat="1" applyFont="1" applyAlignment="1">
      <alignment horizontal="center" vertical="center"/>
    </xf>
    <xf numFmtId="2" fontId="118" fillId="0" borderId="0" xfId="0" applyNumberFormat="1" applyFont="1" applyAlignment="1">
      <alignment horizontal="center" vertical="center"/>
    </xf>
    <xf numFmtId="164" fontId="66" fillId="3" borderId="0" xfId="0" applyNumberFormat="1" applyFont="1" applyFill="1"/>
    <xf numFmtId="164" fontId="66" fillId="3" borderId="0" xfId="0" applyNumberFormat="1" applyFont="1" applyFill="1" applyAlignment="1">
      <alignment horizontal="center"/>
    </xf>
    <xf numFmtId="174" fontId="0" fillId="9" borderId="5" xfId="0" applyNumberFormat="1" applyFill="1" applyBorder="1"/>
    <xf numFmtId="164" fontId="5" fillId="3" borderId="0" xfId="0" applyNumberFormat="1" applyFont="1" applyFill="1" applyAlignment="1">
      <alignment horizontal="center"/>
    </xf>
    <xf numFmtId="1" fontId="66" fillId="0" borderId="0" xfId="0" applyNumberFormat="1" applyFont="1" applyAlignment="1" applyProtection="1">
      <alignment horizontal="left"/>
      <protection locked="0"/>
    </xf>
    <xf numFmtId="1" fontId="56" fillId="3" borderId="0" xfId="0" applyNumberFormat="1" applyFont="1" applyFill="1" applyAlignment="1" applyProtection="1">
      <alignment horizontal="left" vertical="top"/>
      <protection locked="0"/>
    </xf>
    <xf numFmtId="0" fontId="5" fillId="3" borderId="1" xfId="0" applyFont="1" applyFill="1" applyBorder="1" applyAlignment="1">
      <alignment horizontal="right" vertical="center"/>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28" fillId="3" borderId="0" xfId="0" applyFont="1" applyFill="1" applyAlignment="1">
      <alignment horizontal="center" vertical="center"/>
    </xf>
    <xf numFmtId="0" fontId="15" fillId="3" borderId="13" xfId="0" applyFont="1" applyFill="1" applyBorder="1" applyAlignment="1">
      <alignment horizontal="left" vertical="center"/>
    </xf>
    <xf numFmtId="0" fontId="15" fillId="3" borderId="15" xfId="0" applyFont="1" applyFill="1" applyBorder="1" applyAlignment="1">
      <alignment horizontal="center" vertical="center" wrapText="1"/>
    </xf>
    <xf numFmtId="0" fontId="16" fillId="3" borderId="13" xfId="1" applyFont="1" applyFill="1" applyBorder="1" applyAlignment="1">
      <alignment horizontal="center" vertical="center" wrapText="1"/>
    </xf>
    <xf numFmtId="0" fontId="18" fillId="2" borderId="5" xfId="0" applyFont="1" applyFill="1" applyBorder="1" applyAlignment="1">
      <alignment horizontal="center" vertical="top" wrapText="1"/>
    </xf>
    <xf numFmtId="0" fontId="18" fillId="2" borderId="8" xfId="0" applyFont="1" applyFill="1" applyBorder="1" applyAlignment="1">
      <alignment horizontal="center" vertical="top" wrapText="1"/>
    </xf>
    <xf numFmtId="0" fontId="18" fillId="2" borderId="12" xfId="0" applyFont="1" applyFill="1" applyBorder="1" applyAlignment="1">
      <alignment horizontal="center" vertical="top" wrapText="1"/>
    </xf>
    <xf numFmtId="0" fontId="18" fillId="2" borderId="0" xfId="0" applyFont="1" applyFill="1" applyAlignment="1">
      <alignment horizontal="center"/>
    </xf>
    <xf numFmtId="0" fontId="18" fillId="2" borderId="7" xfId="0" applyFont="1" applyFill="1" applyBorder="1" applyAlignment="1">
      <alignment horizontal="center" vertical="top"/>
    </xf>
    <xf numFmtId="165" fontId="30" fillId="3" borderId="1" xfId="0" applyNumberFormat="1" applyFont="1" applyFill="1" applyBorder="1" applyAlignment="1">
      <alignment horizontal="center" vertical="top" wrapText="1"/>
    </xf>
    <xf numFmtId="0" fontId="39" fillId="2" borderId="0" xfId="0" applyFont="1" applyFill="1" applyAlignment="1">
      <alignment horizontal="center" vertical="center"/>
    </xf>
    <xf numFmtId="0" fontId="56" fillId="3" borderId="3" xfId="0" applyFont="1" applyFill="1" applyBorder="1" applyAlignment="1">
      <alignment horizontal="center" vertical="center" wrapText="1"/>
    </xf>
    <xf numFmtId="0" fontId="66" fillId="2" borderId="8" xfId="0" applyFont="1" applyFill="1" applyBorder="1" applyAlignment="1">
      <alignment horizontal="center" vertical="top" wrapText="1"/>
    </xf>
    <xf numFmtId="0" fontId="66" fillId="2" borderId="0" xfId="0" applyFont="1" applyFill="1" applyAlignment="1">
      <alignment horizontal="center"/>
    </xf>
    <xf numFmtId="165" fontId="67" fillId="3" borderId="1" xfId="0" applyNumberFormat="1" applyFont="1" applyFill="1" applyBorder="1" applyAlignment="1">
      <alignment horizontal="center" vertical="top"/>
    </xf>
    <xf numFmtId="0" fontId="66" fillId="2" borderId="7" xfId="0" applyFont="1" applyFill="1" applyBorder="1" applyAlignment="1">
      <alignment horizontal="center"/>
    </xf>
    <xf numFmtId="0" fontId="66" fillId="2" borderId="11" xfId="0" applyFont="1" applyFill="1" applyBorder="1" applyAlignment="1">
      <alignment horizontal="center" vertical="top"/>
    </xf>
    <xf numFmtId="0" fontId="66" fillId="2" borderId="2" xfId="0" applyFont="1" applyFill="1" applyBorder="1" applyAlignment="1">
      <alignment horizontal="center"/>
    </xf>
    <xf numFmtId="0" fontId="66" fillId="2" borderId="15" xfId="0" applyFont="1" applyFill="1" applyBorder="1" applyAlignment="1">
      <alignment horizontal="center"/>
    </xf>
    <xf numFmtId="2" fontId="23" fillId="3" borderId="0" xfId="0" applyNumberFormat="1" applyFont="1" applyFill="1" applyAlignment="1">
      <alignment horizontal="center" vertical="center"/>
    </xf>
    <xf numFmtId="216" fontId="66" fillId="4" borderId="0" xfId="0" applyNumberFormat="1" applyFont="1" applyFill="1"/>
    <xf numFmtId="216" fontId="23" fillId="15" borderId="0" xfId="0" applyNumberFormat="1" applyFont="1" applyFill="1" applyAlignment="1" applyProtection="1">
      <alignment vertical="center"/>
      <protection locked="0"/>
    </xf>
    <xf numFmtId="179" fontId="23" fillId="15" borderId="0" xfId="0" applyNumberFormat="1" applyFont="1" applyFill="1" applyAlignment="1" applyProtection="1">
      <alignment horizontal="right" vertical="center"/>
      <protection hidden="1"/>
    </xf>
    <xf numFmtId="179" fontId="45" fillId="0" borderId="0" xfId="0" applyNumberFormat="1" applyFont="1" applyAlignment="1">
      <alignment vertical="center"/>
    </xf>
    <xf numFmtId="179" fontId="23" fillId="3" borderId="0" xfId="0" applyNumberFormat="1" applyFont="1" applyFill="1" applyAlignment="1" applyProtection="1">
      <alignment horizontal="center" vertical="center" wrapText="1"/>
      <protection locked="0"/>
    </xf>
    <xf numFmtId="174" fontId="0" fillId="8" borderId="5" xfId="0" applyNumberFormat="1" applyFill="1" applyBorder="1"/>
    <xf numFmtId="174" fontId="0" fillId="8" borderId="10" xfId="0" applyNumberFormat="1" applyFill="1" applyBorder="1"/>
    <xf numFmtId="174" fontId="0" fillId="9" borderId="10" xfId="0" applyNumberFormat="1" applyFill="1" applyBorder="1"/>
    <xf numFmtId="172" fontId="0" fillId="8" borderId="5" xfId="0" applyNumberFormat="1" applyFill="1" applyBorder="1"/>
    <xf numFmtId="172" fontId="0" fillId="8" borderId="10" xfId="0" applyNumberFormat="1" applyFill="1" applyBorder="1"/>
    <xf numFmtId="179" fontId="23" fillId="15" borderId="0" xfId="0" applyNumberFormat="1" applyFont="1" applyFill="1" applyAlignment="1" applyProtection="1">
      <alignment vertical="center"/>
      <protection locked="0"/>
    </xf>
    <xf numFmtId="164" fontId="0" fillId="8" borderId="5" xfId="0" applyNumberFormat="1" applyFill="1" applyBorder="1"/>
    <xf numFmtId="164" fontId="0" fillId="9" borderId="5" xfId="0" applyNumberFormat="1" applyFill="1" applyBorder="1"/>
    <xf numFmtId="164" fontId="0" fillId="8" borderId="1" xfId="0" applyNumberFormat="1" applyFill="1" applyBorder="1"/>
    <xf numFmtId="164" fontId="0" fillId="9" borderId="1" xfId="0" applyNumberFormat="1" applyFill="1" applyBorder="1"/>
    <xf numFmtId="164" fontId="5" fillId="3" borderId="1" xfId="0" applyNumberFormat="1" applyFont="1" applyFill="1" applyBorder="1" applyAlignment="1">
      <alignment horizontal="center" vertical="center" wrapText="1"/>
    </xf>
    <xf numFmtId="1" fontId="5" fillId="3" borderId="0" xfId="0" applyNumberFormat="1" applyFont="1" applyFill="1"/>
    <xf numFmtId="179" fontId="30" fillId="3" borderId="3" xfId="0" applyNumberFormat="1" applyFont="1" applyFill="1" applyBorder="1"/>
    <xf numFmtId="1" fontId="30" fillId="3" borderId="13" xfId="0" applyNumberFormat="1" applyFont="1" applyFill="1" applyBorder="1" applyAlignment="1">
      <alignment horizontal="left" wrapText="1"/>
    </xf>
    <xf numFmtId="179" fontId="120" fillId="3" borderId="0" xfId="0" applyNumberFormat="1" applyFont="1" applyFill="1" applyAlignment="1">
      <alignment horizontal="right"/>
    </xf>
    <xf numFmtId="1" fontId="73" fillId="3" borderId="13" xfId="0" applyNumberFormat="1" applyFont="1" applyFill="1" applyBorder="1" applyAlignment="1">
      <alignment horizontal="left" wrapText="1"/>
    </xf>
    <xf numFmtId="1" fontId="35" fillId="3" borderId="16" xfId="0" applyNumberFormat="1" applyFont="1" applyFill="1" applyBorder="1" applyAlignment="1">
      <alignment horizontal="center" wrapText="1"/>
    </xf>
    <xf numFmtId="1" fontId="35" fillId="3" borderId="21" xfId="0" applyNumberFormat="1" applyFont="1" applyFill="1" applyBorder="1" applyAlignment="1">
      <alignment horizontal="center" wrapText="1"/>
    </xf>
    <xf numFmtId="1" fontId="30" fillId="3" borderId="16" xfId="0" applyNumberFormat="1" applyFont="1" applyFill="1" applyBorder="1" applyAlignment="1">
      <alignment horizontal="center" wrapText="1"/>
    </xf>
    <xf numFmtId="1" fontId="30" fillId="3" borderId="0" xfId="0" applyNumberFormat="1" applyFont="1" applyFill="1"/>
    <xf numFmtId="1" fontId="5" fillId="3" borderId="19" xfId="0" applyNumberFormat="1" applyFont="1" applyFill="1" applyBorder="1" applyAlignment="1">
      <alignment horizontal="left" wrapText="1"/>
    </xf>
    <xf numFmtId="1" fontId="5" fillId="3" borderId="18" xfId="0" applyNumberFormat="1" applyFont="1" applyFill="1" applyBorder="1" applyAlignment="1">
      <alignment horizontal="center" wrapText="1"/>
    </xf>
    <xf numFmtId="165" fontId="5" fillId="3" borderId="16" xfId="0" applyNumberFormat="1" applyFont="1" applyFill="1" applyBorder="1" applyAlignment="1">
      <alignment horizontal="right" wrapText="1"/>
    </xf>
    <xf numFmtId="1" fontId="5" fillId="3" borderId="16" xfId="0" applyNumberFormat="1" applyFont="1" applyFill="1" applyBorder="1" applyAlignment="1">
      <alignment horizontal="right" wrapText="1"/>
    </xf>
    <xf numFmtId="171" fontId="5" fillId="3" borderId="16" xfId="0" applyNumberFormat="1" applyFont="1" applyFill="1" applyBorder="1" applyAlignment="1">
      <alignment horizontal="right" wrapText="1"/>
    </xf>
    <xf numFmtId="165" fontId="5" fillId="13" borderId="1" xfId="0" applyNumberFormat="1" applyFont="1" applyFill="1" applyBorder="1"/>
    <xf numFmtId="210" fontId="3" fillId="3" borderId="1" xfId="0" applyNumberFormat="1" applyFont="1" applyFill="1" applyBorder="1" applyAlignment="1">
      <alignment vertical="center"/>
    </xf>
    <xf numFmtId="1" fontId="5" fillId="3" borderId="19" xfId="0" applyNumberFormat="1" applyFont="1" applyFill="1" applyBorder="1" applyAlignment="1">
      <alignment horizontal="left"/>
    </xf>
    <xf numFmtId="210" fontId="5" fillId="3" borderId="0" xfId="0" applyNumberFormat="1" applyFont="1" applyFill="1"/>
    <xf numFmtId="1" fontId="5" fillId="3" borderId="16" xfId="0" applyNumberFormat="1" applyFont="1" applyFill="1" applyBorder="1" applyAlignment="1">
      <alignment horizontal="left"/>
    </xf>
    <xf numFmtId="1" fontId="5" fillId="3" borderId="16" xfId="0" applyNumberFormat="1" applyFont="1" applyFill="1" applyBorder="1" applyAlignment="1">
      <alignment horizontal="center" wrapText="1"/>
    </xf>
    <xf numFmtId="179" fontId="5" fillId="3" borderId="0" xfId="0" applyNumberFormat="1" applyFont="1" applyFill="1" applyAlignment="1">
      <alignment horizontal="right" wrapText="1"/>
    </xf>
    <xf numFmtId="1" fontId="5" fillId="3" borderId="17" xfId="0" applyNumberFormat="1" applyFont="1" applyFill="1" applyBorder="1" applyAlignment="1">
      <alignment horizontal="left" wrapText="1"/>
    </xf>
    <xf numFmtId="1" fontId="5" fillId="3" borderId="0" xfId="0" applyNumberFormat="1" applyFont="1" applyFill="1" applyAlignment="1">
      <alignment horizontal="left" wrapText="1"/>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71" fontId="19" fillId="3" borderId="16" xfId="0" applyNumberFormat="1" applyFont="1" applyFill="1" applyBorder="1" applyAlignment="1">
      <alignment horizontal="right" wrapText="1"/>
    </xf>
    <xf numFmtId="1" fontId="19" fillId="3" borderId="18" xfId="0" applyNumberFormat="1" applyFont="1" applyFill="1" applyBorder="1" applyAlignment="1">
      <alignment vertical="center" wrapText="1"/>
    </xf>
    <xf numFmtId="164" fontId="19" fillId="3" borderId="16" xfId="0" applyNumberFormat="1" applyFont="1" applyFill="1" applyBorder="1" applyAlignment="1">
      <alignment horizontal="right" wrapText="1"/>
    </xf>
    <xf numFmtId="1" fontId="19" fillId="3" borderId="0" xfId="0" applyNumberFormat="1" applyFont="1" applyFill="1" applyAlignment="1">
      <alignment horizontal="left" wrapText="1"/>
    </xf>
    <xf numFmtId="164" fontId="5" fillId="3" borderId="16" xfId="0" applyNumberFormat="1" applyFont="1" applyFill="1" applyBorder="1" applyAlignment="1">
      <alignment horizontal="right" wrapText="1"/>
    </xf>
    <xf numFmtId="171" fontId="19" fillId="3" borderId="0" xfId="0" applyNumberFormat="1" applyFont="1" applyFill="1" applyAlignment="1">
      <alignment horizontal="right" wrapText="1"/>
    </xf>
    <xf numFmtId="171" fontId="5" fillId="3" borderId="0" xfId="0" applyNumberFormat="1" applyFont="1" applyFill="1" applyAlignment="1">
      <alignment horizontal="right" wrapText="1"/>
    </xf>
    <xf numFmtId="179" fontId="30" fillId="3" borderId="3" xfId="0" applyNumberFormat="1" applyFont="1" applyFill="1" applyBorder="1" applyAlignment="1">
      <alignment horizontal="right" wrapText="1"/>
    </xf>
    <xf numFmtId="1" fontId="5" fillId="3" borderId="16" xfId="0" applyNumberFormat="1" applyFont="1" applyFill="1" applyBorder="1" applyAlignment="1">
      <alignment horizontal="left" wrapText="1"/>
    </xf>
    <xf numFmtId="171" fontId="5" fillId="3" borderId="16" xfId="0" applyNumberFormat="1" applyFont="1" applyFill="1" applyBorder="1"/>
    <xf numFmtId="174" fontId="30" fillId="3" borderId="3" xfId="0" applyNumberFormat="1" applyFont="1" applyFill="1" applyBorder="1" applyAlignment="1">
      <alignment horizontal="right" wrapText="1"/>
    </xf>
    <xf numFmtId="213" fontId="5" fillId="3" borderId="0" xfId="0" applyNumberFormat="1" applyFont="1" applyFill="1"/>
    <xf numFmtId="0" fontId="29" fillId="3" borderId="0" xfId="0" applyFont="1" applyFill="1"/>
    <xf numFmtId="0" fontId="41" fillId="0" borderId="0" xfId="0" applyFont="1" applyAlignment="1">
      <alignment horizontal="center"/>
    </xf>
    <xf numFmtId="0" fontId="41" fillId="0" borderId="0" xfId="0" applyFont="1"/>
    <xf numFmtId="167" fontId="18" fillId="2" borderId="0" xfId="0" applyNumberFormat="1" applyFont="1" applyFill="1" applyAlignment="1">
      <alignment horizontal="left" vertical="center"/>
    </xf>
    <xf numFmtId="168" fontId="18" fillId="2" borderId="0" xfId="0" applyNumberFormat="1" applyFont="1" applyFill="1" applyAlignment="1">
      <alignment horizontal="left" vertical="center"/>
    </xf>
    <xf numFmtId="0" fontId="56" fillId="0" borderId="0" xfId="0" applyFont="1" applyAlignment="1">
      <alignment horizontal="center" vertical="center"/>
    </xf>
    <xf numFmtId="0" fontId="56" fillId="0" borderId="0" xfId="0" applyFont="1" applyAlignment="1">
      <alignment horizontal="center" vertical="center" wrapText="1"/>
    </xf>
    <xf numFmtId="184" fontId="56" fillId="0" borderId="0" xfId="0" applyNumberFormat="1" applyFont="1" applyAlignment="1">
      <alignment horizontal="center" vertical="center"/>
    </xf>
    <xf numFmtId="0" fontId="5" fillId="0" borderId="0" xfId="0" quotePrefix="1" applyFont="1"/>
    <xf numFmtId="188" fontId="18" fillId="0" borderId="0" xfId="0" applyNumberFormat="1" applyFont="1" applyAlignment="1">
      <alignment horizontal="left"/>
    </xf>
    <xf numFmtId="0" fontId="5" fillId="0" borderId="0" xfId="0" applyFont="1" applyAlignment="1">
      <alignment horizontal="center"/>
    </xf>
    <xf numFmtId="190" fontId="18" fillId="0" borderId="0" xfId="0" applyNumberFormat="1" applyFont="1" applyAlignment="1">
      <alignment horizontal="center"/>
    </xf>
    <xf numFmtId="164" fontId="5" fillId="0" borderId="0" xfId="0" applyNumberFormat="1" applyFont="1" applyAlignment="1">
      <alignment horizontal="left"/>
    </xf>
    <xf numFmtId="0" fontId="8" fillId="3" borderId="0" xfId="0" applyFont="1" applyFill="1" applyAlignment="1">
      <alignment horizontal="center"/>
    </xf>
    <xf numFmtId="0" fontId="56" fillId="4" borderId="1" xfId="0" applyFont="1" applyFill="1" applyBorder="1" applyAlignment="1">
      <alignment vertical="center"/>
    </xf>
    <xf numFmtId="0" fontId="5" fillId="4" borderId="1" xfId="0" applyFont="1" applyFill="1" applyBorder="1" applyAlignment="1">
      <alignment vertical="center"/>
    </xf>
    <xf numFmtId="0" fontId="15" fillId="3" borderId="0" xfId="0" applyFont="1" applyFill="1" applyAlignment="1">
      <alignment horizontal="right"/>
    </xf>
    <xf numFmtId="0" fontId="15" fillId="0" borderId="0" xfId="1" applyFont="1" applyAlignment="1">
      <alignment horizontal="left" vertical="center"/>
    </xf>
    <xf numFmtId="0" fontId="15" fillId="3" borderId="0" xfId="1" applyFont="1" applyFill="1" applyAlignment="1">
      <alignment vertical="center" wrapText="1"/>
    </xf>
    <xf numFmtId="164" fontId="15" fillId="0" borderId="1" xfId="1" applyNumberFormat="1" applyFont="1" applyBorder="1" applyAlignment="1">
      <alignment vertical="center"/>
    </xf>
    <xf numFmtId="178" fontId="15" fillId="0" borderId="1" xfId="1" applyNumberFormat="1" applyFont="1" applyBorder="1" applyAlignment="1">
      <alignment horizontal="center" vertical="center"/>
    </xf>
    <xf numFmtId="0" fontId="18" fillId="0" borderId="11" xfId="0" applyFont="1" applyBorder="1"/>
    <xf numFmtId="0" fontId="18" fillId="2" borderId="12" xfId="0" applyFont="1" applyFill="1" applyBorder="1" applyAlignment="1">
      <alignment vertical="top" wrapText="1"/>
    </xf>
    <xf numFmtId="0" fontId="18" fillId="0" borderId="5" xfId="0" applyFont="1" applyBorder="1" applyAlignment="1">
      <alignment horizontal="center"/>
    </xf>
    <xf numFmtId="170" fontId="5" fillId="0" borderId="1" xfId="0" applyNumberFormat="1" applyFont="1" applyBorder="1" applyAlignment="1">
      <alignment horizontal="center"/>
    </xf>
    <xf numFmtId="164" fontId="18" fillId="2" borderId="1" xfId="0" applyNumberFormat="1" applyFont="1" applyFill="1" applyBorder="1" applyAlignment="1">
      <alignment horizontal="center" vertical="center"/>
    </xf>
    <xf numFmtId="164" fontId="18" fillId="0" borderId="1" xfId="0" applyNumberFormat="1" applyFont="1" applyBorder="1"/>
    <xf numFmtId="170" fontId="18" fillId="0" borderId="0" xfId="0" applyNumberFormat="1" applyFont="1" applyAlignment="1">
      <alignment horizontal="center"/>
    </xf>
    <xf numFmtId="164" fontId="5" fillId="0" borderId="1" xfId="0" applyNumberFormat="1" applyFont="1" applyBorder="1"/>
    <xf numFmtId="0" fontId="8" fillId="4" borderId="1" xfId="0" applyFont="1" applyFill="1" applyBorder="1" applyAlignment="1">
      <alignment horizontal="center" vertical="center"/>
    </xf>
    <xf numFmtId="0" fontId="33" fillId="0" borderId="1" xfId="0" applyFont="1" applyBorder="1"/>
    <xf numFmtId="164" fontId="5" fillId="0" borderId="11" xfId="0" applyNumberFormat="1" applyFont="1" applyBorder="1"/>
    <xf numFmtId="164" fontId="5" fillId="0" borderId="0" xfId="0" applyNumberFormat="1" applyFont="1"/>
    <xf numFmtId="164" fontId="18" fillId="0" borderId="0" xfId="0" applyNumberFormat="1" applyFont="1"/>
    <xf numFmtId="170" fontId="18" fillId="0" borderId="0" xfId="0" applyNumberFormat="1" applyFont="1"/>
    <xf numFmtId="0" fontId="18" fillId="3" borderId="0" xfId="0" applyFont="1" applyFill="1" applyAlignment="1">
      <alignment horizontal="left"/>
    </xf>
    <xf numFmtId="1" fontId="18" fillId="3" borderId="0" xfId="0" applyNumberFormat="1" applyFont="1" applyFill="1" applyAlignment="1">
      <alignment vertical="top"/>
    </xf>
    <xf numFmtId="0" fontId="18" fillId="3" borderId="0" xfId="0" applyFont="1" applyFill="1" applyAlignment="1">
      <alignment horizontal="center"/>
    </xf>
    <xf numFmtId="2" fontId="18" fillId="3" borderId="0" xfId="0" applyNumberFormat="1" applyFont="1" applyFill="1" applyAlignment="1">
      <alignment horizontal="center"/>
    </xf>
    <xf numFmtId="0" fontId="5" fillId="3" borderId="1" xfId="0" applyFont="1" applyFill="1" applyBorder="1"/>
    <xf numFmtId="1" fontId="18" fillId="3" borderId="0" xfId="0" applyNumberFormat="1" applyFont="1" applyFill="1" applyAlignment="1">
      <alignment horizontal="left" wrapText="1"/>
    </xf>
    <xf numFmtId="0" fontId="18" fillId="2" borderId="0" xfId="0" applyFont="1" applyFill="1" applyAlignment="1">
      <alignment vertical="top" wrapText="1"/>
    </xf>
    <xf numFmtId="0" fontId="5" fillId="3" borderId="0" xfId="0" applyFont="1" applyFill="1" applyAlignment="1">
      <alignment vertical="top" wrapText="1"/>
    </xf>
    <xf numFmtId="0" fontId="5" fillId="3" borderId="0" xfId="0" applyFont="1" applyFill="1" applyAlignment="1">
      <alignment horizontal="left" vertical="top" wrapText="1"/>
    </xf>
    <xf numFmtId="0" fontId="18" fillId="0" borderId="0" xfId="1" applyFont="1"/>
    <xf numFmtId="0" fontId="30" fillId="0" borderId="1" xfId="0" applyFont="1" applyBorder="1" applyAlignment="1">
      <alignment horizontal="center" vertical="top"/>
    </xf>
    <xf numFmtId="0" fontId="30" fillId="0" borderId="1" xfId="0" applyFont="1" applyBorder="1" applyAlignment="1">
      <alignment horizontal="center" vertical="top" wrapText="1"/>
    </xf>
    <xf numFmtId="0" fontId="5" fillId="0" borderId="3" xfId="0" quotePrefix="1" applyFont="1" applyBorder="1"/>
    <xf numFmtId="0" fontId="5" fillId="0" borderId="2" xfId="0" applyFont="1" applyBorder="1"/>
    <xf numFmtId="0" fontId="5" fillId="0" borderId="15" xfId="0" applyFont="1" applyBorder="1"/>
    <xf numFmtId="189" fontId="5" fillId="0" borderId="1" xfId="2" applyNumberFormat="1" applyFont="1" applyBorder="1" applyAlignment="1">
      <alignment horizontal="center"/>
    </xf>
    <xf numFmtId="14" fontId="5" fillId="0" borderId="1" xfId="2" applyNumberFormat="1" applyFont="1" applyBorder="1" applyAlignment="1">
      <alignment horizontal="center"/>
    </xf>
    <xf numFmtId="0" fontId="5" fillId="0" borderId="3" xfId="0" applyFont="1" applyBorder="1"/>
    <xf numFmtId="0" fontId="66" fillId="3" borderId="0" xfId="0" applyFont="1" applyFill="1" applyAlignment="1">
      <alignment horizontal="left"/>
    </xf>
    <xf numFmtId="0" fontId="66" fillId="3" borderId="0" xfId="0" applyFont="1" applyFill="1" applyAlignment="1">
      <alignment horizontal="center"/>
    </xf>
    <xf numFmtId="2" fontId="66" fillId="3" borderId="0" xfId="0" applyNumberFormat="1" applyFont="1" applyFill="1" applyAlignment="1">
      <alignment horizontal="center"/>
    </xf>
    <xf numFmtId="0" fontId="64" fillId="3" borderId="0" xfId="0" applyFont="1" applyFill="1"/>
    <xf numFmtId="1" fontId="66" fillId="3" borderId="0" xfId="0" applyNumberFormat="1" applyFont="1" applyFill="1" applyAlignment="1">
      <alignment vertical="top"/>
    </xf>
    <xf numFmtId="1" fontId="66" fillId="0" borderId="0" xfId="0" applyNumberFormat="1" applyFont="1" applyAlignment="1">
      <alignment vertical="top" wrapText="1"/>
    </xf>
    <xf numFmtId="1" fontId="66" fillId="3" borderId="0" xfId="0" applyNumberFormat="1" applyFont="1" applyFill="1" applyAlignment="1">
      <alignment vertical="top" wrapText="1"/>
    </xf>
    <xf numFmtId="1" fontId="66" fillId="3" borderId="0" xfId="0" applyNumberFormat="1" applyFont="1" applyFill="1" applyAlignment="1">
      <alignment horizontal="left" wrapText="1"/>
    </xf>
    <xf numFmtId="0" fontId="66" fillId="2" borderId="0" xfId="0" applyFont="1" applyFill="1" applyAlignment="1">
      <alignment horizontal="right"/>
    </xf>
    <xf numFmtId="0" fontId="66" fillId="0" borderId="0" xfId="1" applyFont="1"/>
    <xf numFmtId="0" fontId="56" fillId="3" borderId="0" xfId="0" applyFont="1" applyFill="1" applyAlignment="1">
      <alignment horizontal="center" vertical="center"/>
    </xf>
    <xf numFmtId="0" fontId="55" fillId="3" borderId="0" xfId="1" applyFont="1" applyFill="1" applyAlignment="1">
      <alignment vertical="center"/>
    </xf>
    <xf numFmtId="0" fontId="56" fillId="0" borderId="0" xfId="0" applyFont="1" applyAlignment="1">
      <alignment vertical="center"/>
    </xf>
    <xf numFmtId="0" fontId="66" fillId="0" borderId="0" xfId="0" applyFont="1" applyAlignment="1">
      <alignment vertical="center"/>
    </xf>
    <xf numFmtId="0" fontId="70" fillId="0" borderId="0" xfId="0" applyFont="1" applyAlignment="1">
      <alignment horizontal="left"/>
    </xf>
    <xf numFmtId="0" fontId="8" fillId="0" borderId="0" xfId="0" applyFont="1" applyAlignment="1">
      <alignment horizontal="right" vertical="center"/>
    </xf>
    <xf numFmtId="164" fontId="64" fillId="0" borderId="0" xfId="0" applyNumberFormat="1" applyFont="1"/>
    <xf numFmtId="0" fontId="9" fillId="0" borderId="55" xfId="0" applyFont="1" applyBorder="1"/>
    <xf numFmtId="0" fontId="61" fillId="3" borderId="0" xfId="0" applyFont="1" applyFill="1" applyAlignment="1">
      <alignment vertical="center"/>
    </xf>
    <xf numFmtId="0" fontId="10" fillId="3" borderId="0" xfId="0" applyFont="1" applyFill="1" applyAlignment="1">
      <alignment vertical="center"/>
    </xf>
    <xf numFmtId="0" fontId="19" fillId="3" borderId="0" xfId="0" applyFont="1" applyFill="1" applyAlignment="1">
      <alignment vertical="center"/>
    </xf>
    <xf numFmtId="0" fontId="35" fillId="3" borderId="0" xfId="0" applyFont="1" applyFill="1" applyAlignment="1">
      <alignment vertical="center"/>
    </xf>
    <xf numFmtId="0" fontId="88" fillId="3" borderId="0" xfId="0" applyFont="1" applyFill="1" applyAlignment="1">
      <alignment horizontal="left" vertical="center"/>
    </xf>
    <xf numFmtId="0" fontId="89" fillId="3" borderId="0" xfId="0" applyFont="1" applyFill="1" applyAlignment="1">
      <alignment horizontal="center" vertical="center"/>
    </xf>
    <xf numFmtId="0" fontId="35" fillId="3" borderId="0" xfId="0" applyFont="1" applyFill="1" applyAlignment="1">
      <alignment horizontal="center" vertical="center"/>
    </xf>
    <xf numFmtId="0" fontId="66" fillId="3" borderId="0" xfId="0" applyFont="1" applyFill="1" applyAlignment="1">
      <alignment horizontal="left" vertical="center"/>
    </xf>
    <xf numFmtId="0" fontId="66" fillId="3" borderId="0" xfId="0" applyFont="1" applyFill="1" applyAlignment="1">
      <alignment vertical="center"/>
    </xf>
    <xf numFmtId="0" fontId="62" fillId="3" borderId="0" xfId="0" applyFont="1" applyFill="1"/>
    <xf numFmtId="0" fontId="5" fillId="3" borderId="0" xfId="0" applyFont="1" applyFill="1" applyAlignment="1">
      <alignment horizontal="center" vertical="center"/>
    </xf>
    <xf numFmtId="0" fontId="66" fillId="3" borderId="0" xfId="0" quotePrefix="1" applyFont="1" applyFill="1" applyAlignment="1">
      <alignment horizontal="left" vertical="center"/>
    </xf>
    <xf numFmtId="167" fontId="66" fillId="3" borderId="0" xfId="0" quotePrefix="1" applyNumberFormat="1" applyFont="1" applyFill="1" applyAlignment="1">
      <alignment horizontal="left" vertical="center"/>
    </xf>
    <xf numFmtId="169" fontId="66" fillId="3" borderId="0" xfId="0" applyNumberFormat="1" applyFont="1" applyFill="1" applyAlignment="1">
      <alignment horizontal="left" vertical="center"/>
    </xf>
    <xf numFmtId="0" fontId="67" fillId="3" borderId="0" xfId="0" applyFont="1" applyFill="1" applyAlignment="1">
      <alignment horizontal="left" vertical="center"/>
    </xf>
    <xf numFmtId="164" fontId="66" fillId="3" borderId="0" xfId="0" applyNumberFormat="1" applyFont="1" applyFill="1" applyAlignment="1">
      <alignment horizontal="left" vertical="center"/>
    </xf>
    <xf numFmtId="170" fontId="5" fillId="3" borderId="0" xfId="0" applyNumberFormat="1" applyFont="1" applyFill="1" applyAlignment="1">
      <alignment vertical="center"/>
    </xf>
    <xf numFmtId="0" fontId="66" fillId="3" borderId="10" xfId="0" applyFont="1" applyFill="1" applyBorder="1" applyAlignment="1">
      <alignment horizontal="center" vertical="center"/>
    </xf>
    <xf numFmtId="0" fontId="66" fillId="3" borderId="10" xfId="0" applyFont="1" applyFill="1" applyBorder="1" applyAlignment="1">
      <alignment horizontal="center" wrapText="1"/>
    </xf>
    <xf numFmtId="0" fontId="66" fillId="3" borderId="10" xfId="0" applyFont="1" applyFill="1" applyBorder="1" applyAlignment="1">
      <alignment horizontal="center" vertical="center" wrapText="1"/>
    </xf>
    <xf numFmtId="0" fontId="66" fillId="3" borderId="12" xfId="0" applyFont="1" applyFill="1" applyBorder="1" applyAlignment="1">
      <alignment horizontal="center" vertical="center" wrapText="1"/>
    </xf>
    <xf numFmtId="0" fontId="66" fillId="3" borderId="0" xfId="0" applyFont="1" applyFill="1" applyAlignment="1">
      <alignment horizontal="center" vertical="center" wrapText="1"/>
    </xf>
    <xf numFmtId="2" fontId="5" fillId="3" borderId="1" xfId="0" applyNumberFormat="1" applyFont="1" applyFill="1" applyBorder="1" applyAlignment="1">
      <alignment horizontal="center" vertical="center"/>
    </xf>
    <xf numFmtId="0" fontId="66" fillId="3" borderId="10" xfId="0" applyFont="1" applyFill="1" applyBorder="1" applyAlignment="1">
      <alignment vertical="center"/>
    </xf>
    <xf numFmtId="0" fontId="66" fillId="3" borderId="10" xfId="0" applyFont="1" applyFill="1" applyBorder="1" applyAlignment="1">
      <alignment horizontal="center" vertical="top"/>
    </xf>
    <xf numFmtId="0" fontId="66" fillId="3" borderId="12" xfId="0" applyFont="1" applyFill="1" applyBorder="1" applyAlignment="1">
      <alignment horizontal="center" vertical="center"/>
    </xf>
    <xf numFmtId="0" fontId="66" fillId="3" borderId="0" xfId="0" applyFont="1" applyFill="1" applyAlignment="1">
      <alignment horizontal="center" vertical="center"/>
    </xf>
    <xf numFmtId="164" fontId="66" fillId="3" borderId="0" xfId="0" applyNumberFormat="1" applyFont="1" applyFill="1" applyAlignment="1">
      <alignment horizontal="right" vertical="center"/>
    </xf>
    <xf numFmtId="2" fontId="66" fillId="3" borderId="0" xfId="0" applyNumberFormat="1" applyFont="1" applyFill="1" applyAlignment="1">
      <alignment horizontal="right" vertical="center"/>
    </xf>
    <xf numFmtId="2" fontId="66" fillId="3" borderId="0" xfId="0" applyNumberFormat="1" applyFont="1" applyFill="1" applyAlignment="1">
      <alignment horizontal="center" vertical="center"/>
    </xf>
    <xf numFmtId="0" fontId="17" fillId="3" borderId="0" xfId="0" applyFont="1" applyFill="1" applyAlignment="1">
      <alignment wrapText="1"/>
    </xf>
    <xf numFmtId="164" fontId="66" fillId="3" borderId="0" xfId="0" applyNumberFormat="1" applyFont="1" applyFill="1" applyAlignment="1">
      <alignment vertical="center"/>
    </xf>
    <xf numFmtId="170" fontId="66" fillId="3" borderId="0" xfId="0" applyNumberFormat="1" applyFont="1" applyFill="1" applyAlignment="1">
      <alignment horizontal="center" vertical="center"/>
    </xf>
    <xf numFmtId="188" fontId="66" fillId="3" borderId="0" xfId="0" applyNumberFormat="1" applyFont="1" applyFill="1" applyAlignment="1">
      <alignment horizontal="center" vertical="center"/>
    </xf>
    <xf numFmtId="164" fontId="66"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181" fontId="66" fillId="3" borderId="0" xfId="0" applyNumberFormat="1" applyFont="1" applyFill="1" applyAlignment="1">
      <alignment horizontal="right" vertical="center"/>
    </xf>
    <xf numFmtId="0" fontId="67" fillId="3" borderId="0" xfId="0" applyFont="1" applyFill="1"/>
    <xf numFmtId="164" fontId="90" fillId="3" borderId="0" xfId="0" applyNumberFormat="1" applyFont="1" applyFill="1" applyAlignment="1">
      <alignment horizontal="right" vertical="center"/>
    </xf>
    <xf numFmtId="0" fontId="93" fillId="3" borderId="1" xfId="0" applyFont="1" applyFill="1" applyBorder="1" applyAlignment="1">
      <alignment horizontal="center" vertical="center" wrapText="1"/>
    </xf>
    <xf numFmtId="0" fontId="60" fillId="3" borderId="1" xfId="0" applyFont="1" applyFill="1" applyBorder="1" applyAlignment="1">
      <alignment horizontal="center" vertical="center"/>
    </xf>
    <xf numFmtId="0" fontId="60" fillId="3" borderId="0" xfId="0" applyFont="1" applyFill="1" applyAlignment="1">
      <alignment vertical="center"/>
    </xf>
    <xf numFmtId="0" fontId="55" fillId="3" borderId="0" xfId="0" applyFont="1" applyFill="1" applyAlignment="1">
      <alignment horizontal="center" vertical="center"/>
    </xf>
    <xf numFmtId="0" fontId="91" fillId="3" borderId="0" xfId="0" quotePrefix="1" applyFont="1" applyFill="1" applyAlignment="1">
      <alignment horizontal="left" vertical="center"/>
    </xf>
    <xf numFmtId="0" fontId="8" fillId="3" borderId="0" xfId="0" applyFont="1" applyFill="1" applyAlignment="1">
      <alignment vertical="center"/>
    </xf>
    <xf numFmtId="0" fontId="62" fillId="3" borderId="0" xfId="0" applyFont="1" applyFill="1" applyAlignment="1">
      <alignment vertical="center"/>
    </xf>
    <xf numFmtId="0" fontId="63" fillId="3" borderId="0" xfId="0" applyFont="1" applyFill="1" applyAlignment="1">
      <alignment vertical="center" wrapText="1"/>
    </xf>
    <xf numFmtId="0" fontId="56" fillId="3" borderId="3" xfId="0" applyFont="1" applyFill="1" applyBorder="1" applyAlignment="1">
      <alignment horizontal="left" vertical="center"/>
    </xf>
    <xf numFmtId="0" fontId="56" fillId="3" borderId="15" xfId="0" applyFont="1" applyFill="1" applyBorder="1" applyAlignment="1">
      <alignment horizontal="left" vertical="center"/>
    </xf>
    <xf numFmtId="164" fontId="56" fillId="3" borderId="3" xfId="0" quotePrefix="1" applyNumberFormat="1" applyFont="1" applyFill="1" applyBorder="1" applyAlignment="1">
      <alignment horizontal="right" vertical="center" wrapText="1"/>
    </xf>
    <xf numFmtId="0" fontId="8" fillId="3" borderId="1" xfId="0" applyFont="1" applyFill="1" applyBorder="1" applyAlignment="1">
      <alignment horizontal="center" vertical="center"/>
    </xf>
    <xf numFmtId="182" fontId="62" fillId="3" borderId="0" xfId="0" applyNumberFormat="1" applyFont="1" applyFill="1" applyAlignment="1">
      <alignment vertical="center" wrapText="1"/>
    </xf>
    <xf numFmtId="170" fontId="56" fillId="3" borderId="3" xfId="0" quotePrefix="1" applyNumberFormat="1" applyFont="1" applyFill="1" applyBorder="1" applyAlignment="1">
      <alignment horizontal="right" vertical="center" wrapText="1"/>
    </xf>
    <xf numFmtId="183" fontId="62" fillId="3" borderId="0" xfId="0" applyNumberFormat="1" applyFont="1" applyFill="1" applyAlignment="1">
      <alignment vertical="center" wrapText="1"/>
    </xf>
    <xf numFmtId="0" fontId="62" fillId="3" borderId="0" xfId="0" applyFont="1" applyFill="1" applyAlignment="1">
      <alignment vertical="center" wrapText="1"/>
    </xf>
    <xf numFmtId="0" fontId="5" fillId="3" borderId="1" xfId="0" applyFont="1" applyFill="1" applyBorder="1" applyAlignment="1">
      <alignment horizontal="center"/>
    </xf>
    <xf numFmtId="0" fontId="56" fillId="3" borderId="1" xfId="0" applyFont="1" applyFill="1" applyBorder="1" applyAlignment="1">
      <alignment horizontal="left" vertical="center"/>
    </xf>
    <xf numFmtId="184" fontId="62" fillId="3" borderId="0" xfId="0" applyNumberFormat="1" applyFont="1" applyFill="1" applyAlignment="1">
      <alignment vertical="center" wrapText="1"/>
    </xf>
    <xf numFmtId="0" fontId="67" fillId="3" borderId="15" xfId="0" applyFont="1" applyFill="1" applyBorder="1" applyAlignment="1">
      <alignment horizontal="right" vertical="center"/>
    </xf>
    <xf numFmtId="0" fontId="66" fillId="3" borderId="15" xfId="0" applyFont="1" applyFill="1" applyBorder="1" applyAlignment="1">
      <alignment vertical="center"/>
    </xf>
    <xf numFmtId="0" fontId="67" fillId="3" borderId="0" xfId="0" applyFont="1" applyFill="1" applyAlignment="1">
      <alignment vertical="center"/>
    </xf>
    <xf numFmtId="164" fontId="60" fillId="3" borderId="0" xfId="0" applyNumberFormat="1" applyFont="1" applyFill="1" applyAlignment="1">
      <alignment horizontal="center" vertical="center"/>
    </xf>
    <xf numFmtId="0" fontId="56" fillId="3" borderId="0" xfId="1" applyFont="1" applyFill="1" applyAlignment="1">
      <alignment vertical="center"/>
    </xf>
    <xf numFmtId="0" fontId="8" fillId="3" borderId="0" xfId="1" applyFont="1" applyFill="1" applyAlignment="1">
      <alignment vertical="center"/>
    </xf>
    <xf numFmtId="0" fontId="55" fillId="3" borderId="1" xfId="1" applyFont="1" applyFill="1" applyBorder="1" applyAlignment="1">
      <alignment horizontal="center" vertical="center" wrapText="1"/>
    </xf>
    <xf numFmtId="0" fontId="94" fillId="3" borderId="1" xfId="1" applyFont="1" applyFill="1" applyBorder="1" applyAlignment="1">
      <alignment vertical="center" wrapText="1"/>
    </xf>
    <xf numFmtId="0" fontId="56" fillId="3" borderId="3" xfId="1" applyFont="1" applyFill="1" applyBorder="1" applyAlignment="1">
      <alignment horizontal="left" vertical="center"/>
    </xf>
    <xf numFmtId="0" fontId="56" fillId="3" borderId="15" xfId="1" applyFont="1" applyFill="1" applyBorder="1" applyAlignment="1">
      <alignment horizontal="left" vertical="center"/>
    </xf>
    <xf numFmtId="0" fontId="56" fillId="3" borderId="13" xfId="1" applyFont="1" applyFill="1" applyBorder="1" applyAlignment="1">
      <alignment horizontal="left" vertical="center"/>
    </xf>
    <xf numFmtId="170" fontId="56" fillId="3" borderId="3" xfId="1" quotePrefix="1" applyNumberFormat="1" applyFont="1" applyFill="1" applyBorder="1" applyAlignment="1">
      <alignment horizontal="right" vertical="center"/>
    </xf>
    <xf numFmtId="170" fontId="66" fillId="3" borderId="1" xfId="0" applyNumberFormat="1" applyFont="1" applyFill="1" applyBorder="1" applyAlignment="1">
      <alignment horizontal="center" vertical="center"/>
    </xf>
    <xf numFmtId="0" fontId="8" fillId="3" borderId="1" xfId="1" applyFont="1" applyFill="1" applyBorder="1" applyAlignment="1">
      <alignment horizontal="center" vertical="center"/>
    </xf>
    <xf numFmtId="170" fontId="5" fillId="3" borderId="1" xfId="0" applyNumberFormat="1" applyFont="1" applyFill="1" applyBorder="1" applyAlignment="1">
      <alignment horizontal="center" vertical="center"/>
    </xf>
    <xf numFmtId="0" fontId="5" fillId="3" borderId="0" xfId="0" applyFont="1" applyFill="1" applyAlignment="1">
      <alignment horizontal="right" vertical="center"/>
    </xf>
    <xf numFmtId="164" fontId="56" fillId="3" borderId="3" xfId="1" quotePrefix="1" applyNumberFormat="1" applyFont="1" applyFill="1" applyBorder="1" applyAlignment="1">
      <alignment horizontal="right" vertical="center"/>
    </xf>
    <xf numFmtId="2" fontId="66" fillId="3" borderId="1" xfId="0" applyNumberFormat="1" applyFont="1" applyFill="1" applyBorder="1" applyAlignment="1">
      <alignment horizontal="center" vertical="center"/>
    </xf>
    <xf numFmtId="0" fontId="95" fillId="3" borderId="1" xfId="0" applyFont="1" applyFill="1" applyBorder="1" applyAlignment="1">
      <alignment horizontal="center" vertical="center"/>
    </xf>
    <xf numFmtId="0" fontId="56" fillId="3" borderId="1" xfId="1" applyFont="1" applyFill="1" applyBorder="1" applyAlignment="1">
      <alignment horizontal="left" vertical="center"/>
    </xf>
    <xf numFmtId="0" fontId="67" fillId="3" borderId="0" xfId="0" applyFont="1" applyFill="1" applyAlignment="1">
      <alignment vertical="center" wrapText="1"/>
    </xf>
    <xf numFmtId="164" fontId="66" fillId="3" borderId="0" xfId="0" applyNumberFormat="1" applyFont="1" applyFill="1" applyAlignment="1">
      <alignment horizontal="right" vertical="center" wrapText="1"/>
    </xf>
    <xf numFmtId="0" fontId="60" fillId="3" borderId="0" xfId="0" applyFont="1" applyFill="1" applyAlignment="1">
      <alignment horizontal="center" vertical="center" wrapText="1"/>
    </xf>
    <xf numFmtId="164" fontId="5" fillId="3" borderId="0" xfId="0" applyNumberFormat="1" applyFont="1" applyFill="1" applyAlignment="1">
      <alignment horizontal="right" vertical="center" wrapText="1"/>
    </xf>
    <xf numFmtId="0" fontId="5" fillId="3" borderId="0" xfId="0" applyFont="1" applyFill="1" applyAlignment="1">
      <alignment horizontal="center" vertical="center" wrapText="1"/>
    </xf>
    <xf numFmtId="0" fontId="67" fillId="3" borderId="2" xfId="0" applyFont="1" applyFill="1" applyBorder="1" applyAlignment="1">
      <alignment horizontal="right"/>
    </xf>
    <xf numFmtId="2" fontId="66" fillId="3" borderId="0" xfId="0" applyNumberFormat="1" applyFont="1" applyFill="1" applyAlignment="1">
      <alignment vertical="center"/>
    </xf>
    <xf numFmtId="0" fontId="66" fillId="3" borderId="1" xfId="0" applyFont="1" applyFill="1" applyBorder="1" applyAlignment="1">
      <alignment horizontal="center" vertical="center" wrapText="1"/>
    </xf>
    <xf numFmtId="0" fontId="67" fillId="3" borderId="1" xfId="0" applyFont="1" applyFill="1" applyBorder="1" applyAlignment="1">
      <alignment horizontal="center" wrapText="1"/>
    </xf>
    <xf numFmtId="0" fontId="66" fillId="3" borderId="5" xfId="0" applyFont="1" applyFill="1" applyBorder="1" applyAlignment="1">
      <alignment horizontal="center" vertical="center" wrapText="1"/>
    </xf>
    <xf numFmtId="0" fontId="62" fillId="3" borderId="0" xfId="0" applyFont="1" applyFill="1" applyAlignment="1">
      <alignment horizontal="left" vertical="center"/>
    </xf>
    <xf numFmtId="9" fontId="66" fillId="3" borderId="1" xfId="0" applyNumberFormat="1" applyFont="1" applyFill="1" applyBorder="1" applyAlignment="1">
      <alignment horizontal="left" vertical="center"/>
    </xf>
    <xf numFmtId="185" fontId="66" fillId="3" borderId="1" xfId="0" applyNumberFormat="1" applyFont="1" applyFill="1" applyBorder="1" applyAlignment="1">
      <alignment horizontal="left" vertical="center"/>
    </xf>
    <xf numFmtId="164" fontId="5" fillId="3" borderId="0" xfId="0" applyNumberFormat="1" applyFont="1" applyFill="1" applyAlignment="1">
      <alignment horizontal="right" vertical="center"/>
    </xf>
    <xf numFmtId="1" fontId="67" fillId="3" borderId="11" xfId="0" applyNumberFormat="1" applyFont="1" applyFill="1" applyBorder="1" applyAlignment="1">
      <alignment horizontal="center" vertical="center" wrapText="1"/>
    </xf>
    <xf numFmtId="1" fontId="66" fillId="3" borderId="11" xfId="0" applyNumberFormat="1" applyFont="1" applyFill="1" applyBorder="1" applyAlignment="1">
      <alignment horizontal="center" vertical="center" wrapText="1"/>
    </xf>
    <xf numFmtId="0" fontId="64" fillId="3" borderId="0" xfId="0" applyFont="1" applyFill="1" applyAlignment="1">
      <alignment vertical="center"/>
    </xf>
    <xf numFmtId="0" fontId="16" fillId="3" borderId="0" xfId="0" applyFont="1" applyFill="1" applyAlignment="1">
      <alignment horizontal="center" vertical="center"/>
    </xf>
    <xf numFmtId="0" fontId="66" fillId="3" borderId="15" xfId="0" applyFont="1" applyFill="1" applyBorder="1" applyAlignment="1">
      <alignment horizontal="right" vertical="center"/>
    </xf>
    <xf numFmtId="0" fontId="66" fillId="3" borderId="13" xfId="0" applyFont="1" applyFill="1" applyBorder="1" applyAlignment="1">
      <alignment horizontal="left" vertical="center"/>
    </xf>
    <xf numFmtId="0" fontId="66" fillId="3" borderId="3" xfId="0" applyFont="1" applyFill="1" applyBorder="1" applyAlignment="1">
      <alignment horizontal="right" vertical="center"/>
    </xf>
    <xf numFmtId="0" fontId="66" fillId="3" borderId="13" xfId="0" applyFont="1" applyFill="1" applyBorder="1" applyAlignment="1">
      <alignment vertical="center"/>
    </xf>
    <xf numFmtId="0" fontId="66" fillId="3" borderId="1" xfId="0" applyFont="1" applyFill="1" applyBorder="1" applyAlignment="1">
      <alignment horizontal="center" vertical="center"/>
    </xf>
    <xf numFmtId="0" fontId="6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2" fillId="3" borderId="0" xfId="4" applyFont="1" applyFill="1" applyAlignment="1">
      <alignment vertical="center"/>
    </xf>
    <xf numFmtId="165" fontId="66" fillId="3" borderId="1" xfId="0" applyNumberFormat="1" applyFont="1" applyFill="1" applyBorder="1" applyAlignment="1">
      <alignment horizontal="center" vertical="center"/>
    </xf>
    <xf numFmtId="165" fontId="64" fillId="3" borderId="1" xfId="0" applyNumberFormat="1" applyFont="1" applyFill="1" applyBorder="1" applyAlignment="1">
      <alignment horizontal="center" vertical="center"/>
    </xf>
    <xf numFmtId="165" fontId="5" fillId="3" borderId="1" xfId="0" applyNumberFormat="1" applyFont="1" applyFill="1" applyBorder="1" applyAlignment="1">
      <alignment horizontal="center" vertical="center"/>
    </xf>
    <xf numFmtId="186" fontId="5" fillId="3" borderId="1" xfId="0" applyNumberFormat="1" applyFont="1" applyFill="1" applyBorder="1" applyAlignment="1">
      <alignment horizontal="center" vertical="center"/>
    </xf>
    <xf numFmtId="187" fontId="5" fillId="3" borderId="1" xfId="0" applyNumberFormat="1" applyFont="1" applyFill="1" applyBorder="1" applyAlignment="1">
      <alignment horizontal="center" vertical="center"/>
    </xf>
    <xf numFmtId="165" fontId="66" fillId="3" borderId="11" xfId="0" applyNumberFormat="1" applyFont="1" applyFill="1" applyBorder="1" applyAlignment="1">
      <alignment horizontal="center" vertical="center" wrapText="1"/>
    </xf>
    <xf numFmtId="165" fontId="66" fillId="3" borderId="0" xfId="0" applyNumberFormat="1" applyFont="1" applyFill="1" applyAlignment="1">
      <alignment horizontal="center" vertical="center"/>
    </xf>
    <xf numFmtId="165" fontId="64" fillId="3" borderId="0" xfId="0" applyNumberFormat="1" applyFont="1" applyFill="1" applyAlignment="1">
      <alignment horizontal="center" vertical="center"/>
    </xf>
    <xf numFmtId="165" fontId="5" fillId="3" borderId="0" xfId="0" applyNumberFormat="1" applyFont="1" applyFill="1" applyAlignment="1">
      <alignment horizontal="center" vertical="center"/>
    </xf>
    <xf numFmtId="0" fontId="15" fillId="3" borderId="0" xfId="1" applyFont="1" applyFill="1" applyAlignment="1">
      <alignment horizontal="left" vertical="center"/>
    </xf>
    <xf numFmtId="165" fontId="66" fillId="3" borderId="1" xfId="0" applyNumberFormat="1" applyFont="1" applyFill="1" applyBorder="1" applyAlignment="1">
      <alignment horizontal="center" vertical="center" wrapText="1"/>
    </xf>
    <xf numFmtId="0" fontId="55" fillId="3" borderId="0" xfId="0" applyFont="1" applyFill="1" applyAlignment="1">
      <alignment horizontal="left" vertical="center"/>
    </xf>
    <xf numFmtId="1" fontId="56" fillId="0" borderId="0" xfId="0" applyNumberFormat="1" applyFont="1" applyAlignment="1">
      <alignment horizontal="left" vertical="top"/>
    </xf>
    <xf numFmtId="1" fontId="15" fillId="0" borderId="0" xfId="0" applyNumberFormat="1" applyFont="1" applyAlignment="1">
      <alignment horizontal="left"/>
    </xf>
    <xf numFmtId="0" fontId="15" fillId="0" borderId="0" xfId="0" applyFont="1" applyAlignment="1">
      <alignment horizontal="left"/>
    </xf>
    <xf numFmtId="1" fontId="56" fillId="0" borderId="0" xfId="0" applyNumberFormat="1" applyFont="1" applyAlignment="1">
      <alignment horizontal="left"/>
    </xf>
    <xf numFmtId="0" fontId="15" fillId="0" borderId="0" xfId="0" applyFont="1" applyAlignment="1">
      <alignment vertical="center"/>
    </xf>
    <xf numFmtId="0" fontId="5" fillId="3" borderId="2" xfId="0" applyFont="1" applyFill="1" applyBorder="1" applyAlignment="1">
      <alignment vertical="center"/>
    </xf>
    <xf numFmtId="0" fontId="8" fillId="0" borderId="3" xfId="0" applyFont="1" applyBorder="1"/>
    <xf numFmtId="0" fontId="8" fillId="0" borderId="13" xfId="0" applyFont="1" applyBorder="1"/>
    <xf numFmtId="180" fontId="8" fillId="0" borderId="13" xfId="0" applyNumberFormat="1" applyFont="1" applyBorder="1" applyAlignment="1">
      <alignment horizontal="left"/>
    </xf>
    <xf numFmtId="0" fontId="8" fillId="0" borderId="13" xfId="0" applyFont="1" applyBorder="1" applyAlignment="1">
      <alignment horizontal="left"/>
    </xf>
    <xf numFmtId="0" fontId="30" fillId="3" borderId="0" xfId="0" applyFont="1" applyFill="1" applyAlignment="1">
      <alignment horizontal="center" vertical="center"/>
    </xf>
    <xf numFmtId="0" fontId="60" fillId="3" borderId="3" xfId="0" applyFont="1" applyFill="1" applyBorder="1" applyAlignment="1">
      <alignment vertical="center"/>
    </xf>
    <xf numFmtId="0" fontId="60" fillId="3" borderId="13" xfId="0" applyFont="1" applyFill="1" applyBorder="1" applyAlignment="1">
      <alignment vertical="center"/>
    </xf>
    <xf numFmtId="2" fontId="5" fillId="3" borderId="0" xfId="0" applyNumberFormat="1" applyFont="1" applyFill="1" applyAlignment="1">
      <alignment vertical="center"/>
    </xf>
    <xf numFmtId="0" fontId="123" fillId="3" borderId="3" xfId="0" applyFont="1" applyFill="1" applyBorder="1" applyAlignment="1">
      <alignment horizontal="left" vertical="center"/>
    </xf>
    <xf numFmtId="176" fontId="122" fillId="0" borderId="13" xfId="0" applyNumberFormat="1" applyFont="1" applyBorder="1" applyAlignment="1">
      <alignment horizontal="left" vertical="center"/>
    </xf>
    <xf numFmtId="0" fontId="66" fillId="2" borderId="0" xfId="0" applyFont="1" applyFill="1" applyAlignment="1">
      <alignment horizontal="center" vertical="top"/>
    </xf>
    <xf numFmtId="0" fontId="64" fillId="2" borderId="0" xfId="0" applyFont="1" applyFill="1" applyAlignment="1">
      <alignment vertical="center"/>
    </xf>
    <xf numFmtId="0" fontId="65" fillId="3" borderId="0" xfId="0" applyFont="1" applyFill="1" applyAlignment="1">
      <alignment vertical="center"/>
    </xf>
    <xf numFmtId="0" fontId="66" fillId="2" borderId="5" xfId="0" applyFont="1" applyFill="1" applyBorder="1" applyAlignment="1">
      <alignment horizontal="center" vertical="top" wrapText="1"/>
    </xf>
    <xf numFmtId="0" fontId="66" fillId="2" borderId="7" xfId="0" applyFont="1" applyFill="1" applyBorder="1" applyAlignment="1">
      <alignment horizontal="center" vertical="top"/>
    </xf>
    <xf numFmtId="0" fontId="66" fillId="3" borderId="0" xfId="0" applyFont="1" applyFill="1" applyAlignment="1">
      <alignment vertical="top" wrapText="1"/>
    </xf>
    <xf numFmtId="0" fontId="5" fillId="3" borderId="1" xfId="0" applyFont="1" applyFill="1" applyBorder="1" applyAlignment="1" applyProtection="1">
      <alignment horizontal="center"/>
      <protection hidden="1"/>
    </xf>
    <xf numFmtId="164" fontId="5" fillId="3" borderId="0" xfId="0" applyNumberFormat="1" applyFont="1" applyFill="1"/>
    <xf numFmtId="2" fontId="5" fillId="3" borderId="0" xfId="0" applyNumberFormat="1" applyFont="1" applyFill="1"/>
    <xf numFmtId="170" fontId="5" fillId="3" borderId="0" xfId="0" applyNumberFormat="1" applyFont="1" applyFill="1"/>
    <xf numFmtId="210" fontId="3" fillId="3" borderId="0" xfId="0" applyNumberFormat="1" applyFont="1" applyFill="1" applyAlignment="1">
      <alignment vertical="center"/>
    </xf>
    <xf numFmtId="0" fontId="9" fillId="19" borderId="1" xfId="0" applyFont="1" applyFill="1" applyBorder="1"/>
    <xf numFmtId="0" fontId="25" fillId="20" borderId="1" xfId="0" applyFont="1" applyFill="1" applyBorder="1" applyAlignment="1">
      <alignment horizontal="left"/>
    </xf>
    <xf numFmtId="1" fontId="111" fillId="0" borderId="1" xfId="0" applyNumberFormat="1" applyFont="1" applyBorder="1" applyAlignment="1">
      <alignment horizontal="center"/>
    </xf>
    <xf numFmtId="1" fontId="54" fillId="8" borderId="1" xfId="0" applyNumberFormat="1" applyFont="1" applyFill="1" applyBorder="1" applyAlignment="1">
      <alignment horizontal="center"/>
    </xf>
    <xf numFmtId="1" fontId="111" fillId="8" borderId="1" xfId="0" applyNumberFormat="1" applyFont="1" applyFill="1" applyBorder="1" applyAlignment="1">
      <alignment horizontal="center"/>
    </xf>
    <xf numFmtId="1" fontId="54" fillId="9" borderId="1" xfId="0" applyNumberFormat="1" applyFont="1" applyFill="1" applyBorder="1" applyAlignment="1">
      <alignment horizontal="center"/>
    </xf>
    <xf numFmtId="1" fontId="111" fillId="9" borderId="1" xfId="0" applyNumberFormat="1" applyFont="1" applyFill="1" applyBorder="1" applyAlignment="1">
      <alignment horizontal="center"/>
    </xf>
    <xf numFmtId="1" fontId="7" fillId="0" borderId="3" xfId="0" applyNumberFormat="1" applyFont="1" applyBorder="1" applyAlignment="1">
      <alignment horizontal="center" vertical="center"/>
    </xf>
    <xf numFmtId="1" fontId="0" fillId="0" borderId="13" xfId="0" applyNumberFormat="1" applyBorder="1"/>
    <xf numFmtId="1" fontId="21" fillId="0" borderId="2" xfId="0" applyNumberFormat="1" applyFont="1" applyBorder="1" applyAlignment="1">
      <alignment horizontal="center"/>
    </xf>
    <xf numFmtId="1" fontId="20" fillId="8" borderId="2" xfId="0" applyNumberFormat="1" applyFont="1" applyFill="1" applyBorder="1" applyAlignment="1">
      <alignment horizontal="center"/>
    </xf>
    <xf numFmtId="1" fontId="21" fillId="9" borderId="2" xfId="0" applyNumberFormat="1" applyFont="1" applyFill="1" applyBorder="1" applyAlignment="1">
      <alignment horizontal="center"/>
    </xf>
    <xf numFmtId="1" fontId="13" fillId="0" borderId="2" xfId="0" applyNumberFormat="1" applyFont="1" applyBorder="1" applyAlignment="1">
      <alignment horizontal="center" vertical="center"/>
    </xf>
    <xf numFmtId="1" fontId="12" fillId="0" borderId="2" xfId="0" applyNumberFormat="1" applyFont="1" applyBorder="1" applyAlignment="1">
      <alignment horizontal="center"/>
    </xf>
    <xf numFmtId="1" fontId="8" fillId="0" borderId="0" xfId="0" applyNumberFormat="1" applyFont="1"/>
    <xf numFmtId="1" fontId="9" fillId="0" borderId="0" xfId="0" applyNumberFormat="1" applyFont="1" applyAlignment="1">
      <alignment horizontal="center"/>
    </xf>
    <xf numFmtId="1" fontId="124" fillId="0" borderId="0" xfId="0" applyNumberFormat="1" applyFont="1"/>
    <xf numFmtId="1" fontId="125" fillId="0" borderId="1" xfId="0" applyNumberFormat="1" applyFont="1" applyBorder="1" applyAlignment="1">
      <alignment horizontal="center"/>
    </xf>
    <xf numFmtId="1" fontId="124" fillId="9" borderId="0" xfId="0" applyNumberFormat="1" applyFont="1" applyFill="1"/>
    <xf numFmtId="1" fontId="124" fillId="11" borderId="0" xfId="0" applyNumberFormat="1" applyFont="1" applyFill="1"/>
    <xf numFmtId="1" fontId="124" fillId="7" borderId="0" xfId="0" applyNumberFormat="1" applyFont="1" applyFill="1"/>
    <xf numFmtId="1" fontId="125" fillId="8" borderId="1" xfId="0" applyNumberFormat="1" applyFont="1" applyFill="1" applyBorder="1" applyAlignment="1">
      <alignment horizontal="center"/>
    </xf>
    <xf numFmtId="1" fontId="125" fillId="9" borderId="1" xfId="0" applyNumberFormat="1" applyFont="1" applyFill="1" applyBorder="1" applyAlignment="1">
      <alignment horizontal="center"/>
    </xf>
    <xf numFmtId="1" fontId="127" fillId="0" borderId="3" xfId="0" applyNumberFormat="1" applyFont="1" applyBorder="1" applyAlignment="1">
      <alignment horizontal="center" vertical="center"/>
    </xf>
    <xf numFmtId="1" fontId="44" fillId="0" borderId="1" xfId="0" applyNumberFormat="1" applyFont="1" applyBorder="1" applyAlignment="1">
      <alignment horizontal="center"/>
    </xf>
    <xf numFmtId="170" fontId="44" fillId="0" borderId="1" xfId="0" applyNumberFormat="1" applyFont="1" applyBorder="1" applyAlignment="1">
      <alignment horizontal="center"/>
    </xf>
    <xf numFmtId="2" fontId="44" fillId="0" borderId="1" xfId="0" applyNumberFormat="1" applyFont="1" applyBorder="1" applyAlignment="1">
      <alignment horizontal="center"/>
    </xf>
    <xf numFmtId="1" fontId="44" fillId="3" borderId="1" xfId="0" applyNumberFormat="1" applyFont="1" applyFill="1" applyBorder="1" applyAlignment="1">
      <alignment horizontal="center"/>
    </xf>
    <xf numFmtId="165" fontId="124" fillId="8" borderId="1" xfId="0" applyNumberFormat="1" applyFont="1" applyFill="1" applyBorder="1" applyAlignment="1">
      <alignment horizontal="right"/>
    </xf>
    <xf numFmtId="165" fontId="124" fillId="0" borderId="1" xfId="0" applyNumberFormat="1" applyFont="1" applyBorder="1" applyAlignment="1">
      <alignment horizontal="right"/>
    </xf>
    <xf numFmtId="165" fontId="44" fillId="8" borderId="1" xfId="0" applyNumberFormat="1" applyFont="1" applyFill="1" applyBorder="1" applyAlignment="1">
      <alignment horizontal="right"/>
    </xf>
    <xf numFmtId="165" fontId="124" fillId="9" borderId="1" xfId="0" applyNumberFormat="1" applyFont="1" applyFill="1" applyBorder="1" applyAlignment="1">
      <alignment horizontal="right"/>
    </xf>
    <xf numFmtId="1" fontId="44" fillId="0" borderId="12" xfId="0" applyNumberFormat="1" applyFont="1" applyBorder="1" applyAlignment="1">
      <alignment horizontal="left"/>
    </xf>
    <xf numFmtId="1" fontId="124" fillId="3" borderId="0" xfId="0" applyNumberFormat="1" applyFont="1" applyFill="1"/>
    <xf numFmtId="1" fontId="124" fillId="0" borderId="1" xfId="0" applyNumberFormat="1" applyFont="1" applyBorder="1" applyAlignment="1">
      <alignment horizontal="center"/>
    </xf>
    <xf numFmtId="170" fontId="124" fillId="0" borderId="1" xfId="0" applyNumberFormat="1" applyFont="1" applyBorder="1" applyAlignment="1">
      <alignment horizontal="center"/>
    </xf>
    <xf numFmtId="1" fontId="124" fillId="3" borderId="1" xfId="0" applyNumberFormat="1" applyFont="1" applyFill="1" applyBorder="1" applyAlignment="1">
      <alignment horizontal="center"/>
    </xf>
    <xf numFmtId="2" fontId="124" fillId="3" borderId="1" xfId="0" applyNumberFormat="1" applyFont="1" applyFill="1" applyBorder="1" applyAlignment="1">
      <alignment horizontal="center"/>
    </xf>
    <xf numFmtId="1" fontId="124" fillId="4" borderId="0" xfId="0" applyNumberFormat="1" applyFont="1" applyFill="1"/>
    <xf numFmtId="1" fontId="124" fillId="4" borderId="1" xfId="0" applyNumberFormat="1" applyFont="1" applyFill="1" applyBorder="1" applyAlignment="1">
      <alignment horizontal="center"/>
    </xf>
    <xf numFmtId="2" fontId="124" fillId="4" borderId="1" xfId="0" applyNumberFormat="1" applyFont="1" applyFill="1" applyBorder="1" applyAlignment="1">
      <alignment horizontal="center"/>
    </xf>
    <xf numFmtId="1" fontId="124" fillId="7" borderId="1" xfId="0" applyNumberFormat="1" applyFont="1" applyFill="1" applyBorder="1" applyAlignment="1">
      <alignment horizontal="center"/>
    </xf>
    <xf numFmtId="2" fontId="124" fillId="7" borderId="1" xfId="0" applyNumberFormat="1" applyFont="1" applyFill="1" applyBorder="1" applyAlignment="1">
      <alignment horizontal="center"/>
    </xf>
    <xf numFmtId="170" fontId="124" fillId="7" borderId="1" xfId="0" applyNumberFormat="1" applyFont="1" applyFill="1" applyBorder="1" applyAlignment="1">
      <alignment horizontal="center"/>
    </xf>
    <xf numFmtId="1" fontId="44" fillId="7" borderId="12" xfId="0" applyNumberFormat="1" applyFont="1" applyFill="1" applyBorder="1" applyAlignment="1">
      <alignment horizontal="left"/>
    </xf>
    <xf numFmtId="0" fontId="9" fillId="15" borderId="0" xfId="0" applyFont="1" applyFill="1"/>
    <xf numFmtId="0" fontId="9" fillId="7" borderId="0" xfId="0" applyFont="1" applyFill="1"/>
    <xf numFmtId="0" fontId="8" fillId="0" borderId="0" xfId="0" applyFont="1" applyProtection="1">
      <protection hidden="1"/>
    </xf>
    <xf numFmtId="0" fontId="94" fillId="0" borderId="1" xfId="0" applyFont="1" applyBorder="1" applyAlignment="1" applyProtection="1">
      <alignment horizontal="center"/>
      <protection hidden="1"/>
    </xf>
    <xf numFmtId="1" fontId="9" fillId="0" borderId="1" xfId="0" applyNumberFormat="1" applyFont="1" applyBorder="1" applyAlignment="1" applyProtection="1">
      <alignment horizontal="left"/>
      <protection hidden="1"/>
    </xf>
    <xf numFmtId="1" fontId="9" fillId="5" borderId="1" xfId="0" applyNumberFormat="1" applyFont="1" applyFill="1" applyBorder="1" applyAlignment="1" applyProtection="1">
      <alignment horizontal="left"/>
      <protection hidden="1"/>
    </xf>
    <xf numFmtId="1" fontId="12" fillId="8" borderId="1" xfId="0" applyNumberFormat="1" applyFont="1" applyFill="1" applyBorder="1" applyAlignment="1" applyProtection="1">
      <alignment horizontal="center"/>
      <protection hidden="1"/>
    </xf>
    <xf numFmtId="1" fontId="12" fillId="15" borderId="1" xfId="0" applyNumberFormat="1" applyFont="1" applyFill="1" applyBorder="1" applyAlignment="1" applyProtection="1">
      <alignment horizontal="center"/>
      <protection hidden="1"/>
    </xf>
    <xf numFmtId="1" fontId="12" fillId="7" borderId="1" xfId="0" applyNumberFormat="1" applyFont="1" applyFill="1" applyBorder="1" applyAlignment="1" applyProtection="1">
      <alignment vertical="center"/>
      <protection hidden="1"/>
    </xf>
    <xf numFmtId="1" fontId="12" fillId="0" borderId="3" xfId="0" applyNumberFormat="1" applyFont="1" applyBorder="1" applyAlignment="1" applyProtection="1">
      <alignment horizontal="center" vertical="center"/>
      <protection hidden="1"/>
    </xf>
    <xf numFmtId="1" fontId="32" fillId="5" borderId="1" xfId="0" applyNumberFormat="1" applyFont="1" applyFill="1" applyBorder="1" applyAlignment="1" applyProtection="1">
      <alignment horizontal="left"/>
      <protection hidden="1"/>
    </xf>
    <xf numFmtId="0" fontId="92" fillId="8" borderId="22" xfId="4" applyFont="1" applyFill="1" applyBorder="1" applyAlignment="1">
      <alignment vertical="center"/>
    </xf>
    <xf numFmtId="0" fontId="9" fillId="3" borderId="39" xfId="0" applyFont="1" applyFill="1" applyBorder="1" applyAlignment="1" applyProtection="1">
      <alignment vertical="top" wrapText="1"/>
      <protection locked="0"/>
    </xf>
    <xf numFmtId="0" fontId="8" fillId="0" borderId="1" xfId="0" applyFont="1" applyBorder="1" applyProtection="1">
      <protection hidden="1"/>
    </xf>
    <xf numFmtId="0" fontId="9" fillId="8" borderId="22" xfId="4" applyFill="1" applyBorder="1" applyAlignment="1">
      <alignment vertical="center"/>
    </xf>
    <xf numFmtId="2" fontId="9" fillId="0" borderId="23" xfId="0" applyNumberFormat="1" applyFont="1" applyBorder="1" applyAlignment="1">
      <alignment horizontal="center" vertical="center"/>
    </xf>
    <xf numFmtId="0" fontId="9" fillId="3" borderId="40" xfId="0" applyFont="1" applyFill="1" applyBorder="1" applyAlignment="1" applyProtection="1">
      <alignment vertical="top" wrapText="1"/>
      <protection locked="0"/>
    </xf>
    <xf numFmtId="0" fontId="9" fillId="8" borderId="22" xfId="0" applyFont="1" applyFill="1" applyBorder="1" applyAlignment="1">
      <alignment vertical="center"/>
    </xf>
    <xf numFmtId="1" fontId="9" fillId="5" borderId="1" xfId="0" applyNumberFormat="1" applyFont="1" applyFill="1" applyBorder="1" applyAlignment="1">
      <alignment horizontal="left"/>
    </xf>
    <xf numFmtId="0" fontId="9" fillId="8" borderId="24" xfId="0" applyFont="1" applyFill="1" applyBorder="1" applyAlignment="1">
      <alignment vertical="center"/>
    </xf>
    <xf numFmtId="0" fontId="9" fillId="0" borderId="41" xfId="0" applyFont="1" applyBorder="1"/>
    <xf numFmtId="1" fontId="74" fillId="5" borderId="1" xfId="0" applyNumberFormat="1" applyFont="1" applyFill="1" applyBorder="1" applyAlignment="1" applyProtection="1">
      <alignment horizontal="left"/>
      <protection hidden="1"/>
    </xf>
    <xf numFmtId="0" fontId="9" fillId="0" borderId="28" xfId="0" applyFont="1" applyBorder="1" applyAlignment="1">
      <alignment vertical="center"/>
    </xf>
    <xf numFmtId="2" fontId="9" fillId="0" borderId="15" xfId="0" applyNumberFormat="1" applyFont="1" applyBorder="1" applyAlignment="1">
      <alignment horizontal="center" vertical="center"/>
    </xf>
    <xf numFmtId="2" fontId="9" fillId="15" borderId="15" xfId="0" applyNumberFormat="1" applyFont="1" applyFill="1" applyBorder="1" applyAlignment="1">
      <alignment horizontal="center" vertical="center"/>
    </xf>
    <xf numFmtId="0" fontId="92" fillId="8" borderId="1" xfId="4" applyFont="1" applyFill="1" applyBorder="1" applyAlignment="1">
      <alignment vertical="center"/>
    </xf>
    <xf numFmtId="0" fontId="9" fillId="3" borderId="15" xfId="0" applyFont="1" applyFill="1" applyBorder="1" applyProtection="1">
      <protection locked="0"/>
    </xf>
    <xf numFmtId="2" fontId="9" fillId="0" borderId="1" xfId="0" applyNumberFormat="1" applyFont="1" applyBorder="1" applyAlignment="1">
      <alignment horizontal="center" vertical="center"/>
    </xf>
    <xf numFmtId="0" fontId="84" fillId="3" borderId="15" xfId="0" applyFont="1" applyFill="1" applyBorder="1" applyProtection="1">
      <protection locked="0"/>
    </xf>
    <xf numFmtId="2" fontId="9" fillId="15" borderId="0" xfId="0" applyNumberFormat="1" applyFont="1" applyFill="1"/>
    <xf numFmtId="0" fontId="9" fillId="9" borderId="0" xfId="0" applyFont="1" applyFill="1"/>
    <xf numFmtId="1" fontId="63" fillId="9" borderId="1" xfId="0" applyNumberFormat="1" applyFont="1" applyFill="1" applyBorder="1" applyAlignment="1" applyProtection="1">
      <alignment horizontal="center"/>
      <protection hidden="1"/>
    </xf>
    <xf numFmtId="1" fontId="63" fillId="9" borderId="1" xfId="0" applyNumberFormat="1" applyFont="1" applyFill="1" applyBorder="1" applyAlignment="1" applyProtection="1">
      <alignment vertical="center"/>
      <protection hidden="1"/>
    </xf>
    <xf numFmtId="0" fontId="56" fillId="8" borderId="22" xfId="4" applyFont="1" applyFill="1" applyBorder="1" applyAlignment="1">
      <alignment vertical="center"/>
    </xf>
    <xf numFmtId="1" fontId="74" fillId="0" borderId="1" xfId="0" applyNumberFormat="1" applyFont="1" applyBorder="1" applyAlignment="1" applyProtection="1">
      <alignment horizontal="left"/>
      <protection hidden="1"/>
    </xf>
    <xf numFmtId="1" fontId="84" fillId="5" borderId="1" xfId="0" applyNumberFormat="1" applyFont="1" applyFill="1" applyBorder="1" applyAlignment="1" applyProtection="1">
      <alignment horizontal="left"/>
      <protection hidden="1"/>
    </xf>
    <xf numFmtId="0" fontId="9" fillId="7" borderId="1" xfId="0" applyFont="1" applyFill="1" applyBorder="1"/>
    <xf numFmtId="0" fontId="9" fillId="3" borderId="0" xfId="0" applyFont="1" applyFill="1"/>
    <xf numFmtId="2" fontId="30" fillId="3" borderId="3" xfId="0" applyNumberFormat="1" applyFont="1" applyFill="1" applyBorder="1"/>
    <xf numFmtId="2" fontId="30" fillId="3" borderId="13" xfId="0" applyNumberFormat="1" applyFont="1" applyFill="1" applyBorder="1" applyAlignment="1">
      <alignment horizontal="left" wrapText="1"/>
    </xf>
    <xf numFmtId="2" fontId="120" fillId="3" borderId="0" xfId="0" applyNumberFormat="1" applyFont="1" applyFill="1" applyAlignment="1">
      <alignment horizontal="right"/>
    </xf>
    <xf numFmtId="2" fontId="73" fillId="3" borderId="13" xfId="0" applyNumberFormat="1" applyFont="1" applyFill="1" applyBorder="1" applyAlignment="1">
      <alignment horizontal="left" wrapText="1"/>
    </xf>
    <xf numFmtId="2" fontId="35" fillId="3" borderId="16" xfId="0" applyNumberFormat="1" applyFont="1" applyFill="1" applyBorder="1" applyAlignment="1">
      <alignment horizontal="center" wrapText="1"/>
    </xf>
    <xf numFmtId="2" fontId="35" fillId="3" borderId="21" xfId="0" applyNumberFormat="1" applyFont="1" applyFill="1" applyBorder="1" applyAlignment="1">
      <alignment horizontal="center" wrapText="1"/>
    </xf>
    <xf numFmtId="2" fontId="30" fillId="3" borderId="16" xfId="0" applyNumberFormat="1" applyFont="1" applyFill="1" applyBorder="1" applyAlignment="1">
      <alignment horizontal="center" wrapText="1"/>
    </xf>
    <xf numFmtId="2" fontId="30" fillId="3" borderId="0" xfId="0" applyNumberFormat="1" applyFont="1" applyFill="1"/>
    <xf numFmtId="2" fontId="5" fillId="3" borderId="19" xfId="0" applyNumberFormat="1" applyFont="1" applyFill="1" applyBorder="1" applyAlignment="1">
      <alignment horizontal="left" wrapText="1"/>
    </xf>
    <xf numFmtId="2" fontId="5" fillId="3" borderId="1" xfId="0" applyNumberFormat="1" applyFont="1" applyFill="1" applyBorder="1" applyAlignment="1">
      <alignment horizontal="right" vertical="center"/>
    </xf>
    <xf numFmtId="2" fontId="5" fillId="3" borderId="18" xfId="0" applyNumberFormat="1" applyFont="1" applyFill="1" applyBorder="1" applyAlignment="1">
      <alignment horizontal="center" wrapText="1"/>
    </xf>
    <xf numFmtId="2" fontId="5" fillId="3" borderId="16" xfId="0" applyNumberFormat="1" applyFont="1" applyFill="1" applyBorder="1" applyAlignment="1">
      <alignment horizontal="right" wrapText="1"/>
    </xf>
    <xf numFmtId="2" fontId="5" fillId="13" borderId="1" xfId="0" applyNumberFormat="1" applyFont="1" applyFill="1" applyBorder="1"/>
    <xf numFmtId="2" fontId="3" fillId="3" borderId="1" xfId="0" applyNumberFormat="1" applyFont="1" applyFill="1" applyBorder="1" applyAlignment="1">
      <alignment horizontal="right" vertical="center"/>
    </xf>
    <xf numFmtId="2" fontId="3" fillId="3" borderId="1" xfId="0" quotePrefix="1" applyNumberFormat="1" applyFont="1" applyFill="1" applyBorder="1" applyAlignment="1">
      <alignment horizontal="right" vertical="center"/>
    </xf>
    <xf numFmtId="2" fontId="3" fillId="3" borderId="1" xfId="0" applyNumberFormat="1" applyFont="1" applyFill="1" applyBorder="1" applyAlignment="1">
      <alignment vertical="center"/>
    </xf>
    <xf numFmtId="2" fontId="5" fillId="3" borderId="19" xfId="0" applyNumberFormat="1" applyFont="1" applyFill="1" applyBorder="1" applyAlignment="1">
      <alignment horizontal="left"/>
    </xf>
    <xf numFmtId="2" fontId="5" fillId="3" borderId="16" xfId="0" applyNumberFormat="1" applyFont="1" applyFill="1" applyBorder="1" applyAlignment="1">
      <alignment horizontal="left"/>
    </xf>
    <xf numFmtId="2" fontId="5" fillId="3" borderId="16" xfId="0" applyNumberFormat="1" applyFont="1" applyFill="1" applyBorder="1" applyAlignment="1">
      <alignment horizontal="center" wrapText="1"/>
    </xf>
    <xf numFmtId="2" fontId="5" fillId="3" borderId="0" xfId="0" applyNumberFormat="1" applyFont="1" applyFill="1" applyAlignment="1">
      <alignment horizontal="right" wrapText="1"/>
    </xf>
    <xf numFmtId="2" fontId="5" fillId="3" borderId="17" xfId="0" applyNumberFormat="1" applyFont="1" applyFill="1" applyBorder="1" applyAlignment="1">
      <alignment horizontal="left" wrapText="1"/>
    </xf>
    <xf numFmtId="2" fontId="5" fillId="3" borderId="0" xfId="0" applyNumberFormat="1" applyFont="1" applyFill="1" applyAlignment="1">
      <alignment horizontal="left" wrapText="1"/>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19" fillId="3" borderId="16" xfId="0" applyNumberFormat="1" applyFont="1" applyFill="1" applyBorder="1" applyAlignment="1">
      <alignment horizontal="right" wrapText="1"/>
    </xf>
    <xf numFmtId="2" fontId="19" fillId="3" borderId="18" xfId="0" applyNumberFormat="1" applyFont="1" applyFill="1" applyBorder="1" applyAlignment="1">
      <alignment vertical="center" wrapText="1"/>
    </xf>
    <xf numFmtId="2" fontId="19" fillId="3" borderId="0" xfId="0" applyNumberFormat="1" applyFont="1" applyFill="1" applyAlignment="1">
      <alignment horizontal="left" wrapText="1"/>
    </xf>
    <xf numFmtId="2" fontId="19" fillId="3" borderId="0" xfId="0" applyNumberFormat="1" applyFont="1" applyFill="1" applyAlignment="1">
      <alignment horizontal="right" wrapText="1"/>
    </xf>
    <xf numFmtId="2" fontId="30" fillId="3" borderId="3" xfId="0" applyNumberFormat="1" applyFont="1" applyFill="1" applyBorder="1" applyAlignment="1">
      <alignment horizontal="right" wrapText="1"/>
    </xf>
    <xf numFmtId="2" fontId="5" fillId="3" borderId="16" xfId="0" applyNumberFormat="1" applyFont="1" applyFill="1" applyBorder="1" applyAlignment="1">
      <alignment horizontal="left" wrapText="1"/>
    </xf>
    <xf numFmtId="2" fontId="2" fillId="3" borderId="1" xfId="0" quotePrefix="1" applyNumberFormat="1" applyFont="1" applyFill="1" applyBorder="1" applyAlignment="1">
      <alignment horizontal="right" vertical="center"/>
    </xf>
    <xf numFmtId="2" fontId="5" fillId="3" borderId="16" xfId="0" applyNumberFormat="1" applyFont="1" applyFill="1" applyBorder="1"/>
    <xf numFmtId="0" fontId="0" fillId="0" borderId="0" xfId="0" applyAlignment="1">
      <alignment vertical="center"/>
    </xf>
    <xf numFmtId="0" fontId="9" fillId="4" borderId="0" xfId="0" applyFont="1" applyFill="1"/>
    <xf numFmtId="0" fontId="9" fillId="4" borderId="0" xfId="0" applyFont="1" applyFill="1" applyAlignment="1">
      <alignment horizontal="left"/>
    </xf>
    <xf numFmtId="1" fontId="118" fillId="8" borderId="1" xfId="0" applyNumberFormat="1" applyFont="1" applyFill="1" applyBorder="1" applyAlignment="1" applyProtection="1">
      <alignment horizontal="center"/>
      <protection hidden="1"/>
    </xf>
    <xf numFmtId="1" fontId="118" fillId="0" borderId="1" xfId="0" applyNumberFormat="1" applyFont="1" applyBorder="1" applyAlignment="1" applyProtection="1">
      <alignment horizontal="center"/>
      <protection hidden="1"/>
    </xf>
    <xf numFmtId="1" fontId="118" fillId="15" borderId="1" xfId="0" applyNumberFormat="1" applyFont="1" applyFill="1" applyBorder="1" applyAlignment="1" applyProtection="1">
      <alignment horizontal="center"/>
      <protection hidden="1"/>
    </xf>
    <xf numFmtId="1" fontId="118" fillId="7" borderId="1" xfId="0" applyNumberFormat="1" applyFont="1" applyFill="1" applyBorder="1" applyAlignment="1" applyProtection="1">
      <alignment vertical="center"/>
      <protection hidden="1"/>
    </xf>
    <xf numFmtId="1" fontId="118" fillId="0" borderId="3" xfId="0" applyNumberFormat="1" applyFont="1" applyBorder="1" applyAlignment="1" applyProtection="1">
      <alignment horizontal="center" vertical="center"/>
      <protection hidden="1"/>
    </xf>
    <xf numFmtId="0" fontId="45" fillId="0" borderId="0" xfId="0" applyFont="1"/>
    <xf numFmtId="0" fontId="119" fillId="0" borderId="0" xfId="0" applyFont="1"/>
    <xf numFmtId="0" fontId="45" fillId="0" borderId="0" xfId="0" applyFont="1" applyProtection="1">
      <protection hidden="1"/>
    </xf>
    <xf numFmtId="2" fontId="45" fillId="3" borderId="0" xfId="0" applyNumberFormat="1" applyFont="1" applyFill="1"/>
    <xf numFmtId="0" fontId="45" fillId="0" borderId="1" xfId="0" applyFont="1" applyBorder="1"/>
    <xf numFmtId="0" fontId="45" fillId="0" borderId="11" xfId="0" applyFont="1" applyBorder="1"/>
    <xf numFmtId="192" fontId="45" fillId="0" borderId="11" xfId="0" applyNumberFormat="1" applyFont="1" applyBorder="1" applyProtection="1">
      <protection hidden="1"/>
    </xf>
    <xf numFmtId="1" fontId="66" fillId="3" borderId="0" xfId="0" applyNumberFormat="1" applyFont="1" applyFill="1" applyAlignment="1">
      <alignment horizontal="center" vertical="center" wrapText="1"/>
    </xf>
    <xf numFmtId="0" fontId="129" fillId="0" borderId="0" xfId="0" applyFont="1" applyAlignment="1">
      <alignment vertical="center"/>
    </xf>
    <xf numFmtId="0" fontId="15" fillId="0" borderId="0" xfId="0" applyFont="1" applyAlignment="1">
      <alignment horizontal="right" vertical="center"/>
    </xf>
    <xf numFmtId="0" fontId="130" fillId="0" borderId="0" xfId="0" applyFont="1" applyAlignment="1">
      <alignment vertical="center"/>
    </xf>
    <xf numFmtId="0" fontId="130" fillId="0" borderId="0" xfId="0" applyFont="1" applyAlignment="1">
      <alignment horizontal="right" vertical="center"/>
    </xf>
    <xf numFmtId="0" fontId="131" fillId="0" borderId="0" xfId="0" applyFont="1" applyAlignment="1">
      <alignment vertical="center"/>
    </xf>
    <xf numFmtId="0" fontId="132" fillId="0" borderId="0" xfId="0" applyFont="1" applyAlignment="1">
      <alignment horizontal="left" vertical="center"/>
    </xf>
    <xf numFmtId="0" fontId="131" fillId="0" borderId="0" xfId="0" applyFont="1" applyAlignment="1">
      <alignment horizontal="center" vertical="center"/>
    </xf>
    <xf numFmtId="0" fontId="15" fillId="0" borderId="0" xfId="0" applyFont="1" applyAlignment="1">
      <alignment horizontal="left" vertical="center"/>
    </xf>
    <xf numFmtId="0" fontId="16" fillId="0" borderId="0" xfId="0" applyFont="1" applyAlignment="1">
      <alignment horizontal="right" vertical="center"/>
    </xf>
    <xf numFmtId="0" fontId="15" fillId="0" borderId="0" xfId="0" quotePrefix="1" applyFont="1" applyAlignment="1" applyProtection="1">
      <alignment horizontal="left" vertical="center"/>
      <protection locked="0"/>
    </xf>
    <xf numFmtId="0" fontId="15" fillId="0" borderId="0" xfId="0" applyFont="1" applyAlignment="1" applyProtection="1">
      <alignment horizontal="left" vertical="center"/>
      <protection locked="0"/>
    </xf>
    <xf numFmtId="0" fontId="133" fillId="0" borderId="0" xfId="0" applyFont="1" applyAlignment="1">
      <alignment vertical="center"/>
    </xf>
    <xf numFmtId="0" fontId="15" fillId="0" borderId="0" xfId="0" applyFont="1" applyAlignment="1" applyProtection="1">
      <alignment vertical="center"/>
      <protection locked="0"/>
    </xf>
    <xf numFmtId="0" fontId="15" fillId="0" borderId="0" xfId="0" applyFont="1" applyAlignment="1">
      <alignment horizontal="center" vertical="center"/>
    </xf>
    <xf numFmtId="0" fontId="15" fillId="0" borderId="0" xfId="0" quotePrefix="1" applyFont="1" applyAlignment="1">
      <alignment horizontal="left" vertical="center"/>
    </xf>
    <xf numFmtId="167" fontId="15" fillId="0" borderId="0" xfId="0" quotePrefix="1" applyNumberFormat="1" applyFont="1" applyAlignment="1">
      <alignment horizontal="left" vertical="center"/>
    </xf>
    <xf numFmtId="169" fontId="15" fillId="0" borderId="0" xfId="0" applyNumberFormat="1" applyFont="1" applyAlignment="1">
      <alignment horizontal="left" vertical="center"/>
    </xf>
    <xf numFmtId="0" fontId="16" fillId="0" borderId="0" xfId="0" applyFont="1" applyAlignment="1">
      <alignment horizontal="left" vertical="center"/>
    </xf>
    <xf numFmtId="164" fontId="15" fillId="0" borderId="0" xfId="0" applyNumberFormat="1" applyFont="1" applyAlignment="1">
      <alignment horizontal="left" vertical="center"/>
    </xf>
    <xf numFmtId="0" fontId="16" fillId="0" borderId="2" xfId="0" applyFont="1" applyBorder="1" applyAlignment="1">
      <alignment horizontal="left" vertical="center"/>
    </xf>
    <xf numFmtId="0" fontId="45" fillId="0" borderId="5" xfId="0" applyFont="1" applyBorder="1" applyAlignment="1">
      <alignment horizontal="center" vertical="center"/>
    </xf>
    <xf numFmtId="0" fontId="45" fillId="0" borderId="5" xfId="0" applyFont="1" applyBorder="1" applyAlignment="1">
      <alignment horizontal="center" vertical="center" wrapText="1"/>
    </xf>
    <xf numFmtId="1" fontId="15" fillId="0" borderId="0" xfId="0" applyNumberFormat="1" applyFont="1" applyAlignment="1">
      <alignment vertical="center"/>
    </xf>
    <xf numFmtId="2" fontId="45" fillId="0" borderId="1" xfId="0" applyNumberFormat="1" applyFont="1" applyBorder="1" applyAlignment="1">
      <alignment horizontal="center" vertical="center"/>
    </xf>
    <xf numFmtId="0" fontId="45" fillId="0" borderId="10" xfId="0" applyFont="1" applyBorder="1" applyAlignment="1">
      <alignment horizontal="center" vertical="center"/>
    </xf>
    <xf numFmtId="0" fontId="45" fillId="0" borderId="10" xfId="0" applyFont="1" applyBorder="1" applyAlignment="1">
      <alignment horizontal="center" vertical="center" wrapText="1"/>
    </xf>
    <xf numFmtId="193" fontId="15" fillId="0" borderId="1" xfId="0" applyNumberFormat="1" applyFont="1" applyBorder="1" applyAlignment="1">
      <alignment vertical="center"/>
    </xf>
    <xf numFmtId="194" fontId="15" fillId="0" borderId="1" xfId="0" applyNumberFormat="1" applyFont="1" applyBorder="1" applyAlignment="1">
      <alignment vertical="center"/>
    </xf>
    <xf numFmtId="217" fontId="15" fillId="0" borderId="1" xfId="0" applyNumberFormat="1" applyFont="1" applyBorder="1" applyAlignment="1">
      <alignment vertical="center"/>
    </xf>
    <xf numFmtId="220" fontId="15" fillId="0" borderId="1" xfId="0" applyNumberFormat="1" applyFont="1" applyBorder="1" applyAlignment="1">
      <alignment vertical="center"/>
    </xf>
    <xf numFmtId="218" fontId="15" fillId="0" borderId="1" xfId="0" applyNumberFormat="1" applyFont="1" applyBorder="1" applyAlignment="1">
      <alignment vertical="center"/>
    </xf>
    <xf numFmtId="221" fontId="15" fillId="0" borderId="1" xfId="0" applyNumberFormat="1" applyFont="1" applyBorder="1" applyAlignment="1">
      <alignment vertical="center"/>
    </xf>
    <xf numFmtId="219" fontId="15" fillId="0" borderId="1" xfId="0" applyNumberFormat="1" applyFont="1" applyBorder="1" applyAlignment="1">
      <alignment vertical="center"/>
    </xf>
    <xf numFmtId="199" fontId="15" fillId="0" borderId="1" xfId="0" applyNumberFormat="1" applyFont="1" applyBorder="1" applyAlignment="1">
      <alignment vertical="center"/>
    </xf>
    <xf numFmtId="170" fontId="15" fillId="0" borderId="1" xfId="0" applyNumberFormat="1" applyFont="1" applyBorder="1" applyAlignment="1">
      <alignment vertical="center"/>
    </xf>
    <xf numFmtId="170" fontId="15" fillId="0" borderId="0" xfId="0" applyNumberFormat="1" applyFont="1" applyAlignment="1">
      <alignment vertical="center"/>
    </xf>
    <xf numFmtId="0" fontId="45" fillId="0" borderId="7" xfId="0" applyFont="1" applyBorder="1" applyAlignment="1">
      <alignment vertical="center"/>
    </xf>
    <xf numFmtId="0" fontId="45" fillId="0" borderId="7" xfId="0" applyFont="1" applyBorder="1" applyAlignment="1">
      <alignment horizontal="center" vertical="center"/>
    </xf>
    <xf numFmtId="0" fontId="45" fillId="0" borderId="1" xfId="0" applyFont="1" applyBorder="1" applyAlignment="1">
      <alignment vertical="center"/>
    </xf>
    <xf numFmtId="170" fontId="45" fillId="0" borderId="1" xfId="0" applyNumberFormat="1" applyFont="1" applyBorder="1" applyAlignment="1">
      <alignment horizontal="center" vertical="center"/>
    </xf>
    <xf numFmtId="0" fontId="10" fillId="0" borderId="0" xfId="0" applyFont="1" applyAlignment="1">
      <alignment vertical="center"/>
    </xf>
    <xf numFmtId="0" fontId="57" fillId="0" borderId="1" xfId="0" applyFont="1" applyBorder="1" applyAlignment="1">
      <alignment horizontal="right" vertical="center"/>
    </xf>
    <xf numFmtId="193" fontId="57" fillId="0" borderId="1" xfId="0" applyNumberFormat="1" applyFont="1" applyBorder="1" applyAlignment="1">
      <alignment vertical="center"/>
    </xf>
    <xf numFmtId="194" fontId="57" fillId="0" borderId="1" xfId="0" applyNumberFormat="1" applyFont="1" applyBorder="1" applyAlignment="1">
      <alignment vertical="center"/>
    </xf>
    <xf numFmtId="200" fontId="57" fillId="0" borderId="1" xfId="0" applyNumberFormat="1" applyFont="1" applyBorder="1" applyAlignment="1">
      <alignment vertical="center"/>
    </xf>
    <xf numFmtId="205" fontId="57" fillId="0" borderId="1" xfId="0" applyNumberFormat="1" applyFont="1" applyBorder="1" applyAlignment="1">
      <alignment vertical="center"/>
    </xf>
    <xf numFmtId="195" fontId="57" fillId="0" borderId="1" xfId="0" applyNumberFormat="1" applyFont="1" applyBorder="1" applyAlignment="1">
      <alignment vertical="center"/>
    </xf>
    <xf numFmtId="204" fontId="57" fillId="0" borderId="1" xfId="0" applyNumberFormat="1" applyFont="1" applyBorder="1" applyAlignment="1">
      <alignment vertical="center"/>
    </xf>
    <xf numFmtId="198" fontId="57" fillId="0" borderId="1" xfId="0" applyNumberFormat="1" applyFont="1" applyBorder="1" applyAlignment="1">
      <alignment vertical="center"/>
    </xf>
    <xf numFmtId="199" fontId="57" fillId="0" borderId="1" xfId="0" applyNumberFormat="1" applyFont="1" applyBorder="1" applyAlignment="1">
      <alignment vertical="center"/>
    </xf>
    <xf numFmtId="201" fontId="57" fillId="0" borderId="1" xfId="0" applyNumberFormat="1" applyFont="1" applyBorder="1" applyAlignment="1">
      <alignment vertical="center"/>
    </xf>
    <xf numFmtId="0" fontId="15" fillId="0" borderId="1" xfId="0" applyFont="1" applyBorder="1" applyAlignment="1">
      <alignment horizontal="right" vertical="center"/>
    </xf>
    <xf numFmtId="197" fontId="57" fillId="0" borderId="1" xfId="0" applyNumberFormat="1" applyFont="1" applyBorder="1" applyAlignment="1">
      <alignment vertical="center"/>
    </xf>
    <xf numFmtId="0" fontId="45" fillId="0" borderId="3" xfId="0" applyFont="1" applyBorder="1" applyAlignment="1">
      <alignment vertical="center"/>
    </xf>
    <xf numFmtId="0" fontId="118" fillId="0" borderId="12" xfId="0" applyFont="1" applyBorder="1" applyAlignment="1">
      <alignment vertical="center"/>
    </xf>
    <xf numFmtId="0" fontId="118" fillId="0" borderId="0" xfId="0" applyFont="1" applyAlignment="1">
      <alignment vertical="center"/>
    </xf>
    <xf numFmtId="203" fontId="45" fillId="0" borderId="43" xfId="0" applyNumberFormat="1" applyFont="1" applyBorder="1" applyAlignment="1">
      <alignment horizontal="center" vertical="center"/>
    </xf>
    <xf numFmtId="193" fontId="57" fillId="0" borderId="1" xfId="0" applyNumberFormat="1" applyFont="1" applyBorder="1" applyAlignment="1">
      <alignment horizontal="right" vertical="center"/>
    </xf>
    <xf numFmtId="202" fontId="57" fillId="0" borderId="1" xfId="0" applyNumberFormat="1" applyFont="1" applyBorder="1" applyAlignment="1">
      <alignment vertical="center"/>
    </xf>
    <xf numFmtId="2" fontId="45" fillId="0" borderId="13" xfId="0" applyNumberFormat="1" applyFont="1" applyBorder="1" applyAlignment="1">
      <alignment horizontal="center" vertical="center"/>
    </xf>
    <xf numFmtId="0" fontId="15" fillId="0" borderId="0" xfId="0" applyFont="1" applyAlignment="1">
      <alignment horizontal="center" vertical="center" wrapText="1"/>
    </xf>
    <xf numFmtId="164" fontId="15" fillId="0" borderId="0" xfId="0" applyNumberFormat="1" applyFont="1" applyAlignment="1">
      <alignment horizontal="center" vertical="center"/>
    </xf>
    <xf numFmtId="0" fontId="15" fillId="0" borderId="0" xfId="0" quotePrefix="1" applyFont="1" applyAlignment="1">
      <alignment horizontal="right" vertical="center"/>
    </xf>
    <xf numFmtId="0" fontId="45" fillId="0" borderId="0" xfId="0" applyFont="1" applyAlignment="1">
      <alignment vertical="center"/>
    </xf>
    <xf numFmtId="181" fontId="45" fillId="0" borderId="0" xfId="0" applyNumberFormat="1" applyFont="1" applyAlignment="1">
      <alignment horizontal="right" vertical="center"/>
    </xf>
    <xf numFmtId="0" fontId="134" fillId="0" borderId="0" xfId="0" quotePrefix="1" applyFont="1" applyAlignment="1">
      <alignment horizontal="center" vertical="center"/>
    </xf>
    <xf numFmtId="0" fontId="16" fillId="0" borderId="0" xfId="0" applyFont="1" applyAlignment="1">
      <alignment vertical="center"/>
    </xf>
    <xf numFmtId="0" fontId="16" fillId="0" borderId="0" xfId="0" applyFont="1"/>
    <xf numFmtId="0" fontId="10" fillId="0" borderId="0" xfId="0" quotePrefix="1" applyFont="1" applyAlignment="1">
      <alignment horizontal="center" vertical="center"/>
    </xf>
    <xf numFmtId="1" fontId="15" fillId="0" borderId="0" xfId="0" applyNumberFormat="1" applyFont="1" applyAlignment="1">
      <alignment horizontal="left" vertical="center"/>
    </xf>
    <xf numFmtId="0" fontId="53" fillId="0" borderId="0" xfId="0" applyFont="1" applyAlignment="1">
      <alignment vertical="center"/>
    </xf>
    <xf numFmtId="0" fontId="53" fillId="0" borderId="0" xfId="0" applyFont="1" applyAlignment="1">
      <alignment horizontal="center" vertical="center"/>
    </xf>
    <xf numFmtId="0" fontId="57" fillId="0" borderId="0" xfId="0" applyFont="1" applyAlignment="1">
      <alignment vertical="center"/>
    </xf>
    <xf numFmtId="0" fontId="58" fillId="0" borderId="0" xfId="0" quotePrefix="1" applyFont="1" applyAlignment="1">
      <alignment horizontal="left" vertical="center"/>
    </xf>
    <xf numFmtId="0" fontId="57" fillId="0" borderId="0" xfId="0" quotePrefix="1" applyFont="1" applyAlignment="1">
      <alignment horizontal="left" vertical="center"/>
    </xf>
    <xf numFmtId="0" fontId="15" fillId="0" borderId="0" xfId="0" applyFont="1"/>
    <xf numFmtId="0" fontId="15" fillId="0" borderId="5" xfId="0" applyFont="1" applyBorder="1" applyAlignment="1">
      <alignment vertical="center"/>
    </xf>
    <xf numFmtId="0" fontId="56" fillId="0" borderId="0" xfId="0" applyFont="1" applyAlignment="1">
      <alignment horizontal="right" vertical="center"/>
    </xf>
    <xf numFmtId="0" fontId="15" fillId="0" borderId="15" xfId="0" applyFont="1" applyBorder="1" applyAlignment="1">
      <alignment horizontal="center" vertical="center" wrapText="1"/>
    </xf>
    <xf numFmtId="0" fontId="15" fillId="0" borderId="13" xfId="0" applyFont="1" applyBorder="1" applyAlignment="1">
      <alignment horizontal="center" vertical="center" wrapText="1"/>
    </xf>
    <xf numFmtId="0" fontId="55" fillId="0" borderId="0" xfId="0" applyFont="1" applyAlignment="1">
      <alignment vertical="center" wrapText="1"/>
    </xf>
    <xf numFmtId="0" fontId="15" fillId="0" borderId="1" xfId="0" applyFont="1" applyBorder="1" applyAlignment="1">
      <alignment horizontal="center"/>
    </xf>
    <xf numFmtId="190" fontId="15" fillId="0" borderId="1" xfId="0" applyNumberFormat="1" applyFont="1" applyBorder="1" applyAlignment="1">
      <alignment horizontal="center"/>
    </xf>
    <xf numFmtId="0" fontId="55" fillId="0" borderId="7" xfId="0" applyFont="1" applyBorder="1" applyAlignment="1">
      <alignment horizontal="center" vertical="center"/>
    </xf>
    <xf numFmtId="0" fontId="15" fillId="0" borderId="13" xfId="0" applyFont="1" applyBorder="1" applyAlignment="1">
      <alignment horizontal="left" vertical="center"/>
    </xf>
    <xf numFmtId="0" fontId="15" fillId="0" borderId="13" xfId="0" applyFont="1" applyBorder="1" applyAlignment="1">
      <alignment horizontal="left" vertical="center" wrapText="1"/>
    </xf>
    <xf numFmtId="164" fontId="15" fillId="0" borderId="3" xfId="0" applyNumberFormat="1" applyFont="1" applyBorder="1" applyAlignment="1">
      <alignment horizontal="right" vertical="center"/>
    </xf>
    <xf numFmtId="0" fontId="15" fillId="0" borderId="1" xfId="0" applyFont="1" applyBorder="1" applyAlignment="1">
      <alignment horizontal="center" vertical="center"/>
    </xf>
    <xf numFmtId="170" fontId="15" fillId="0" borderId="44" xfId="0" applyNumberFormat="1" applyFont="1" applyBorder="1" applyAlignment="1">
      <alignment horizontal="center" vertical="center"/>
    </xf>
    <xf numFmtId="0" fontId="118" fillId="0" borderId="5" xfId="0" applyFont="1" applyBorder="1" applyAlignment="1">
      <alignment horizontal="center"/>
    </xf>
    <xf numFmtId="170" fontId="15" fillId="0" borderId="3" xfId="0" applyNumberFormat="1" applyFont="1" applyBorder="1" applyAlignment="1">
      <alignment horizontal="right" vertical="center"/>
    </xf>
    <xf numFmtId="170" fontId="15" fillId="0" borderId="45" xfId="0" applyNumberFormat="1" applyFont="1" applyBorder="1" applyAlignment="1">
      <alignment horizontal="center" vertical="center"/>
    </xf>
    <xf numFmtId="0" fontId="56" fillId="0" borderId="0" xfId="0" applyFont="1" applyAlignment="1">
      <alignment vertical="center" wrapText="1"/>
    </xf>
    <xf numFmtId="0" fontId="56" fillId="0" borderId="1" xfId="0" applyFont="1" applyBorder="1" applyAlignment="1">
      <alignment horizontal="center" vertical="center"/>
    </xf>
    <xf numFmtId="0" fontId="56" fillId="0" borderId="8" xfId="0" applyFont="1" applyBorder="1" applyAlignment="1">
      <alignment horizontal="center" vertical="center" wrapText="1"/>
    </xf>
    <xf numFmtId="0" fontId="55" fillId="0" borderId="6" xfId="0" applyFont="1" applyBorder="1" applyAlignment="1">
      <alignment horizontal="center" vertical="center"/>
    </xf>
    <xf numFmtId="170" fontId="15" fillId="0" borderId="60" xfId="0" applyNumberFormat="1" applyFont="1" applyBorder="1" applyAlignment="1">
      <alignment horizontal="center" vertical="center"/>
    </xf>
    <xf numFmtId="184" fontId="56" fillId="0" borderId="5" xfId="0" applyNumberFormat="1" applyFont="1" applyBorder="1" applyAlignment="1">
      <alignment horizontal="center" vertical="center"/>
    </xf>
    <xf numFmtId="0" fontId="15" fillId="0" borderId="3" xfId="0" applyFont="1" applyBorder="1" applyAlignment="1">
      <alignment horizontal="right"/>
    </xf>
    <xf numFmtId="184" fontId="56" fillId="0" borderId="13" xfId="0" applyNumberFormat="1" applyFont="1" applyBorder="1" applyAlignment="1">
      <alignment horizontal="center" vertical="center"/>
    </xf>
    <xf numFmtId="206" fontId="57" fillId="0" borderId="1" xfId="0" applyNumberFormat="1" applyFont="1" applyBorder="1" applyAlignment="1">
      <alignment vertical="center"/>
    </xf>
    <xf numFmtId="196" fontId="57" fillId="0" borderId="1" xfId="0" applyNumberFormat="1" applyFont="1" applyBorder="1" applyAlignment="1">
      <alignment vertical="center"/>
    </xf>
    <xf numFmtId="170" fontId="15" fillId="0" borderId="46" xfId="0" applyNumberFormat="1" applyFont="1" applyBorder="1" applyAlignment="1">
      <alignment horizontal="center" vertical="center"/>
    </xf>
    <xf numFmtId="0" fontId="114" fillId="0" borderId="3" xfId="0" applyFont="1" applyBorder="1" applyAlignment="1">
      <alignment vertical="center"/>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15" fillId="0" borderId="3" xfId="0" applyFont="1" applyBorder="1" applyAlignment="1">
      <alignment vertical="center"/>
    </xf>
    <xf numFmtId="0" fontId="15" fillId="0" borderId="15" xfId="0" applyFont="1" applyBorder="1" applyAlignment="1">
      <alignment vertical="center"/>
    </xf>
    <xf numFmtId="0" fontId="15" fillId="0" borderId="13" xfId="0" applyFont="1" applyBorder="1" applyAlignment="1">
      <alignment vertical="center"/>
    </xf>
    <xf numFmtId="0" fontId="16" fillId="0" borderId="1" xfId="1" applyFont="1" applyBorder="1" applyAlignment="1">
      <alignment horizontal="center" vertical="center" wrapText="1"/>
    </xf>
    <xf numFmtId="0" fontId="16" fillId="0" borderId="1" xfId="1" applyFont="1" applyBorder="1" applyAlignment="1">
      <alignment vertical="center" wrapText="1"/>
    </xf>
    <xf numFmtId="0" fontId="45" fillId="0" borderId="0" xfId="1" applyFont="1" applyAlignment="1">
      <alignment vertical="center"/>
    </xf>
    <xf numFmtId="0" fontId="53" fillId="0" borderId="13" xfId="1" applyFont="1" applyBorder="1" applyAlignment="1">
      <alignment horizontal="center" vertical="center" wrapText="1"/>
    </xf>
    <xf numFmtId="170" fontId="15" fillId="0" borderId="3" xfId="1" quotePrefix="1" applyNumberFormat="1" applyFont="1" applyBorder="1" applyAlignment="1">
      <alignment horizontal="right" vertical="center"/>
    </xf>
    <xf numFmtId="170" fontId="15" fillId="0" borderId="1" xfId="0" applyNumberFormat="1" applyFont="1" applyBorder="1" applyAlignment="1">
      <alignment horizontal="center" vertical="center"/>
    </xf>
    <xf numFmtId="164" fontId="15" fillId="0" borderId="3" xfId="1" quotePrefix="1" applyNumberFormat="1" applyFont="1" applyBorder="1" applyAlignment="1">
      <alignment horizontal="right" vertical="center"/>
    </xf>
    <xf numFmtId="2" fontId="15" fillId="0" borderId="1" xfId="0" applyNumberFormat="1" applyFont="1" applyBorder="1" applyAlignment="1">
      <alignment horizontal="center" vertical="center"/>
    </xf>
    <xf numFmtId="0" fontId="15" fillId="0" borderId="1" xfId="1" applyFont="1" applyBorder="1" applyAlignment="1">
      <alignment horizontal="left" vertical="center"/>
    </xf>
    <xf numFmtId="0" fontId="16" fillId="0" borderId="0" xfId="0" applyFont="1" applyAlignment="1">
      <alignment vertical="center" wrapText="1"/>
    </xf>
    <xf numFmtId="0" fontId="15" fillId="0" borderId="0" xfId="0" applyFont="1" applyAlignment="1">
      <alignment vertical="center" wrapText="1"/>
    </xf>
    <xf numFmtId="0" fontId="45" fillId="0" borderId="0" xfId="1" applyFont="1" applyAlignment="1">
      <alignment horizontal="right" vertical="center"/>
    </xf>
    <xf numFmtId="1" fontId="20" fillId="0" borderId="5" xfId="0" applyNumberFormat="1" applyFont="1" applyBorder="1" applyAlignment="1">
      <alignment horizontal="center"/>
    </xf>
    <xf numFmtId="0" fontId="16" fillId="0" borderId="2" xfId="0" applyFont="1" applyBorder="1" applyAlignment="1">
      <alignment vertical="center" wrapText="1"/>
    </xf>
    <xf numFmtId="164" fontId="15" fillId="0" borderId="0" xfId="0" applyNumberFormat="1" applyFont="1" applyAlignment="1">
      <alignment horizontal="right" vertical="center" wrapText="1"/>
    </xf>
    <xf numFmtId="1" fontId="7" fillId="0" borderId="0" xfId="0" applyNumberFormat="1" applyFont="1" applyAlignment="1">
      <alignment horizontal="center"/>
    </xf>
    <xf numFmtId="170" fontId="7" fillId="0" borderId="0" xfId="0" applyNumberFormat="1" applyFont="1" applyAlignment="1">
      <alignment horizontal="center"/>
    </xf>
    <xf numFmtId="2" fontId="7" fillId="0" borderId="0" xfId="0" applyNumberFormat="1" applyFont="1" applyAlignment="1">
      <alignment horizontal="center"/>
    </xf>
    <xf numFmtId="0" fontId="15" fillId="0" borderId="3" xfId="0" applyFont="1" applyBorder="1" applyAlignment="1">
      <alignment vertical="center" wrapText="1"/>
    </xf>
    <xf numFmtId="0" fontId="15" fillId="0" borderId="13" xfId="0" applyFont="1" applyBorder="1" applyAlignment="1" applyProtection="1">
      <alignment vertical="center" wrapText="1"/>
      <protection locked="0"/>
    </xf>
    <xf numFmtId="0" fontId="15" fillId="0" borderId="3" xfId="0" applyFont="1" applyBorder="1" applyAlignment="1" applyProtection="1">
      <alignment vertical="center" wrapText="1"/>
      <protection locked="0"/>
    </xf>
    <xf numFmtId="0" fontId="15" fillId="0" borderId="4" xfId="0" applyFont="1" applyBorder="1" applyAlignment="1" applyProtection="1">
      <alignment vertical="center" wrapText="1"/>
      <protection locked="0"/>
    </xf>
    <xf numFmtId="0" fontId="15" fillId="0" borderId="9" xfId="0" applyFont="1" applyBorder="1" applyAlignment="1" applyProtection="1">
      <alignment vertical="center" wrapText="1"/>
      <protection locked="0"/>
    </xf>
    <xf numFmtId="171" fontId="9" fillId="0" borderId="33" xfId="0" applyNumberFormat="1" applyFont="1" applyBorder="1"/>
    <xf numFmtId="0" fontId="9" fillId="0" borderId="36" xfId="0" applyFont="1" applyBorder="1" applyAlignment="1">
      <alignment vertical="center"/>
    </xf>
    <xf numFmtId="0" fontId="0" fillId="0" borderId="37" xfId="0" applyBorder="1" applyAlignment="1">
      <alignment vertical="center"/>
    </xf>
    <xf numFmtId="186" fontId="45" fillId="0" borderId="1" xfId="0" applyNumberFormat="1" applyFont="1" applyBorder="1" applyAlignment="1">
      <alignment horizontal="center" vertical="center"/>
    </xf>
    <xf numFmtId="187" fontId="45" fillId="0" borderId="1" xfId="0" applyNumberFormat="1" applyFont="1" applyBorder="1" applyAlignment="1">
      <alignment horizontal="center" vertical="center"/>
    </xf>
    <xf numFmtId="0" fontId="9" fillId="0" borderId="33" xfId="0" applyFont="1" applyBorder="1" applyAlignment="1">
      <alignment vertical="center"/>
    </xf>
    <xf numFmtId="0" fontId="9" fillId="0" borderId="38" xfId="0" applyFont="1" applyBorder="1" applyAlignment="1">
      <alignment vertical="center"/>
    </xf>
    <xf numFmtId="164" fontId="15" fillId="0" borderId="0" xfId="0" applyNumberFormat="1" applyFont="1" applyAlignment="1">
      <alignment horizontal="right" vertical="center"/>
    </xf>
    <xf numFmtId="170" fontId="0" fillId="0" borderId="0" xfId="0" applyNumberFormat="1" applyAlignment="1">
      <alignment horizontal="center"/>
    </xf>
    <xf numFmtId="1" fontId="118" fillId="0" borderId="11" xfId="0" applyNumberFormat="1" applyFont="1" applyBorder="1" applyAlignment="1">
      <alignment horizontal="center" vertical="center" wrapText="1"/>
    </xf>
    <xf numFmtId="1" fontId="45" fillId="0" borderId="11" xfId="0" applyNumberFormat="1" applyFont="1" applyBorder="1" applyAlignment="1">
      <alignment horizontal="center" vertical="center" wrapText="1"/>
    </xf>
    <xf numFmtId="0" fontId="45" fillId="0" borderId="0" xfId="0" applyFont="1" applyAlignment="1">
      <alignment horizontal="center" vertical="center" wrapText="1"/>
    </xf>
    <xf numFmtId="0" fontId="46" fillId="0" borderId="0" xfId="0" applyFont="1" applyAlignment="1">
      <alignment horizontal="center" vertical="center"/>
    </xf>
    <xf numFmtId="0" fontId="15" fillId="0" borderId="15" xfId="0" applyFont="1" applyBorder="1" applyAlignment="1">
      <alignment horizontal="right" vertical="center"/>
    </xf>
    <xf numFmtId="0" fontId="15" fillId="0" borderId="3" xfId="0" applyFont="1" applyBorder="1" applyAlignment="1">
      <alignment horizontal="right" vertical="center"/>
    </xf>
    <xf numFmtId="0" fontId="45" fillId="0" borderId="13" xfId="0" applyFont="1" applyBorder="1" applyAlignment="1">
      <alignment vertical="center"/>
    </xf>
    <xf numFmtId="0" fontId="45" fillId="0" borderId="1" xfId="0" applyFont="1" applyBorder="1" applyAlignment="1">
      <alignment horizontal="center" vertical="center"/>
    </xf>
    <xf numFmtId="0" fontId="9" fillId="0" borderId="0" xfId="4" applyAlignment="1">
      <alignment vertical="center"/>
    </xf>
    <xf numFmtId="0" fontId="45" fillId="0" borderId="0" xfId="0" applyFont="1" applyAlignment="1">
      <alignment horizontal="center" vertical="center"/>
    </xf>
    <xf numFmtId="165" fontId="45" fillId="0" borderId="1" xfId="0" applyNumberFormat="1" applyFont="1" applyBorder="1" applyAlignment="1">
      <alignment horizontal="center" vertical="center"/>
    </xf>
    <xf numFmtId="185" fontId="45" fillId="0" borderId="1" xfId="0" applyNumberFormat="1" applyFont="1" applyBorder="1" applyAlignment="1">
      <alignment horizontal="center" vertical="center"/>
    </xf>
    <xf numFmtId="185" fontId="45" fillId="0" borderId="12" xfId="0" applyNumberFormat="1" applyFont="1" applyBorder="1" applyAlignment="1">
      <alignment horizontal="center" vertical="center"/>
    </xf>
    <xf numFmtId="185" fontId="45" fillId="0" borderId="0" xfId="0" applyNumberFormat="1" applyFont="1" applyAlignment="1">
      <alignment horizontal="center" vertical="center"/>
    </xf>
    <xf numFmtId="164" fontId="45" fillId="0" borderId="0" xfId="0" applyNumberFormat="1" applyFont="1" applyAlignment="1">
      <alignment horizontal="center" vertical="center"/>
    </xf>
    <xf numFmtId="165" fontId="45" fillId="0" borderId="0" xfId="0" applyNumberFormat="1" applyFont="1" applyAlignment="1">
      <alignment horizontal="right" vertical="center"/>
    </xf>
    <xf numFmtId="186" fontId="45" fillId="0" borderId="0" xfId="0" applyNumberFormat="1" applyFont="1" applyAlignment="1">
      <alignment horizontal="center" vertical="center"/>
    </xf>
    <xf numFmtId="187" fontId="45" fillId="0" borderId="0" xfId="0" applyNumberFormat="1" applyFont="1" applyAlignment="1">
      <alignment horizontal="center" vertical="center"/>
    </xf>
    <xf numFmtId="193" fontId="57" fillId="0" borderId="1" xfId="0" quotePrefix="1" applyNumberFormat="1" applyFont="1" applyBorder="1" applyAlignment="1">
      <alignment horizontal="right" vertical="center"/>
    </xf>
    <xf numFmtId="207" fontId="57" fillId="0" borderId="1" xfId="0" applyNumberFormat="1" applyFont="1" applyBorder="1" applyAlignment="1">
      <alignment vertical="center"/>
    </xf>
    <xf numFmtId="165" fontId="45" fillId="0" borderId="0" xfId="1" applyNumberFormat="1" applyFont="1" applyAlignment="1">
      <alignment vertical="center"/>
    </xf>
    <xf numFmtId="165" fontId="45" fillId="0" borderId="11" xfId="0" applyNumberFormat="1" applyFont="1" applyBorder="1" applyAlignment="1">
      <alignment horizontal="center" vertical="center" wrapText="1"/>
    </xf>
    <xf numFmtId="165" fontId="45" fillId="0" borderId="0" xfId="0" applyNumberFormat="1" applyFont="1" applyAlignment="1">
      <alignment horizontal="center" vertical="center" wrapText="1"/>
    </xf>
    <xf numFmtId="165" fontId="45" fillId="0" borderId="0" xfId="0" applyNumberFormat="1" applyFont="1" applyAlignment="1">
      <alignment horizontal="center" vertical="center"/>
    </xf>
    <xf numFmtId="0" fontId="45" fillId="0" borderId="0" xfId="1" applyFont="1" applyAlignment="1">
      <alignment horizontal="left" vertical="center"/>
    </xf>
    <xf numFmtId="165" fontId="16" fillId="0" borderId="0" xfId="0" applyNumberFormat="1" applyFont="1" applyAlignment="1">
      <alignment horizontal="left" vertical="center"/>
    </xf>
    <xf numFmtId="165" fontId="16" fillId="0" borderId="0" xfId="0" applyNumberFormat="1" applyFont="1" applyAlignment="1">
      <alignment horizontal="center" vertical="center" wrapText="1"/>
    </xf>
    <xf numFmtId="164" fontId="45" fillId="0" borderId="0" xfId="1" applyNumberFormat="1" applyFont="1" applyAlignment="1">
      <alignment vertical="center"/>
    </xf>
    <xf numFmtId="222" fontId="45" fillId="0" borderId="1" xfId="1" applyNumberFormat="1" applyFont="1" applyBorder="1" applyAlignment="1">
      <alignment horizontal="center" vertical="center"/>
    </xf>
    <xf numFmtId="220" fontId="45" fillId="0" borderId="1" xfId="1" applyNumberFormat="1" applyFont="1" applyBorder="1" applyAlignment="1">
      <alignment horizontal="left" vertical="center"/>
    </xf>
    <xf numFmtId="223" fontId="45" fillId="0" borderId="1" xfId="1" applyNumberFormat="1" applyFont="1" applyBorder="1" applyAlignment="1">
      <alignment vertical="center"/>
    </xf>
    <xf numFmtId="221" fontId="45" fillId="0" borderId="1" xfId="1" applyNumberFormat="1" applyFont="1" applyBorder="1" applyAlignment="1">
      <alignment vertical="center"/>
    </xf>
    <xf numFmtId="224" fontId="45" fillId="0" borderId="1" xfId="1" applyNumberFormat="1" applyFont="1" applyBorder="1" applyAlignment="1">
      <alignment vertical="center"/>
    </xf>
    <xf numFmtId="210" fontId="45" fillId="0" borderId="1" xfId="1" applyNumberFormat="1" applyFont="1" applyBorder="1" applyAlignment="1">
      <alignment vertical="center"/>
    </xf>
    <xf numFmtId="165" fontId="45" fillId="0" borderId="1" xfId="1" applyNumberFormat="1" applyFont="1" applyBorder="1" applyAlignment="1">
      <alignment vertical="center"/>
    </xf>
    <xf numFmtId="165" fontId="118" fillId="0" borderId="1" xfId="0" applyNumberFormat="1" applyFont="1" applyBorder="1" applyAlignment="1">
      <alignment horizontal="center" vertical="top"/>
    </xf>
    <xf numFmtId="165" fontId="118" fillId="0" borderId="1" xfId="0" applyNumberFormat="1" applyFont="1" applyBorder="1" applyAlignment="1">
      <alignment horizontal="center" vertical="top" wrapText="1"/>
    </xf>
    <xf numFmtId="165" fontId="45" fillId="0" borderId="1" xfId="0" applyNumberFormat="1" applyFont="1" applyBorder="1" applyAlignment="1">
      <alignment horizontal="center" vertical="center" wrapText="1"/>
    </xf>
    <xf numFmtId="165" fontId="118" fillId="0" borderId="0" xfId="0" applyNumberFormat="1" applyFont="1" applyAlignment="1">
      <alignment horizontal="center" vertical="center" wrapText="1"/>
    </xf>
    <xf numFmtId="165" fontId="118" fillId="0" borderId="0" xfId="0" applyNumberFormat="1" applyFont="1" applyAlignment="1">
      <alignment horizontal="left" vertical="center"/>
    </xf>
    <xf numFmtId="0" fontId="45" fillId="0" borderId="1" xfId="1" applyFont="1" applyBorder="1" applyAlignment="1">
      <alignment horizontal="left" vertical="center"/>
    </xf>
    <xf numFmtId="170" fontId="45" fillId="0" borderId="1" xfId="1" applyNumberFormat="1" applyFont="1" applyBorder="1" applyAlignment="1">
      <alignment vertical="center"/>
    </xf>
    <xf numFmtId="0" fontId="45" fillId="0" borderId="1" xfId="1" applyFont="1" applyBorder="1" applyAlignment="1">
      <alignment vertical="center"/>
    </xf>
    <xf numFmtId="0" fontId="16" fillId="0" borderId="1" xfId="0" applyFont="1" applyBorder="1" applyAlignment="1">
      <alignment horizontal="center" vertical="top" wrapText="1"/>
    </xf>
    <xf numFmtId="0" fontId="16" fillId="0" borderId="1" xfId="0" applyFont="1" applyBorder="1" applyAlignment="1">
      <alignment horizontal="center" vertical="top"/>
    </xf>
    <xf numFmtId="220" fontId="45" fillId="0" borderId="1" xfId="0" applyNumberFormat="1" applyFont="1" applyBorder="1" applyAlignment="1">
      <alignment horizontal="left" vertical="center" wrapText="1"/>
    </xf>
    <xf numFmtId="223" fontId="45" fillId="0" borderId="1" xfId="0" applyNumberFormat="1" applyFont="1" applyBorder="1" applyAlignment="1">
      <alignment vertical="center"/>
    </xf>
    <xf numFmtId="221" fontId="45" fillId="0" borderId="1" xfId="0" applyNumberFormat="1" applyFont="1" applyBorder="1" applyAlignment="1">
      <alignment vertical="center"/>
    </xf>
    <xf numFmtId="224" fontId="45" fillId="0" borderId="1" xfId="0" applyNumberFormat="1" applyFont="1" applyBorder="1" applyAlignment="1">
      <alignment vertical="center"/>
    </xf>
    <xf numFmtId="208" fontId="57" fillId="0" borderId="1" xfId="0" applyNumberFormat="1" applyFont="1" applyBorder="1" applyAlignment="1">
      <alignment vertical="center"/>
    </xf>
    <xf numFmtId="164" fontId="15" fillId="0" borderId="0" xfId="0" applyNumberFormat="1" applyFont="1" applyAlignment="1">
      <alignment vertical="center"/>
    </xf>
    <xf numFmtId="170" fontId="45" fillId="0" borderId="0" xfId="1" applyNumberFormat="1" applyFont="1" applyAlignment="1">
      <alignment vertical="center"/>
    </xf>
    <xf numFmtId="0" fontId="137" fillId="0" borderId="0" xfId="0" applyFont="1" applyAlignment="1">
      <alignment vertical="center"/>
    </xf>
    <xf numFmtId="0" fontId="138" fillId="0" borderId="0" xfId="0" applyFont="1" applyAlignment="1">
      <alignment vertical="center"/>
    </xf>
    <xf numFmtId="0" fontId="15" fillId="0" borderId="0" xfId="0" quotePrefix="1" applyFont="1" applyAlignment="1">
      <alignment vertical="center"/>
    </xf>
    <xf numFmtId="222" fontId="45" fillId="0" borderId="1" xfId="0" applyNumberFormat="1" applyFont="1" applyBorder="1" applyAlignment="1">
      <alignment horizontal="right" vertical="center"/>
    </xf>
    <xf numFmtId="220" fontId="45" fillId="0" borderId="1" xfId="0" applyNumberFormat="1" applyFont="1" applyBorder="1" applyAlignment="1">
      <alignment horizontal="right" vertical="center"/>
    </xf>
    <xf numFmtId="223" fontId="45" fillId="0" borderId="1" xfId="0" applyNumberFormat="1" applyFont="1" applyBorder="1" applyAlignment="1">
      <alignment horizontal="right" vertical="center"/>
    </xf>
    <xf numFmtId="221" fontId="45" fillId="0" borderId="1" xfId="0" applyNumberFormat="1" applyFont="1" applyBorder="1" applyAlignment="1">
      <alignment horizontal="right" vertical="center"/>
    </xf>
    <xf numFmtId="224" fontId="45" fillId="0" borderId="1" xfId="0" applyNumberFormat="1" applyFont="1" applyBorder="1" applyAlignment="1">
      <alignment horizontal="right" vertical="center"/>
    </xf>
    <xf numFmtId="210" fontId="45" fillId="0" borderId="1" xfId="1" applyNumberFormat="1" applyFont="1" applyBorder="1" applyAlignment="1">
      <alignment horizontal="right" vertical="center"/>
    </xf>
    <xf numFmtId="165" fontId="45" fillId="0" borderId="1" xfId="1" applyNumberFormat="1" applyFont="1" applyBorder="1" applyAlignment="1">
      <alignment horizontal="right" vertical="center"/>
    </xf>
    <xf numFmtId="0" fontId="45" fillId="0" borderId="0" xfId="0" applyFont="1" applyAlignment="1">
      <alignment horizontal="right" vertical="center"/>
    </xf>
    <xf numFmtId="0" fontId="118" fillId="0" borderId="0" xfId="0" applyFont="1" applyAlignment="1">
      <alignment vertical="center" wrapText="1"/>
    </xf>
    <xf numFmtId="170" fontId="45" fillId="0" borderId="0" xfId="1" applyNumberFormat="1" applyFont="1" applyAlignment="1">
      <alignment horizontal="right" vertical="center"/>
    </xf>
    <xf numFmtId="165" fontId="45" fillId="0" borderId="0" xfId="1" applyNumberFormat="1" applyFont="1" applyAlignment="1">
      <alignment horizontal="right" vertical="center"/>
    </xf>
    <xf numFmtId="225" fontId="45" fillId="0" borderId="1" xfId="0" applyNumberFormat="1" applyFont="1" applyBorder="1" applyAlignment="1">
      <alignment horizontal="center" vertical="center"/>
    </xf>
    <xf numFmtId="226" fontId="45" fillId="0" borderId="1" xfId="0" applyNumberFormat="1" applyFont="1" applyBorder="1" applyAlignment="1">
      <alignment horizontal="center" vertical="center"/>
    </xf>
    <xf numFmtId="223" fontId="45" fillId="0" borderId="1" xfId="0" applyNumberFormat="1" applyFont="1" applyBorder="1" applyAlignment="1">
      <alignment horizontal="center" vertical="center"/>
    </xf>
    <xf numFmtId="227" fontId="45" fillId="0" borderId="1" xfId="0" applyNumberFormat="1" applyFont="1" applyBorder="1" applyAlignment="1">
      <alignment horizontal="center" vertical="center"/>
    </xf>
    <xf numFmtId="165" fontId="45" fillId="0" borderId="0" xfId="0" applyNumberFormat="1" applyFont="1" applyAlignment="1">
      <alignment vertical="center"/>
    </xf>
    <xf numFmtId="2" fontId="15" fillId="0" borderId="0" xfId="0" applyNumberFormat="1" applyFont="1" applyAlignment="1">
      <alignment vertical="center"/>
    </xf>
    <xf numFmtId="0" fontId="12" fillId="0" borderId="0" xfId="7" applyFont="1" applyAlignment="1" applyProtection="1">
      <alignment wrapText="1"/>
      <protection hidden="1"/>
    </xf>
    <xf numFmtId="0" fontId="140" fillId="0" borderId="3" xfId="0" applyFont="1" applyBorder="1" applyAlignment="1">
      <alignment horizontal="right" vertical="center" wrapText="1"/>
    </xf>
    <xf numFmtId="0" fontId="140" fillId="0" borderId="13" xfId="0" applyFont="1" applyBorder="1" applyAlignment="1">
      <alignment vertical="center" wrapText="1"/>
    </xf>
    <xf numFmtId="0" fontId="139" fillId="0" borderId="0" xfId="0" applyFont="1" applyAlignment="1">
      <alignment vertical="center"/>
    </xf>
    <xf numFmtId="0" fontId="142" fillId="2" borderId="0" xfId="0" applyFont="1" applyFill="1" applyAlignment="1">
      <alignment horizontal="left"/>
    </xf>
    <xf numFmtId="164" fontId="142" fillId="3" borderId="0" xfId="0" applyNumberFormat="1" applyFont="1" applyFill="1"/>
    <xf numFmtId="164" fontId="142" fillId="3" borderId="0" xfId="0" applyNumberFormat="1" applyFont="1" applyFill="1" applyAlignment="1">
      <alignment horizontal="center"/>
    </xf>
    <xf numFmtId="0" fontId="142" fillId="3" borderId="3" xfId="0" applyFont="1" applyFill="1" applyBorder="1" applyAlignment="1">
      <alignment vertical="center"/>
    </xf>
    <xf numFmtId="0" fontId="142" fillId="2" borderId="0" xfId="0" applyFont="1" applyFill="1"/>
    <xf numFmtId="0" fontId="143" fillId="0" borderId="0" xfId="0" applyFont="1" applyAlignment="1" applyProtection="1">
      <alignment horizontal="left" vertical="center"/>
      <protection locked="0"/>
    </xf>
    <xf numFmtId="0" fontId="144" fillId="0" borderId="0" xfId="0" applyFont="1" applyAlignment="1">
      <alignment horizontal="left" vertical="center"/>
    </xf>
    <xf numFmtId="164" fontId="119" fillId="0" borderId="1" xfId="0" applyNumberFormat="1" applyFont="1" applyBorder="1" applyAlignment="1" applyProtection="1">
      <alignment horizontal="center" vertical="center"/>
      <protection locked="0"/>
    </xf>
    <xf numFmtId="2" fontId="119" fillId="0" borderId="1" xfId="0" applyNumberFormat="1" applyFont="1" applyBorder="1" applyAlignment="1" applyProtection="1">
      <alignment horizontal="center" vertical="center"/>
      <protection locked="0"/>
    </xf>
    <xf numFmtId="164" fontId="143" fillId="0" borderId="3" xfId="0" quotePrefix="1" applyNumberFormat="1" applyFont="1" applyBorder="1" applyAlignment="1" applyProtection="1">
      <alignment horizontal="right" vertical="center" wrapText="1"/>
      <protection locked="0"/>
    </xf>
    <xf numFmtId="170" fontId="143" fillId="0" borderId="3" xfId="0" quotePrefix="1" applyNumberFormat="1" applyFont="1" applyBorder="1" applyAlignment="1" applyProtection="1">
      <alignment horizontal="right" vertical="center" wrapText="1"/>
      <protection locked="0"/>
    </xf>
    <xf numFmtId="164" fontId="119" fillId="0" borderId="1" xfId="0" applyNumberFormat="1" applyFont="1" applyBorder="1" applyAlignment="1" applyProtection="1">
      <alignment horizontal="center" vertical="center" wrapText="1"/>
      <protection locked="0"/>
    </xf>
    <xf numFmtId="165" fontId="119" fillId="0" borderId="1" xfId="0" applyNumberFormat="1" applyFont="1" applyBorder="1" applyAlignment="1" applyProtection="1">
      <alignment horizontal="center" vertical="center" wrapText="1"/>
      <protection locked="0"/>
    </xf>
    <xf numFmtId="0" fontId="143" fillId="0" borderId="0" xfId="0" applyFont="1" applyAlignment="1" applyProtection="1">
      <alignment vertical="center"/>
      <protection locked="0"/>
    </xf>
    <xf numFmtId="164" fontId="0" fillId="0" borderId="1" xfId="0" applyNumberFormat="1" applyBorder="1" applyAlignment="1">
      <alignment horizontal="right"/>
    </xf>
    <xf numFmtId="1" fontId="18" fillId="0" borderId="1" xfId="0" applyNumberFormat="1" applyFont="1" applyBorder="1" applyAlignment="1">
      <alignment horizontal="center"/>
    </xf>
    <xf numFmtId="1" fontId="5" fillId="2" borderId="1" xfId="0" applyNumberFormat="1" applyFont="1" applyFill="1" applyBorder="1" applyAlignment="1">
      <alignment horizontal="center" vertical="center"/>
    </xf>
    <xf numFmtId="0" fontId="142" fillId="0" borderId="1" xfId="0" applyFont="1" applyBorder="1" applyAlignment="1">
      <alignment horizontal="center"/>
    </xf>
    <xf numFmtId="0" fontId="142" fillId="2" borderId="1" xfId="0" applyFont="1" applyFill="1" applyBorder="1" applyAlignment="1">
      <alignment horizontal="center" vertical="center"/>
    </xf>
    <xf numFmtId="1" fontId="66" fillId="0" borderId="0" xfId="0" applyNumberFormat="1" applyFont="1"/>
    <xf numFmtId="0" fontId="16" fillId="0" borderId="13" xfId="1" applyFont="1" applyBorder="1" applyAlignment="1">
      <alignment horizontal="center" vertical="center" wrapText="1"/>
    </xf>
    <xf numFmtId="0" fontId="15" fillId="0" borderId="15" xfId="0" applyFont="1" applyBorder="1" applyAlignment="1">
      <alignment horizontal="left" vertical="center"/>
    </xf>
    <xf numFmtId="0" fontId="5" fillId="4" borderId="12" xfId="0" applyFont="1" applyFill="1" applyBorder="1" applyAlignment="1" applyProtection="1">
      <alignment horizontal="left" vertical="top" wrapText="1"/>
      <protection hidden="1"/>
    </xf>
    <xf numFmtId="0" fontId="5" fillId="4" borderId="3" xfId="0" applyFont="1" applyFill="1" applyBorder="1" applyAlignment="1" applyProtection="1">
      <alignment horizontal="left" vertical="top"/>
      <protection hidden="1"/>
    </xf>
    <xf numFmtId="2" fontId="119" fillId="0" borderId="1" xfId="0" applyNumberFormat="1" applyFont="1" applyBorder="1" applyAlignment="1" applyProtection="1">
      <alignment horizontal="center" vertical="center" wrapText="1"/>
      <protection locked="0"/>
    </xf>
    <xf numFmtId="170" fontId="15" fillId="0" borderId="15" xfId="1" quotePrefix="1" applyNumberFormat="1" applyFont="1" applyBorder="1" applyAlignment="1">
      <alignment horizontal="right" vertical="center"/>
    </xf>
    <xf numFmtId="164" fontId="15" fillId="0" borderId="15" xfId="1" quotePrefix="1" applyNumberFormat="1" applyFont="1" applyBorder="1" applyAlignment="1">
      <alignment horizontal="right" vertical="center"/>
    </xf>
    <xf numFmtId="0" fontId="15" fillId="0" borderId="2" xfId="0" applyFont="1" applyBorder="1" applyAlignment="1" applyProtection="1">
      <alignment vertical="center" wrapText="1"/>
      <protection locked="0"/>
    </xf>
    <xf numFmtId="1" fontId="45" fillId="0" borderId="0" xfId="0" applyNumberFormat="1" applyFont="1" applyAlignment="1">
      <alignment horizontal="center" vertical="center" wrapText="1"/>
    </xf>
    <xf numFmtId="165" fontId="118" fillId="0" borderId="0" xfId="0" applyNumberFormat="1" applyFont="1" applyAlignment="1">
      <alignment horizontal="center" vertical="top" wrapText="1"/>
    </xf>
    <xf numFmtId="0" fontId="15" fillId="0" borderId="15" xfId="0" applyFont="1" applyBorder="1" applyAlignment="1">
      <alignment horizontal="left" vertical="center" wrapText="1"/>
    </xf>
    <xf numFmtId="0" fontId="133" fillId="0" borderId="0" xfId="0" applyFont="1" applyAlignment="1">
      <alignment horizontal="center" vertical="center" wrapText="1"/>
    </xf>
    <xf numFmtId="0" fontId="15" fillId="0" borderId="0" xfId="0" applyFont="1" applyAlignment="1" applyProtection="1">
      <alignment vertical="center" wrapText="1"/>
      <protection locked="0"/>
    </xf>
    <xf numFmtId="0" fontId="45" fillId="0" borderId="13" xfId="0" applyFont="1" applyBorder="1" applyAlignment="1">
      <alignment vertical="center" wrapText="1"/>
    </xf>
    <xf numFmtId="0" fontId="45" fillId="0" borderId="13" xfId="0" applyFont="1" applyBorder="1" applyAlignment="1">
      <alignment horizontal="center" vertical="center" wrapText="1"/>
    </xf>
    <xf numFmtId="0" fontId="128" fillId="4" borderId="0" xfId="0" applyFont="1" applyFill="1" applyAlignment="1">
      <alignment horizontal="center"/>
    </xf>
    <xf numFmtId="0" fontId="32" fillId="0" borderId="1" xfId="0" applyFont="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xf>
    <xf numFmtId="0" fontId="8" fillId="0" borderId="3" xfId="0" applyFont="1" applyBorder="1" applyAlignment="1">
      <alignment horizontal="center"/>
    </xf>
    <xf numFmtId="0" fontId="66" fillId="3" borderId="1" xfId="0" applyFont="1" applyFill="1" applyBorder="1" applyAlignment="1">
      <alignment horizontal="center"/>
    </xf>
    <xf numFmtId="165" fontId="67" fillId="3" borderId="3" xfId="0" applyNumberFormat="1" applyFont="1" applyFill="1" applyBorder="1" applyAlignment="1">
      <alignment horizontal="center" vertical="top" wrapText="1"/>
    </xf>
    <xf numFmtId="165" fontId="67" fillId="3" borderId="15" xfId="0" applyNumberFormat="1" applyFont="1" applyFill="1" applyBorder="1" applyAlignment="1">
      <alignment horizontal="center" vertical="top" wrapText="1"/>
    </xf>
    <xf numFmtId="165" fontId="67" fillId="3" borderId="13" xfId="0" applyNumberFormat="1" applyFont="1" applyFill="1" applyBorder="1" applyAlignment="1">
      <alignment horizontal="center" vertical="top" wrapText="1"/>
    </xf>
    <xf numFmtId="165" fontId="66" fillId="3" borderId="3" xfId="0" applyNumberFormat="1" applyFont="1" applyFill="1" applyBorder="1" applyAlignment="1">
      <alignment horizontal="center" vertical="center" wrapText="1"/>
    </xf>
    <xf numFmtId="165" fontId="66" fillId="3" borderId="15" xfId="0" applyNumberFormat="1" applyFont="1" applyFill="1" applyBorder="1" applyAlignment="1">
      <alignment horizontal="center" vertical="center" wrapText="1"/>
    </xf>
    <xf numFmtId="165" fontId="66" fillId="3" borderId="13" xfId="0" applyNumberFormat="1" applyFont="1" applyFill="1" applyBorder="1" applyAlignment="1">
      <alignment horizontal="center" vertical="center" wrapText="1"/>
    </xf>
    <xf numFmtId="0" fontId="87" fillId="3" borderId="0" xfId="0" applyFont="1" applyFill="1" applyAlignment="1">
      <alignment horizontal="center" vertical="center"/>
    </xf>
    <xf numFmtId="0" fontId="55" fillId="3" borderId="3" xfId="1" applyFont="1" applyFill="1" applyBorder="1" applyAlignment="1">
      <alignment horizontal="center" vertical="center"/>
    </xf>
    <xf numFmtId="0" fontId="55" fillId="3" borderId="15" xfId="1" applyFont="1" applyFill="1" applyBorder="1" applyAlignment="1">
      <alignment horizontal="center" vertical="center"/>
    </xf>
    <xf numFmtId="0" fontId="55" fillId="3" borderId="13" xfId="1" applyFont="1" applyFill="1" applyBorder="1" applyAlignment="1">
      <alignment horizontal="center" vertical="center"/>
    </xf>
    <xf numFmtId="0" fontId="55" fillId="3" borderId="3" xfId="1" applyFont="1" applyFill="1" applyBorder="1" applyAlignment="1">
      <alignment horizontal="center" vertical="center" wrapText="1"/>
    </xf>
    <xf numFmtId="0" fontId="55" fillId="3" borderId="13" xfId="1" applyFont="1" applyFill="1" applyBorder="1" applyAlignment="1">
      <alignment horizontal="center" vertical="center" wrapText="1"/>
    </xf>
    <xf numFmtId="0" fontId="66" fillId="3" borderId="5" xfId="0" applyFont="1" applyFill="1" applyBorder="1" applyAlignment="1">
      <alignment horizontal="center" vertical="center" wrapText="1"/>
    </xf>
    <xf numFmtId="0" fontId="66" fillId="3" borderId="10" xfId="0" applyFont="1" applyFill="1" applyBorder="1" applyAlignment="1">
      <alignment horizontal="center" vertical="center" wrapText="1"/>
    </xf>
    <xf numFmtId="0" fontId="66" fillId="3" borderId="7" xfId="0" applyFont="1" applyFill="1" applyBorder="1" applyAlignment="1">
      <alignment horizontal="center" vertical="center" wrapText="1"/>
    </xf>
    <xf numFmtId="0" fontId="56" fillId="3" borderId="0" xfId="0" applyFont="1" applyFill="1" applyAlignment="1" applyProtection="1">
      <alignment horizontal="center" vertical="center"/>
      <protection locked="0"/>
    </xf>
    <xf numFmtId="0" fontId="66" fillId="3" borderId="5" xfId="0" applyFont="1" applyFill="1" applyBorder="1" applyAlignment="1">
      <alignment horizontal="center" vertical="top" wrapText="1"/>
    </xf>
    <xf numFmtId="0" fontId="66" fillId="3" borderId="7" xfId="0" applyFont="1" applyFill="1" applyBorder="1" applyAlignment="1">
      <alignment horizontal="center" vertical="top" wrapText="1"/>
    </xf>
    <xf numFmtId="0" fontId="62" fillId="3" borderId="0" xfId="0" applyFont="1" applyFill="1" applyAlignment="1">
      <alignment horizontal="left" vertical="center"/>
    </xf>
    <xf numFmtId="0" fontId="5" fillId="3" borderId="0" xfId="0" applyFont="1" applyFill="1" applyAlignment="1">
      <alignment horizontal="left" vertical="center"/>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7" fillId="3" borderId="3" xfId="0" applyFont="1" applyFill="1" applyBorder="1" applyAlignment="1">
      <alignment horizontal="center" vertical="top" wrapText="1"/>
    </xf>
    <xf numFmtId="0" fontId="67" fillId="3" borderId="15" xfId="0" applyFont="1" applyFill="1" applyBorder="1" applyAlignment="1">
      <alignment horizontal="center" vertical="top" wrapText="1"/>
    </xf>
    <xf numFmtId="0" fontId="67" fillId="3" borderId="13" xfId="0" applyFont="1" applyFill="1" applyBorder="1" applyAlignment="1">
      <alignment horizontal="center" vertical="top" wrapText="1"/>
    </xf>
    <xf numFmtId="0" fontId="66" fillId="3" borderId="13" xfId="0" applyFont="1" applyFill="1" applyBorder="1" applyAlignment="1">
      <alignment horizontal="center" vertical="center" wrapText="1"/>
    </xf>
    <xf numFmtId="0" fontId="66" fillId="3" borderId="1" xfId="0" applyFont="1" applyFill="1" applyBorder="1" applyAlignment="1">
      <alignment horizontal="center" vertical="center" wrapText="1"/>
    </xf>
    <xf numFmtId="0" fontId="66" fillId="3" borderId="6" xfId="0" applyFont="1" applyFill="1" applyBorder="1" applyAlignment="1">
      <alignment horizontal="center" vertical="center" wrapText="1"/>
    </xf>
    <xf numFmtId="0" fontId="66" fillId="3" borderId="9" xfId="0" applyFont="1" applyFill="1" applyBorder="1" applyAlignment="1">
      <alignment horizontal="center" vertical="center" wrapText="1"/>
    </xf>
    <xf numFmtId="0" fontId="66" fillId="3" borderId="5" xfId="0" applyFont="1" applyFill="1" applyBorder="1" applyAlignment="1">
      <alignment horizontal="center" vertical="center"/>
    </xf>
    <xf numFmtId="0" fontId="66" fillId="3" borderId="10" xfId="0" applyFont="1" applyFill="1" applyBorder="1" applyAlignment="1">
      <alignment horizontal="center" vertical="center"/>
    </xf>
    <xf numFmtId="0" fontId="66" fillId="3" borderId="7" xfId="0" applyFont="1" applyFill="1" applyBorder="1" applyAlignment="1">
      <alignment horizontal="center" vertical="center"/>
    </xf>
    <xf numFmtId="0" fontId="60" fillId="3" borderId="5" xfId="0" applyFont="1" applyFill="1" applyBorder="1" applyAlignment="1">
      <alignment horizontal="center" vertical="center"/>
    </xf>
    <xf numFmtId="0" fontId="60" fillId="3" borderId="10" xfId="0" applyFont="1" applyFill="1" applyBorder="1" applyAlignment="1">
      <alignment horizontal="center" vertical="center"/>
    </xf>
    <xf numFmtId="0" fontId="60" fillId="3" borderId="7" xfId="0" applyFont="1" applyFill="1" applyBorder="1" applyAlignment="1">
      <alignment horizontal="center" vertical="center"/>
    </xf>
    <xf numFmtId="0" fontId="93" fillId="3" borderId="5" xfId="0" applyFont="1" applyFill="1" applyBorder="1" applyAlignment="1">
      <alignment horizontal="center" vertical="center" wrapText="1"/>
    </xf>
    <xf numFmtId="0" fontId="93" fillId="3" borderId="7" xfId="0" applyFont="1" applyFill="1" applyBorder="1" applyAlignment="1">
      <alignment horizontal="center" vertical="center" wrapText="1"/>
    </xf>
    <xf numFmtId="0" fontId="8" fillId="3" borderId="1" xfId="0" applyFont="1" applyFill="1" applyBorder="1" applyAlignment="1">
      <alignment horizontal="center" vertical="center"/>
    </xf>
    <xf numFmtId="0" fontId="67" fillId="3" borderId="0" xfId="0" applyFont="1" applyFill="1" applyAlignment="1">
      <alignment horizontal="center" vertical="center"/>
    </xf>
    <xf numFmtId="0" fontId="67" fillId="3" borderId="2" xfId="0" applyFont="1" applyFill="1" applyBorder="1" applyAlignment="1">
      <alignment horizontal="left"/>
    </xf>
    <xf numFmtId="0" fontId="66" fillId="3" borderId="2" xfId="0" applyFont="1" applyFill="1" applyBorder="1" applyAlignment="1">
      <alignment horizontal="left"/>
    </xf>
    <xf numFmtId="0" fontId="56" fillId="3" borderId="3" xfId="0" applyFont="1" applyFill="1" applyBorder="1" applyAlignment="1">
      <alignment horizontal="center" vertical="center" wrapText="1"/>
    </xf>
    <xf numFmtId="0" fontId="56" fillId="3" borderId="15" xfId="0" applyFont="1" applyFill="1" applyBorder="1" applyAlignment="1">
      <alignment horizontal="center" vertical="center" wrapText="1"/>
    </xf>
    <xf numFmtId="0" fontId="56" fillId="3" borderId="13" xfId="0" applyFont="1" applyFill="1" applyBorder="1" applyAlignment="1">
      <alignment horizontal="center" vertical="center" wrapText="1"/>
    </xf>
    <xf numFmtId="0" fontId="67" fillId="3" borderId="0" xfId="0" applyFont="1" applyFill="1" applyAlignment="1">
      <alignment horizontal="left" vertical="center" wrapText="1"/>
    </xf>
    <xf numFmtId="0" fontId="8" fillId="3" borderId="5" xfId="0" applyFont="1" applyFill="1" applyBorder="1" applyAlignment="1">
      <alignment horizontal="center" vertical="center"/>
    </xf>
    <xf numFmtId="0" fontId="8" fillId="3" borderId="7" xfId="0" applyFont="1" applyFill="1" applyBorder="1" applyAlignment="1">
      <alignment horizontal="center" vertical="center"/>
    </xf>
    <xf numFmtId="164" fontId="30" fillId="3" borderId="3" xfId="0" applyNumberFormat="1" applyFont="1" applyFill="1" applyBorder="1" applyAlignment="1">
      <alignment horizontal="left" vertical="center" wrapText="1"/>
    </xf>
    <xf numFmtId="164" fontId="30" fillId="3" borderId="15" xfId="0" applyNumberFormat="1" applyFont="1" applyFill="1" applyBorder="1" applyAlignment="1">
      <alignment horizontal="left" vertical="center" wrapText="1"/>
    </xf>
    <xf numFmtId="164" fontId="30" fillId="3" borderId="13" xfId="0" applyNumberFormat="1" applyFont="1" applyFill="1" applyBorder="1" applyAlignment="1">
      <alignment horizontal="left" vertical="center" wrapText="1"/>
    </xf>
    <xf numFmtId="0" fontId="5" fillId="3" borderId="10" xfId="0" applyFont="1" applyFill="1" applyBorder="1" applyAlignment="1">
      <alignment horizontal="center" vertical="center" wrapText="1"/>
    </xf>
    <xf numFmtId="0" fontId="60" fillId="3" borderId="1" xfId="0" applyFont="1" applyFill="1" applyBorder="1" applyAlignment="1">
      <alignment horizontal="center" vertical="center"/>
    </xf>
    <xf numFmtId="0" fontId="60" fillId="3" borderId="3" xfId="0" applyFont="1" applyFill="1" applyBorder="1" applyAlignment="1">
      <alignment horizontal="center" vertical="center"/>
    </xf>
    <xf numFmtId="0" fontId="64" fillId="3" borderId="5" xfId="0" applyFont="1" applyFill="1" applyBorder="1" applyAlignment="1">
      <alignment horizontal="center" vertical="center" wrapText="1"/>
    </xf>
    <xf numFmtId="0" fontId="64" fillId="3" borderId="7" xfId="0" applyFont="1" applyFill="1" applyBorder="1" applyAlignment="1">
      <alignment horizontal="center" vertical="center" wrapText="1"/>
    </xf>
    <xf numFmtId="0" fontId="30" fillId="3" borderId="0" xfId="0" applyFont="1" applyFill="1" applyAlignment="1">
      <alignment horizontal="center" vertical="center" wrapText="1"/>
    </xf>
    <xf numFmtId="0" fontId="67" fillId="3" borderId="2" xfId="0" applyFont="1" applyFill="1" applyBorder="1" applyAlignment="1">
      <alignment horizontal="left" vertical="center" wrapText="1"/>
    </xf>
    <xf numFmtId="0" fontId="14" fillId="3" borderId="1" xfId="0" applyFont="1" applyFill="1" applyBorder="1" applyAlignment="1">
      <alignment horizontal="center" vertical="center"/>
    </xf>
    <xf numFmtId="165" fontId="67" fillId="3" borderId="1" xfId="0" applyNumberFormat="1" applyFont="1" applyFill="1" applyBorder="1" applyAlignment="1">
      <alignment horizontal="center" vertical="top" wrapText="1"/>
    </xf>
    <xf numFmtId="165" fontId="66" fillId="3" borderId="3" xfId="0" applyNumberFormat="1" applyFont="1" applyFill="1" applyBorder="1" applyAlignment="1">
      <alignment horizontal="left" vertical="center" wrapText="1"/>
    </xf>
    <xf numFmtId="165" fontId="66" fillId="3" borderId="15" xfId="0" applyNumberFormat="1" applyFont="1" applyFill="1" applyBorder="1" applyAlignment="1">
      <alignment horizontal="left" vertical="center" wrapText="1"/>
    </xf>
    <xf numFmtId="165" fontId="66" fillId="3" borderId="13" xfId="0" applyNumberFormat="1" applyFont="1" applyFill="1" applyBorder="1" applyAlignment="1">
      <alignment horizontal="left" vertical="center" wrapText="1"/>
    </xf>
    <xf numFmtId="0" fontId="45" fillId="0" borderId="5" xfId="0" applyFont="1" applyBorder="1" applyAlignment="1">
      <alignment horizontal="center" vertical="center" wrapText="1"/>
    </xf>
    <xf numFmtId="0" fontId="45" fillId="0" borderId="10" xfId="0" applyFont="1" applyBorder="1" applyAlignment="1">
      <alignment horizontal="center" vertical="center" wrapText="1"/>
    </xf>
    <xf numFmtId="0" fontId="45" fillId="0" borderId="7" xfId="0" applyFont="1" applyBorder="1" applyAlignment="1">
      <alignment horizontal="center" vertical="center" wrapText="1"/>
    </xf>
    <xf numFmtId="0" fontId="45" fillId="0" borderId="0" xfId="0" applyFont="1" applyAlignment="1">
      <alignment horizontal="center" vertical="center" wrapText="1"/>
    </xf>
    <xf numFmtId="170" fontId="136" fillId="0" borderId="12" xfId="0" applyNumberFormat="1" applyFont="1" applyBorder="1" applyAlignment="1">
      <alignment horizontal="center" vertical="center"/>
    </xf>
    <xf numFmtId="0" fontId="16" fillId="0" borderId="1" xfId="0" applyFont="1" applyBorder="1" applyAlignment="1">
      <alignment horizontal="center"/>
    </xf>
    <xf numFmtId="0" fontId="45" fillId="0" borderId="0" xfId="1" applyFont="1" applyAlignment="1">
      <alignment horizontal="center" vertical="center"/>
    </xf>
    <xf numFmtId="0" fontId="16" fillId="0" borderId="11" xfId="0" applyFont="1" applyBorder="1" applyAlignment="1">
      <alignment horizontal="center"/>
    </xf>
    <xf numFmtId="0" fontId="56" fillId="0" borderId="3" xfId="0" applyFont="1" applyBorder="1" applyAlignment="1">
      <alignment horizontal="center" vertical="center"/>
    </xf>
    <xf numFmtId="0" fontId="56" fillId="0" borderId="15" xfId="0" applyFont="1" applyBorder="1" applyAlignment="1">
      <alignment horizontal="center" vertical="center"/>
    </xf>
    <xf numFmtId="0" fontId="56" fillId="0" borderId="13" xfId="0" applyFont="1" applyBorder="1" applyAlignment="1">
      <alignment horizontal="center" vertical="center"/>
    </xf>
    <xf numFmtId="0" fontId="56" fillId="0" borderId="8" xfId="0" applyFont="1" applyBorder="1" applyAlignment="1">
      <alignment horizontal="center" vertical="center"/>
    </xf>
    <xf numFmtId="0" fontId="56" fillId="0" borderId="11" xfId="0" applyFont="1" applyBorder="1" applyAlignment="1">
      <alignment horizontal="center" vertical="center"/>
    </xf>
    <xf numFmtId="0" fontId="56" fillId="0" borderId="6" xfId="0" applyFont="1" applyBorder="1" applyAlignment="1">
      <alignment horizontal="center" vertical="center"/>
    </xf>
    <xf numFmtId="0" fontId="45" fillId="0" borderId="12" xfId="0" applyFont="1" applyBorder="1" applyAlignment="1">
      <alignment horizontal="center" vertical="center" wrapText="1"/>
    </xf>
    <xf numFmtId="164" fontId="118" fillId="0" borderId="3" xfId="0" applyNumberFormat="1" applyFont="1" applyBorder="1" applyAlignment="1">
      <alignment horizontal="left" vertical="center" wrapText="1"/>
    </xf>
    <xf numFmtId="164" fontId="118" fillId="0" borderId="15" xfId="0" applyNumberFormat="1" applyFont="1" applyBorder="1" applyAlignment="1">
      <alignment horizontal="left" vertical="center" wrapText="1"/>
    </xf>
    <xf numFmtId="164" fontId="118" fillId="0" borderId="13" xfId="0" applyNumberFormat="1" applyFont="1" applyBorder="1" applyAlignment="1">
      <alignment horizontal="left" vertical="center" wrapText="1"/>
    </xf>
    <xf numFmtId="0" fontId="143" fillId="0" borderId="0" xfId="0" applyFont="1" applyAlignment="1" applyProtection="1">
      <alignment vertical="center"/>
      <protection locked="0"/>
    </xf>
    <xf numFmtId="0" fontId="143" fillId="0" borderId="0" xfId="0" applyFont="1" applyAlignment="1" applyProtection="1">
      <alignment horizontal="left" vertical="center"/>
      <protection locked="0"/>
    </xf>
    <xf numFmtId="0" fontId="15" fillId="0" borderId="3" xfId="0" applyFont="1" applyBorder="1" applyAlignment="1">
      <alignment horizontal="right" vertical="center"/>
    </xf>
    <xf numFmtId="0" fontId="15" fillId="0" borderId="15" xfId="0" applyFont="1" applyBorder="1" applyAlignment="1">
      <alignment horizontal="right" vertical="center"/>
    </xf>
    <xf numFmtId="0" fontId="15" fillId="0" borderId="13" xfId="0" applyFont="1" applyBorder="1" applyAlignment="1" applyProtection="1">
      <alignment horizontal="left" vertical="center"/>
      <protection locked="0"/>
    </xf>
    <xf numFmtId="0" fontId="15" fillId="0" borderId="1" xfId="0" applyFont="1" applyBorder="1" applyAlignment="1" applyProtection="1">
      <alignment horizontal="left" vertical="center"/>
      <protection locked="0"/>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9" fillId="0" borderId="13" xfId="0" applyFont="1" applyBorder="1" applyAlignment="1">
      <alignment horizontal="left" vertical="center"/>
    </xf>
    <xf numFmtId="0" fontId="0" fillId="0" borderId="1" xfId="0" applyBorder="1" applyAlignment="1">
      <alignment horizontal="left" vertical="center"/>
    </xf>
    <xf numFmtId="0" fontId="15" fillId="0" borderId="1" xfId="0" applyFont="1" applyBorder="1" applyAlignment="1">
      <alignment horizontal="right" vertical="center"/>
    </xf>
    <xf numFmtId="0" fontId="15" fillId="0" borderId="1" xfId="0" applyFont="1" applyBorder="1" applyAlignment="1">
      <alignment horizontal="center" vertical="center" wrapText="1"/>
    </xf>
    <xf numFmtId="170" fontId="16" fillId="0" borderId="5" xfId="0" applyNumberFormat="1" applyFont="1" applyBorder="1" applyAlignment="1">
      <alignment horizontal="center" vertical="center"/>
    </xf>
    <xf numFmtId="170" fontId="16" fillId="0" borderId="7" xfId="0" applyNumberFormat="1" applyFont="1" applyBorder="1" applyAlignment="1">
      <alignment horizontal="center" vertical="center"/>
    </xf>
    <xf numFmtId="191" fontId="15" fillId="0" borderId="0" xfId="0" quotePrefix="1" applyNumberFormat="1" applyFont="1" applyAlignment="1" applyProtection="1">
      <alignment horizontal="left" vertical="center"/>
      <protection locked="0"/>
    </xf>
    <xf numFmtId="0" fontId="15" fillId="0" borderId="3" xfId="0" applyFont="1" applyBorder="1" applyAlignment="1">
      <alignment horizontal="left" vertical="center"/>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43" fillId="0" borderId="3" xfId="0" applyFont="1" applyBorder="1" applyAlignment="1" applyProtection="1">
      <alignment horizontal="left" vertical="center"/>
      <protection locked="0"/>
    </xf>
    <xf numFmtId="0" fontId="143" fillId="0" borderId="15" xfId="0" applyFont="1" applyBorder="1" applyAlignment="1" applyProtection="1">
      <alignment horizontal="left" vertical="center"/>
      <protection locked="0"/>
    </xf>
    <xf numFmtId="0" fontId="143" fillId="0" borderId="13" xfId="0" applyFont="1" applyBorder="1" applyAlignment="1" applyProtection="1">
      <alignment horizontal="left" vertical="center"/>
      <protection locked="0"/>
    </xf>
    <xf numFmtId="0" fontId="143" fillId="0" borderId="1" xfId="0" applyFont="1" applyBorder="1" applyAlignment="1" applyProtection="1">
      <alignment horizontal="left" vertical="center"/>
      <protection locked="0"/>
    </xf>
    <xf numFmtId="164" fontId="45" fillId="0" borderId="3" xfId="0" applyNumberFormat="1" applyFont="1" applyBorder="1" applyAlignment="1">
      <alignment horizontal="right" vertical="center"/>
    </xf>
    <xf numFmtId="164" fontId="45" fillId="0" borderId="15" xfId="0" applyNumberFormat="1" applyFont="1" applyBorder="1" applyAlignment="1">
      <alignment horizontal="right" vertical="center"/>
    </xf>
    <xf numFmtId="0" fontId="45" fillId="0" borderId="3" xfId="0" applyFont="1" applyBorder="1" applyAlignment="1">
      <alignment horizontal="right" vertical="center"/>
    </xf>
    <xf numFmtId="0" fontId="45" fillId="0" borderId="15" xfId="0" applyFont="1" applyBorder="1" applyAlignment="1">
      <alignment horizontal="right" vertical="center"/>
    </xf>
    <xf numFmtId="0" fontId="15" fillId="0" borderId="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0" xfId="0" applyFont="1" applyAlignment="1" applyProtection="1">
      <alignment horizontal="left" vertical="center"/>
      <protection locked="0"/>
    </xf>
    <xf numFmtId="0" fontId="16" fillId="0" borderId="2" xfId="0" applyFont="1" applyBorder="1" applyAlignment="1">
      <alignment horizontal="center" vertical="center" wrapText="1"/>
    </xf>
    <xf numFmtId="0" fontId="139" fillId="0" borderId="0" xfId="0" applyFont="1" applyAlignment="1" applyProtection="1">
      <alignment horizontal="left" vertical="center"/>
      <protection locked="0"/>
    </xf>
    <xf numFmtId="0" fontId="15" fillId="0" borderId="0" xfId="0" applyFont="1" applyAlignment="1">
      <alignment horizontal="left" vertical="center"/>
    </xf>
    <xf numFmtId="165" fontId="118" fillId="0" borderId="3" xfId="0" applyNumberFormat="1" applyFont="1" applyBorder="1" applyAlignment="1">
      <alignment horizontal="center" vertical="top" wrapText="1"/>
    </xf>
    <xf numFmtId="165" fontId="118" fillId="0" borderId="15" xfId="0" applyNumberFormat="1" applyFont="1" applyBorder="1" applyAlignment="1">
      <alignment horizontal="center" vertical="top" wrapText="1"/>
    </xf>
    <xf numFmtId="165" fontId="118" fillId="0" borderId="13" xfId="0" applyNumberFormat="1" applyFont="1" applyBorder="1" applyAlignment="1">
      <alignment horizontal="center" vertical="top" wrapText="1"/>
    </xf>
    <xf numFmtId="165" fontId="45" fillId="0" borderId="3" xfId="0" applyNumberFormat="1" applyFont="1" applyBorder="1" applyAlignment="1">
      <alignment horizontal="center" vertical="center" wrapText="1"/>
    </xf>
    <xf numFmtId="165" fontId="45" fillId="0" borderId="15" xfId="0" applyNumberFormat="1" applyFont="1" applyBorder="1" applyAlignment="1">
      <alignment horizontal="center" vertical="center" wrapText="1"/>
    </xf>
    <xf numFmtId="165" fontId="45" fillId="0" borderId="13" xfId="0" applyNumberFormat="1" applyFont="1" applyBorder="1" applyAlignment="1">
      <alignment horizontal="center" vertical="center" wrapText="1"/>
    </xf>
    <xf numFmtId="0" fontId="16" fillId="0" borderId="3" xfId="1" applyFont="1" applyBorder="1" applyAlignment="1">
      <alignment horizontal="center" vertical="center"/>
    </xf>
    <xf numFmtId="0" fontId="16" fillId="0" borderId="15" xfId="1" applyFont="1" applyBorder="1" applyAlignment="1">
      <alignment horizontal="center" vertical="center"/>
    </xf>
    <xf numFmtId="0" fontId="16" fillId="0" borderId="13" xfId="1" applyFont="1" applyBorder="1" applyAlignment="1">
      <alignment horizontal="center" vertical="center"/>
    </xf>
    <xf numFmtId="0" fontId="16" fillId="0" borderId="3" xfId="1" applyFont="1" applyBorder="1" applyAlignment="1">
      <alignment horizontal="center" vertical="center" wrapText="1"/>
    </xf>
    <xf numFmtId="0" fontId="16" fillId="0" borderId="15" xfId="1" applyFont="1" applyBorder="1" applyAlignment="1">
      <alignment horizontal="center" vertical="center" wrapText="1"/>
    </xf>
    <xf numFmtId="0" fontId="16" fillId="0" borderId="13" xfId="1" applyFont="1" applyBorder="1" applyAlignment="1">
      <alignment horizontal="center" vertical="center" wrapText="1"/>
    </xf>
    <xf numFmtId="0" fontId="45" fillId="0" borderId="4" xfId="0" applyFont="1" applyBorder="1" applyAlignment="1">
      <alignment horizontal="center" vertical="center" wrapText="1"/>
    </xf>
    <xf numFmtId="0" fontId="45" fillId="0" borderId="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5" xfId="0" applyFont="1" applyBorder="1" applyAlignment="1">
      <alignment horizontal="left" vertical="center" wrapText="1"/>
    </xf>
    <xf numFmtId="0" fontId="15" fillId="0" borderId="13" xfId="0" applyFont="1" applyBorder="1" applyAlignment="1">
      <alignment horizontal="left" vertical="center" wrapText="1"/>
    </xf>
    <xf numFmtId="0" fontId="129" fillId="0" borderId="0" xfId="0" applyFont="1" applyAlignment="1">
      <alignment horizontal="center" vertical="center"/>
    </xf>
    <xf numFmtId="0" fontId="15" fillId="0" borderId="5"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7" xfId="0" applyFont="1" applyBorder="1" applyAlignment="1">
      <alignment horizontal="center" vertical="center" wrapText="1"/>
    </xf>
    <xf numFmtId="0" fontId="45" fillId="0" borderId="6" xfId="0" applyFont="1" applyBorder="1" applyAlignment="1">
      <alignment horizontal="center" vertical="center" wrapText="1"/>
    </xf>
    <xf numFmtId="0" fontId="45" fillId="0" borderId="9" xfId="0" applyFont="1" applyBorder="1" applyAlignment="1">
      <alignment horizontal="center" vertical="center" wrapText="1"/>
    </xf>
    <xf numFmtId="0" fontId="15" fillId="0" borderId="64" xfId="0" applyFont="1" applyBorder="1" applyAlignment="1">
      <alignment horizontal="right" vertical="center"/>
    </xf>
    <xf numFmtId="0" fontId="15" fillId="0" borderId="34" xfId="0" applyFont="1" applyBorder="1" applyAlignment="1">
      <alignment horizontal="right" vertical="center"/>
    </xf>
    <xf numFmtId="0" fontId="15" fillId="0" borderId="66" xfId="0" applyFont="1" applyBorder="1" applyAlignment="1">
      <alignment horizontal="right" vertical="center" wrapText="1"/>
    </xf>
    <xf numFmtId="0" fontId="15" fillId="0" borderId="31" xfId="0" applyFont="1" applyBorder="1" applyAlignment="1">
      <alignment horizontal="right" vertical="center" wrapText="1"/>
    </xf>
    <xf numFmtId="0" fontId="57" fillId="0" borderId="66" xfId="0" applyFont="1" applyBorder="1" applyAlignment="1">
      <alignment horizontal="right" vertical="center"/>
    </xf>
    <xf numFmtId="0" fontId="57" fillId="0" borderId="31" xfId="0" applyFont="1" applyBorder="1" applyAlignment="1">
      <alignment horizontal="right" vertical="center"/>
    </xf>
    <xf numFmtId="0" fontId="15" fillId="0" borderId="65" xfId="0" applyFont="1" applyBorder="1" applyAlignment="1">
      <alignment horizontal="right" vertical="center"/>
    </xf>
    <xf numFmtId="0" fontId="15" fillId="0" borderId="30" xfId="0" applyFont="1" applyBorder="1" applyAlignment="1">
      <alignment horizontal="right" vertical="center"/>
    </xf>
    <xf numFmtId="0" fontId="15" fillId="0" borderId="4" xfId="0" applyFont="1" applyBorder="1" applyAlignment="1">
      <alignment horizontal="left" vertical="center"/>
    </xf>
    <xf numFmtId="0" fontId="15" fillId="0" borderId="2" xfId="0" applyFont="1" applyBorder="1" applyAlignment="1">
      <alignment horizontal="left" vertical="center"/>
    </xf>
    <xf numFmtId="0" fontId="15" fillId="0" borderId="32" xfId="0" applyFont="1" applyBorder="1" applyAlignment="1">
      <alignment horizontal="left" vertical="center" wrapText="1"/>
    </xf>
    <xf numFmtId="0" fontId="15" fillId="0" borderId="31" xfId="0" applyFont="1" applyBorder="1" applyAlignment="1">
      <alignment horizontal="left" vertical="center" wrapText="1"/>
    </xf>
    <xf numFmtId="0" fontId="57" fillId="0" borderId="64" xfId="0" applyFont="1" applyBorder="1" applyAlignment="1">
      <alignment horizontal="right" vertical="center"/>
    </xf>
    <xf numFmtId="0" fontId="57" fillId="0" borderId="34" xfId="0" applyFont="1" applyBorder="1" applyAlignment="1">
      <alignment horizontal="right" vertical="center"/>
    </xf>
    <xf numFmtId="0" fontId="135" fillId="0" borderId="0" xfId="0" applyFont="1" applyAlignment="1">
      <alignment horizontal="left" vertical="center" wrapText="1"/>
    </xf>
    <xf numFmtId="0" fontId="135" fillId="0" borderId="2" xfId="0" applyFont="1" applyBorder="1" applyAlignment="1">
      <alignment horizontal="left" vertical="center" wrapText="1"/>
    </xf>
    <xf numFmtId="0" fontId="133" fillId="0" borderId="5" xfId="0" applyFont="1" applyBorder="1" applyAlignment="1">
      <alignment horizontal="center" vertical="center" wrapText="1"/>
    </xf>
    <xf numFmtId="0" fontId="15" fillId="0" borderId="1" xfId="1" applyFont="1" applyBorder="1" applyAlignment="1">
      <alignment horizontal="center" vertical="center" wrapText="1"/>
    </xf>
    <xf numFmtId="0" fontId="15" fillId="0" borderId="1" xfId="0" applyFont="1" applyBorder="1" applyAlignment="1">
      <alignment horizontal="center" vertical="center"/>
    </xf>
    <xf numFmtId="0" fontId="26" fillId="12" borderId="58" xfId="0" applyFont="1" applyFill="1" applyBorder="1" applyAlignment="1">
      <alignment horizontal="center"/>
    </xf>
    <xf numFmtId="0" fontId="26" fillId="12" borderId="59" xfId="0" applyFont="1" applyFill="1" applyBorder="1" applyAlignment="1">
      <alignment horizontal="center"/>
    </xf>
    <xf numFmtId="0" fontId="26" fillId="9" borderId="7" xfId="0" applyFont="1" applyFill="1" applyBorder="1" applyAlignment="1">
      <alignment horizontal="center"/>
    </xf>
    <xf numFmtId="0" fontId="12" fillId="0" borderId="32" xfId="0" applyFont="1" applyBorder="1" applyAlignment="1">
      <alignment horizontal="center" vertical="center"/>
    </xf>
    <xf numFmtId="0" fontId="12" fillId="0" borderId="31" xfId="0" applyFont="1" applyBorder="1" applyAlignment="1">
      <alignment horizontal="center" vertical="center"/>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12" fillId="0" borderId="34" xfId="0" applyFont="1" applyBorder="1" applyAlignment="1">
      <alignment horizontal="center" vertical="center"/>
    </xf>
    <xf numFmtId="0" fontId="12" fillId="0" borderId="38" xfId="0" applyFont="1" applyBorder="1" applyAlignment="1">
      <alignment horizontal="center" vertical="center"/>
    </xf>
    <xf numFmtId="0" fontId="26" fillId="8" borderId="57" xfId="0" applyFont="1" applyFill="1" applyBorder="1" applyAlignment="1">
      <alignment horizontal="center"/>
    </xf>
    <xf numFmtId="0" fontId="27" fillId="13" borderId="58" xfId="0" applyFont="1" applyFill="1" applyBorder="1" applyAlignment="1">
      <alignment horizontal="center"/>
    </xf>
    <xf numFmtId="0" fontId="27" fillId="13" borderId="59" xfId="0" applyFont="1" applyFill="1" applyBorder="1" applyAlignment="1">
      <alignment horizontal="center"/>
    </xf>
    <xf numFmtId="0" fontId="26" fillId="9" borderId="58" xfId="0" applyFont="1" applyFill="1" applyBorder="1" applyAlignment="1">
      <alignment horizontal="center"/>
    </xf>
    <xf numFmtId="0" fontId="26" fillId="9" borderId="59" xfId="0" applyFont="1" applyFill="1" applyBorder="1" applyAlignment="1">
      <alignment horizontal="center"/>
    </xf>
    <xf numFmtId="0" fontId="12" fillId="13" borderId="32" xfId="0" applyFont="1" applyFill="1" applyBorder="1" applyAlignment="1">
      <alignment horizontal="center" vertical="center"/>
    </xf>
    <xf numFmtId="0" fontId="12" fillId="13" borderId="33" xfId="0" applyFont="1" applyFill="1" applyBorder="1" applyAlignment="1">
      <alignment horizontal="center" vertical="center"/>
    </xf>
    <xf numFmtId="0" fontId="12" fillId="13" borderId="35" xfId="0" applyFont="1" applyFill="1" applyBorder="1" applyAlignment="1">
      <alignment horizontal="center" vertical="center"/>
    </xf>
    <xf numFmtId="0" fontId="12" fillId="13" borderId="38" xfId="0" applyFont="1" applyFill="1" applyBorder="1" applyAlignment="1">
      <alignment horizontal="center" vertical="center"/>
    </xf>
    <xf numFmtId="0" fontId="26" fillId="8" borderId="7" xfId="0" applyFont="1" applyFill="1" applyBorder="1" applyAlignment="1">
      <alignment horizontal="center"/>
    </xf>
    <xf numFmtId="0" fontId="27" fillId="13" borderId="7" xfId="0" applyFont="1" applyFill="1" applyBorder="1" applyAlignment="1">
      <alignment horizontal="center"/>
    </xf>
    <xf numFmtId="2" fontId="45" fillId="0" borderId="0" xfId="0" applyNumberFormat="1" applyFont="1" applyAlignment="1">
      <alignment horizontal="center" vertical="center"/>
    </xf>
    <xf numFmtId="2" fontId="45" fillId="0" borderId="0" xfId="0" applyNumberFormat="1" applyFont="1" applyAlignment="1">
      <alignment horizontal="center" vertical="center" wrapText="1"/>
    </xf>
    <xf numFmtId="2" fontId="118" fillId="0" borderId="32" xfId="0" applyNumberFormat="1" applyFont="1" applyBorder="1" applyAlignment="1">
      <alignment horizontal="center" vertical="center"/>
    </xf>
    <xf numFmtId="2" fontId="118" fillId="0" borderId="31" xfId="0" applyNumberFormat="1" applyFont="1" applyBorder="1" applyAlignment="1">
      <alignment horizontal="center" vertical="center"/>
    </xf>
    <xf numFmtId="2" fontId="118" fillId="0" borderId="33" xfId="0" applyNumberFormat="1" applyFont="1" applyBorder="1" applyAlignment="1">
      <alignment horizontal="center" vertical="center"/>
    </xf>
    <xf numFmtId="2" fontId="118" fillId="0" borderId="35" xfId="0" applyNumberFormat="1" applyFont="1" applyBorder="1" applyAlignment="1">
      <alignment horizontal="center" vertical="center"/>
    </xf>
    <xf numFmtId="2" fontId="118" fillId="0" borderId="34" xfId="0" applyNumberFormat="1" applyFont="1" applyBorder="1" applyAlignment="1">
      <alignment horizontal="center" vertical="center"/>
    </xf>
    <xf numFmtId="2" fontId="118" fillId="0" borderId="38" xfId="0" applyNumberFormat="1" applyFont="1" applyBorder="1" applyAlignment="1">
      <alignment horizontal="center" vertical="center"/>
    </xf>
    <xf numFmtId="2" fontId="118" fillId="0" borderId="0" xfId="0" applyNumberFormat="1" applyFont="1" applyAlignment="1">
      <alignment horizontal="center" vertical="center"/>
    </xf>
    <xf numFmtId="2" fontId="45" fillId="3" borderId="0" xfId="0" applyNumberFormat="1" applyFont="1" applyFill="1" applyAlignment="1">
      <alignment horizontal="center" vertical="center"/>
    </xf>
    <xf numFmtId="2" fontId="45" fillId="3" borderId="0" xfId="0" applyNumberFormat="1" applyFont="1" applyFill="1" applyAlignment="1">
      <alignment horizontal="center" vertical="center" wrapText="1"/>
    </xf>
    <xf numFmtId="2" fontId="118" fillId="3" borderId="0" xfId="0" applyNumberFormat="1" applyFont="1" applyFill="1" applyAlignment="1">
      <alignment horizontal="center" vertical="center"/>
    </xf>
    <xf numFmtId="2" fontId="118" fillId="0" borderId="0" xfId="0" applyNumberFormat="1" applyFont="1" applyAlignment="1">
      <alignment horizontal="center" vertical="center" wrapText="1"/>
    </xf>
    <xf numFmtId="2" fontId="118" fillId="0" borderId="54" xfId="0" applyNumberFormat="1" applyFont="1" applyBorder="1" applyAlignment="1">
      <alignment horizontal="center" vertical="center"/>
    </xf>
    <xf numFmtId="2" fontId="118" fillId="0" borderId="55" xfId="0" applyNumberFormat="1" applyFont="1" applyBorder="1" applyAlignment="1">
      <alignment horizontal="center" vertical="center"/>
    </xf>
    <xf numFmtId="2" fontId="118" fillId="0" borderId="56" xfId="0" applyNumberFormat="1" applyFont="1" applyBorder="1" applyAlignment="1">
      <alignment horizontal="center" vertical="center"/>
    </xf>
    <xf numFmtId="2" fontId="45" fillId="12" borderId="61" xfId="0" applyNumberFormat="1" applyFont="1" applyFill="1" applyBorder="1" applyAlignment="1">
      <alignment horizontal="center" vertical="center"/>
    </xf>
    <xf numFmtId="2" fontId="45" fillId="12" borderId="62" xfId="0" applyNumberFormat="1" applyFont="1" applyFill="1" applyBorder="1" applyAlignment="1">
      <alignment horizontal="center" vertical="center"/>
    </xf>
    <xf numFmtId="2" fontId="45" fillId="12" borderId="63" xfId="0" applyNumberFormat="1" applyFont="1" applyFill="1" applyBorder="1" applyAlignment="1">
      <alignment horizontal="center" vertical="center"/>
    </xf>
    <xf numFmtId="2" fontId="45" fillId="12" borderId="54" xfId="0" applyNumberFormat="1" applyFont="1" applyFill="1" applyBorder="1" applyAlignment="1">
      <alignment horizontal="center" vertical="center"/>
    </xf>
    <xf numFmtId="2" fontId="45" fillId="12" borderId="55" xfId="0" applyNumberFormat="1" applyFont="1" applyFill="1" applyBorder="1" applyAlignment="1">
      <alignment horizontal="center" vertical="center"/>
    </xf>
    <xf numFmtId="2" fontId="45" fillId="12" borderId="56" xfId="0" applyNumberFormat="1" applyFont="1" applyFill="1" applyBorder="1" applyAlignment="1">
      <alignment horizontal="center" vertical="center"/>
    </xf>
    <xf numFmtId="2" fontId="45" fillId="12" borderId="31" xfId="0" applyNumberFormat="1" applyFont="1" applyFill="1" applyBorder="1" applyAlignment="1">
      <alignment horizontal="center" vertical="center"/>
    </xf>
    <xf numFmtId="0" fontId="26" fillId="3" borderId="1" xfId="0" applyFont="1" applyFill="1" applyBorder="1" applyAlignment="1">
      <alignment horizontal="center"/>
    </xf>
    <xf numFmtId="0" fontId="26" fillId="9" borderId="1" xfId="0" applyFont="1" applyFill="1" applyBorder="1" applyAlignment="1">
      <alignment horizontal="center"/>
    </xf>
    <xf numFmtId="0" fontId="26" fillId="4" borderId="1" xfId="0" applyFont="1" applyFill="1" applyBorder="1" applyAlignment="1">
      <alignment horizontal="center"/>
    </xf>
    <xf numFmtId="0" fontId="26" fillId="5" borderId="1" xfId="0" applyFont="1" applyFill="1" applyBorder="1" applyAlignment="1">
      <alignment horizontal="center"/>
    </xf>
    <xf numFmtId="171" fontId="7" fillId="3" borderId="0" xfId="0" applyNumberFormat="1" applyFont="1" applyFill="1" applyAlignment="1">
      <alignment horizontal="left"/>
    </xf>
    <xf numFmtId="172" fontId="7" fillId="3" borderId="0" xfId="0" applyNumberFormat="1" applyFont="1" applyFill="1" applyAlignment="1">
      <alignment horizontal="left"/>
    </xf>
    <xf numFmtId="173" fontId="7" fillId="3" borderId="0" xfId="0" applyNumberFormat="1" applyFont="1" applyFill="1" applyAlignment="1">
      <alignment horizontal="left"/>
    </xf>
    <xf numFmtId="174" fontId="7" fillId="3" borderId="0" xfId="0" applyNumberFormat="1" applyFont="1" applyFill="1" applyAlignment="1">
      <alignment horizontal="left"/>
    </xf>
    <xf numFmtId="175" fontId="7" fillId="3" borderId="0" xfId="0" applyNumberFormat="1" applyFont="1" applyFill="1" applyAlignment="1">
      <alignment horizontal="left"/>
    </xf>
    <xf numFmtId="1" fontId="121" fillId="0" borderId="0" xfId="0" applyNumberFormat="1" applyFont="1" applyAlignment="1">
      <alignment horizontal="center"/>
    </xf>
    <xf numFmtId="1" fontId="12" fillId="13" borderId="5" xfId="0" applyNumberFormat="1" applyFont="1" applyFill="1" applyBorder="1" applyAlignment="1">
      <alignment horizontal="center" vertical="center" textRotation="90"/>
    </xf>
    <xf numFmtId="1" fontId="12" fillId="13" borderId="10" xfId="0" applyNumberFormat="1" applyFont="1" applyFill="1" applyBorder="1" applyAlignment="1">
      <alignment horizontal="center" vertical="center" textRotation="90"/>
    </xf>
    <xf numFmtId="1" fontId="12" fillId="13" borderId="1" xfId="0" quotePrefix="1" applyNumberFormat="1" applyFont="1" applyFill="1" applyBorder="1" applyAlignment="1">
      <alignment horizontal="center" vertical="center" textRotation="90"/>
    </xf>
    <xf numFmtId="1" fontId="12" fillId="13" borderId="1" xfId="0" applyNumberFormat="1" applyFont="1" applyFill="1" applyBorder="1" applyAlignment="1">
      <alignment horizontal="center" vertical="center" textRotation="90"/>
    </xf>
    <xf numFmtId="1" fontId="126" fillId="0" borderId="5" xfId="0" applyNumberFormat="1" applyFont="1" applyBorder="1" applyAlignment="1">
      <alignment horizontal="center" vertical="center" textRotation="90"/>
    </xf>
    <xf numFmtId="1" fontId="126" fillId="0" borderId="10" xfId="0" applyNumberFormat="1" applyFont="1" applyBorder="1" applyAlignment="1">
      <alignment horizontal="center" vertical="center" textRotation="90"/>
    </xf>
    <xf numFmtId="1" fontId="126" fillId="0" borderId="7" xfId="0" applyNumberFormat="1" applyFont="1" applyBorder="1" applyAlignment="1">
      <alignment horizontal="center" vertical="center" textRotation="90"/>
    </xf>
    <xf numFmtId="0" fontId="12" fillId="4" borderId="1" xfId="0" applyFont="1" applyFill="1" applyBorder="1" applyAlignment="1">
      <alignment horizontal="center"/>
    </xf>
    <xf numFmtId="1" fontId="12" fillId="6" borderId="1" xfId="0" applyNumberFormat="1" applyFont="1" applyFill="1" applyBorder="1" applyAlignment="1">
      <alignment horizontal="center" vertical="center" textRotation="90"/>
    </xf>
    <xf numFmtId="1" fontId="12" fillId="0" borderId="1" xfId="0" quotePrefix="1" applyNumberFormat="1" applyFont="1" applyBorder="1" applyAlignment="1">
      <alignment horizontal="center" vertical="center" textRotation="90"/>
    </xf>
    <xf numFmtId="1" fontId="12" fillId="0" borderId="1" xfId="0" applyNumberFormat="1" applyFont="1" applyBorder="1" applyAlignment="1">
      <alignment horizontal="center" vertical="center" textRotation="90"/>
    </xf>
    <xf numFmtId="1" fontId="12" fillId="6" borderId="8" xfId="0" applyNumberFormat="1" applyFont="1" applyFill="1" applyBorder="1" applyAlignment="1">
      <alignment horizontal="center" vertical="center" textRotation="90"/>
    </xf>
    <xf numFmtId="1" fontId="12" fillId="6" borderId="12" xfId="0" applyNumberFormat="1" applyFont="1" applyFill="1" applyBorder="1" applyAlignment="1">
      <alignment horizontal="center" vertical="center" textRotation="90"/>
    </xf>
    <xf numFmtId="1" fontId="12" fillId="8" borderId="8" xfId="0" applyNumberFormat="1" applyFont="1" applyFill="1" applyBorder="1" applyAlignment="1">
      <alignment horizontal="center" vertical="center" textRotation="90"/>
    </xf>
    <xf numFmtId="1" fontId="12" fillId="8" borderId="12" xfId="0" applyNumberFormat="1" applyFont="1" applyFill="1" applyBorder="1" applyAlignment="1">
      <alignment horizontal="center" vertical="center" textRotation="90"/>
    </xf>
    <xf numFmtId="1" fontId="12" fillId="8" borderId="1" xfId="0" applyNumberFormat="1" applyFont="1" applyFill="1" applyBorder="1" applyAlignment="1">
      <alignment horizontal="center" vertical="center" textRotation="90"/>
    </xf>
    <xf numFmtId="1" fontId="126" fillId="6" borderId="8" xfId="0" applyNumberFormat="1" applyFont="1" applyFill="1" applyBorder="1" applyAlignment="1">
      <alignment horizontal="center" vertical="center" textRotation="90"/>
    </xf>
    <xf numFmtId="1" fontId="126" fillId="6" borderId="12" xfId="0" applyNumberFormat="1" applyFont="1" applyFill="1" applyBorder="1" applyAlignment="1">
      <alignment horizontal="center" vertical="center" textRotation="90"/>
    </xf>
    <xf numFmtId="1" fontId="12" fillId="0" borderId="5" xfId="0" applyNumberFormat="1" applyFont="1" applyBorder="1" applyAlignment="1">
      <alignment horizontal="center" vertical="center" textRotation="90"/>
    </xf>
    <xf numFmtId="1" fontId="12" fillId="0" borderId="10" xfId="0" applyNumberFormat="1" applyFont="1" applyBorder="1" applyAlignment="1">
      <alignment horizontal="center" vertical="center" textRotation="90"/>
    </xf>
    <xf numFmtId="1" fontId="12" fillId="0" borderId="5" xfId="0" quotePrefix="1" applyNumberFormat="1" applyFont="1" applyBorder="1" applyAlignment="1">
      <alignment horizontal="center" vertical="center" textRotation="90"/>
    </xf>
    <xf numFmtId="0" fontId="56" fillId="3" borderId="5" xfId="1" applyFont="1" applyFill="1" applyBorder="1" applyAlignment="1">
      <alignment horizontal="center" vertical="center" wrapText="1"/>
    </xf>
    <xf numFmtId="0" fontId="56" fillId="3" borderId="7" xfId="1" applyFont="1" applyFill="1" applyBorder="1" applyAlignment="1">
      <alignment horizontal="center" vertical="center" wrapText="1"/>
    </xf>
    <xf numFmtId="0" fontId="66" fillId="2" borderId="8" xfId="0" applyFont="1" applyFill="1" applyBorder="1" applyAlignment="1">
      <alignment horizontal="center" vertical="top"/>
    </xf>
    <xf numFmtId="0" fontId="66" fillId="2" borderId="11" xfId="0" applyFont="1" applyFill="1" applyBorder="1" applyAlignment="1">
      <alignment horizontal="center" vertical="top"/>
    </xf>
    <xf numFmtId="0" fontId="66" fillId="2" borderId="6" xfId="0" applyFont="1" applyFill="1" applyBorder="1" applyAlignment="1">
      <alignment horizontal="center" vertical="top"/>
    </xf>
    <xf numFmtId="0" fontId="66" fillId="2" borderId="12" xfId="0" applyFont="1" applyFill="1" applyBorder="1" applyAlignment="1">
      <alignment horizontal="center" vertical="top"/>
    </xf>
    <xf numFmtId="0" fontId="66" fillId="2" borderId="0" xfId="0" applyFont="1" applyFill="1" applyAlignment="1">
      <alignment horizontal="center" vertical="top"/>
    </xf>
    <xf numFmtId="0" fontId="66" fillId="2" borderId="14" xfId="0" applyFont="1" applyFill="1" applyBorder="1" applyAlignment="1">
      <alignment horizontal="center" vertical="top"/>
    </xf>
    <xf numFmtId="0" fontId="66" fillId="2" borderId="1" xfId="0" applyFont="1" applyFill="1" applyBorder="1" applyAlignment="1">
      <alignment horizontal="center" vertical="top" wrapText="1"/>
    </xf>
    <xf numFmtId="0" fontId="66" fillId="2" borderId="5" xfId="0" applyFont="1" applyFill="1" applyBorder="1" applyAlignment="1">
      <alignment horizontal="center" vertical="top" wrapText="1"/>
    </xf>
    <xf numFmtId="0" fontId="65" fillId="3" borderId="0" xfId="0" applyFont="1" applyFill="1" applyAlignment="1">
      <alignment horizontal="center" vertical="center"/>
    </xf>
    <xf numFmtId="0" fontId="56" fillId="3" borderId="1" xfId="0" applyFont="1" applyFill="1" applyBorder="1" applyAlignment="1">
      <alignment horizontal="center" vertical="center"/>
    </xf>
    <xf numFmtId="0" fontId="56" fillId="3" borderId="1" xfId="0" applyFont="1" applyFill="1" applyBorder="1" applyAlignment="1">
      <alignment horizontal="center" vertical="center" wrapText="1"/>
    </xf>
    <xf numFmtId="0" fontId="141" fillId="2" borderId="0" xfId="0" applyFont="1" applyFill="1" applyAlignment="1">
      <alignment horizontal="center" vertical="center"/>
    </xf>
    <xf numFmtId="191" fontId="66" fillId="2" borderId="0" xfId="0" applyNumberFormat="1" applyFont="1" applyFill="1" applyAlignment="1">
      <alignment horizontal="left"/>
    </xf>
    <xf numFmtId="0" fontId="66" fillId="2" borderId="10" xfId="0" applyFont="1" applyFill="1" applyBorder="1" applyAlignment="1">
      <alignment horizontal="center"/>
    </xf>
    <xf numFmtId="0" fontId="66" fillId="2" borderId="7" xfId="0" applyFont="1" applyFill="1" applyBorder="1" applyAlignment="1">
      <alignment horizontal="center"/>
    </xf>
    <xf numFmtId="0" fontId="66" fillId="2" borderId="4" xfId="0" applyFont="1" applyFill="1" applyBorder="1" applyAlignment="1">
      <alignment horizontal="center"/>
    </xf>
    <xf numFmtId="0" fontId="66" fillId="2" borderId="2" xfId="0" applyFont="1" applyFill="1" applyBorder="1" applyAlignment="1">
      <alignment horizontal="center"/>
    </xf>
    <xf numFmtId="0" fontId="66" fillId="2" borderId="9" xfId="0" applyFont="1" applyFill="1" applyBorder="1" applyAlignment="1">
      <alignment horizontal="center"/>
    </xf>
    <xf numFmtId="0" fontId="66" fillId="2" borderId="8" xfId="0" applyFont="1" applyFill="1" applyBorder="1" applyAlignment="1">
      <alignment horizontal="center" vertical="top" wrapText="1"/>
    </xf>
    <xf numFmtId="0" fontId="66" fillId="2" borderId="11" xfId="0" applyFont="1" applyFill="1" applyBorder="1" applyAlignment="1">
      <alignment horizontal="center" vertical="top" wrapText="1"/>
    </xf>
    <xf numFmtId="0" fontId="66" fillId="2" borderId="6" xfId="0" applyFont="1" applyFill="1" applyBorder="1" applyAlignment="1">
      <alignment horizontal="center" vertical="top" wrapText="1"/>
    </xf>
    <xf numFmtId="0" fontId="66" fillId="2" borderId="12" xfId="0" applyFont="1" applyFill="1" applyBorder="1" applyAlignment="1">
      <alignment horizontal="center" vertical="top" wrapText="1"/>
    </xf>
    <xf numFmtId="0" fontId="66" fillId="2" borderId="0" xfId="0" applyFont="1" applyFill="1" applyAlignment="1">
      <alignment horizontal="center" vertical="top" wrapText="1"/>
    </xf>
    <xf numFmtId="0" fontId="66" fillId="2" borderId="14" xfId="0" applyFont="1" applyFill="1" applyBorder="1" applyAlignment="1">
      <alignment horizontal="center" vertical="top" wrapText="1"/>
    </xf>
    <xf numFmtId="0" fontId="66" fillId="2" borderId="3" xfId="0" applyFont="1" applyFill="1" applyBorder="1" applyAlignment="1">
      <alignment horizontal="center"/>
    </xf>
    <xf numFmtId="0" fontId="66" fillId="2" borderId="15" xfId="0" applyFont="1" applyFill="1" applyBorder="1" applyAlignment="1">
      <alignment horizontal="center"/>
    </xf>
    <xf numFmtId="0" fontId="66" fillId="2" borderId="13" xfId="0" applyFont="1" applyFill="1" applyBorder="1" applyAlignment="1">
      <alignment horizontal="center"/>
    </xf>
    <xf numFmtId="2" fontId="66" fillId="2" borderId="3" xfId="0" applyNumberFormat="1" applyFont="1" applyFill="1" applyBorder="1" applyAlignment="1">
      <alignment horizontal="center"/>
    </xf>
    <xf numFmtId="2" fontId="66" fillId="2" borderId="15" xfId="0" applyNumberFormat="1" applyFont="1" applyFill="1" applyBorder="1" applyAlignment="1">
      <alignment horizontal="center"/>
    </xf>
    <xf numFmtId="2" fontId="66" fillId="2" borderId="13" xfId="0" applyNumberFormat="1" applyFont="1" applyFill="1" applyBorder="1" applyAlignment="1">
      <alignment horizontal="center"/>
    </xf>
    <xf numFmtId="0" fontId="66" fillId="2" borderId="5" xfId="0" applyFont="1" applyFill="1" applyBorder="1" applyAlignment="1">
      <alignment horizontal="center" vertical="center"/>
    </xf>
    <xf numFmtId="0" fontId="66" fillId="2" borderId="10" xfId="0" applyFont="1" applyFill="1" applyBorder="1" applyAlignment="1">
      <alignment horizontal="center" vertical="center"/>
    </xf>
    <xf numFmtId="0" fontId="66" fillId="2" borderId="7"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11" xfId="0" applyFont="1" applyFill="1" applyBorder="1" applyAlignment="1">
      <alignment horizontal="center" vertical="center" wrapText="1"/>
    </xf>
    <xf numFmtId="0" fontId="66" fillId="2" borderId="6" xfId="0" applyFont="1" applyFill="1" applyBorder="1" applyAlignment="1">
      <alignment horizontal="center" vertical="center" wrapText="1"/>
    </xf>
    <xf numFmtId="0" fontId="66" fillId="2" borderId="12" xfId="0" applyFont="1" applyFill="1" applyBorder="1" applyAlignment="1">
      <alignment horizontal="center" vertical="center" wrapText="1"/>
    </xf>
    <xf numFmtId="0" fontId="66" fillId="2" borderId="0" xfId="0" applyFont="1" applyFill="1" applyAlignment="1">
      <alignment horizontal="center" vertical="center" wrapText="1"/>
    </xf>
    <xf numFmtId="0" fontId="66" fillId="2" borderId="14" xfId="0" applyFont="1" applyFill="1" applyBorder="1" applyAlignment="1">
      <alignment horizontal="center" vertical="center" wrapText="1"/>
    </xf>
    <xf numFmtId="0" fontId="66" fillId="2" borderId="7" xfId="0" applyFont="1" applyFill="1" applyBorder="1" applyAlignment="1">
      <alignment horizontal="center" vertical="top"/>
    </xf>
    <xf numFmtId="0" fontId="66" fillId="2" borderId="5" xfId="0" applyFont="1" applyFill="1" applyBorder="1" applyAlignment="1">
      <alignment horizontal="center" wrapText="1"/>
    </xf>
    <xf numFmtId="0" fontId="66" fillId="2" borderId="10" xfId="0" applyFont="1" applyFill="1" applyBorder="1" applyAlignment="1">
      <alignment horizontal="center" wrapText="1"/>
    </xf>
    <xf numFmtId="0" fontId="66" fillId="2" borderId="1" xfId="0" applyFont="1" applyFill="1" applyBorder="1" applyAlignment="1">
      <alignment horizontal="center" vertical="center" wrapText="1"/>
    </xf>
    <xf numFmtId="0" fontId="66" fillId="2" borderId="5" xfId="0" applyFont="1" applyFill="1" applyBorder="1" applyAlignment="1">
      <alignment horizontal="center" vertical="center" wrapText="1"/>
    </xf>
    <xf numFmtId="165" fontId="67" fillId="3" borderId="1" xfId="0" applyNumberFormat="1" applyFont="1" applyFill="1" applyBorder="1" applyAlignment="1">
      <alignment horizontal="center" vertical="top"/>
    </xf>
    <xf numFmtId="0" fontId="142" fillId="2" borderId="1" xfId="0" applyFont="1" applyFill="1" applyBorder="1" applyAlignment="1">
      <alignment horizontal="center"/>
    </xf>
    <xf numFmtId="0" fontId="142" fillId="3" borderId="1" xfId="0" applyFont="1" applyFill="1" applyBorder="1" applyAlignment="1">
      <alignment horizontal="center"/>
    </xf>
    <xf numFmtId="0" fontId="142" fillId="0" borderId="1" xfId="0" applyFont="1" applyBorder="1" applyAlignment="1">
      <alignment horizontal="center"/>
    </xf>
    <xf numFmtId="0" fontId="66" fillId="2" borderId="0" xfId="0" applyFont="1" applyFill="1" applyAlignment="1">
      <alignment horizontal="center"/>
    </xf>
    <xf numFmtId="165" fontId="66" fillId="3" borderId="5" xfId="0" applyNumberFormat="1" applyFont="1" applyFill="1" applyBorder="1" applyAlignment="1">
      <alignment horizontal="center" vertical="center" wrapText="1"/>
    </xf>
    <xf numFmtId="165" fontId="66" fillId="3" borderId="7" xfId="0" applyNumberFormat="1" applyFont="1" applyFill="1" applyBorder="1" applyAlignment="1">
      <alignment horizontal="center" vertical="center" wrapText="1"/>
    </xf>
    <xf numFmtId="164" fontId="142" fillId="3" borderId="5" xfId="0" applyNumberFormat="1" applyFont="1" applyFill="1" applyBorder="1" applyAlignment="1">
      <alignment horizontal="center" vertical="center" wrapText="1"/>
    </xf>
    <xf numFmtId="164" fontId="142" fillId="3" borderId="7" xfId="0" applyNumberFormat="1" applyFont="1" applyFill="1" applyBorder="1" applyAlignment="1">
      <alignment horizontal="center" vertical="center" wrapText="1"/>
    </xf>
    <xf numFmtId="165" fontId="66" fillId="0" borderId="8" xfId="0" applyNumberFormat="1" applyFont="1" applyBorder="1" applyAlignment="1">
      <alignment horizontal="center" vertical="center" wrapText="1"/>
    </xf>
    <xf numFmtId="165" fontId="66" fillId="0" borderId="11" xfId="0" applyNumberFormat="1" applyFont="1" applyBorder="1" applyAlignment="1">
      <alignment horizontal="center" vertical="center" wrapText="1"/>
    </xf>
    <xf numFmtId="165" fontId="66" fillId="0" borderId="6" xfId="0" applyNumberFormat="1" applyFont="1" applyBorder="1" applyAlignment="1">
      <alignment horizontal="center" vertical="center" wrapText="1"/>
    </xf>
    <xf numFmtId="165" fontId="66" fillId="0" borderId="4" xfId="0" applyNumberFormat="1" applyFont="1" applyBorder="1" applyAlignment="1">
      <alignment horizontal="center" vertical="center" wrapText="1"/>
    </xf>
    <xf numFmtId="165" fontId="66" fillId="0" borderId="2" xfId="0" applyNumberFormat="1" applyFont="1" applyBorder="1" applyAlignment="1">
      <alignment horizontal="center" vertical="center" wrapText="1"/>
    </xf>
    <xf numFmtId="165" fontId="66" fillId="0" borderId="9" xfId="0" applyNumberFormat="1" applyFont="1" applyBorder="1" applyAlignment="1">
      <alignment horizontal="center" vertical="center" wrapText="1"/>
    </xf>
    <xf numFmtId="0" fontId="66" fillId="2" borderId="0" xfId="0" applyFont="1" applyFill="1" applyAlignment="1">
      <alignment horizontal="left"/>
    </xf>
    <xf numFmtId="0" fontId="67" fillId="2" borderId="0" xfId="0" applyFont="1" applyFill="1" applyAlignment="1">
      <alignment horizontal="left"/>
    </xf>
    <xf numFmtId="0" fontId="142" fillId="2" borderId="0" xfId="0" applyFont="1" applyFill="1" applyAlignment="1">
      <alignment horizontal="left"/>
    </xf>
    <xf numFmtId="0" fontId="142" fillId="3" borderId="0" xfId="0" applyFont="1" applyFill="1" applyAlignment="1">
      <alignment horizontal="left" vertical="top" wrapText="1"/>
    </xf>
    <xf numFmtId="0" fontId="69" fillId="2" borderId="5" xfId="0" quotePrefix="1" applyFont="1" applyFill="1" applyBorder="1" applyAlignment="1">
      <alignment horizontal="center" vertical="center"/>
    </xf>
    <xf numFmtId="0" fontId="69" fillId="2" borderId="10" xfId="0" quotePrefix="1" applyFont="1" applyFill="1" applyBorder="1" applyAlignment="1">
      <alignment horizontal="center" vertical="center"/>
    </xf>
    <xf numFmtId="0" fontId="69" fillId="2" borderId="7" xfId="0" quotePrefix="1" applyFont="1" applyFill="1" applyBorder="1" applyAlignment="1">
      <alignment horizontal="center" vertical="center"/>
    </xf>
    <xf numFmtId="164" fontId="142" fillId="0" borderId="3" xfId="0" applyNumberFormat="1" applyFont="1" applyBorder="1" applyAlignment="1">
      <alignment horizontal="center" vertical="center"/>
    </xf>
    <xf numFmtId="164" fontId="142" fillId="0" borderId="13" xfId="0" applyNumberFormat="1" applyFont="1" applyBorder="1" applyAlignment="1">
      <alignment horizontal="center" vertical="center"/>
    </xf>
    <xf numFmtId="170" fontId="142" fillId="0" borderId="3" xfId="0" applyNumberFormat="1" applyFont="1" applyBorder="1" applyAlignment="1">
      <alignment horizontal="center" vertical="center"/>
    </xf>
    <xf numFmtId="170" fontId="142" fillId="0" borderId="13" xfId="0" applyNumberFormat="1" applyFont="1" applyBorder="1" applyAlignment="1">
      <alignment horizontal="center" vertical="center"/>
    </xf>
    <xf numFmtId="0" fontId="55" fillId="3" borderId="14" xfId="1" applyFont="1" applyFill="1" applyBorder="1" applyAlignment="1">
      <alignment horizontal="center" vertical="center"/>
    </xf>
    <xf numFmtId="0" fontId="56" fillId="0" borderId="5" xfId="1" applyFont="1" applyBorder="1" applyAlignment="1">
      <alignment horizontal="center" vertical="center"/>
    </xf>
    <xf numFmtId="0" fontId="56" fillId="0" borderId="7" xfId="1" applyFont="1" applyBorder="1" applyAlignment="1">
      <alignment horizontal="center" vertical="center"/>
    </xf>
    <xf numFmtId="0" fontId="56" fillId="3" borderId="8" xfId="1" applyFont="1" applyFill="1" applyBorder="1" applyAlignment="1">
      <alignment horizontal="center" vertical="center"/>
    </xf>
    <xf numFmtId="0" fontId="56" fillId="3" borderId="11" xfId="1" applyFont="1" applyFill="1" applyBorder="1" applyAlignment="1">
      <alignment horizontal="center" vertical="center"/>
    </xf>
    <xf numFmtId="0" fontId="56" fillId="3" borderId="6" xfId="1" applyFont="1" applyFill="1" applyBorder="1" applyAlignment="1">
      <alignment horizontal="center" vertical="center"/>
    </xf>
    <xf numFmtId="0" fontId="56" fillId="3" borderId="4" xfId="1" applyFont="1" applyFill="1" applyBorder="1" applyAlignment="1">
      <alignment horizontal="center" vertical="center"/>
    </xf>
    <xf numFmtId="0" fontId="56" fillId="3" borderId="2" xfId="1" applyFont="1" applyFill="1" applyBorder="1" applyAlignment="1">
      <alignment horizontal="center" vertical="center"/>
    </xf>
    <xf numFmtId="0" fontId="56" fillId="3" borderId="9" xfId="1" applyFont="1" applyFill="1" applyBorder="1" applyAlignment="1">
      <alignment horizontal="center" vertical="center"/>
    </xf>
    <xf numFmtId="0" fontId="18" fillId="2" borderId="12" xfId="0" applyFont="1" applyFill="1" applyBorder="1" applyAlignment="1">
      <alignment horizontal="center" vertical="center"/>
    </xf>
    <xf numFmtId="0" fontId="18" fillId="2" borderId="0" xfId="0" applyFont="1" applyFill="1" applyAlignment="1">
      <alignment horizontal="center" vertical="center"/>
    </xf>
    <xf numFmtId="0" fontId="18" fillId="2" borderId="14"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9" xfId="0" applyFont="1" applyFill="1" applyBorder="1" applyAlignment="1">
      <alignment horizontal="center" vertical="center"/>
    </xf>
    <xf numFmtId="0" fontId="28" fillId="3" borderId="0" xfId="0" applyFont="1" applyFill="1" applyAlignment="1">
      <alignment horizontal="center" vertical="center"/>
    </xf>
    <xf numFmtId="0" fontId="15" fillId="3" borderId="3"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3" xfId="0" applyFont="1" applyFill="1" applyBorder="1" applyAlignment="1">
      <alignment horizontal="center" vertical="center" wrapText="1"/>
    </xf>
    <xf numFmtId="183" fontId="56" fillId="3" borderId="12" xfId="0" applyNumberFormat="1" applyFont="1" applyFill="1" applyBorder="1" applyAlignment="1">
      <alignment horizontal="center" vertical="center" wrapText="1"/>
    </xf>
    <xf numFmtId="183" fontId="56" fillId="3" borderId="0" xfId="0" applyNumberFormat="1" applyFont="1" applyFill="1" applyAlignment="1">
      <alignment horizontal="center" vertical="center" wrapText="1"/>
    </xf>
    <xf numFmtId="0" fontId="16" fillId="3" borderId="14" xfId="1" applyFont="1" applyFill="1" applyBorder="1" applyAlignment="1">
      <alignment horizontal="center" vertical="center"/>
    </xf>
    <xf numFmtId="0" fontId="39" fillId="2" borderId="0" xfId="0" applyFont="1" applyFill="1" applyAlignment="1">
      <alignment horizontal="center" vertical="center"/>
    </xf>
    <xf numFmtId="0" fontId="55" fillId="3" borderId="12" xfId="0" applyFont="1" applyFill="1" applyBorder="1" applyAlignment="1">
      <alignment horizontal="center" vertical="center" wrapText="1"/>
    </xf>
    <xf numFmtId="0" fontId="55" fillId="3" borderId="0" xfId="0" applyFont="1" applyFill="1" applyAlignment="1">
      <alignment horizontal="center" vertical="center" wrapText="1"/>
    </xf>
    <xf numFmtId="191" fontId="18" fillId="2" borderId="0" xfId="0" applyNumberFormat="1" applyFont="1" applyFill="1" applyAlignment="1">
      <alignment horizontal="left"/>
    </xf>
    <xf numFmtId="0" fontId="18" fillId="0" borderId="11" xfId="0" applyFont="1" applyBorder="1" applyAlignment="1">
      <alignment horizontal="center"/>
    </xf>
    <xf numFmtId="0" fontId="56" fillId="3" borderId="0" xfId="0" applyFont="1" applyFill="1" applyAlignment="1">
      <alignment horizontal="left" vertical="center"/>
    </xf>
    <xf numFmtId="0" fontId="5" fillId="3" borderId="0" xfId="0" applyFont="1" applyFill="1" applyAlignment="1">
      <alignment horizontal="center" vertical="center"/>
    </xf>
    <xf numFmtId="1" fontId="56" fillId="3" borderId="1" xfId="0" applyNumberFormat="1" applyFont="1" applyFill="1" applyBorder="1" applyAlignment="1">
      <alignment horizontal="center" vertical="center"/>
    </xf>
    <xf numFmtId="0" fontId="18" fillId="2" borderId="8" xfId="0" applyFont="1" applyFill="1" applyBorder="1" applyAlignment="1">
      <alignment horizontal="center" vertical="top" wrapText="1"/>
    </xf>
    <xf numFmtId="0" fontId="18" fillId="2" borderId="6" xfId="0" applyFont="1" applyFill="1" applyBorder="1" applyAlignment="1">
      <alignment horizontal="center" vertical="top" wrapText="1"/>
    </xf>
    <xf numFmtId="0" fontId="18" fillId="2" borderId="4" xfId="0" applyFont="1" applyFill="1" applyBorder="1" applyAlignment="1">
      <alignment horizontal="center" vertical="top" wrapText="1"/>
    </xf>
    <xf numFmtId="0" fontId="18" fillId="2" borderId="9"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 xfId="0" applyFont="1" applyFill="1" applyBorder="1" applyAlignment="1">
      <alignment horizontal="center" vertical="top" wrapText="1"/>
    </xf>
    <xf numFmtId="0" fontId="18" fillId="2" borderId="1" xfId="0" applyFont="1" applyFill="1" applyBorder="1" applyAlignment="1">
      <alignment horizontal="center" vertical="top" wrapText="1"/>
    </xf>
    <xf numFmtId="0" fontId="15" fillId="3" borderId="8"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2" xfId="1" applyFont="1" applyFill="1" applyBorder="1" applyAlignment="1">
      <alignment horizontal="center" vertical="center"/>
    </xf>
    <xf numFmtId="0" fontId="15" fillId="3" borderId="9" xfId="1" applyFont="1" applyFill="1" applyBorder="1" applyAlignment="1">
      <alignment horizontal="center" vertical="center"/>
    </xf>
    <xf numFmtId="0" fontId="18" fillId="2" borderId="12" xfId="0" applyFont="1" applyFill="1" applyBorder="1" applyAlignment="1">
      <alignment horizontal="center"/>
    </xf>
    <xf numFmtId="0" fontId="18" fillId="2" borderId="0" xfId="0" applyFont="1" applyFill="1" applyAlignment="1">
      <alignment horizontal="center"/>
    </xf>
    <xf numFmtId="0" fontId="18" fillId="2" borderId="14" xfId="0" applyFont="1" applyFill="1" applyBorder="1" applyAlignment="1">
      <alignment horizontal="center"/>
    </xf>
    <xf numFmtId="0" fontId="18" fillId="2" borderId="5" xfId="0" applyFont="1" applyFill="1" applyBorder="1" applyAlignment="1">
      <alignment horizontal="center" vertical="top"/>
    </xf>
    <xf numFmtId="170" fontId="99" fillId="0" borderId="5" xfId="0" applyNumberFormat="1" applyFont="1" applyBorder="1" applyAlignment="1">
      <alignment horizontal="center" vertical="center"/>
    </xf>
    <xf numFmtId="170" fontId="99" fillId="0" borderId="7" xfId="0" applyNumberFormat="1" applyFont="1" applyBorder="1" applyAlignment="1">
      <alignment horizontal="center" vertical="center"/>
    </xf>
    <xf numFmtId="0" fontId="15" fillId="3" borderId="5" xfId="1" applyFont="1" applyFill="1" applyBorder="1" applyAlignment="1">
      <alignment horizontal="center" vertical="center" wrapText="1"/>
    </xf>
    <xf numFmtId="0" fontId="15" fillId="3" borderId="7" xfId="1" applyFont="1" applyFill="1" applyBorder="1" applyAlignment="1">
      <alignment horizontal="center" vertical="center" wrapText="1"/>
    </xf>
    <xf numFmtId="170" fontId="100" fillId="0" borderId="6" xfId="0" applyNumberFormat="1" applyFont="1" applyBorder="1" applyAlignment="1">
      <alignment horizontal="center" vertical="center"/>
    </xf>
    <xf numFmtId="170" fontId="100" fillId="0" borderId="9" xfId="0" applyNumberFormat="1" applyFont="1" applyBorder="1" applyAlignment="1">
      <alignment horizontal="center" vertical="center"/>
    </xf>
    <xf numFmtId="170" fontId="30" fillId="0" borderId="8" xfId="0" applyNumberFormat="1" applyFont="1" applyBorder="1" applyAlignment="1">
      <alignment horizontal="right" vertical="center"/>
    </xf>
    <xf numFmtId="170" fontId="30" fillId="0" borderId="4" xfId="0" applyNumberFormat="1" applyFont="1" applyBorder="1" applyAlignment="1">
      <alignment horizontal="right" vertical="center"/>
    </xf>
    <xf numFmtId="0" fontId="18" fillId="2" borderId="12" xfId="0" applyFont="1" applyFill="1" applyBorder="1" applyAlignment="1">
      <alignment horizontal="center" vertical="top" wrapText="1"/>
    </xf>
    <xf numFmtId="0" fontId="18" fillId="2" borderId="14" xfId="0" applyFont="1" applyFill="1" applyBorder="1" applyAlignment="1">
      <alignment horizontal="center" vertical="top" wrapText="1"/>
    </xf>
    <xf numFmtId="0" fontId="5" fillId="3" borderId="0" xfId="0" applyFont="1" applyFill="1" applyAlignment="1">
      <alignment horizontal="left" vertical="top" wrapText="1"/>
    </xf>
    <xf numFmtId="1" fontId="18" fillId="2" borderId="1" xfId="0" applyNumberFormat="1" applyFont="1" applyFill="1" applyBorder="1" applyAlignment="1">
      <alignment horizontal="center"/>
    </xf>
    <xf numFmtId="1" fontId="18" fillId="3" borderId="1" xfId="0" applyNumberFormat="1" applyFont="1" applyFill="1" applyBorder="1" applyAlignment="1">
      <alignment horizontal="center"/>
    </xf>
    <xf numFmtId="0" fontId="18" fillId="2" borderId="10" xfId="0" applyFont="1" applyFill="1" applyBorder="1" applyAlignment="1">
      <alignment horizontal="center" vertical="top"/>
    </xf>
    <xf numFmtId="0" fontId="18" fillId="2" borderId="7" xfId="0" applyFont="1" applyFill="1" applyBorder="1" applyAlignment="1">
      <alignment horizontal="center" vertical="top"/>
    </xf>
    <xf numFmtId="2" fontId="18" fillId="2" borderId="0" xfId="0" applyNumberFormat="1" applyFont="1" applyFill="1" applyAlignment="1">
      <alignment horizontal="center"/>
    </xf>
    <xf numFmtId="0" fontId="18" fillId="2" borderId="8" xfId="0" applyFont="1" applyFill="1" applyBorder="1" applyAlignment="1">
      <alignment horizontal="center" vertical="top"/>
    </xf>
    <xf numFmtId="0" fontId="18" fillId="2" borderId="11" xfId="0" applyFont="1" applyFill="1" applyBorder="1" applyAlignment="1">
      <alignment horizontal="center" vertical="top"/>
    </xf>
    <xf numFmtId="0" fontId="18" fillId="2" borderId="6" xfId="0" applyFont="1" applyFill="1" applyBorder="1" applyAlignment="1">
      <alignment horizontal="center" vertical="top"/>
    </xf>
    <xf numFmtId="0" fontId="18" fillId="2" borderId="12" xfId="0" applyFont="1" applyFill="1" applyBorder="1" applyAlignment="1">
      <alignment horizontal="center" vertical="top"/>
    </xf>
    <xf numFmtId="0" fontId="18" fillId="2" borderId="0" xfId="0" applyFont="1" applyFill="1" applyAlignment="1">
      <alignment horizontal="center" vertical="top"/>
    </xf>
    <xf numFmtId="0" fontId="18" fillId="2" borderId="14" xfId="0" applyFont="1" applyFill="1" applyBorder="1" applyAlignment="1">
      <alignment horizontal="center" vertical="top"/>
    </xf>
    <xf numFmtId="0" fontId="30" fillId="0" borderId="3" xfId="0" applyFont="1" applyBorder="1" applyAlignment="1">
      <alignment horizontal="center" vertical="top"/>
    </xf>
    <xf numFmtId="0" fontId="30" fillId="0" borderId="15" xfId="0" applyFont="1" applyBorder="1" applyAlignment="1">
      <alignment horizontal="center" vertical="top"/>
    </xf>
    <xf numFmtId="0" fontId="30" fillId="0" borderId="13" xfId="0" applyFont="1" applyBorder="1" applyAlignment="1">
      <alignment horizontal="center" vertical="top"/>
    </xf>
    <xf numFmtId="0" fontId="30" fillId="3" borderId="2" xfId="0" applyFont="1" applyFill="1" applyBorder="1" applyAlignment="1">
      <alignment horizontal="left" vertical="center" wrapText="1"/>
    </xf>
    <xf numFmtId="0" fontId="30" fillId="3" borderId="0" xfId="0" applyFont="1" applyFill="1" applyAlignment="1">
      <alignment horizontal="left" vertical="center" wrapText="1"/>
    </xf>
    <xf numFmtId="0" fontId="18" fillId="2" borderId="0" xfId="0" applyFont="1" applyFill="1" applyAlignment="1">
      <alignment horizontal="left"/>
    </xf>
    <xf numFmtId="165" fontId="30" fillId="3" borderId="1" xfId="0" applyNumberFormat="1" applyFont="1" applyFill="1" applyBorder="1" applyAlignment="1">
      <alignment horizontal="center" vertical="top"/>
    </xf>
    <xf numFmtId="165" fontId="5" fillId="3" borderId="1" xfId="0" applyNumberFormat="1" applyFont="1" applyFill="1" applyBorder="1" applyAlignment="1">
      <alignment horizontal="center" vertical="center" wrapText="1"/>
    </xf>
    <xf numFmtId="165" fontId="30" fillId="3" borderId="1" xfId="0" applyNumberFormat="1" applyFont="1" applyFill="1" applyBorder="1" applyAlignment="1">
      <alignment horizontal="center" vertical="top" wrapText="1"/>
    </xf>
    <xf numFmtId="0" fontId="18" fillId="3" borderId="1" xfId="0" applyFont="1" applyFill="1" applyBorder="1" applyAlignment="1">
      <alignment horizontal="left"/>
    </xf>
    <xf numFmtId="1" fontId="5" fillId="3" borderId="1" xfId="0" applyNumberFormat="1" applyFont="1" applyFill="1" applyBorder="1" applyAlignment="1">
      <alignment horizontal="left"/>
    </xf>
    <xf numFmtId="1" fontId="31" fillId="2" borderId="5" xfId="0" quotePrefix="1" applyNumberFormat="1" applyFont="1" applyFill="1" applyBorder="1" applyAlignment="1">
      <alignment horizontal="center" vertical="center"/>
    </xf>
    <xf numFmtId="1" fontId="31" fillId="2" borderId="10" xfId="0" quotePrefix="1" applyNumberFormat="1" applyFont="1" applyFill="1" applyBorder="1" applyAlignment="1">
      <alignment horizontal="center" vertical="center"/>
    </xf>
    <xf numFmtId="1" fontId="31" fillId="2" borderId="7" xfId="0" quotePrefix="1" applyNumberFormat="1" applyFont="1" applyFill="1" applyBorder="1" applyAlignment="1">
      <alignment horizontal="center" vertical="center"/>
    </xf>
    <xf numFmtId="0" fontId="33" fillId="0" borderId="5" xfId="0" applyFont="1" applyBorder="1" applyAlignment="1">
      <alignment horizontal="center" vertical="center"/>
    </xf>
    <xf numFmtId="0" fontId="33" fillId="0" borderId="10" xfId="0" applyFont="1" applyBorder="1" applyAlignment="1">
      <alignment horizontal="center" vertical="center"/>
    </xf>
    <xf numFmtId="0" fontId="33" fillId="0" borderId="7" xfId="0" applyFont="1" applyBorder="1" applyAlignment="1">
      <alignment horizontal="center" vertical="center"/>
    </xf>
    <xf numFmtId="0" fontId="18" fillId="0" borderId="1" xfId="0" applyFont="1" applyBorder="1" applyAlignment="1">
      <alignment horizontal="center" vertical="center"/>
    </xf>
    <xf numFmtId="0" fontId="18" fillId="2" borderId="5" xfId="0" applyFont="1" applyFill="1" applyBorder="1" applyAlignment="1">
      <alignment horizontal="center" vertical="top" wrapText="1"/>
    </xf>
    <xf numFmtId="164" fontId="23" fillId="7" borderId="8" xfId="0" applyNumberFormat="1" applyFont="1" applyFill="1" applyBorder="1" applyAlignment="1">
      <alignment horizontal="center" vertical="center" wrapText="1"/>
    </xf>
    <xf numFmtId="164" fontId="23" fillId="7" borderId="6" xfId="0" applyNumberFormat="1" applyFont="1" applyFill="1" applyBorder="1" applyAlignment="1">
      <alignment horizontal="center" vertical="center" wrapText="1"/>
    </xf>
    <xf numFmtId="164" fontId="23" fillId="7" borderId="4" xfId="0" applyNumberFormat="1" applyFont="1" applyFill="1" applyBorder="1" applyAlignment="1">
      <alignment horizontal="center" vertical="center" wrapText="1"/>
    </xf>
    <xf numFmtId="164" fontId="23" fillId="7" borderId="9" xfId="0" applyNumberFormat="1" applyFont="1" applyFill="1" applyBorder="1" applyAlignment="1">
      <alignment horizontal="center" vertical="center" wrapText="1"/>
    </xf>
    <xf numFmtId="0" fontId="15" fillId="3" borderId="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3" xfId="0" applyFont="1" applyFill="1" applyBorder="1" applyAlignment="1">
      <alignment horizontal="center" vertical="center"/>
    </xf>
    <xf numFmtId="0" fontId="56" fillId="3" borderId="0" xfId="0" applyFont="1" applyFill="1" applyAlignment="1">
      <alignment horizontal="center" vertical="center"/>
    </xf>
    <xf numFmtId="1" fontId="56" fillId="3" borderId="5" xfId="0" applyNumberFormat="1" applyFont="1" applyFill="1" applyBorder="1" applyAlignment="1">
      <alignment horizontal="center" vertical="center"/>
    </xf>
    <xf numFmtId="1" fontId="56" fillId="3" borderId="10" xfId="0" applyNumberFormat="1" applyFont="1" applyFill="1" applyBorder="1" applyAlignment="1">
      <alignment horizontal="center" vertical="center"/>
    </xf>
    <xf numFmtId="1" fontId="56" fillId="3" borderId="7" xfId="0" applyNumberFormat="1" applyFont="1" applyFill="1" applyBorder="1" applyAlignment="1">
      <alignment horizontal="center" vertical="center"/>
    </xf>
    <xf numFmtId="182" fontId="56" fillId="3" borderId="12" xfId="0" applyNumberFormat="1" applyFont="1" applyFill="1" applyBorder="1" applyAlignment="1">
      <alignment horizontal="center" vertical="center" wrapText="1"/>
    </xf>
    <xf numFmtId="182" fontId="56" fillId="3" borderId="0" xfId="0" applyNumberFormat="1" applyFont="1" applyFill="1" applyAlignment="1">
      <alignment horizontal="center" vertical="center" wrapText="1"/>
    </xf>
    <xf numFmtId="184" fontId="56" fillId="3" borderId="12" xfId="0" applyNumberFormat="1" applyFont="1" applyFill="1" applyBorder="1" applyAlignment="1">
      <alignment horizontal="center" vertical="center" wrapText="1"/>
    </xf>
    <xf numFmtId="184" fontId="56" fillId="3" borderId="0" xfId="0" applyNumberFormat="1" applyFont="1" applyFill="1" applyAlignment="1">
      <alignment horizontal="center" vertical="center" wrapText="1"/>
    </xf>
    <xf numFmtId="0" fontId="15" fillId="0" borderId="5" xfId="1" applyFont="1" applyBorder="1" applyAlignment="1">
      <alignment horizontal="center" vertical="center"/>
    </xf>
    <xf numFmtId="0" fontId="15" fillId="0" borderId="7" xfId="1" applyFont="1" applyBorder="1" applyAlignment="1">
      <alignment horizontal="center" vertical="center"/>
    </xf>
    <xf numFmtId="0" fontId="33" fillId="3" borderId="0" xfId="0" applyFont="1" applyFill="1" applyAlignment="1">
      <alignment horizontal="right"/>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 fontId="19" fillId="3" borderId="19" xfId="0" applyNumberFormat="1" applyFont="1" applyFill="1" applyBorder="1" applyAlignment="1">
      <alignment horizontal="center" wrapText="1"/>
    </xf>
    <xf numFmtId="1" fontId="19" fillId="3" borderId="20" xfId="0" applyNumberFormat="1" applyFont="1" applyFill="1" applyBorder="1" applyAlignment="1">
      <alignment horizontal="center" wrapText="1"/>
    </xf>
    <xf numFmtId="1" fontId="28" fillId="3" borderId="0" xfId="0" applyNumberFormat="1" applyFont="1" applyFill="1" applyAlignment="1">
      <alignment horizontal="center"/>
    </xf>
    <xf numFmtId="1" fontId="34" fillId="3" borderId="0" xfId="0" applyNumberFormat="1" applyFont="1" applyFill="1" applyAlignment="1">
      <alignment horizontal="center"/>
    </xf>
    <xf numFmtId="2" fontId="33" fillId="3" borderId="0" xfId="0" applyNumberFormat="1" applyFont="1" applyFill="1" applyAlignment="1">
      <alignment horizontal="right"/>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28" fillId="3" borderId="0" xfId="0" applyNumberFormat="1" applyFont="1" applyFill="1" applyAlignment="1">
      <alignment horizontal="center"/>
    </xf>
    <xf numFmtId="2" fontId="34" fillId="3" borderId="0" xfId="0" applyNumberFormat="1" applyFont="1" applyFill="1" applyAlignment="1">
      <alignment horizontal="center"/>
    </xf>
    <xf numFmtId="2" fontId="19" fillId="3" borderId="19" xfId="0" applyNumberFormat="1" applyFont="1" applyFill="1" applyBorder="1" applyAlignment="1">
      <alignment horizontal="center" wrapText="1"/>
    </xf>
    <xf numFmtId="2" fontId="19" fillId="3" borderId="20" xfId="0" applyNumberFormat="1" applyFont="1" applyFill="1" applyBorder="1" applyAlignment="1">
      <alignment horizontal="center" wrapText="1"/>
    </xf>
    <xf numFmtId="0" fontId="105" fillId="0" borderId="0" xfId="4" applyFont="1" applyAlignment="1">
      <alignment horizontal="left" vertical="center" wrapText="1"/>
    </xf>
    <xf numFmtId="0" fontId="105" fillId="0" borderId="0" xfId="4" applyFont="1" applyAlignment="1">
      <alignment horizontal="left" vertical="top" wrapText="1"/>
    </xf>
    <xf numFmtId="0" fontId="52" fillId="0" borderId="0" xfId="4" applyFont="1" applyAlignment="1">
      <alignment horizontal="left" vertical="center" wrapText="1"/>
    </xf>
    <xf numFmtId="0" fontId="101" fillId="0" borderId="0" xfId="4" applyFont="1" applyAlignment="1">
      <alignment horizontal="center"/>
    </xf>
    <xf numFmtId="0" fontId="105" fillId="0" borderId="0" xfId="4" applyFont="1" applyAlignment="1">
      <alignment horizontal="justify" vertical="center" wrapText="1"/>
    </xf>
    <xf numFmtId="215" fontId="105" fillId="0" borderId="0" xfId="4" applyNumberFormat="1" applyFont="1" applyAlignment="1">
      <alignment horizontal="left" vertical="center" wrapText="1"/>
    </xf>
    <xf numFmtId="191" fontId="105" fillId="0" borderId="0" xfId="4" applyNumberFormat="1" applyFont="1" applyAlignment="1">
      <alignment horizontal="left" vertical="top" wrapText="1"/>
    </xf>
    <xf numFmtId="214" fontId="105" fillId="0" borderId="0" xfId="4" applyNumberFormat="1" applyFont="1" applyAlignment="1">
      <alignment horizontal="left" vertical="top" wrapText="1"/>
    </xf>
    <xf numFmtId="0" fontId="106" fillId="0" borderId="0" xfId="4" quotePrefix="1" applyFont="1" applyAlignment="1">
      <alignment horizontal="left"/>
    </xf>
    <xf numFmtId="0" fontId="106" fillId="0" borderId="0" xfId="4" applyFont="1" applyAlignment="1">
      <alignment horizontal="left"/>
    </xf>
    <xf numFmtId="0" fontId="108" fillId="0" borderId="0" xfId="4" applyFont="1" applyAlignment="1">
      <alignment horizontal="left" vertical="center" wrapText="1"/>
    </xf>
    <xf numFmtId="0" fontId="105" fillId="0" borderId="0" xfId="4" applyFont="1" applyAlignment="1" applyProtection="1">
      <alignment horizontal="justify" vertical="top" wrapText="1"/>
      <protection locked="0"/>
    </xf>
    <xf numFmtId="214" fontId="106" fillId="0" borderId="0" xfId="4" quotePrefix="1" applyNumberFormat="1" applyFont="1" applyAlignment="1">
      <alignment horizontal="left" vertical="center"/>
    </xf>
    <xf numFmtId="214" fontId="106" fillId="0" borderId="0" xfId="4" applyNumberFormat="1" applyFont="1" applyAlignment="1">
      <alignment horizontal="left" vertical="center"/>
    </xf>
    <xf numFmtId="0" fontId="105" fillId="0" borderId="3" xfId="4" applyFont="1" applyBorder="1" applyAlignment="1">
      <alignment horizontal="left" vertical="top" wrapText="1"/>
    </xf>
    <xf numFmtId="0" fontId="105" fillId="0" borderId="15" xfId="4" applyFont="1" applyBorder="1" applyAlignment="1">
      <alignment horizontal="left" vertical="top" wrapText="1"/>
    </xf>
    <xf numFmtId="0" fontId="108" fillId="0" borderId="0" xfId="4" quotePrefix="1" applyFont="1" applyAlignment="1">
      <alignment horizontal="left" vertical="center" wrapText="1"/>
    </xf>
    <xf numFmtId="11" fontId="106" fillId="0" borderId="0" xfId="4" quotePrefix="1" applyNumberFormat="1" applyFont="1" applyAlignment="1">
      <alignment horizontal="left"/>
    </xf>
    <xf numFmtId="0" fontId="110" fillId="0" borderId="0" xfId="4" applyFont="1" applyAlignment="1">
      <alignment horizontal="center" vertical="center"/>
    </xf>
    <xf numFmtId="191" fontId="106" fillId="0" borderId="0" xfId="4" quotePrefix="1" applyNumberFormat="1" applyFont="1" applyAlignment="1">
      <alignment horizontal="center" vertical="center"/>
    </xf>
    <xf numFmtId="191" fontId="106" fillId="0" borderId="0" xfId="4" applyNumberFormat="1" applyFont="1" applyAlignment="1">
      <alignment horizontal="center" vertical="center"/>
    </xf>
    <xf numFmtId="0" fontId="105" fillId="0" borderId="0" xfId="4" applyFont="1" applyAlignment="1">
      <alignment horizontal="center"/>
    </xf>
    <xf numFmtId="0" fontId="109" fillId="0" borderId="0" xfId="4" applyFont="1" applyAlignment="1">
      <alignment horizontal="right" vertical="center"/>
    </xf>
    <xf numFmtId="0" fontId="103" fillId="10" borderId="35" xfId="4" applyFont="1" applyFill="1" applyBorder="1" applyAlignment="1">
      <alignment horizontal="center"/>
    </xf>
    <xf numFmtId="0" fontId="103" fillId="10" borderId="34" xfId="4" applyFont="1" applyFill="1" applyBorder="1" applyAlignment="1">
      <alignment horizontal="center"/>
    </xf>
    <xf numFmtId="0" fontId="103" fillId="10" borderId="38" xfId="4" applyFont="1" applyFill="1" applyBorder="1" applyAlignment="1">
      <alignment horizontal="center"/>
    </xf>
    <xf numFmtId="0" fontId="105" fillId="0" borderId="3" xfId="7" applyFont="1" applyBorder="1" applyAlignment="1">
      <alignment horizontal="left" vertical="top" wrapText="1"/>
    </xf>
    <xf numFmtId="0" fontId="105" fillId="0" borderId="15" xfId="7" applyFont="1" applyBorder="1" applyAlignment="1">
      <alignment horizontal="left" vertical="top" wrapText="1"/>
    </xf>
    <xf numFmtId="0" fontId="110" fillId="0" borderId="0" xfId="7" applyFont="1" applyAlignment="1" applyProtection="1">
      <alignment horizontal="center" vertical="center"/>
      <protection locked="0"/>
    </xf>
    <xf numFmtId="191" fontId="106" fillId="0" borderId="0" xfId="7" quotePrefix="1" applyNumberFormat="1" applyFont="1" applyAlignment="1" applyProtection="1">
      <alignment horizontal="center" vertical="center"/>
      <protection locked="0"/>
    </xf>
    <xf numFmtId="191" fontId="106" fillId="0" borderId="0" xfId="7" applyNumberFormat="1" applyFont="1" applyAlignment="1" applyProtection="1">
      <alignment horizontal="center" vertical="center"/>
      <protection locked="0"/>
    </xf>
    <xf numFmtId="0" fontId="105" fillId="0" borderId="0" xfId="7" applyFont="1" applyAlignment="1">
      <alignment horizontal="center"/>
    </xf>
    <xf numFmtId="0" fontId="109" fillId="0" borderId="0" xfId="7" applyFont="1" applyAlignment="1">
      <alignment horizontal="right" vertical="center"/>
    </xf>
    <xf numFmtId="0" fontId="103" fillId="0" borderId="0" xfId="7" applyFont="1" applyAlignment="1">
      <alignment horizontal="center"/>
    </xf>
    <xf numFmtId="0" fontId="106" fillId="0" borderId="0" xfId="7" quotePrefix="1" applyFont="1" applyAlignment="1" applyProtection="1">
      <alignment horizontal="left"/>
      <protection locked="0"/>
    </xf>
    <xf numFmtId="0" fontId="105" fillId="0" borderId="0" xfId="7" applyFont="1" applyAlignment="1">
      <alignment horizontal="left" vertical="center" wrapText="1"/>
    </xf>
    <xf numFmtId="0" fontId="108" fillId="0" borderId="0" xfId="7" quotePrefix="1" applyFont="1" applyAlignment="1" applyProtection="1">
      <alignment horizontal="left" vertical="center" wrapText="1"/>
      <protection locked="0"/>
    </xf>
    <xf numFmtId="11" fontId="106" fillId="0" borderId="0" xfId="7" quotePrefix="1" applyNumberFormat="1" applyFont="1" applyAlignment="1" applyProtection="1">
      <alignment horizontal="left"/>
      <protection locked="0"/>
    </xf>
    <xf numFmtId="0" fontId="106" fillId="0" borderId="0" xfId="7" applyFont="1" applyAlignment="1" applyProtection="1">
      <alignment horizontal="left"/>
      <protection locked="0"/>
    </xf>
    <xf numFmtId="0" fontId="105" fillId="0" borderId="0" xfId="7" applyFont="1" applyAlignment="1" applyProtection="1">
      <alignment horizontal="left" vertical="center" wrapText="1"/>
      <protection locked="0"/>
    </xf>
    <xf numFmtId="191" fontId="105" fillId="0" borderId="0" xfId="7" applyNumberFormat="1" applyFont="1" applyAlignment="1">
      <alignment horizontal="left" vertical="center" wrapText="1"/>
    </xf>
    <xf numFmtId="0" fontId="108" fillId="0" borderId="0" xfId="7" applyFont="1" applyAlignment="1" applyProtection="1">
      <alignment horizontal="left" vertical="center" wrapText="1"/>
      <protection locked="0"/>
    </xf>
    <xf numFmtId="0" fontId="105" fillId="0" borderId="0" xfId="7" applyFont="1" applyAlignment="1" applyProtection="1">
      <alignment horizontal="left" vertical="top" wrapText="1"/>
      <protection locked="0"/>
    </xf>
    <xf numFmtId="0" fontId="105" fillId="0" borderId="0" xfId="7" applyFont="1" applyAlignment="1" applyProtection="1">
      <alignment horizontal="justify" vertical="top" wrapText="1"/>
      <protection locked="0"/>
    </xf>
    <xf numFmtId="214" fontId="106" fillId="0" borderId="0" xfId="7" quotePrefix="1" applyNumberFormat="1" applyFont="1" applyAlignment="1" applyProtection="1">
      <alignment horizontal="left" vertical="center"/>
      <protection locked="0"/>
    </xf>
    <xf numFmtId="214" fontId="106" fillId="0" borderId="0" xfId="7" applyNumberFormat="1" applyFont="1" applyAlignment="1" applyProtection="1">
      <alignment horizontal="left" vertical="center"/>
      <protection locked="0"/>
    </xf>
    <xf numFmtId="0" fontId="105" fillId="0" borderId="0" xfId="7" applyFont="1" applyAlignment="1">
      <alignment horizontal="left" vertical="top" wrapText="1"/>
    </xf>
    <xf numFmtId="0" fontId="101" fillId="0" borderId="0" xfId="7" applyFont="1" applyAlignment="1">
      <alignment horizontal="center"/>
    </xf>
    <xf numFmtId="0" fontId="105" fillId="4" borderId="0" xfId="7" applyFont="1" applyFill="1" applyAlignment="1">
      <alignment horizontal="justify" vertical="center" wrapText="1"/>
    </xf>
    <xf numFmtId="0" fontId="52" fillId="0" borderId="0" xfId="7" applyFont="1" applyAlignment="1">
      <alignment horizontal="left" vertical="center" wrapText="1"/>
    </xf>
    <xf numFmtId="191" fontId="105" fillId="0" borderId="0" xfId="7" applyNumberFormat="1" applyFont="1" applyAlignment="1">
      <alignment horizontal="left" vertical="top" wrapText="1"/>
    </xf>
  </cellXfs>
  <cellStyles count="8">
    <cellStyle name="Normal" xfId="0" builtinId="0"/>
    <cellStyle name="Normal 2" xfId="4" xr:uid="{00000000-0005-0000-0000-000001000000}"/>
    <cellStyle name="Normal 2 3" xfId="7" xr:uid="{7E01D4D3-11A1-41AE-A24C-5699596B1A12}"/>
    <cellStyle name="Normal 3" xfId="5" xr:uid="{4CCCD897-353C-4506-B2A7-707D09DD51B1}"/>
    <cellStyle name="Normal 3 2" xfId="6" xr:uid="{10A5DC91-E5F6-4FA6-8BEC-47BE9AEB0ABA}"/>
    <cellStyle name="Normal_Daftar kelistrikan (ecg)" xfId="1" xr:uid="{00000000-0005-0000-0000-000002000000}"/>
    <cellStyle name="Normal_Sheet1" xfId="2" xr:uid="{00000000-0005-0000-0000-000003000000}"/>
    <cellStyle name="Normal_THERMOHYGRO 2010" xfId="3" xr:uid="{00000000-0005-0000-0000-000004000000}"/>
  </cellStyles>
  <dxfs count="0"/>
  <tableStyles count="0" defaultTableStyle="TableStyleMedium9" defaultPivotStyle="PivotStyleLight16"/>
  <colors>
    <mruColors>
      <color rgb="FFFF66CC"/>
      <color rgb="FF35EB35"/>
      <color rgb="FFF7F7F7"/>
      <color rgb="FFF5F5F5"/>
      <color rgb="FFFBFBFB"/>
      <color rgb="FFF4F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cer acer" id="{FA6E29A8-3A37-45EF-A9A3-0356C576964E}" userId="4f428b2550efc3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9" dT="2022-12-14T03:05:30.89" personId="{FA6E29A8-3A37-45EF-A9A3-0356C576964E}" id="{531E4969-8511-4374-B432-3AB0BB5A0106}">
    <text>Jangan dihilangkan tanda = dan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5"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Q113"/>
  <sheetViews>
    <sheetView workbookViewId="0">
      <selection activeCell="E3" sqref="E3"/>
    </sheetView>
  </sheetViews>
  <sheetFormatPr defaultRowHeight="13.2" x14ac:dyDescent="0.25"/>
  <cols>
    <col min="3" max="3" width="9.21875" style="301"/>
    <col min="5" max="5" width="67.21875" customWidth="1"/>
    <col min="15" max="15" width="65.33203125" customWidth="1"/>
  </cols>
  <sheetData>
    <row r="2" spans="2:17" x14ac:dyDescent="0.25">
      <c r="K2" s="6"/>
      <c r="L2" s="6"/>
      <c r="M2" s="6"/>
      <c r="N2" s="6"/>
      <c r="O2" s="7" t="s">
        <v>48</v>
      </c>
      <c r="P2" s="45"/>
      <c r="Q2" s="45"/>
    </row>
    <row r="3" spans="2:17" x14ac:dyDescent="0.25">
      <c r="K3" s="6"/>
      <c r="L3" s="6"/>
      <c r="M3" s="6"/>
      <c r="N3" s="6"/>
      <c r="O3" s="2" t="s">
        <v>184</v>
      </c>
    </row>
    <row r="4" spans="2:17" x14ac:dyDescent="0.25">
      <c r="K4" s="6"/>
      <c r="L4" s="6"/>
      <c r="M4" s="6"/>
      <c r="N4" s="6"/>
      <c r="O4" s="2" t="s">
        <v>184</v>
      </c>
    </row>
    <row r="5" spans="2:17" x14ac:dyDescent="0.25">
      <c r="K5" s="6"/>
      <c r="L5" s="6"/>
      <c r="M5" s="6"/>
      <c r="N5" s="6"/>
      <c r="O5" s="2" t="s">
        <v>185</v>
      </c>
    </row>
    <row r="6" spans="2:17" x14ac:dyDescent="0.25">
      <c r="K6" s="6"/>
      <c r="L6" s="6"/>
      <c r="M6" s="6"/>
      <c r="N6" s="6"/>
      <c r="O6" s="2" t="s">
        <v>186</v>
      </c>
    </row>
    <row r="7" spans="2:17" x14ac:dyDescent="0.25">
      <c r="B7" s="61" t="s">
        <v>214</v>
      </c>
      <c r="C7" s="302" t="s">
        <v>181</v>
      </c>
      <c r="D7" s="5" t="s">
        <v>56</v>
      </c>
      <c r="E7" s="1" t="s">
        <v>48</v>
      </c>
      <c r="F7" s="3" t="s">
        <v>90</v>
      </c>
      <c r="G7" s="3" t="s">
        <v>91</v>
      </c>
      <c r="H7" s="3" t="s">
        <v>92</v>
      </c>
      <c r="K7" s="61" t="s">
        <v>214</v>
      </c>
      <c r="L7" s="4" t="s">
        <v>181</v>
      </c>
      <c r="M7" s="5" t="s">
        <v>56</v>
      </c>
      <c r="N7" s="6"/>
      <c r="O7" s="2" t="s">
        <v>187</v>
      </c>
    </row>
    <row r="8" spans="2:17" ht="13.8" x14ac:dyDescent="0.25">
      <c r="B8" s="59">
        <v>0</v>
      </c>
      <c r="C8" s="303">
        <v>0</v>
      </c>
      <c r="D8" s="321">
        <v>2020</v>
      </c>
      <c r="E8" s="291" t="s">
        <v>358</v>
      </c>
      <c r="F8" s="151">
        <f>ROWS(F$8:$F8)</f>
        <v>1</v>
      </c>
      <c r="G8" s="8" t="str">
        <f>IF(ID!$A$92=E8,F8,"")</f>
        <v/>
      </c>
      <c r="H8" s="8">
        <f>IFERROR(SMALL($G$8:$G$113,ROWS(G$8:$G8)),"")</f>
        <v>85</v>
      </c>
      <c r="K8" s="8">
        <f>IFERROR(INDEX($B$8:$D$113,$H8,COLUMNS(J$8:$J8)),"")</f>
        <v>0</v>
      </c>
      <c r="L8" s="8">
        <f>IFERROR(INDEX($B$8:$D$113,$H8,COLUMNS($J$8:K8)),"")</f>
        <v>0</v>
      </c>
      <c r="M8" s="8">
        <f>IFERROR(INDEX($B$8:$D$113,$H8,COLUMNS($J$8:L8)),"")</f>
        <v>2022</v>
      </c>
      <c r="N8" s="6"/>
      <c r="O8" s="2" t="s">
        <v>188</v>
      </c>
    </row>
    <row r="9" spans="2:17" x14ac:dyDescent="0.25">
      <c r="B9" s="60">
        <v>1</v>
      </c>
      <c r="C9" s="303">
        <v>0</v>
      </c>
      <c r="D9" s="321"/>
      <c r="E9" s="291" t="s">
        <v>358</v>
      </c>
      <c r="F9" s="151">
        <f>ROWS(F$8:$F9)</f>
        <v>2</v>
      </c>
      <c r="G9" s="8" t="str">
        <f>IF(ID!$A$92=E9,F9,"")</f>
        <v/>
      </c>
      <c r="H9" s="8">
        <f>IFERROR(SMALL($G$8:$G$113,ROWS(G$8:$G9)),"")</f>
        <v>86</v>
      </c>
      <c r="K9" s="8">
        <f>IFERROR(INDEX($B$8:$D$113,$H9,COLUMNS(J$8:$J9)),"")</f>
        <v>1</v>
      </c>
      <c r="L9" s="8">
        <f>IFERROR(INDEX($B$8:$D$113,$H9,COLUMNS($J$8:K9)),"")</f>
        <v>0</v>
      </c>
      <c r="M9" s="8">
        <f>IFERROR(INDEX($B$8:$D$113,$H9,COLUMNS($J$8:L9)),"")</f>
        <v>0</v>
      </c>
      <c r="N9" s="6"/>
      <c r="O9" s="2" t="s">
        <v>189</v>
      </c>
    </row>
    <row r="10" spans="2:17" x14ac:dyDescent="0.25">
      <c r="B10" s="60">
        <v>2</v>
      </c>
      <c r="C10" s="303">
        <v>0</v>
      </c>
      <c r="D10" s="321"/>
      <c r="E10" s="291" t="s">
        <v>358</v>
      </c>
      <c r="F10" s="151">
        <f>ROWS(F$8:$F10)</f>
        <v>3</v>
      </c>
      <c r="G10" s="8" t="str">
        <f>IF(ID!$A$92=E10,F10,"")</f>
        <v/>
      </c>
      <c r="H10" s="8">
        <f>IFERROR(SMALL($G$8:$G$113,ROWS(G$8:$G10)),"")</f>
        <v>87</v>
      </c>
      <c r="K10" s="8">
        <f>IFERROR(INDEX($B$8:$D$113,$H10,COLUMNS(J$8:$J10)),"")</f>
        <v>2</v>
      </c>
      <c r="L10" s="8">
        <f>IFERROR(INDEX($B$8:$D$113,$H10,COLUMNS($J$8:K10)),"")</f>
        <v>0</v>
      </c>
      <c r="M10" s="8">
        <f>IFERROR(INDEX($B$8:$D$113,$H10,COLUMNS($J$8:L10)),"")</f>
        <v>0</v>
      </c>
      <c r="N10" s="6"/>
      <c r="O10" s="38" t="s">
        <v>95</v>
      </c>
    </row>
    <row r="11" spans="2:17" x14ac:dyDescent="0.25">
      <c r="B11" s="60">
        <v>5</v>
      </c>
      <c r="C11" s="303">
        <v>0</v>
      </c>
      <c r="D11" s="321"/>
      <c r="E11" s="291" t="s">
        <v>358</v>
      </c>
      <c r="F11" s="151">
        <f>ROWS(F$8:$F11)</f>
        <v>4</v>
      </c>
      <c r="G11" s="8" t="str">
        <f>IF(ID!$A$92=E11,F11,"")</f>
        <v/>
      </c>
      <c r="H11" s="8">
        <f>IFERROR(SMALL($G$8:$G$113,ROWS(G$8:$G11)),"")</f>
        <v>88</v>
      </c>
      <c r="K11" s="8">
        <f>IFERROR(INDEX($B$8:$D$113,$H11,COLUMNS(J$8:$J11)),"")</f>
        <v>5</v>
      </c>
      <c r="L11" s="8">
        <f>IFERROR(INDEX($B$8:$D$113,$H11,COLUMNS($J$8:K11)),"")</f>
        <v>0</v>
      </c>
      <c r="M11" s="8">
        <f>IFERROR(INDEX($B$8:$D$113,$H11,COLUMNS($J$8:L11)),"")</f>
        <v>0</v>
      </c>
      <c r="N11" s="6"/>
      <c r="O11" s="38" t="s">
        <v>95</v>
      </c>
    </row>
    <row r="12" spans="2:17" x14ac:dyDescent="0.25">
      <c r="B12" s="60">
        <v>10</v>
      </c>
      <c r="C12" s="303">
        <v>0</v>
      </c>
      <c r="D12" s="321"/>
      <c r="E12" s="291" t="s">
        <v>358</v>
      </c>
      <c r="F12" s="151">
        <f>ROWS(F$8:$F12)</f>
        <v>5</v>
      </c>
      <c r="G12" s="8" t="str">
        <f>IF(ID!$A$92=E12,F12,"")</f>
        <v/>
      </c>
      <c r="H12" s="8">
        <f>IFERROR(SMALL($G$8:$G$113,ROWS(G$8:$G12)),"")</f>
        <v>89</v>
      </c>
      <c r="K12" s="8">
        <f>IFERROR(INDEX($B$8:$D$113,$H12,COLUMNS(J$8:$J12)),"")</f>
        <v>10</v>
      </c>
      <c r="L12" s="8">
        <f>IFERROR(INDEX($B$8:$D$113,$H12,COLUMNS($J$8:K12)),"")</f>
        <v>0</v>
      </c>
      <c r="M12" s="8">
        <f>IFERROR(INDEX($B$8:$D$113,$H12,COLUMNS($J$8:L12)),"")</f>
        <v>0</v>
      </c>
      <c r="N12" s="6"/>
      <c r="O12" s="38" t="s">
        <v>95</v>
      </c>
    </row>
    <row r="13" spans="2:17" x14ac:dyDescent="0.25">
      <c r="B13" s="60">
        <v>20</v>
      </c>
      <c r="C13" s="303">
        <v>0</v>
      </c>
      <c r="D13" s="321"/>
      <c r="E13" s="291" t="s">
        <v>358</v>
      </c>
      <c r="F13" s="151">
        <f>ROWS(F$8:$F13)</f>
        <v>6</v>
      </c>
      <c r="G13" s="8" t="str">
        <f>IF(ID!$A$92=E13,F13,"")</f>
        <v/>
      </c>
      <c r="H13" s="8">
        <f>IFERROR(SMALL($G$8:$G$113,ROWS(G$8:$G13)),"")</f>
        <v>90</v>
      </c>
      <c r="K13" s="8">
        <f>IFERROR(INDEX($B$8:$D$113,$H13,COLUMNS(J$8:$J13)),"")</f>
        <v>20</v>
      </c>
      <c r="L13" s="8">
        <f>IFERROR(INDEX($B$8:$D$113,$H13,COLUMNS($J$8:K13)),"")</f>
        <v>0</v>
      </c>
      <c r="M13" s="8">
        <f>IFERROR(INDEX($B$8:$D$113,$H13,COLUMNS($J$8:L13)),"")</f>
        <v>0</v>
      </c>
      <c r="N13" s="6"/>
      <c r="O13" s="38" t="s">
        <v>95</v>
      </c>
    </row>
    <row r="14" spans="2:17" x14ac:dyDescent="0.25">
      <c r="B14" s="60">
        <v>50</v>
      </c>
      <c r="C14" s="303">
        <v>0</v>
      </c>
      <c r="D14" s="321"/>
      <c r="E14" s="291" t="s">
        <v>358</v>
      </c>
      <c r="F14" s="151">
        <f>ROWS(F$8:$F14)</f>
        <v>7</v>
      </c>
      <c r="G14" s="8" t="str">
        <f>IF(ID!$A$92=E14,F14,"")</f>
        <v/>
      </c>
      <c r="H14" s="8">
        <f>IFERROR(SMALL($G$8:$G$113,ROWS(G$8:$G14)),"")</f>
        <v>91</v>
      </c>
      <c r="K14" s="8">
        <f>IFERROR(INDEX($B$8:$D$113,$H14,COLUMNS(J$8:$J14)),"")</f>
        <v>49.8</v>
      </c>
      <c r="L14" s="8">
        <f>IFERROR(INDEX($B$8:$D$113,$H14,COLUMNS($J$8:K14)),"")</f>
        <v>0.2</v>
      </c>
      <c r="M14" s="8">
        <f>IFERROR(INDEX($B$8:$D$113,$H14,COLUMNS($J$8:L14)),"")</f>
        <v>0</v>
      </c>
      <c r="N14" s="6"/>
      <c r="O14" s="38"/>
    </row>
    <row r="15" spans="2:17" x14ac:dyDescent="0.25">
      <c r="B15" s="60">
        <v>100</v>
      </c>
      <c r="C15" s="303">
        <v>0</v>
      </c>
      <c r="D15" s="321"/>
      <c r="E15" s="291" t="s">
        <v>358</v>
      </c>
      <c r="F15" s="151">
        <f>ROWS(F$8:$F15)</f>
        <v>8</v>
      </c>
      <c r="G15" s="8" t="str">
        <f>IF(ID!$A$92=E15,F15,"")</f>
        <v/>
      </c>
      <c r="H15" s="8">
        <f>IFERROR(SMALL($G$8:$G$113,ROWS(G$8:$G15)),"")</f>
        <v>92</v>
      </c>
      <c r="K15" s="8">
        <f>IFERROR(INDEX($B$8:$D$113,$H15,COLUMNS(J$8:$J15)),"")</f>
        <v>99.4</v>
      </c>
      <c r="L15" s="8">
        <f>IFERROR(INDEX($B$8:$D$113,$H15,COLUMNS($J$8:K15)),"")</f>
        <v>0.6</v>
      </c>
      <c r="M15" s="8">
        <f>IFERROR(INDEX($B$8:$D$113,$H15,COLUMNS($J$8:L15)),"")</f>
        <v>0</v>
      </c>
      <c r="N15" s="6"/>
      <c r="O15" s="38"/>
    </row>
    <row r="16" spans="2:17" s="294" customFormat="1" x14ac:dyDescent="0.25">
      <c r="B16" s="348">
        <v>200</v>
      </c>
      <c r="C16" s="349">
        <f>C15</f>
        <v>0</v>
      </c>
      <c r="D16" s="342"/>
      <c r="E16" s="293" t="s">
        <v>358</v>
      </c>
      <c r="F16" s="151">
        <f>ROWS(F$8:$F16)</f>
        <v>9</v>
      </c>
      <c r="G16" s="8" t="str">
        <f>IF(ID!$A$92=E16,F16,"")</f>
        <v/>
      </c>
      <c r="H16" s="8">
        <f>IFERROR(SMALL($G$8:$G$113,ROWS(G$8:$G16)),"")</f>
        <v>93</v>
      </c>
      <c r="K16" s="8">
        <f>IFERROR(INDEX($B$8:$D$113,$H16,COLUMNS(J$8:$J16)),"")</f>
        <v>200</v>
      </c>
      <c r="L16" s="8">
        <f>IFERROR(INDEX($B$8:$D$113,$H16,COLUMNS($J$8:K16)),"")</f>
        <v>0.6</v>
      </c>
      <c r="M16" s="8">
        <f>IFERROR(INDEX($B$8:$D$113,$H16,COLUMNS($J$8:L16)),"")</f>
        <v>0</v>
      </c>
      <c r="N16" s="343"/>
      <c r="O16" s="344"/>
    </row>
    <row r="17" spans="1:15" x14ac:dyDescent="0.25">
      <c r="F17" s="151">
        <f>ROWS(F$8:$F17)</f>
        <v>10</v>
      </c>
      <c r="G17" s="8" t="str">
        <f>IF(ID!$A$92=E17,F17,"")</f>
        <v/>
      </c>
      <c r="H17" s="8" t="str">
        <f>IFERROR(SMALL($G$8:$G$113,ROWS(G$8:$G17)),"")</f>
        <v/>
      </c>
      <c r="K17" s="8" t="str">
        <f>IFERROR(INDEX($B$8:$D$113,$H17,COLUMNS(J$8:$J17)),"")</f>
        <v/>
      </c>
      <c r="L17" s="8" t="str">
        <f>IFERROR(INDEX($B$8:$D$113,$H17,COLUMNS($J$8:K17)),"")</f>
        <v/>
      </c>
      <c r="M17" s="8" t="str">
        <f>IFERROR(INDEX($B$8:$D$113,$H17,COLUMNS($J$8:L17)),"")</f>
        <v/>
      </c>
      <c r="N17" s="6"/>
      <c r="O17" s="38" t="s">
        <v>95</v>
      </c>
    </row>
    <row r="18" spans="1:15" x14ac:dyDescent="0.25">
      <c r="B18" s="69">
        <v>0</v>
      </c>
      <c r="C18" s="708">
        <v>0</v>
      </c>
      <c r="D18" s="324">
        <v>2019</v>
      </c>
      <c r="E18" s="291" t="s">
        <v>846</v>
      </c>
      <c r="F18" s="151">
        <f>ROWS(F$8:$F18)</f>
        <v>11</v>
      </c>
      <c r="G18" s="8" t="str">
        <f>IF(ID!$A$92=E18,F18,"")</f>
        <v/>
      </c>
      <c r="H18" s="8" t="str">
        <f>IFERROR(SMALL($G$8:$G$113,ROWS(G$8:$G18)),"")</f>
        <v/>
      </c>
    </row>
    <row r="19" spans="1:15" ht="13.8" x14ac:dyDescent="0.25">
      <c r="B19" s="62">
        <v>1</v>
      </c>
      <c r="C19" s="708">
        <v>0</v>
      </c>
      <c r="D19" s="324"/>
      <c r="E19" s="291" t="s">
        <v>846</v>
      </c>
      <c r="F19" s="151">
        <f>ROWS(F$8:$F19)</f>
        <v>12</v>
      </c>
      <c r="G19" s="8" t="str">
        <f>IF(ID!$A$92=E19,F19,"")</f>
        <v/>
      </c>
      <c r="H19" s="8" t="str">
        <f>IFERROR(SMALL($G$8:$G$113,ROWS(G$8:$G19)),"")</f>
        <v/>
      </c>
    </row>
    <row r="20" spans="1:15" x14ac:dyDescent="0.25">
      <c r="B20" s="63">
        <v>2</v>
      </c>
      <c r="C20" s="709">
        <v>0</v>
      </c>
      <c r="D20" s="324"/>
      <c r="E20" s="291" t="s">
        <v>846</v>
      </c>
      <c r="F20" s="151">
        <f>ROWS(F$8:$F20)</f>
        <v>13</v>
      </c>
      <c r="G20" s="8" t="str">
        <f>IF(ID!$A$92=E20,F20,"")</f>
        <v/>
      </c>
      <c r="H20" s="8" t="str">
        <f>IFERROR(SMALL($G$8:$G$113,ROWS(G$8:$G20)),"")</f>
        <v/>
      </c>
    </row>
    <row r="21" spans="1:15" x14ac:dyDescent="0.25">
      <c r="B21" s="63">
        <v>5</v>
      </c>
      <c r="C21" s="709">
        <v>0</v>
      </c>
      <c r="D21" s="324"/>
      <c r="E21" s="291" t="s">
        <v>846</v>
      </c>
      <c r="F21" s="151">
        <f>ROWS(F$8:$F21)</f>
        <v>14</v>
      </c>
      <c r="G21" s="8" t="str">
        <f>IF(ID!$A$92=E21,F21,"")</f>
        <v/>
      </c>
      <c r="H21" s="8" t="str">
        <f>IFERROR(SMALL($G$8:$G$113,ROWS(G$8:$G21)),"")</f>
        <v/>
      </c>
    </row>
    <row r="22" spans="1:15" ht="13.8" thickBot="1" x14ac:dyDescent="0.3">
      <c r="B22" s="64">
        <v>9.9</v>
      </c>
      <c r="C22" s="301">
        <v>0.1</v>
      </c>
      <c r="D22" s="324"/>
      <c r="E22" s="291" t="s">
        <v>846</v>
      </c>
      <c r="F22" s="151">
        <f>ROWS(F$8:$F22)</f>
        <v>15</v>
      </c>
      <c r="G22" s="8" t="str">
        <f>IF(ID!$A$92=E22,F22,"")</f>
        <v/>
      </c>
      <c r="H22" s="8" t="str">
        <f>IFERROR(SMALL($G$8:$G$113,ROWS(G$8:$G22)),"")</f>
        <v/>
      </c>
    </row>
    <row r="23" spans="1:15" x14ac:dyDescent="0.25">
      <c r="B23" s="66">
        <v>19.8</v>
      </c>
      <c r="C23" s="301">
        <v>0.2</v>
      </c>
      <c r="D23" s="324"/>
      <c r="E23" s="291" t="s">
        <v>846</v>
      </c>
      <c r="F23" s="151">
        <f>ROWS(F$8:$F23)</f>
        <v>16</v>
      </c>
      <c r="G23" s="8" t="str">
        <f>IF(ID!$A$92=E23,F23,"")</f>
        <v/>
      </c>
      <c r="H23" s="8" t="str">
        <f>IFERROR(SMALL($G$8:$G$113,ROWS(G$8:$G23)),"")</f>
        <v/>
      </c>
    </row>
    <row r="24" spans="1:15" x14ac:dyDescent="0.25">
      <c r="B24" s="66">
        <v>49.7</v>
      </c>
      <c r="C24" s="301">
        <v>0.3</v>
      </c>
      <c r="D24" s="324"/>
      <c r="E24" s="291" t="s">
        <v>846</v>
      </c>
      <c r="F24" s="151">
        <f>ROWS(F$8:$F24)</f>
        <v>17</v>
      </c>
      <c r="G24" s="8" t="str">
        <f>IF(ID!$A$92=E24,F24,"")</f>
        <v/>
      </c>
      <c r="H24" s="8" t="str">
        <f>IFERROR(SMALL($G$8:$G$113,ROWS(G$8:$G24)),"")</f>
        <v/>
      </c>
    </row>
    <row r="25" spans="1:15" x14ac:dyDescent="0.25">
      <c r="B25" s="66">
        <v>99.7</v>
      </c>
      <c r="C25" s="301">
        <v>0.3</v>
      </c>
      <c r="D25" s="324"/>
      <c r="E25" s="291" t="s">
        <v>846</v>
      </c>
      <c r="F25" s="151">
        <f>ROWS(F$8:$F25)</f>
        <v>18</v>
      </c>
      <c r="G25" s="8" t="str">
        <f>IF(ID!$A$92=E25,F25,"")</f>
        <v/>
      </c>
      <c r="H25" s="8" t="str">
        <f>IFERROR(SMALL($G$8:$G$113,ROWS(G$8:$G25)),"")</f>
        <v/>
      </c>
    </row>
    <row r="26" spans="1:15" x14ac:dyDescent="0.25">
      <c r="B26" s="348">
        <v>200</v>
      </c>
      <c r="C26" s="349">
        <f>C25</f>
        <v>0.3</v>
      </c>
      <c r="E26" s="291" t="s">
        <v>846</v>
      </c>
      <c r="F26" s="151">
        <f>ROWS(F$8:$F26)</f>
        <v>19</v>
      </c>
      <c r="G26" s="8" t="str">
        <f>IF(ID!$A$92=E26,F26,"")</f>
        <v/>
      </c>
      <c r="H26" s="8" t="str">
        <f>IFERROR(SMALL($G$8:$G$113,ROWS(G$8:$G26)),"")</f>
        <v/>
      </c>
    </row>
    <row r="27" spans="1:15" ht="13.8" x14ac:dyDescent="0.25">
      <c r="A27" s="524"/>
      <c r="B27" s="710" t="s">
        <v>214</v>
      </c>
      <c r="C27" s="711" t="s">
        <v>181</v>
      </c>
      <c r="D27" s="712" t="s">
        <v>56</v>
      </c>
      <c r="E27" s="297"/>
      <c r="F27" s="151">
        <f>ROWS(F$8:$F27)</f>
        <v>20</v>
      </c>
      <c r="G27" s="8" t="str">
        <f>IF(ID!$A$92=E27,F27,"")</f>
        <v/>
      </c>
      <c r="H27" s="8" t="str">
        <f>IFERROR(SMALL($G$8:$G$113,ROWS(G$8:$G27)),"")</f>
        <v/>
      </c>
    </row>
    <row r="28" spans="1:15" x14ac:dyDescent="0.25">
      <c r="B28" s="320">
        <v>0</v>
      </c>
      <c r="C28" s="713">
        <v>0</v>
      </c>
      <c r="D28" s="321">
        <v>2022</v>
      </c>
      <c r="E28" s="291" t="s">
        <v>359</v>
      </c>
      <c r="F28" s="151">
        <f>ROWS(F$8:$F28)</f>
        <v>21</v>
      </c>
      <c r="G28" s="8" t="str">
        <f>IF(ID!$A$92=E28,F28,"")</f>
        <v/>
      </c>
      <c r="H28" s="8" t="str">
        <f>IFERROR(SMALL($G$8:$G$113,ROWS(G$8:$G28)),"")</f>
        <v/>
      </c>
    </row>
    <row r="29" spans="1:15" ht="13.8" x14ac:dyDescent="0.25">
      <c r="B29" s="59">
        <v>1</v>
      </c>
      <c r="C29" s="323">
        <v>0</v>
      </c>
      <c r="D29" s="43"/>
      <c r="E29" s="291" t="s">
        <v>359</v>
      </c>
      <c r="F29" s="151">
        <f>ROWS(F$8:$F29)</f>
        <v>22</v>
      </c>
      <c r="G29" s="8" t="str">
        <f>IF(ID!$A$92=E29,F29,"")</f>
        <v/>
      </c>
      <c r="H29" s="8" t="str">
        <f>IFERROR(SMALL($G$8:$G$113,ROWS(G$8:$G29)),"")</f>
        <v/>
      </c>
    </row>
    <row r="30" spans="1:15" x14ac:dyDescent="0.25">
      <c r="B30" s="60">
        <v>2</v>
      </c>
      <c r="C30" s="323">
        <v>0</v>
      </c>
      <c r="D30" s="43"/>
      <c r="E30" s="291" t="s">
        <v>359</v>
      </c>
      <c r="F30" s="151">
        <f>ROWS(F$8:$F30)</f>
        <v>23</v>
      </c>
      <c r="G30" s="8" t="str">
        <f>IF(ID!$A$92=E30,F30,"")</f>
        <v/>
      </c>
      <c r="H30" s="8" t="str">
        <f>IFERROR(SMALL($G$8:$G$113,ROWS(G$8:$G30)),"")</f>
        <v/>
      </c>
    </row>
    <row r="31" spans="1:15" x14ac:dyDescent="0.25">
      <c r="B31" s="60">
        <v>5</v>
      </c>
      <c r="C31" s="323">
        <v>0</v>
      </c>
      <c r="D31" s="43"/>
      <c r="E31" s="291" t="s">
        <v>359</v>
      </c>
      <c r="F31" s="151">
        <f>ROWS(F$8:$F31)</f>
        <v>24</v>
      </c>
      <c r="G31" s="8" t="str">
        <f>IF(ID!$A$92=E31,F31,"")</f>
        <v/>
      </c>
      <c r="H31" s="8" t="str">
        <f>IFERROR(SMALL($G$8:$G$113,ROWS(G$8:$G31)),"")</f>
        <v/>
      </c>
    </row>
    <row r="32" spans="1:15" x14ac:dyDescent="0.25">
      <c r="B32" s="60">
        <v>10</v>
      </c>
      <c r="C32" s="323">
        <v>0</v>
      </c>
      <c r="D32" s="43"/>
      <c r="E32" s="291" t="s">
        <v>359</v>
      </c>
      <c r="F32" s="151">
        <f>ROWS(F$8:$F32)</f>
        <v>25</v>
      </c>
      <c r="G32" s="8" t="str">
        <f>IF(ID!$A$92=E32,F32,"")</f>
        <v/>
      </c>
      <c r="H32" s="8" t="str">
        <f>IFERROR(SMALL($G$8:$G$113,ROWS(G$8:$G32)),"")</f>
        <v/>
      </c>
    </row>
    <row r="33" spans="1:8" x14ac:dyDescent="0.25">
      <c r="B33" s="60">
        <v>20</v>
      </c>
      <c r="C33" s="323">
        <v>0</v>
      </c>
      <c r="D33" s="43"/>
      <c r="E33" s="291" t="s">
        <v>359</v>
      </c>
      <c r="F33" s="151">
        <f>ROWS(F$8:$F33)</f>
        <v>26</v>
      </c>
      <c r="G33" s="8" t="str">
        <f>IF(ID!$A$92=E33,F33,"")</f>
        <v/>
      </c>
      <c r="H33" s="8" t="str">
        <f>IFERROR(SMALL($G$8:$G$113,ROWS(G$8:$G33)),"")</f>
        <v/>
      </c>
    </row>
    <row r="34" spans="1:8" x14ac:dyDescent="0.25">
      <c r="B34" s="60">
        <v>49.9</v>
      </c>
      <c r="C34" s="323">
        <v>0.1</v>
      </c>
      <c r="D34" s="43"/>
      <c r="E34" s="291" t="s">
        <v>359</v>
      </c>
      <c r="F34" s="151">
        <f>ROWS(F$8:$F34)</f>
        <v>27</v>
      </c>
      <c r="G34" s="8" t="str">
        <f>IF(ID!$A$92=E34,F34,"")</f>
        <v/>
      </c>
      <c r="H34" s="8" t="str">
        <f>IFERROR(SMALL($G$8:$G$113,ROWS(G$8:$G34)),"")</f>
        <v/>
      </c>
    </row>
    <row r="35" spans="1:8" x14ac:dyDescent="0.25">
      <c r="B35" s="60">
        <v>99.9</v>
      </c>
      <c r="C35" s="323">
        <v>0.1</v>
      </c>
      <c r="D35" s="43"/>
      <c r="E35" s="291" t="s">
        <v>359</v>
      </c>
      <c r="F35" s="151">
        <f>ROWS(F$8:$F35)</f>
        <v>28</v>
      </c>
      <c r="G35" s="8" t="str">
        <f>IF(ID!$A$92=E35,F35,"")</f>
        <v/>
      </c>
      <c r="H35" s="8" t="str">
        <f>IFERROR(SMALL($G$8:$G$113,ROWS(G$8:$G35)),"")</f>
        <v/>
      </c>
    </row>
    <row r="36" spans="1:8" x14ac:dyDescent="0.25">
      <c r="B36" s="348">
        <v>200</v>
      </c>
      <c r="C36" s="349">
        <f>C35</f>
        <v>0.1</v>
      </c>
      <c r="D36" s="315"/>
      <c r="E36" s="293" t="s">
        <v>359</v>
      </c>
      <c r="F36" s="151">
        <f>ROWS(F$8:$F36)</f>
        <v>29</v>
      </c>
      <c r="G36" s="8" t="str">
        <f>IF(ID!$A$92=E36,F36,"")</f>
        <v/>
      </c>
      <c r="H36" s="8" t="str">
        <f>IFERROR(SMALL($G$8:$G$113,ROWS(G$8:$G36)),"")</f>
        <v/>
      </c>
    </row>
    <row r="37" spans="1:8" ht="13.8" x14ac:dyDescent="0.3">
      <c r="A37" s="524"/>
      <c r="B37" s="551" t="s">
        <v>215</v>
      </c>
      <c r="C37" s="551" t="s">
        <v>181</v>
      </c>
      <c r="D37" s="714" t="s">
        <v>56</v>
      </c>
      <c r="E37" s="322"/>
      <c r="F37" s="151">
        <f>ROWS(F$8:$F37)</f>
        <v>30</v>
      </c>
      <c r="G37" s="8" t="str">
        <f>IF(ID!$A$92=E37,F37,"")</f>
        <v/>
      </c>
      <c r="H37" s="8" t="str">
        <f>IFERROR(SMALL($G$8:$G$113,ROWS(G$8:$G37)),"")</f>
        <v/>
      </c>
    </row>
    <row r="38" spans="1:8" x14ac:dyDescent="0.25">
      <c r="B38" s="320">
        <v>0</v>
      </c>
      <c r="C38" s="713">
        <v>0</v>
      </c>
      <c r="D38" s="321">
        <v>2021</v>
      </c>
      <c r="E38" s="292" t="s">
        <v>360</v>
      </c>
      <c r="F38" s="151">
        <f>ROWS(F$8:$F38)</f>
        <v>31</v>
      </c>
      <c r="G38" s="8" t="str">
        <f>IF(ID!$A$92=E38,F38,"")</f>
        <v/>
      </c>
      <c r="H38" s="8" t="str">
        <f>IFERROR(SMALL($G$8:$G$113,ROWS(G$8:$G38)),"")</f>
        <v/>
      </c>
    </row>
    <row r="39" spans="1:8" ht="13.8" x14ac:dyDescent="0.25">
      <c r="B39" s="59">
        <v>1</v>
      </c>
      <c r="C39" s="323">
        <v>0</v>
      </c>
      <c r="D39" s="43"/>
      <c r="E39" s="292" t="s">
        <v>360</v>
      </c>
      <c r="F39" s="151">
        <f>ROWS(F$8:$F39)</f>
        <v>32</v>
      </c>
      <c r="G39" s="8" t="str">
        <f>IF(ID!$A$92=E39,F39,"")</f>
        <v/>
      </c>
      <c r="H39" s="8" t="str">
        <f>IFERROR(SMALL($G$8:$G$113,ROWS(G$8:$G39)),"")</f>
        <v/>
      </c>
    </row>
    <row r="40" spans="1:8" x14ac:dyDescent="0.25">
      <c r="B40" s="60">
        <v>2</v>
      </c>
      <c r="C40" s="323">
        <v>0</v>
      </c>
      <c r="D40" s="43"/>
      <c r="E40" s="292" t="s">
        <v>360</v>
      </c>
      <c r="F40" s="151">
        <f>ROWS(F$8:$F40)</f>
        <v>33</v>
      </c>
      <c r="G40" s="8" t="str">
        <f>IF(ID!$A$92=E40,F40,"")</f>
        <v/>
      </c>
      <c r="H40" s="8" t="str">
        <f>IFERROR(SMALL($G$8:$G$113,ROWS(G$8:$G40)),"")</f>
        <v/>
      </c>
    </row>
    <row r="41" spans="1:8" x14ac:dyDescent="0.25">
      <c r="B41" s="60">
        <v>5</v>
      </c>
      <c r="C41" s="323">
        <v>0</v>
      </c>
      <c r="D41" s="43"/>
      <c r="E41" s="292" t="s">
        <v>360</v>
      </c>
      <c r="F41" s="151">
        <f>ROWS(F$8:$F41)</f>
        <v>34</v>
      </c>
      <c r="G41" s="8" t="str">
        <f>IF(ID!$A$92=E41,F41,"")</f>
        <v/>
      </c>
      <c r="H41" s="8" t="str">
        <f>IFERROR(SMALL($G$8:$G$113,ROWS(G$8:$G41)),"")</f>
        <v/>
      </c>
    </row>
    <row r="42" spans="1:8" x14ac:dyDescent="0.25">
      <c r="B42" s="60">
        <v>10</v>
      </c>
      <c r="C42" s="323">
        <v>0</v>
      </c>
      <c r="D42" s="43"/>
      <c r="E42" s="292" t="s">
        <v>360</v>
      </c>
      <c r="F42" s="151">
        <f>ROWS(F$8:$F42)</f>
        <v>35</v>
      </c>
      <c r="G42" s="8" t="str">
        <f>IF(ID!$A$92=E42,F42,"")</f>
        <v/>
      </c>
      <c r="H42" s="8" t="str">
        <f>IFERROR(SMALL($G$8:$G$113,ROWS(G$8:$G42)),"")</f>
        <v/>
      </c>
    </row>
    <row r="43" spans="1:8" x14ac:dyDescent="0.25">
      <c r="B43" s="60">
        <v>19.899999999999999</v>
      </c>
      <c r="C43" s="323">
        <v>0.1</v>
      </c>
      <c r="D43" s="43"/>
      <c r="E43" s="292" t="s">
        <v>360</v>
      </c>
      <c r="F43" s="151">
        <f>ROWS(F$8:$F43)</f>
        <v>36</v>
      </c>
      <c r="G43" s="8" t="str">
        <f>IF(ID!$A$92=E43,F43,"")</f>
        <v/>
      </c>
      <c r="H43" s="8" t="str">
        <f>IFERROR(SMALL($G$8:$G$113,ROWS(G$8:$G43)),"")</f>
        <v/>
      </c>
    </row>
    <row r="44" spans="1:8" s="294" customFormat="1" x14ac:dyDescent="0.25">
      <c r="B44" s="60">
        <v>49.6</v>
      </c>
      <c r="C44" s="323">
        <v>0.4</v>
      </c>
      <c r="D44" s="298"/>
      <c r="E44" s="292" t="s">
        <v>360</v>
      </c>
      <c r="F44" s="151">
        <f>ROWS(F$8:$F44)</f>
        <v>37</v>
      </c>
      <c r="G44" s="8" t="str">
        <f>IF(ID!$A$92=E44,F44,"")</f>
        <v/>
      </c>
      <c r="H44" s="8" t="str">
        <f>IFERROR(SMALL($G$8:$G$113,ROWS(G$8:$G44)),"")</f>
        <v/>
      </c>
    </row>
    <row r="45" spans="1:8" x14ac:dyDescent="0.25">
      <c r="B45" s="60">
        <v>98.6</v>
      </c>
      <c r="C45" s="323">
        <v>1.4</v>
      </c>
      <c r="D45" s="43"/>
      <c r="E45" s="292" t="s">
        <v>360</v>
      </c>
      <c r="F45" s="151">
        <f>ROWS(F$8:$F45)</f>
        <v>38</v>
      </c>
      <c r="G45" s="8" t="str">
        <f>IF(ID!$A$92=E45,F45,"")</f>
        <v/>
      </c>
      <c r="H45" s="8" t="str">
        <f>IFERROR(SMALL($G$8:$G$113,ROWS(G$8:$G45)),"")</f>
        <v/>
      </c>
    </row>
    <row r="46" spans="1:8" x14ac:dyDescent="0.25">
      <c r="B46" s="348">
        <v>200</v>
      </c>
      <c r="C46" s="349">
        <f>C45</f>
        <v>1.4</v>
      </c>
      <c r="D46" s="315"/>
      <c r="E46" s="293" t="s">
        <v>360</v>
      </c>
      <c r="F46" s="151">
        <f>ROWS(F$8:$F46)</f>
        <v>39</v>
      </c>
      <c r="G46" s="8" t="str">
        <f>IF(ID!$A$92=E46,F46,"")</f>
        <v/>
      </c>
      <c r="H46" s="8" t="str">
        <f>IFERROR(SMALL($G$8:$G$113,ROWS(G$8:$G46)),"")</f>
        <v/>
      </c>
    </row>
    <row r="47" spans="1:8" x14ac:dyDescent="0.25">
      <c r="E47" s="322"/>
      <c r="F47" s="151">
        <f>ROWS(F$8:$F47)</f>
        <v>40</v>
      </c>
      <c r="G47" s="8" t="str">
        <f>IF(ID!$A$92=E47,F47,"")</f>
        <v/>
      </c>
      <c r="H47" s="8" t="str">
        <f>IFERROR(SMALL($G$8:$G$113,ROWS(G$8:$G47)),"")</f>
        <v/>
      </c>
    </row>
    <row r="48" spans="1:8" x14ac:dyDescent="0.25">
      <c r="B48" s="60">
        <v>0</v>
      </c>
      <c r="C48" s="715">
        <v>0</v>
      </c>
      <c r="D48" s="321">
        <v>2021</v>
      </c>
      <c r="E48" s="291" t="s">
        <v>361</v>
      </c>
      <c r="F48" s="151">
        <f>ROWS(F$8:$F48)</f>
        <v>41</v>
      </c>
      <c r="G48" s="8" t="str">
        <f>IF(ID!$A$92=E48,F48,"")</f>
        <v/>
      </c>
      <c r="H48" s="8" t="str">
        <f>IFERROR(SMALL($G$8:$G$113,ROWS(G$8:$G48)),"")</f>
        <v/>
      </c>
    </row>
    <row r="49" spans="1:8" ht="13.8" x14ac:dyDescent="0.25">
      <c r="B49" s="59">
        <v>1</v>
      </c>
      <c r="C49" s="303">
        <v>0</v>
      </c>
      <c r="D49" s="43"/>
      <c r="E49" s="291" t="s">
        <v>361</v>
      </c>
      <c r="F49" s="151">
        <f>ROWS(F$8:$F49)</f>
        <v>42</v>
      </c>
      <c r="G49" s="8" t="str">
        <f>IF(ID!$A$92=E49,F49,"")</f>
        <v/>
      </c>
      <c r="H49" s="8" t="str">
        <f>IFERROR(SMALL($G$8:$G$113,ROWS(G$8:$G49)),"")</f>
        <v/>
      </c>
    </row>
    <row r="50" spans="1:8" x14ac:dyDescent="0.25">
      <c r="B50" s="60">
        <v>2</v>
      </c>
      <c r="C50" s="304">
        <v>0</v>
      </c>
      <c r="D50" s="43"/>
      <c r="E50" s="291" t="s">
        <v>361</v>
      </c>
      <c r="F50" s="151">
        <f>ROWS(F$8:$F50)</f>
        <v>43</v>
      </c>
      <c r="G50" s="8" t="str">
        <f>IF(ID!$A$92=E50,F50,"")</f>
        <v/>
      </c>
      <c r="H50" s="8" t="str">
        <f>IFERROR(SMALL($G$8:$G$113,ROWS(G$8:$G50)),"")</f>
        <v/>
      </c>
    </row>
    <row r="51" spans="1:8" x14ac:dyDescent="0.25">
      <c r="B51" s="60">
        <v>5</v>
      </c>
      <c r="C51" s="304">
        <v>0</v>
      </c>
      <c r="D51" s="43"/>
      <c r="E51" s="291" t="s">
        <v>361</v>
      </c>
      <c r="F51" s="151">
        <f>ROWS(F$8:$F51)</f>
        <v>44</v>
      </c>
      <c r="G51" s="8" t="str">
        <f>IF(ID!$A$92=E51,F51,"")</f>
        <v/>
      </c>
      <c r="H51" s="8" t="str">
        <f>IFERROR(SMALL($G$8:$G$113,ROWS(G$8:$G51)),"")</f>
        <v/>
      </c>
    </row>
    <row r="52" spans="1:8" x14ac:dyDescent="0.25">
      <c r="B52" s="60">
        <v>10</v>
      </c>
      <c r="C52" s="304">
        <v>0</v>
      </c>
      <c r="D52" s="43"/>
      <c r="E52" s="291" t="s">
        <v>361</v>
      </c>
      <c r="F52" s="151">
        <f>ROWS(F$8:$F52)</f>
        <v>45</v>
      </c>
      <c r="G52" s="8" t="str">
        <f>IF(ID!$A$92=E52,F52,"")</f>
        <v/>
      </c>
      <c r="H52" s="8" t="str">
        <f>IFERROR(SMALL($G$8:$G$113,ROWS(G$8:$G52)),"")</f>
        <v/>
      </c>
    </row>
    <row r="53" spans="1:8" x14ac:dyDescent="0.25">
      <c r="B53" s="60">
        <v>19.899999999999999</v>
      </c>
      <c r="C53" s="304">
        <v>0.1</v>
      </c>
      <c r="D53" s="43"/>
      <c r="E53" s="291" t="s">
        <v>361</v>
      </c>
      <c r="F53" s="151">
        <f>ROWS(F$8:$F53)</f>
        <v>46</v>
      </c>
      <c r="G53" s="8" t="str">
        <f>IF(ID!$A$92=E53,F53,"")</f>
        <v/>
      </c>
      <c r="H53" s="8" t="str">
        <f>IFERROR(SMALL($G$8:$G$113,ROWS(G$8:$G53)),"")</f>
        <v/>
      </c>
    </row>
    <row r="54" spans="1:8" x14ac:dyDescent="0.25">
      <c r="B54" s="60">
        <v>49.4</v>
      </c>
      <c r="C54" s="304">
        <v>0.6</v>
      </c>
      <c r="D54" s="43"/>
      <c r="E54" s="291" t="s">
        <v>361</v>
      </c>
      <c r="F54" s="151">
        <f>ROWS(F$8:$F54)</f>
        <v>47</v>
      </c>
      <c r="G54" s="8" t="str">
        <f>IF(ID!$A$92=E54,F54,"")</f>
        <v/>
      </c>
      <c r="H54" s="8" t="str">
        <f>IFERROR(SMALL($G$8:$G$113,ROWS(G$8:$G54)),"")</f>
        <v/>
      </c>
    </row>
    <row r="55" spans="1:8" x14ac:dyDescent="0.25">
      <c r="B55" s="60">
        <v>98.5</v>
      </c>
      <c r="C55" s="304">
        <v>1.5</v>
      </c>
      <c r="D55" s="43"/>
      <c r="E55" s="291" t="s">
        <v>361</v>
      </c>
      <c r="F55" s="151">
        <f>ROWS(F$8:$F55)</f>
        <v>48</v>
      </c>
      <c r="G55" s="8" t="str">
        <f>IF(ID!$A$92=E55,F55,"")</f>
        <v/>
      </c>
      <c r="H55" s="8" t="str">
        <f>IFERROR(SMALL($G$8:$G$113,ROWS(G$8:$G55)),"")</f>
        <v/>
      </c>
    </row>
    <row r="56" spans="1:8" s="294" customFormat="1" x14ac:dyDescent="0.25">
      <c r="B56" s="348">
        <v>200</v>
      </c>
      <c r="C56" s="349">
        <f>C55</f>
        <v>1.5</v>
      </c>
      <c r="D56" s="315"/>
      <c r="E56" s="293" t="s">
        <v>361</v>
      </c>
      <c r="F56" s="151">
        <f>ROWS(F$8:$F56)</f>
        <v>49</v>
      </c>
      <c r="G56" s="8" t="str">
        <f>IF(ID!$A$92=E56,F56,"")</f>
        <v/>
      </c>
      <c r="H56" s="8" t="str">
        <f>IFERROR(SMALL($G$8:$G$113,ROWS(G$8:$G56)),"")</f>
        <v/>
      </c>
    </row>
    <row r="57" spans="1:8" ht="13.8" x14ac:dyDescent="0.25">
      <c r="A57" s="524"/>
      <c r="B57" s="710" t="s">
        <v>214</v>
      </c>
      <c r="C57" s="711" t="s">
        <v>181</v>
      </c>
      <c r="D57" s="712" t="s">
        <v>56</v>
      </c>
      <c r="E57" s="46"/>
      <c r="F57" s="151">
        <f>ROWS(F$8:$F57)</f>
        <v>50</v>
      </c>
      <c r="G57" s="8" t="str">
        <f>IF(ID!$A$92=E57,F57,"")</f>
        <v/>
      </c>
      <c r="H57" s="8" t="str">
        <f>IFERROR(SMALL($G$8:$G$113,ROWS(G$8:$G57)),"")</f>
        <v/>
      </c>
    </row>
    <row r="58" spans="1:8" x14ac:dyDescent="0.25">
      <c r="B58" s="66">
        <v>0</v>
      </c>
      <c r="C58" s="716">
        <v>0</v>
      </c>
      <c r="D58" s="324">
        <v>2022</v>
      </c>
      <c r="E58" s="291" t="s">
        <v>362</v>
      </c>
      <c r="F58" s="151">
        <f>ROWS(F$8:$F58)</f>
        <v>51</v>
      </c>
      <c r="G58" s="8" t="str">
        <f>IF(ID!$A$92=E58,F58,"")</f>
        <v/>
      </c>
      <c r="H58" s="8" t="str">
        <f>IFERROR(SMALL($G$8:$G$113,ROWS(G$8:$G58)),"")</f>
        <v/>
      </c>
    </row>
    <row r="59" spans="1:8" ht="13.8" x14ac:dyDescent="0.25">
      <c r="B59" s="62">
        <v>1</v>
      </c>
      <c r="C59" s="717">
        <v>0</v>
      </c>
      <c r="D59" s="324"/>
      <c r="E59" s="291" t="s">
        <v>362</v>
      </c>
      <c r="F59" s="151">
        <f>ROWS(F$8:$F59)</f>
        <v>52</v>
      </c>
      <c r="G59" s="8" t="str">
        <f>IF(ID!$A$92=E59,F59,"")</f>
        <v/>
      </c>
      <c r="H59" s="8" t="str">
        <f>IFERROR(SMALL($G$8:$G$113,ROWS(G$8:$G59)),"")</f>
        <v/>
      </c>
    </row>
    <row r="60" spans="1:8" x14ac:dyDescent="0.25">
      <c r="B60" s="63">
        <v>2</v>
      </c>
      <c r="C60" s="718">
        <v>0</v>
      </c>
      <c r="D60" s="324"/>
      <c r="E60" s="291" t="s">
        <v>362</v>
      </c>
      <c r="F60" s="151">
        <f>ROWS(F$8:$F60)</f>
        <v>53</v>
      </c>
      <c r="G60" s="8" t="str">
        <f>IF(ID!$A$92=E60,F60,"")</f>
        <v/>
      </c>
      <c r="H60" s="8" t="str">
        <f>IFERROR(SMALL($G$8:$G$113,ROWS(G$8:$G60)),"")</f>
        <v/>
      </c>
    </row>
    <row r="61" spans="1:8" x14ac:dyDescent="0.25">
      <c r="B61" s="63">
        <v>5</v>
      </c>
      <c r="C61" s="718">
        <v>0</v>
      </c>
      <c r="D61" s="324"/>
      <c r="E61" s="291" t="s">
        <v>362</v>
      </c>
      <c r="F61" s="151">
        <f>ROWS(F$8:$F61)</f>
        <v>54</v>
      </c>
      <c r="G61" s="8" t="str">
        <f>IF(ID!$A$92=E61,F61,"")</f>
        <v/>
      </c>
      <c r="H61" s="8" t="str">
        <f>IFERROR(SMALL($G$8:$G$113,ROWS(G$8:$G61)),"")</f>
        <v/>
      </c>
    </row>
    <row r="62" spans="1:8" ht="13.8" thickBot="1" x14ac:dyDescent="0.3">
      <c r="B62" s="64">
        <v>9.9</v>
      </c>
      <c r="C62" s="719">
        <v>0.1</v>
      </c>
      <c r="D62" s="324"/>
      <c r="E62" s="291" t="s">
        <v>362</v>
      </c>
      <c r="F62" s="151">
        <f>ROWS(F$8:$F62)</f>
        <v>55</v>
      </c>
      <c r="G62" s="8" t="str">
        <f>IF(ID!$A$92=E62,F62,"")</f>
        <v/>
      </c>
      <c r="H62" s="8" t="str">
        <f>IFERROR(SMALL($G$8:$G$113,ROWS(G$8:$G62)),"")</f>
        <v/>
      </c>
    </row>
    <row r="63" spans="1:8" x14ac:dyDescent="0.25">
      <c r="B63" s="66">
        <v>19.899999999999999</v>
      </c>
      <c r="C63" s="716">
        <v>0.1</v>
      </c>
      <c r="D63" s="324"/>
      <c r="E63" s="291" t="s">
        <v>362</v>
      </c>
      <c r="F63" s="151">
        <f>ROWS(F$8:$F63)</f>
        <v>56</v>
      </c>
      <c r="G63" s="8" t="str">
        <f>IF(ID!$A$92=E63,F63,"")</f>
        <v/>
      </c>
      <c r="H63" s="8" t="str">
        <f>IFERROR(SMALL($G$8:$G$113,ROWS(G$8:$G63)),"")</f>
        <v/>
      </c>
    </row>
    <row r="64" spans="1:8" x14ac:dyDescent="0.25">
      <c r="B64" s="66">
        <v>49.7</v>
      </c>
      <c r="C64" s="716">
        <v>0.3</v>
      </c>
      <c r="D64" s="324"/>
      <c r="E64" s="291" t="s">
        <v>362</v>
      </c>
      <c r="F64" s="151">
        <f>ROWS(F$8:$F64)</f>
        <v>57</v>
      </c>
      <c r="G64" s="8" t="str">
        <f>IF(ID!$A$92=E64,F64,"")</f>
        <v/>
      </c>
      <c r="H64" s="8" t="str">
        <f>IFERROR(SMALL($G$8:$G$113,ROWS(G$8:$G64)),"")</f>
        <v/>
      </c>
    </row>
    <row r="65" spans="1:8" x14ac:dyDescent="0.25">
      <c r="B65" s="66">
        <v>99.4</v>
      </c>
      <c r="C65" s="716">
        <v>0.6</v>
      </c>
      <c r="D65" s="324"/>
      <c r="E65" s="291" t="s">
        <v>362</v>
      </c>
      <c r="F65" s="151">
        <f>ROWS(F$8:$F65)</f>
        <v>58</v>
      </c>
      <c r="G65" s="8" t="str">
        <f>IF(ID!$A$92=E65,F65,"")</f>
        <v/>
      </c>
      <c r="H65" s="8" t="str">
        <f>IFERROR(SMALL($G$8:$G$113,ROWS(G$8:$G65)),"")</f>
        <v/>
      </c>
    </row>
    <row r="66" spans="1:8" s="294" customFormat="1" x14ac:dyDescent="0.25">
      <c r="B66" s="348">
        <v>200</v>
      </c>
      <c r="C66" s="720">
        <f>C65</f>
        <v>0.6</v>
      </c>
      <c r="D66" s="345"/>
      <c r="E66" s="293" t="s">
        <v>362</v>
      </c>
      <c r="F66" s="151">
        <f>ROWS(F$8:$F66)</f>
        <v>59</v>
      </c>
      <c r="G66" s="8" t="str">
        <f>IF(ID!$A$92=E66,F66,"")</f>
        <v/>
      </c>
      <c r="H66" s="8" t="str">
        <f>IFERROR(SMALL($G$8:$G$113,ROWS(G$8:$G66)),"")</f>
        <v/>
      </c>
    </row>
    <row r="67" spans="1:8" x14ac:dyDescent="0.25">
      <c r="E67" s="2"/>
      <c r="F67" s="151">
        <f>ROWS(F$8:$F67)</f>
        <v>60</v>
      </c>
      <c r="G67" s="8" t="str">
        <f>IF(ID!$A$92=E67,F67,"")</f>
        <v/>
      </c>
      <c r="H67" s="8" t="str">
        <f>IFERROR(SMALL($G$8:$G$113,ROWS(G$8:$G67)),"")</f>
        <v/>
      </c>
    </row>
    <row r="68" spans="1:8" x14ac:dyDescent="0.25">
      <c r="E68" s="2"/>
      <c r="F68" s="151">
        <f>ROWS(F$8:$F68)</f>
        <v>61</v>
      </c>
      <c r="G68" s="8" t="str">
        <f>IF(ID!$A$92=E68,F68,"")</f>
        <v/>
      </c>
      <c r="H68" s="8" t="str">
        <f>IFERROR(SMALL($G$8:$G$113,ROWS(G$8:$G68)),"")</f>
        <v/>
      </c>
    </row>
    <row r="69" spans="1:8" ht="13.8" x14ac:dyDescent="0.25">
      <c r="A69" s="524"/>
      <c r="B69" s="710" t="s">
        <v>214</v>
      </c>
      <c r="C69" s="711" t="s">
        <v>181</v>
      </c>
      <c r="D69" s="712" t="s">
        <v>56</v>
      </c>
      <c r="E69" s="2"/>
      <c r="F69" s="151">
        <f>ROWS(F$8:$F69)</f>
        <v>62</v>
      </c>
      <c r="G69" s="8" t="str">
        <f>IF(ID!$A$92=E69,F69,"")</f>
        <v/>
      </c>
      <c r="H69" s="8" t="str">
        <f>IFERROR(SMALL($G$8:$G$113,ROWS(G$8:$G69)),"")</f>
        <v/>
      </c>
    </row>
    <row r="70" spans="1:8" x14ac:dyDescent="0.25">
      <c r="B70" s="66">
        <v>0</v>
      </c>
      <c r="C70" s="708">
        <v>0</v>
      </c>
      <c r="D70" s="324">
        <v>2022</v>
      </c>
      <c r="E70" s="291" t="s">
        <v>845</v>
      </c>
      <c r="F70" s="151">
        <f>ROWS(F$8:$F70)</f>
        <v>63</v>
      </c>
      <c r="G70" s="8" t="str">
        <f>IF(ID!$A$92=E70,F70,"")</f>
        <v/>
      </c>
      <c r="H70" s="8" t="str">
        <f>IFERROR(SMALL($G$8:$G$113,ROWS(G$8:$G70)),"")</f>
        <v/>
      </c>
    </row>
    <row r="71" spans="1:8" ht="13.8" x14ac:dyDescent="0.25">
      <c r="B71" s="62">
        <v>1</v>
      </c>
      <c r="C71" s="708">
        <v>0</v>
      </c>
      <c r="D71" s="324"/>
      <c r="E71" s="291" t="s">
        <v>845</v>
      </c>
      <c r="F71" s="151">
        <f>ROWS(F$8:$F71)</f>
        <v>64</v>
      </c>
      <c r="G71" s="8" t="str">
        <f>IF(ID!$A$92=E71,F71,"")</f>
        <v/>
      </c>
      <c r="H71" s="8" t="str">
        <f>IFERROR(SMALL($G$8:$G$113,ROWS(G$8:$G71)),"")</f>
        <v/>
      </c>
    </row>
    <row r="72" spans="1:8" x14ac:dyDescent="0.25">
      <c r="B72" s="63">
        <v>2</v>
      </c>
      <c r="C72" s="708">
        <v>0</v>
      </c>
      <c r="D72" s="324"/>
      <c r="E72" s="291" t="s">
        <v>845</v>
      </c>
      <c r="F72" s="151">
        <f>ROWS(F$8:$F72)</f>
        <v>65</v>
      </c>
      <c r="G72" s="8" t="str">
        <f>IF(ID!$A$92=E72,F72,"")</f>
        <v/>
      </c>
      <c r="H72" s="8" t="str">
        <f>IFERROR(SMALL($G$8:$G$113,ROWS(G$8:$G72)),"")</f>
        <v/>
      </c>
    </row>
    <row r="73" spans="1:8" x14ac:dyDescent="0.25">
      <c r="B73" s="63">
        <v>5</v>
      </c>
      <c r="C73" s="708">
        <v>0</v>
      </c>
      <c r="D73" s="324"/>
      <c r="E73" s="291" t="s">
        <v>845</v>
      </c>
      <c r="F73" s="151">
        <f>ROWS(F$8:$F73)</f>
        <v>66</v>
      </c>
      <c r="G73" s="8" t="str">
        <f>IF(ID!$A$92=E73,F73,"")</f>
        <v/>
      </c>
      <c r="H73" s="8" t="str">
        <f>IFERROR(SMALL($G$8:$G$113,ROWS(G$8:$G73)),"")</f>
        <v/>
      </c>
    </row>
    <row r="74" spans="1:8" ht="13.8" thickBot="1" x14ac:dyDescent="0.3">
      <c r="B74" s="64">
        <v>10</v>
      </c>
      <c r="C74" s="708">
        <v>0</v>
      </c>
      <c r="D74" s="324"/>
      <c r="E74" s="291" t="s">
        <v>845</v>
      </c>
      <c r="F74" s="151">
        <f>ROWS(F$8:$F74)</f>
        <v>67</v>
      </c>
      <c r="G74" s="8" t="str">
        <f>IF(ID!$A$92=E74,F74,"")</f>
        <v/>
      </c>
      <c r="H74" s="8" t="str">
        <f>IFERROR(SMALL($G$8:$G$113,ROWS(G$8:$G74)),"")</f>
        <v/>
      </c>
    </row>
    <row r="75" spans="1:8" x14ac:dyDescent="0.25">
      <c r="B75" s="66">
        <v>19.899999999999999</v>
      </c>
      <c r="C75" s="708">
        <v>0.1</v>
      </c>
      <c r="D75" s="324"/>
      <c r="E75" s="291" t="s">
        <v>845</v>
      </c>
      <c r="F75" s="151">
        <f>ROWS(F$8:$F75)</f>
        <v>68</v>
      </c>
      <c r="G75" s="8" t="str">
        <f>IF(ID!$A$92=E75,F75,"")</f>
        <v/>
      </c>
      <c r="H75" s="8" t="str">
        <f>IFERROR(SMALL($G$8:$G$113,ROWS(G$8:$G75)),"")</f>
        <v/>
      </c>
    </row>
    <row r="76" spans="1:8" x14ac:dyDescent="0.25">
      <c r="B76" s="66">
        <v>49.5</v>
      </c>
      <c r="C76" s="708">
        <v>0.5</v>
      </c>
      <c r="D76" s="324"/>
      <c r="E76" s="291" t="s">
        <v>845</v>
      </c>
      <c r="F76" s="151">
        <f>ROWS(F$8:$F76)</f>
        <v>69</v>
      </c>
      <c r="G76" s="8" t="str">
        <f>IF(ID!$A$92=E76,F76,"")</f>
        <v/>
      </c>
      <c r="H76" s="8" t="str">
        <f>IFERROR(SMALL($G$8:$G$113,ROWS(G$8:$G76)),"")</f>
        <v/>
      </c>
    </row>
    <row r="77" spans="1:8" x14ac:dyDescent="0.25">
      <c r="B77" s="66">
        <v>99.1</v>
      </c>
      <c r="C77" s="708">
        <v>0.9</v>
      </c>
      <c r="D77" s="324"/>
      <c r="E77" s="291" t="s">
        <v>845</v>
      </c>
      <c r="F77" s="151">
        <f>ROWS(F$8:$F77)</f>
        <v>70</v>
      </c>
      <c r="G77" s="8" t="str">
        <f>IF(ID!$A$92=E77,F77,"")</f>
        <v/>
      </c>
      <c r="H77" s="8" t="str">
        <f>IFERROR(SMALL($G$8:$G$113,ROWS(G$8:$G77)),"")</f>
        <v/>
      </c>
    </row>
    <row r="78" spans="1:8" x14ac:dyDescent="0.25">
      <c r="B78" s="348">
        <v>200</v>
      </c>
      <c r="C78" s="349">
        <f>C77</f>
        <v>0.9</v>
      </c>
      <c r="E78" s="291" t="s">
        <v>845</v>
      </c>
      <c r="F78" s="151">
        <f>ROWS(F$8:$F78)</f>
        <v>71</v>
      </c>
      <c r="G78" s="8" t="str">
        <f>IF(ID!$A$92=E78,F78,"")</f>
        <v/>
      </c>
      <c r="H78" s="8" t="str">
        <f>IFERROR(SMALL($G$8:$G$113,ROWS(G$8:$G78)),"")</f>
        <v/>
      </c>
    </row>
    <row r="79" spans="1:8" x14ac:dyDescent="0.25">
      <c r="F79" s="151">
        <f>ROWS(F$8:$F79)</f>
        <v>72</v>
      </c>
      <c r="G79" s="8" t="str">
        <f>IF(ID!$A$92=E79,F79,"")</f>
        <v/>
      </c>
      <c r="H79" s="8" t="str">
        <f>IFERROR(SMALL($G$8:$G$113,ROWS(G$8:$G79)),"")</f>
        <v/>
      </c>
    </row>
    <row r="80" spans="1:8" ht="13.8" x14ac:dyDescent="0.25">
      <c r="A80" s="524"/>
      <c r="B80" s="710" t="s">
        <v>214</v>
      </c>
      <c r="C80" s="711" t="s">
        <v>181</v>
      </c>
      <c r="D80" s="712" t="s">
        <v>56</v>
      </c>
      <c r="F80" s="151">
        <f>ROWS(F$8:$F80)</f>
        <v>73</v>
      </c>
      <c r="G80" s="8" t="str">
        <f>IF(ID!$A$92=E80,F80,"")</f>
        <v/>
      </c>
      <c r="H80" s="8" t="str">
        <f>IFERROR(SMALL($G$8:$G$113,ROWS(G$8:$G80)),"")</f>
        <v/>
      </c>
    </row>
    <row r="81" spans="1:8" x14ac:dyDescent="0.25">
      <c r="B81" s="66">
        <v>0</v>
      </c>
      <c r="C81" s="708">
        <v>0</v>
      </c>
      <c r="D81" s="324">
        <v>2022</v>
      </c>
      <c r="E81" s="292" t="s">
        <v>369</v>
      </c>
      <c r="F81" s="151">
        <f>ROWS(F$8:$F81)</f>
        <v>74</v>
      </c>
      <c r="G81" s="8" t="str">
        <f>IF(ID!$A$92=E81,F81,"")</f>
        <v/>
      </c>
      <c r="H81" s="8" t="str">
        <f>IFERROR(SMALL($G$8:$G$113,ROWS(G$8:$G81)),"")</f>
        <v/>
      </c>
    </row>
    <row r="82" spans="1:8" ht="13.8" x14ac:dyDescent="0.25">
      <c r="B82" s="62">
        <v>1</v>
      </c>
      <c r="C82" s="708">
        <v>0</v>
      </c>
      <c r="D82" s="324"/>
      <c r="E82" s="292" t="s">
        <v>369</v>
      </c>
      <c r="F82" s="151">
        <f>ROWS(F$8:$F82)</f>
        <v>75</v>
      </c>
      <c r="G82" s="8" t="str">
        <f>IF(ID!$A$92=E82,F82,"")</f>
        <v/>
      </c>
      <c r="H82" s="8" t="str">
        <f>IFERROR(SMALL($G$8:$G$113,ROWS(G$8:$G82)),"")</f>
        <v/>
      </c>
    </row>
    <row r="83" spans="1:8" x14ac:dyDescent="0.25">
      <c r="B83" s="63">
        <v>2</v>
      </c>
      <c r="C83" s="708">
        <v>0</v>
      </c>
      <c r="D83" s="324"/>
      <c r="E83" s="292" t="s">
        <v>369</v>
      </c>
      <c r="F83" s="151">
        <f>ROWS(F$8:$F83)</f>
        <v>76</v>
      </c>
      <c r="G83" s="8" t="str">
        <f>IF(ID!$A$92=E83,F83,"")</f>
        <v/>
      </c>
      <c r="H83" s="8" t="str">
        <f>IFERROR(SMALL($G$8:$G$113,ROWS(G$8:$G83)),"")</f>
        <v/>
      </c>
    </row>
    <row r="84" spans="1:8" x14ac:dyDescent="0.25">
      <c r="B84" s="63">
        <v>5</v>
      </c>
      <c r="C84" s="708">
        <v>0</v>
      </c>
      <c r="D84" s="324"/>
      <c r="E84" s="292" t="s">
        <v>369</v>
      </c>
      <c r="F84" s="151">
        <f>ROWS(F$8:$F84)</f>
        <v>77</v>
      </c>
      <c r="G84" s="8" t="str">
        <f>IF(ID!$A$92=E84,F84,"")</f>
        <v/>
      </c>
      <c r="H84" s="8" t="str">
        <f>IFERROR(SMALL($G$8:$G$113,ROWS(G$8:$G84)),"")</f>
        <v/>
      </c>
    </row>
    <row r="85" spans="1:8" ht="13.8" thickBot="1" x14ac:dyDescent="0.3">
      <c r="B85" s="64">
        <v>10</v>
      </c>
      <c r="C85" s="708">
        <v>0</v>
      </c>
      <c r="D85" s="324"/>
      <c r="E85" s="292" t="s">
        <v>369</v>
      </c>
      <c r="F85" s="151">
        <f>ROWS(F$8:$F85)</f>
        <v>78</v>
      </c>
      <c r="G85" s="8" t="str">
        <f>IF(ID!$A$92=E85,F85,"")</f>
        <v/>
      </c>
      <c r="H85" s="8" t="str">
        <f>IFERROR(SMALL($G$8:$G$113,ROWS(G$8:$G85)),"")</f>
        <v/>
      </c>
    </row>
    <row r="86" spans="1:8" x14ac:dyDescent="0.25">
      <c r="B86" s="66">
        <v>20</v>
      </c>
      <c r="C86" s="708">
        <v>0</v>
      </c>
      <c r="D86" s="324"/>
      <c r="E86" s="292" t="s">
        <v>369</v>
      </c>
      <c r="F86" s="151">
        <f>ROWS(F$8:$F86)</f>
        <v>79</v>
      </c>
      <c r="G86" s="8" t="str">
        <f>IF(ID!$A$92=E86,F86,"")</f>
        <v/>
      </c>
      <c r="H86" s="8" t="str">
        <f>IFERROR(SMALL($G$8:$G$113,ROWS(G$8:$G86)),"")</f>
        <v/>
      </c>
    </row>
    <row r="87" spans="1:8" x14ac:dyDescent="0.25">
      <c r="B87" s="66">
        <v>50</v>
      </c>
      <c r="C87" s="708">
        <v>0.2</v>
      </c>
      <c r="D87" s="335"/>
      <c r="E87" s="292" t="s">
        <v>369</v>
      </c>
      <c r="F87" s="151">
        <f>ROWS(F$8:$F87)</f>
        <v>80</v>
      </c>
      <c r="G87" s="8" t="str">
        <f>IF(ID!$A$92=E87,F87,"")</f>
        <v/>
      </c>
      <c r="H87" s="8" t="str">
        <f>IFERROR(SMALL($G$8:$G$113,ROWS(G$8:$G87)),"")</f>
        <v/>
      </c>
    </row>
    <row r="88" spans="1:8" x14ac:dyDescent="0.25">
      <c r="B88" s="66">
        <v>100</v>
      </c>
      <c r="C88" s="708">
        <v>0.4</v>
      </c>
      <c r="D88" s="324"/>
      <c r="E88" s="292" t="s">
        <v>369</v>
      </c>
      <c r="F88" s="151">
        <f>ROWS(F$8:$F88)</f>
        <v>81</v>
      </c>
      <c r="G88" s="8" t="str">
        <f>IF(ID!$A$92=E88,F88,"")</f>
        <v/>
      </c>
      <c r="H88" s="8" t="str">
        <f>IFERROR(SMALL($G$8:$G$113,ROWS(G$8:$G88)),"")</f>
        <v/>
      </c>
    </row>
    <row r="89" spans="1:8" x14ac:dyDescent="0.25">
      <c r="B89" s="348">
        <v>200</v>
      </c>
      <c r="C89" s="349">
        <f>C88</f>
        <v>0.4</v>
      </c>
      <c r="E89" s="293" t="s">
        <v>369</v>
      </c>
      <c r="F89" s="151">
        <f>ROWS(F$8:$F89)</f>
        <v>82</v>
      </c>
      <c r="G89" s="8" t="str">
        <f>IF(ID!$A$92=E89,F89,"")</f>
        <v/>
      </c>
      <c r="H89" s="8" t="str">
        <f>IFERROR(SMALL($G$8:$G$113,ROWS(G$8:$G89)),"")</f>
        <v/>
      </c>
    </row>
    <row r="90" spans="1:8" x14ac:dyDescent="0.25">
      <c r="F90" s="151">
        <f>ROWS(F$8:$F90)</f>
        <v>83</v>
      </c>
      <c r="G90" s="8" t="str">
        <f>IF(ID!$A$92=E90,F90,"")</f>
        <v/>
      </c>
      <c r="H90" s="8" t="str">
        <f>IFERROR(SMALL($G$8:$G$113,ROWS(G$8:$G90)),"")</f>
        <v/>
      </c>
    </row>
    <row r="91" spans="1:8" ht="13.8" x14ac:dyDescent="0.25">
      <c r="A91" s="524"/>
      <c r="B91" s="710" t="s">
        <v>214</v>
      </c>
      <c r="C91" s="711" t="s">
        <v>181</v>
      </c>
      <c r="D91" s="712" t="s">
        <v>56</v>
      </c>
      <c r="F91" s="151">
        <f>ROWS(F$8:$F91)</f>
        <v>84</v>
      </c>
      <c r="G91" s="8" t="str">
        <f>IF(ID!$A$92=E91,F91,"")</f>
        <v/>
      </c>
      <c r="H91" s="8" t="str">
        <f>IFERROR(SMALL($G$8:$G$113,ROWS(G$8:$G91)),"")</f>
        <v/>
      </c>
    </row>
    <row r="92" spans="1:8" x14ac:dyDescent="0.25">
      <c r="B92" s="60">
        <v>0</v>
      </c>
      <c r="C92" s="303">
        <v>0</v>
      </c>
      <c r="D92" s="321">
        <v>2022</v>
      </c>
      <c r="E92" s="292" t="s">
        <v>370</v>
      </c>
      <c r="F92" s="151">
        <f>ROWS(F$8:$F92)</f>
        <v>85</v>
      </c>
      <c r="G92" s="8">
        <f>IF(ID!$A$92=E92,F92,"")</f>
        <v>85</v>
      </c>
      <c r="H92" s="8" t="str">
        <f>IFERROR(SMALL($G$8:$G$113,ROWS(G$8:$G92)),"")</f>
        <v/>
      </c>
    </row>
    <row r="93" spans="1:8" ht="13.8" x14ac:dyDescent="0.25">
      <c r="B93" s="59">
        <v>1</v>
      </c>
      <c r="C93" s="303">
        <v>0</v>
      </c>
      <c r="D93" s="114"/>
      <c r="E93" s="292" t="s">
        <v>370</v>
      </c>
      <c r="F93" s="151">
        <f>ROWS(F$8:$F93)</f>
        <v>86</v>
      </c>
      <c r="G93" s="8">
        <f>IF(ID!$A$92=E93,F93,"")</f>
        <v>86</v>
      </c>
      <c r="H93" s="8" t="str">
        <f>IFERROR(SMALL($G$8:$G$113,ROWS(G$8:$G93)),"")</f>
        <v/>
      </c>
    </row>
    <row r="94" spans="1:8" x14ac:dyDescent="0.25">
      <c r="B94" s="60">
        <v>2</v>
      </c>
      <c r="C94" s="303">
        <v>0</v>
      </c>
      <c r="D94" s="114"/>
      <c r="E94" s="292" t="s">
        <v>370</v>
      </c>
      <c r="F94" s="151">
        <f>ROWS(F$8:$F94)</f>
        <v>87</v>
      </c>
      <c r="G94" s="8">
        <f>IF(ID!$A$92=E94,F94,"")</f>
        <v>87</v>
      </c>
      <c r="H94" s="8" t="str">
        <f>IFERROR(SMALL($G$8:$G$113,ROWS(G$8:$G94)),"")</f>
        <v/>
      </c>
    </row>
    <row r="95" spans="1:8" x14ac:dyDescent="0.25">
      <c r="B95" s="60">
        <v>5</v>
      </c>
      <c r="C95" s="303">
        <v>0</v>
      </c>
      <c r="D95" s="114"/>
      <c r="E95" s="292" t="s">
        <v>370</v>
      </c>
      <c r="F95" s="151">
        <f>ROWS(F$8:$F95)</f>
        <v>88</v>
      </c>
      <c r="G95" s="8">
        <f>IF(ID!$A$92=E95,F95,"")</f>
        <v>88</v>
      </c>
      <c r="H95" s="8" t="str">
        <f>IFERROR(SMALL($G$8:$G$113,ROWS(G$8:$G95)),"")</f>
        <v/>
      </c>
    </row>
    <row r="96" spans="1:8" x14ac:dyDescent="0.25">
      <c r="B96" s="60">
        <v>10</v>
      </c>
      <c r="C96" s="303">
        <v>0</v>
      </c>
      <c r="D96" s="114"/>
      <c r="E96" s="292" t="s">
        <v>370</v>
      </c>
      <c r="F96" s="151">
        <f>ROWS(F$8:$F96)</f>
        <v>89</v>
      </c>
      <c r="G96" s="8">
        <f>IF(ID!$A$92=E96,F96,"")</f>
        <v>89</v>
      </c>
      <c r="H96" s="8" t="str">
        <f>IFERROR(SMALL($G$8:$G$113,ROWS(G$8:$G96)),"")</f>
        <v/>
      </c>
    </row>
    <row r="97" spans="2:8" x14ac:dyDescent="0.25">
      <c r="B97" s="60">
        <v>20</v>
      </c>
      <c r="C97" s="303">
        <v>0</v>
      </c>
      <c r="D97" s="114"/>
      <c r="E97" s="292" t="s">
        <v>370</v>
      </c>
      <c r="F97" s="151">
        <f>ROWS(F$8:$F97)</f>
        <v>90</v>
      </c>
      <c r="G97" s="8">
        <f>IF(ID!$A$92=E97,F97,"")</f>
        <v>90</v>
      </c>
      <c r="H97" s="8" t="str">
        <f>IFERROR(SMALL($G$8:$G$113,ROWS(G$8:$G97)),"")</f>
        <v/>
      </c>
    </row>
    <row r="98" spans="2:8" x14ac:dyDescent="0.25">
      <c r="B98" s="60">
        <v>49.8</v>
      </c>
      <c r="C98" s="303">
        <v>0.2</v>
      </c>
      <c r="D98" s="116"/>
      <c r="E98" s="292" t="s">
        <v>370</v>
      </c>
      <c r="F98" s="151">
        <f>ROWS(F$8:$F98)</f>
        <v>91</v>
      </c>
      <c r="G98" s="8">
        <f>IF(ID!$A$92=E98,F98,"")</f>
        <v>91</v>
      </c>
      <c r="H98" s="8" t="str">
        <f>IFERROR(SMALL($G$8:$G$113,ROWS(G$8:$G98)),"")</f>
        <v/>
      </c>
    </row>
    <row r="99" spans="2:8" x14ac:dyDescent="0.25">
      <c r="B99" s="60">
        <v>99.4</v>
      </c>
      <c r="C99" s="303">
        <v>0.6</v>
      </c>
      <c r="D99" s="43"/>
      <c r="E99" s="292" t="s">
        <v>370</v>
      </c>
      <c r="F99" s="151">
        <f>ROWS(F$8:$F99)</f>
        <v>92</v>
      </c>
      <c r="G99" s="8">
        <f>IF(ID!$A$92=E99,F99,"")</f>
        <v>92</v>
      </c>
      <c r="H99" s="8" t="str">
        <f>IFERROR(SMALL($G$8:$G$113,ROWS(G$8:$G99)),"")</f>
        <v/>
      </c>
    </row>
    <row r="100" spans="2:8" x14ac:dyDescent="0.25">
      <c r="B100" s="348">
        <v>200</v>
      </c>
      <c r="C100" s="349">
        <f>C99</f>
        <v>0.6</v>
      </c>
      <c r="E100" s="293" t="s">
        <v>370</v>
      </c>
      <c r="F100" s="151">
        <f>ROWS(F$8:$F100)</f>
        <v>93</v>
      </c>
      <c r="G100" s="8">
        <f>IF(ID!$A$92=E100,F100,"")</f>
        <v>93</v>
      </c>
      <c r="H100" s="8" t="str">
        <f>IFERROR(SMALL($G$8:$G$113,ROWS(G$8:$G100)),"")</f>
        <v/>
      </c>
    </row>
    <row r="101" spans="2:8" x14ac:dyDescent="0.25">
      <c r="F101" s="151">
        <f>ROWS(F$8:$F101)</f>
        <v>94</v>
      </c>
      <c r="G101" s="8" t="str">
        <f>IF(ID!$A$92=E101,F101,"")</f>
        <v/>
      </c>
      <c r="H101" s="8" t="str">
        <f>IFERROR(SMALL($G$8:$G$113,ROWS(G$8:$G101)),"")</f>
        <v/>
      </c>
    </row>
    <row r="102" spans="2:8" x14ac:dyDescent="0.25">
      <c r="F102" s="151">
        <f>ROWS(F$8:$F102)</f>
        <v>95</v>
      </c>
      <c r="G102" s="8" t="str">
        <f>IF(ID!$A$92=E102,F102,"")</f>
        <v/>
      </c>
      <c r="H102" s="8" t="str">
        <f>IFERROR(SMALL($G$8:$G$113,ROWS(G$8:$G102)),"")</f>
        <v/>
      </c>
    </row>
    <row r="103" spans="2:8" x14ac:dyDescent="0.25">
      <c r="B103" s="60">
        <v>0</v>
      </c>
      <c r="C103" s="715">
        <v>0</v>
      </c>
      <c r="D103" s="321">
        <v>2021</v>
      </c>
      <c r="E103" s="291"/>
      <c r="F103" s="151">
        <f>ROWS(F$8:$F103)</f>
        <v>96</v>
      </c>
      <c r="G103" s="8" t="str">
        <f>IF(ID!$A$92=E103,F103,"")</f>
        <v/>
      </c>
      <c r="H103" s="8" t="str">
        <f>IFERROR(SMALL($G$8:$G$113,ROWS(G$8:$G103)),"")</f>
        <v/>
      </c>
    </row>
    <row r="104" spans="2:8" ht="13.8" x14ac:dyDescent="0.25">
      <c r="B104" s="59">
        <v>1</v>
      </c>
      <c r="C104" s="303">
        <v>0</v>
      </c>
      <c r="D104" s="43"/>
      <c r="E104" s="291"/>
      <c r="F104" s="151">
        <f>ROWS(F$8:$F104)</f>
        <v>97</v>
      </c>
      <c r="G104" s="8" t="str">
        <f>IF(ID!$A$92=E104,F104,"")</f>
        <v/>
      </c>
      <c r="H104" s="8" t="str">
        <f>IFERROR(SMALL($G$8:$G$113,ROWS(G$8:$G104)),"")</f>
        <v/>
      </c>
    </row>
    <row r="105" spans="2:8" x14ac:dyDescent="0.25">
      <c r="B105" s="60">
        <v>2</v>
      </c>
      <c r="C105" s="304">
        <v>0</v>
      </c>
      <c r="D105" s="43"/>
      <c r="E105" s="291"/>
      <c r="F105" s="151">
        <f>ROWS(F$8:$F105)</f>
        <v>98</v>
      </c>
      <c r="G105" s="8" t="str">
        <f>IF(ID!$A$92=E105,F105,"")</f>
        <v/>
      </c>
      <c r="H105" s="8" t="str">
        <f>IFERROR(SMALL($G$8:$G$113,ROWS(G$8:$G105)),"")</f>
        <v/>
      </c>
    </row>
    <row r="106" spans="2:8" x14ac:dyDescent="0.25">
      <c r="B106" s="60">
        <v>5</v>
      </c>
      <c r="C106" s="304">
        <v>0</v>
      </c>
      <c r="D106" s="43"/>
      <c r="E106" s="291"/>
      <c r="F106" s="151">
        <f>ROWS(F$8:$F106)</f>
        <v>99</v>
      </c>
      <c r="G106" s="8" t="str">
        <f>IF(ID!$A$92=E106,F106,"")</f>
        <v/>
      </c>
      <c r="H106" s="8" t="str">
        <f>IFERROR(SMALL($G$8:$G$113,ROWS(G$8:$G106)),"")</f>
        <v/>
      </c>
    </row>
    <row r="107" spans="2:8" x14ac:dyDescent="0.25">
      <c r="B107" s="60">
        <v>10</v>
      </c>
      <c r="C107" s="304">
        <v>0</v>
      </c>
      <c r="D107" s="43"/>
      <c r="E107" s="291"/>
      <c r="F107" s="151">
        <f>ROWS(F$8:$F107)</f>
        <v>100</v>
      </c>
      <c r="G107" s="8" t="str">
        <f>IF(ID!$A$92=E107,F107,"")</f>
        <v/>
      </c>
      <c r="H107" s="8" t="str">
        <f>IFERROR(SMALL($G$8:$G$113,ROWS(G$8:$G107)),"")</f>
        <v/>
      </c>
    </row>
    <row r="108" spans="2:8" x14ac:dyDescent="0.25">
      <c r="B108" s="60">
        <v>19.899999999999999</v>
      </c>
      <c r="C108" s="304">
        <v>0.1</v>
      </c>
      <c r="D108" s="43"/>
      <c r="E108" s="291"/>
      <c r="F108" s="151">
        <f>ROWS(F$8:$F108)</f>
        <v>101</v>
      </c>
      <c r="G108" s="8" t="str">
        <f>IF(ID!$A$92=E108,F108,"")</f>
        <v/>
      </c>
      <c r="H108" s="8" t="str">
        <f>IFERROR(SMALL($G$8:$G$113,ROWS(G$8:$G108)),"")</f>
        <v/>
      </c>
    </row>
    <row r="109" spans="2:8" x14ac:dyDescent="0.25">
      <c r="B109" s="60">
        <v>49.6</v>
      </c>
      <c r="C109" s="304">
        <v>0.4</v>
      </c>
      <c r="D109" s="43"/>
      <c r="E109" s="291"/>
      <c r="F109" s="151">
        <f>ROWS(F$8:$F109)</f>
        <v>102</v>
      </c>
      <c r="G109" s="8" t="str">
        <f>IF(ID!$A$92=E109,F109,"")</f>
        <v/>
      </c>
      <c r="H109" s="8" t="str">
        <f>IFERROR(SMALL($G$8:$G$113,ROWS(G$8:$G109)),"")</f>
        <v/>
      </c>
    </row>
    <row r="110" spans="2:8" x14ac:dyDescent="0.25">
      <c r="B110" s="60">
        <v>98.6</v>
      </c>
      <c r="C110" s="304">
        <v>1.4</v>
      </c>
      <c r="D110" s="43"/>
      <c r="E110" s="291"/>
      <c r="F110" s="151">
        <f>ROWS(F$8:$F110)</f>
        <v>103</v>
      </c>
      <c r="G110" s="8" t="str">
        <f>IF(ID!$A$92=E110,F110,"")</f>
        <v/>
      </c>
      <c r="H110" s="8" t="str">
        <f>IFERROR(SMALL($G$8:$G$113,ROWS(G$8:$G110)),"")</f>
        <v/>
      </c>
    </row>
    <row r="111" spans="2:8" x14ac:dyDescent="0.25">
      <c r="B111" s="348">
        <v>200</v>
      </c>
      <c r="C111" s="349">
        <f>C110</f>
        <v>1.4</v>
      </c>
      <c r="D111" s="315"/>
      <c r="E111" s="293"/>
      <c r="F111" s="151">
        <f>ROWS(F$8:$F111)</f>
        <v>104</v>
      </c>
      <c r="G111" s="8" t="str">
        <f>IF(ID!$A$92=E111,F111,"")</f>
        <v/>
      </c>
      <c r="H111" s="8" t="str">
        <f>IFERROR(SMALL($G$8:$G$113,ROWS(G$8:$G111)),"")</f>
        <v/>
      </c>
    </row>
    <row r="112" spans="2:8" x14ac:dyDescent="0.25">
      <c r="F112" s="151">
        <f>ROWS(F$8:$F112)</f>
        <v>105</v>
      </c>
      <c r="G112" s="8" t="str">
        <f>IF(ID!$A$92=E112,F112,"")</f>
        <v/>
      </c>
      <c r="H112" s="8" t="str">
        <f>IFERROR(SMALL($G$8:$G$113,ROWS(G$8:$G112)),"")</f>
        <v/>
      </c>
    </row>
    <row r="113" spans="6:8" x14ac:dyDescent="0.25">
      <c r="F113" s="151">
        <f>ROWS(F$8:$F113)</f>
        <v>106</v>
      </c>
      <c r="G113" s="8" t="str">
        <f>IF(ID!$A$92=E113,F113,"")</f>
        <v/>
      </c>
      <c r="H113" s="8" t="str">
        <f>IFERROR(SMALL($G$8:$G$113,ROWS(G$8:$G113)),"")</f>
        <v/>
      </c>
    </row>
  </sheetData>
  <phoneticPr fontId="8"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I259"/>
  <sheetViews>
    <sheetView topLeftCell="V1" workbookViewId="0">
      <pane ySplit="7" topLeftCell="A8" activePane="bottomLeft" state="frozen"/>
      <selection pane="bottomLeft" activeCell="AE21" sqref="AE21"/>
    </sheetView>
  </sheetViews>
  <sheetFormatPr defaultColWidth="9.21875" defaultRowHeight="10.199999999999999" x14ac:dyDescent="0.2"/>
  <cols>
    <col min="1" max="1" width="9.21875" style="152"/>
    <col min="2" max="2" width="9.21875" style="617" bestFit="1" customWidth="1"/>
    <col min="3" max="3" width="11.6640625" style="617" customWidth="1"/>
    <col min="4" max="4" width="9.21875" style="617" bestFit="1" customWidth="1"/>
    <col min="5" max="5" width="9.21875" style="618" bestFit="1" customWidth="1"/>
    <col min="6" max="6" width="13.33203125" style="618" customWidth="1"/>
    <col min="7" max="7" width="9.21875" style="618" bestFit="1" customWidth="1"/>
    <col min="8" max="8" width="9.21875" style="619" customWidth="1"/>
    <col min="9" max="9" width="11.77734375" style="619" customWidth="1"/>
    <col min="10" max="11" width="11.77734375" style="619" hidden="1" customWidth="1"/>
    <col min="12" max="12" width="9.21875" style="619" customWidth="1"/>
    <col min="13" max="13" width="10.33203125" style="620" bestFit="1" customWidth="1"/>
    <col min="14" max="14" width="68.88671875" style="152" customWidth="1"/>
    <col min="15" max="19" width="9.21875" style="152" customWidth="1"/>
    <col min="20" max="31" width="12.21875" style="152" customWidth="1"/>
    <col min="32" max="32" width="10.33203125" style="152" customWidth="1"/>
    <col min="33" max="33" width="70" style="152" customWidth="1"/>
    <col min="34" max="34" width="9.21875" style="152" customWidth="1"/>
    <col min="35" max="16384" width="9.21875" style="152"/>
  </cols>
  <sheetData>
    <row r="2" spans="2:35" x14ac:dyDescent="0.2">
      <c r="AG2" s="352" t="s">
        <v>48</v>
      </c>
    </row>
    <row r="3" spans="2:35" x14ac:dyDescent="0.2">
      <c r="AG3" s="675" t="s">
        <v>366</v>
      </c>
      <c r="AH3" s="289"/>
    </row>
    <row r="4" spans="2:35" x14ac:dyDescent="0.2">
      <c r="AG4" s="675" t="s">
        <v>367</v>
      </c>
      <c r="AH4" s="289"/>
    </row>
    <row r="5" spans="2:35" x14ac:dyDescent="0.2">
      <c r="AG5" s="675" t="s">
        <v>368</v>
      </c>
      <c r="AH5" s="289"/>
    </row>
    <row r="6" spans="2:35" x14ac:dyDescent="0.2">
      <c r="B6" s="1645" t="s">
        <v>240</v>
      </c>
      <c r="C6" s="1645"/>
      <c r="D6" s="1645"/>
      <c r="E6" s="1646" t="s">
        <v>241</v>
      </c>
      <c r="F6" s="1646"/>
      <c r="G6" s="1646"/>
      <c r="H6" s="1647" t="s">
        <v>242</v>
      </c>
      <c r="I6" s="1647"/>
      <c r="J6" s="1647"/>
      <c r="K6" s="1647"/>
      <c r="L6" s="1647"/>
      <c r="T6" s="1644" t="s">
        <v>240</v>
      </c>
      <c r="U6" s="1644"/>
      <c r="V6" s="1644"/>
      <c r="W6" s="1644" t="s">
        <v>241</v>
      </c>
      <c r="X6" s="1644"/>
      <c r="Y6" s="1644"/>
      <c r="Z6" s="1644" t="s">
        <v>242</v>
      </c>
      <c r="AA6" s="1644"/>
      <c r="AB6" s="1644"/>
      <c r="AC6" s="1644"/>
      <c r="AD6" s="1644"/>
      <c r="AG6" s="675" t="s">
        <v>420</v>
      </c>
      <c r="AH6" s="289"/>
    </row>
    <row r="7" spans="2:35" x14ac:dyDescent="0.2">
      <c r="B7" s="353" t="s">
        <v>50</v>
      </c>
      <c r="C7" s="353" t="s">
        <v>52</v>
      </c>
      <c r="D7" s="353" t="s">
        <v>54</v>
      </c>
      <c r="E7" s="621" t="s">
        <v>51</v>
      </c>
      <c r="F7" s="621" t="s">
        <v>53</v>
      </c>
      <c r="G7" s="621" t="s">
        <v>55</v>
      </c>
      <c r="H7" s="622" t="s">
        <v>236</v>
      </c>
      <c r="I7" s="622" t="s">
        <v>238</v>
      </c>
      <c r="J7" s="622"/>
      <c r="K7" s="622"/>
      <c r="L7" s="622" t="s">
        <v>237</v>
      </c>
      <c r="M7" s="623" t="s">
        <v>56</v>
      </c>
      <c r="N7" s="352" t="s">
        <v>48</v>
      </c>
      <c r="O7" s="355" t="s">
        <v>90</v>
      </c>
      <c r="P7" s="355" t="s">
        <v>91</v>
      </c>
      <c r="Q7" s="355" t="s">
        <v>92</v>
      </c>
      <c r="T7" s="153" t="s">
        <v>50</v>
      </c>
      <c r="U7" s="153" t="s">
        <v>52</v>
      </c>
      <c r="V7" s="153" t="s">
        <v>54</v>
      </c>
      <c r="W7" s="153" t="s">
        <v>51</v>
      </c>
      <c r="X7" s="153" t="s">
        <v>53</v>
      </c>
      <c r="Y7" s="153" t="s">
        <v>55</v>
      </c>
      <c r="Z7" s="153" t="s">
        <v>236</v>
      </c>
      <c r="AA7" s="153" t="s">
        <v>238</v>
      </c>
      <c r="AB7" s="153"/>
      <c r="AC7" s="153"/>
      <c r="AD7" s="153" t="s">
        <v>237</v>
      </c>
      <c r="AE7" s="354" t="s">
        <v>56</v>
      </c>
      <c r="AG7" s="675" t="s">
        <v>422</v>
      </c>
      <c r="AH7" s="289"/>
    </row>
    <row r="8" spans="2:35" ht="13.2" x14ac:dyDescent="0.2">
      <c r="B8" s="624"/>
      <c r="C8" s="625"/>
      <c r="D8" s="625"/>
      <c r="E8" s="626"/>
      <c r="F8" s="627"/>
      <c r="G8" s="627"/>
      <c r="H8" s="628"/>
      <c r="I8" s="628"/>
      <c r="J8" s="628"/>
      <c r="K8" s="628"/>
      <c r="L8" s="628"/>
      <c r="M8" s="629"/>
      <c r="N8" s="289"/>
      <c r="O8" s="287">
        <f>ROWS($M$8:N8)</f>
        <v>1</v>
      </c>
      <c r="P8" s="287" t="str">
        <f>IF(ID!$A$93=N8,O8,"")</f>
        <v/>
      </c>
      <c r="Q8" s="287">
        <f>IFERROR(SMALL($P$8:$P259,ROWS($P$8:P8)),"")</f>
        <v>219</v>
      </c>
      <c r="T8" s="288">
        <f>IFERROR(INDEX($B$8:$M$259,$Q8,COLUMNS($S$8:S8)),"")</f>
        <v>15</v>
      </c>
      <c r="U8" s="288">
        <f>IFERROR(INDEX($B$8:$M$259,$Q8,COLUMNS($S$8:T8)),"")</f>
        <v>0.1</v>
      </c>
      <c r="V8" s="288">
        <f>IFERROR(INDEX($B$8:$M$259,$Q8,COLUMNS($S$8:U8)),"")</f>
        <v>0.3</v>
      </c>
      <c r="W8" s="288">
        <f>IFERROR(INDEX($B$8:$M$259,$Q8,COLUMNS($S$8:V8)),"")</f>
        <v>30</v>
      </c>
      <c r="X8" s="288">
        <f>IFERROR(INDEX($B$8:$M$259,$Q8,COLUMNS($S$8:W8)),"")</f>
        <v>0.1</v>
      </c>
      <c r="Y8" s="288">
        <f>IFERROR(INDEX($B$8:$M$259,$Q8,COLUMNS($S$8:X8)),"")</f>
        <v>2.8</v>
      </c>
      <c r="Z8" s="288">
        <f>IFERROR(INDEX($B$8:$M$259,$Q8,COLUMNS($S$8:Y8)),"")</f>
        <v>990</v>
      </c>
      <c r="AA8" s="288">
        <f>IFERROR(INDEX($B$8:$M$259,$Q8,COLUMNS($S$8:Z8)),"")</f>
        <v>-0.6</v>
      </c>
      <c r="AB8" s="288"/>
      <c r="AC8" s="288"/>
      <c r="AD8" s="288">
        <f>IFERROR(INDEX($B$8:$M$259,$Q8,COLUMNS($S$8:AC8)),"")</f>
        <v>2.1</v>
      </c>
      <c r="AE8" s="288" t="str">
        <f>IFERROR(INDEX($B$8:$M$259,$Q8,COLUMNS($S$8:AD8)),"")</f>
        <v>12.11.2020</v>
      </c>
      <c r="AG8" s="675" t="s">
        <v>424</v>
      </c>
      <c r="AH8" s="289"/>
    </row>
    <row r="9" spans="2:35" ht="13.2" x14ac:dyDescent="0.2">
      <c r="B9" s="624"/>
      <c r="C9" s="625"/>
      <c r="D9" s="625"/>
      <c r="E9" s="626"/>
      <c r="F9" s="627"/>
      <c r="G9" s="627"/>
      <c r="H9" s="628"/>
      <c r="I9" s="628"/>
      <c r="J9" s="628"/>
      <c r="K9" s="628"/>
      <c r="L9" s="628"/>
      <c r="M9" s="629"/>
      <c r="N9" s="289"/>
      <c r="O9" s="287">
        <f>ROWS($M$8:N9)</f>
        <v>2</v>
      </c>
      <c r="P9" s="287" t="str">
        <f>IF(ID!$A$93=N9,O9,"")</f>
        <v/>
      </c>
      <c r="Q9" s="287">
        <f>IFERROR(SMALL($P$8:$P260,ROWS($P$8:P9)),"")</f>
        <v>220</v>
      </c>
      <c r="T9" s="288">
        <f>IFERROR(INDEX($B$8:$M$259,$Q9,COLUMNS($S$8:S9)),"")</f>
        <v>20</v>
      </c>
      <c r="U9" s="288">
        <f>IFERROR(INDEX($B$8:$M$259,$Q9,COLUMNS($S$8:T9)),"")</f>
        <v>0.1</v>
      </c>
      <c r="V9" s="288">
        <f>IFERROR(INDEX($B$8:$M$259,$Q9,COLUMNS($S$8:U9)),"")</f>
        <v>0.3</v>
      </c>
      <c r="W9" s="288">
        <f>IFERROR(INDEX($B$8:$M$259,$Q9,COLUMNS($S$8:V9)),"")</f>
        <v>40</v>
      </c>
      <c r="X9" s="288">
        <f>IFERROR(INDEX($B$8:$M$259,$Q9,COLUMNS($S$8:W9)),"")</f>
        <v>0.2</v>
      </c>
      <c r="Y9" s="288">
        <f>IFERROR(INDEX($B$8:$M$259,$Q9,COLUMNS($S$8:X9)),"")</f>
        <v>2.8</v>
      </c>
      <c r="Z9" s="288">
        <f>IFERROR(INDEX($B$8:$M$259,$Q9,COLUMNS($S$8:Y9)),"")</f>
        <v>1000</v>
      </c>
      <c r="AA9" s="288">
        <f>IFERROR(INDEX($B$8:$M$259,$Q9,COLUMNS($S$8:Z9)),"")</f>
        <v>-0.6</v>
      </c>
      <c r="AB9" s="288"/>
      <c r="AC9" s="288"/>
      <c r="AD9" s="288">
        <f>IFERROR(INDEX($B$8:$M$259,$Q9,COLUMNS($S$8:AC9)),"")</f>
        <v>2.1</v>
      </c>
      <c r="AE9" s="288"/>
      <c r="AG9" s="675" t="s">
        <v>425</v>
      </c>
      <c r="AH9" s="289"/>
    </row>
    <row r="10" spans="2:35" ht="13.2" x14ac:dyDescent="0.2">
      <c r="B10" s="624"/>
      <c r="C10" s="625"/>
      <c r="D10" s="625"/>
      <c r="E10" s="626"/>
      <c r="F10" s="627"/>
      <c r="G10" s="627"/>
      <c r="H10" s="628"/>
      <c r="I10" s="628"/>
      <c r="J10" s="628"/>
      <c r="K10" s="628"/>
      <c r="L10" s="628"/>
      <c r="M10" s="629"/>
      <c r="N10" s="289"/>
      <c r="O10" s="287">
        <f>ROWS($M$8:N10)</f>
        <v>3</v>
      </c>
      <c r="P10" s="287" t="str">
        <f>IF(ID!$A$93=N10,O10,"")</f>
        <v/>
      </c>
      <c r="Q10" s="287">
        <f>IFERROR(SMALL($P$8:$P261,ROWS($P$8:P10)),"")</f>
        <v>221</v>
      </c>
      <c r="T10" s="288">
        <f>IFERROR(INDEX($B$8:$M$259,$Q10,COLUMNS($S$8:S10)),"")</f>
        <v>25</v>
      </c>
      <c r="U10" s="288">
        <f>IFERROR(INDEX($B$8:$M$259,$Q10,COLUMNS($S$8:T10)),"")</f>
        <v>0</v>
      </c>
      <c r="V10" s="288">
        <f>IFERROR(INDEX($B$8:$M$259,$Q10,COLUMNS($S$8:U10)),"")</f>
        <v>0.3</v>
      </c>
      <c r="W10" s="288">
        <f>IFERROR(INDEX($B$8:$M$259,$Q10,COLUMNS($S$8:V10)),"")</f>
        <v>50</v>
      </c>
      <c r="X10" s="288">
        <f>IFERROR(INDEX($B$8:$M$259,$Q10,COLUMNS($S$8:W10)),"")</f>
        <v>0.2</v>
      </c>
      <c r="Y10" s="288">
        <f>IFERROR(INDEX($B$8:$M$259,$Q10,COLUMNS($S$8:X10)),"")</f>
        <v>2.8</v>
      </c>
      <c r="Z10" s="288">
        <f>IFERROR(INDEX($B$8:$M$259,$Q10,COLUMNS($S$8:Y10)),"")</f>
        <v>1005</v>
      </c>
      <c r="AA10" s="288">
        <f>IFERROR(INDEX($B$8:$M$259,$Q10,COLUMNS($S$8:Z10)),"")</f>
        <v>-0.6</v>
      </c>
      <c r="AB10" s="288"/>
      <c r="AC10" s="288"/>
      <c r="AD10" s="288">
        <f>IFERROR(INDEX($B$8:$M$259,$Q10,COLUMNS($S$8:AC10)),"")</f>
        <v>2.1</v>
      </c>
      <c r="AE10" s="288"/>
      <c r="AG10" s="675" t="s">
        <v>426</v>
      </c>
    </row>
    <row r="11" spans="2:35" ht="13.2" x14ac:dyDescent="0.2">
      <c r="B11" s="624"/>
      <c r="C11" s="625"/>
      <c r="D11" s="625"/>
      <c r="E11" s="626"/>
      <c r="F11" s="627"/>
      <c r="G11" s="627"/>
      <c r="H11" s="630"/>
      <c r="I11" s="630"/>
      <c r="J11" s="630"/>
      <c r="K11" s="630"/>
      <c r="L11" s="630"/>
      <c r="M11" s="631"/>
      <c r="N11" s="289"/>
      <c r="O11" s="287">
        <f>ROWS($M$8:N11)</f>
        <v>4</v>
      </c>
      <c r="P11" s="287" t="str">
        <f>IF(ID!$A$93=N11,O11,"")</f>
        <v/>
      </c>
      <c r="Q11" s="287">
        <f>IFERROR(SMALL($P$8:$P262,ROWS($P$8:P11)),"")</f>
        <v>222</v>
      </c>
      <c r="T11" s="288">
        <f>IFERROR(INDEX($B$8:$M$259,$Q11,COLUMNS($S$8:S11)),"")</f>
        <v>30</v>
      </c>
      <c r="U11" s="288">
        <f>IFERROR(INDEX($B$8:$M$259,$Q11,COLUMNS($S$8:T11)),"")</f>
        <v>-0.2</v>
      </c>
      <c r="V11" s="288">
        <f>IFERROR(INDEX($B$8:$M$259,$Q11,COLUMNS($S$8:U11)),"")</f>
        <v>0.3</v>
      </c>
      <c r="W11" s="288">
        <f>IFERROR(INDEX($B$8:$M$259,$Q11,COLUMNS($S$8:V11)),"")</f>
        <v>60</v>
      </c>
      <c r="X11" s="288">
        <f>IFERROR(INDEX($B$8:$M$259,$Q11,COLUMNS($S$8:W11)),"")</f>
        <v>0</v>
      </c>
      <c r="Y11" s="288">
        <f>IFERROR(INDEX($B$8:$M$259,$Q11,COLUMNS($S$8:X11)),"")</f>
        <v>2.8</v>
      </c>
      <c r="Z11" s="288">
        <f>IFERROR(INDEX($B$8:$M$259,$Q11,COLUMNS($S$8:Y11)),"")</f>
        <v>1015</v>
      </c>
      <c r="AA11" s="288">
        <f>IFERROR(INDEX($B$8:$M$259,$Q11,COLUMNS($S$8:Z11)),"")</f>
        <v>-0.6</v>
      </c>
      <c r="AB11" s="288"/>
      <c r="AC11" s="288"/>
      <c r="AD11" s="288">
        <f>IFERROR(INDEX($B$8:$M$259,$Q11,COLUMNS($S$8:AC11)),"")</f>
        <v>2.1</v>
      </c>
      <c r="AE11" s="288"/>
      <c r="AG11" s="675" t="s">
        <v>841</v>
      </c>
    </row>
    <row r="12" spans="2:35" ht="13.2" x14ac:dyDescent="0.2">
      <c r="B12" s="624"/>
      <c r="C12" s="625"/>
      <c r="D12" s="625"/>
      <c r="E12" s="626"/>
      <c r="F12" s="627"/>
      <c r="G12" s="627"/>
      <c r="H12" s="628"/>
      <c r="I12" s="628"/>
      <c r="J12" s="628"/>
      <c r="K12" s="628"/>
      <c r="L12" s="628"/>
      <c r="M12" s="629"/>
      <c r="N12" s="289"/>
      <c r="O12" s="287">
        <f>ROWS($M$8:N12)</f>
        <v>5</v>
      </c>
      <c r="P12" s="287" t="str">
        <f>IF(ID!$A$93=N12,O12,"")</f>
        <v/>
      </c>
      <c r="Q12" s="287">
        <f>IFERROR(SMALL($P$8:$P263,ROWS($P$8:P12)),"")</f>
        <v>223</v>
      </c>
      <c r="T12" s="288">
        <f>IFERROR(INDEX($B$8:$M$259,$Q12,COLUMNS($S$8:S12)),"")</f>
        <v>35</v>
      </c>
      <c r="U12" s="288">
        <f>IFERROR(INDEX($B$8:$M$259,$Q12,COLUMNS($S$8:T12)),"")</f>
        <v>-0.5</v>
      </c>
      <c r="V12" s="288">
        <f>IFERROR(INDEX($B$8:$M$259,$Q12,COLUMNS($S$8:U12)),"")</f>
        <v>0.3</v>
      </c>
      <c r="W12" s="288">
        <f>IFERROR(INDEX($B$8:$M$259,$Q12,COLUMNS($S$8:V12)),"")</f>
        <v>70</v>
      </c>
      <c r="X12" s="288">
        <f>IFERROR(INDEX($B$8:$M$259,$Q12,COLUMNS($S$8:W12)),"")</f>
        <v>-0.3</v>
      </c>
      <c r="Y12" s="288">
        <f>IFERROR(INDEX($B$8:$M$259,$Q12,COLUMNS($S$8:X12)),"")</f>
        <v>2.8</v>
      </c>
      <c r="Z12" s="288" t="str">
        <f>IFERROR(INDEX($B$8:$M$259,$Q12,COLUMNS($S$8:Y12)),"")</f>
        <v>-</v>
      </c>
      <c r="AA12" s="288" t="str">
        <f>IFERROR(INDEX($B$8:$M$259,$Q12,COLUMNS($S$8:Z12)),"")</f>
        <v>-</v>
      </c>
      <c r="AB12" s="288"/>
      <c r="AC12" s="288"/>
      <c r="AD12" s="288" t="str">
        <f>IFERROR(INDEX($B$8:$M$259,$Q12,COLUMNS($S$8:AC12)),"")</f>
        <v>-</v>
      </c>
      <c r="AE12" s="288"/>
      <c r="AG12" s="675" t="s">
        <v>365</v>
      </c>
    </row>
    <row r="13" spans="2:35" ht="13.2" x14ac:dyDescent="0.2">
      <c r="B13" s="632"/>
      <c r="C13" s="625"/>
      <c r="D13" s="625"/>
      <c r="E13" s="633"/>
      <c r="F13" s="634"/>
      <c r="G13" s="627"/>
      <c r="H13" s="628"/>
      <c r="I13" s="628"/>
      <c r="J13" s="628"/>
      <c r="K13" s="628"/>
      <c r="L13" s="628"/>
      <c r="M13" s="629"/>
      <c r="N13" s="289"/>
      <c r="O13" s="287">
        <f>ROWS($M$8:N13)</f>
        <v>6</v>
      </c>
      <c r="P13" s="287" t="str">
        <f>IF(ID!$A$93=N13,O13,"")</f>
        <v/>
      </c>
      <c r="Q13" s="287">
        <f>IFERROR(SMALL($P$8:$P264,ROWS($P$8:P13)),"")</f>
        <v>224</v>
      </c>
      <c r="T13" s="288">
        <f>IFERROR(INDEX($B$8:$M$259,$Q13,COLUMNS($S$8:S13)),"")</f>
        <v>37</v>
      </c>
      <c r="U13" s="288">
        <f>IFERROR(INDEX($B$8:$M$259,$Q13,COLUMNS($S$8:T13)),"")</f>
        <v>-0.6</v>
      </c>
      <c r="V13" s="288">
        <f>IFERROR(INDEX($B$8:$M$259,$Q13,COLUMNS($S$8:U13)),"")</f>
        <v>0.3</v>
      </c>
      <c r="W13" s="288">
        <f>IFERROR(INDEX($B$8:$M$259,$Q13,COLUMNS($S$8:V13)),"")</f>
        <v>80</v>
      </c>
      <c r="X13" s="288">
        <f>IFERROR(INDEX($B$8:$M$259,$Q13,COLUMNS($S$8:W13)),"")</f>
        <v>-0.8</v>
      </c>
      <c r="Y13" s="288">
        <f>IFERROR(INDEX($B$8:$M$259,$Q13,COLUMNS($S$8:X13)),"")</f>
        <v>2.8</v>
      </c>
      <c r="Z13" s="288" t="str">
        <f>IFERROR(INDEX($B$8:$M$259,$Q13,COLUMNS($S$8:Y13)),"")</f>
        <v>-</v>
      </c>
      <c r="AA13" s="288" t="str">
        <f>IFERROR(INDEX($B$8:$M$259,$Q13,COLUMNS($S$8:Z13)),"")</f>
        <v>-</v>
      </c>
      <c r="AB13" s="288"/>
      <c r="AC13" s="288"/>
      <c r="AD13" s="288" t="str">
        <f>IFERROR(INDEX($B$8:$M$259,$Q13,COLUMNS($S$8:AC13)),"")</f>
        <v>-</v>
      </c>
      <c r="AE13" s="288"/>
      <c r="AG13" s="675" t="s">
        <v>842</v>
      </c>
      <c r="AI13" s="356"/>
    </row>
    <row r="14" spans="2:35" ht="13.2" x14ac:dyDescent="0.2">
      <c r="B14" s="635"/>
      <c r="C14" s="636"/>
      <c r="D14" s="637"/>
      <c r="E14" s="638"/>
      <c r="F14" s="639"/>
      <c r="G14" s="639"/>
      <c r="H14" s="628"/>
      <c r="I14" s="628"/>
      <c r="J14" s="628"/>
      <c r="K14" s="628"/>
      <c r="L14" s="628"/>
      <c r="M14" s="629"/>
      <c r="N14" s="289"/>
      <c r="O14" s="287">
        <f>ROWS($M$8:N14)</f>
        <v>7</v>
      </c>
      <c r="P14" s="287" t="str">
        <f>IF(ID!$A$93=N14,O14,"")</f>
        <v/>
      </c>
      <c r="Q14" s="287">
        <f>IFERROR(SMALL($P$8:$P265,ROWS($P$8:P14)),"")</f>
        <v>225</v>
      </c>
      <c r="T14" s="288">
        <f>IFERROR(INDEX($B$8:$M$259,$Q14,COLUMNS($S$8:S14)),"")</f>
        <v>40</v>
      </c>
      <c r="U14" s="288">
        <f>IFERROR(INDEX($B$8:$M$259,$Q14,COLUMNS($S$8:T14)),"")</f>
        <v>-0.8</v>
      </c>
      <c r="V14" s="288">
        <f>IFERROR(INDEX($B$8:$M$259,$Q14,COLUMNS($S$8:U14)),"")</f>
        <v>0.3</v>
      </c>
      <c r="W14" s="288">
        <f>IFERROR(INDEX($B$8:$M$259,$Q14,COLUMNS($S$8:V14)),"")</f>
        <v>90</v>
      </c>
      <c r="X14" s="288">
        <f>IFERROR(INDEX($B$8:$M$259,$Q14,COLUMNS($S$8:W14)),"")</f>
        <v>-1.4</v>
      </c>
      <c r="Y14" s="288">
        <f>IFERROR(INDEX($B$8:$M$259,$Q14,COLUMNS($S$8:X14)),"")</f>
        <v>2.8</v>
      </c>
      <c r="Z14" s="288" t="str">
        <f>IFERROR(INDEX($B$8:$M$259,$Q14,COLUMNS($S$8:Y14)),"")</f>
        <v>-</v>
      </c>
      <c r="AA14" s="288" t="str">
        <f>IFERROR(INDEX($B$8:$M$259,$Q14,COLUMNS($S$8:Z14)),"")</f>
        <v>-</v>
      </c>
      <c r="AB14" s="288"/>
      <c r="AC14" s="288"/>
      <c r="AD14" s="288" t="str">
        <f>IFERROR(INDEX($B$8:$M$259,$Q14,COLUMNS($S$8:AC14)),"")</f>
        <v>-</v>
      </c>
      <c r="AE14" s="288"/>
      <c r="AG14" s="675" t="s">
        <v>843</v>
      </c>
      <c r="AI14" s="356"/>
    </row>
    <row r="15" spans="2:35" ht="13.2" x14ac:dyDescent="0.2">
      <c r="B15" s="640"/>
      <c r="C15" s="641"/>
      <c r="D15" s="642"/>
      <c r="E15" s="643"/>
      <c r="F15" s="644"/>
      <c r="G15" s="645"/>
      <c r="H15" s="646"/>
      <c r="I15" s="646"/>
      <c r="J15" s="646"/>
      <c r="K15" s="646"/>
      <c r="L15" s="646"/>
      <c r="M15" s="629"/>
      <c r="O15" s="287">
        <f>ROWS($M$8:N15)</f>
        <v>8</v>
      </c>
      <c r="P15" s="287" t="str">
        <f>IF(ID!$A$93=N15,O15,"")</f>
        <v/>
      </c>
      <c r="Q15" s="287" t="str">
        <f>IFERROR(SMALL($P$8:$P266,ROWS($P$8:P15)),"")</f>
        <v/>
      </c>
      <c r="T15" s="288"/>
      <c r="U15" s="288"/>
      <c r="V15" s="288"/>
      <c r="W15" s="288"/>
      <c r="X15" s="288"/>
      <c r="Y15" s="288"/>
      <c r="Z15" s="288"/>
      <c r="AA15" s="288"/>
      <c r="AB15" s="288"/>
      <c r="AC15" s="288"/>
      <c r="AD15" s="288"/>
      <c r="AE15" s="288"/>
      <c r="AI15" s="356"/>
    </row>
    <row r="16" spans="2:35" x14ac:dyDescent="0.2">
      <c r="B16" s="647"/>
      <c r="C16" s="648"/>
      <c r="D16" s="649"/>
      <c r="E16" s="650"/>
      <c r="F16" s="651"/>
      <c r="G16" s="652"/>
      <c r="H16" s="653"/>
      <c r="I16" s="653"/>
      <c r="J16" s="653"/>
      <c r="K16" s="653"/>
      <c r="L16" s="653"/>
      <c r="M16" s="654"/>
      <c r="O16" s="287">
        <f>ROWS($M$8:N16)</f>
        <v>9</v>
      </c>
      <c r="P16" s="287" t="str">
        <f>IF(ID!$A$93=N16,O16,"")</f>
        <v/>
      </c>
      <c r="Q16" s="287" t="str">
        <f>IFERROR(SMALL($P$8:$P267,ROWS($P$8:P16)),"")</f>
        <v/>
      </c>
      <c r="T16" s="288"/>
      <c r="U16" s="288"/>
      <c r="V16" s="288"/>
      <c r="W16" s="288"/>
      <c r="X16" s="288"/>
      <c r="Y16" s="288"/>
      <c r="Z16" s="288"/>
      <c r="AA16" s="288"/>
      <c r="AB16" s="288"/>
      <c r="AC16" s="288"/>
      <c r="AD16" s="288"/>
      <c r="AE16" s="288"/>
    </row>
    <row r="17" spans="2:31" x14ac:dyDescent="0.2">
      <c r="B17" s="655"/>
      <c r="C17" s="656"/>
      <c r="D17" s="657"/>
      <c r="E17" s="658"/>
      <c r="F17" s="659"/>
      <c r="G17" s="660"/>
      <c r="H17" s="661"/>
      <c r="I17" s="661"/>
      <c r="J17" s="661"/>
      <c r="K17" s="661"/>
      <c r="L17" s="661"/>
      <c r="M17" s="662"/>
      <c r="O17" s="287">
        <f>ROWS($M$8:N17)</f>
        <v>10</v>
      </c>
      <c r="P17" s="287" t="str">
        <f>IF(ID!$A$93=N17,O17,"")</f>
        <v/>
      </c>
      <c r="Q17" s="287" t="str">
        <f>IFERROR(SMALL($P$8:$P268,ROWS($P$8:P17)),"")</f>
        <v/>
      </c>
      <c r="T17" s="288"/>
      <c r="U17" s="288"/>
      <c r="V17" s="288"/>
      <c r="W17" s="288"/>
      <c r="X17" s="288"/>
      <c r="Y17" s="288"/>
      <c r="Z17" s="288"/>
      <c r="AA17" s="288"/>
      <c r="AB17" s="288"/>
      <c r="AC17" s="288"/>
      <c r="AD17" s="288"/>
      <c r="AE17" s="288"/>
    </row>
    <row r="18" spans="2:31" ht="13.2" x14ac:dyDescent="0.2">
      <c r="B18" s="624"/>
      <c r="C18" s="625"/>
      <c r="D18" s="625"/>
      <c r="E18" s="626"/>
      <c r="F18" s="627"/>
      <c r="G18" s="627"/>
      <c r="H18" s="628"/>
      <c r="I18" s="628"/>
      <c r="J18" s="628"/>
      <c r="K18" s="628"/>
      <c r="L18" s="628"/>
      <c r="M18" s="629"/>
      <c r="N18" s="289"/>
      <c r="O18" s="287">
        <f>ROWS($M$8:N18)</f>
        <v>11</v>
      </c>
      <c r="P18" s="287" t="str">
        <f>IF(ID!$A$93=N18,O18,"")</f>
        <v/>
      </c>
      <c r="Q18" s="287" t="str">
        <f>IFERROR(SMALL($P$8:$P269,ROWS($P$8:P18)),"")</f>
        <v/>
      </c>
      <c r="T18" s="288"/>
      <c r="U18" s="288"/>
      <c r="V18" s="288"/>
      <c r="W18" s="288"/>
      <c r="X18" s="288"/>
      <c r="Y18" s="288"/>
      <c r="Z18" s="288"/>
      <c r="AA18" s="288"/>
      <c r="AB18" s="288"/>
      <c r="AC18" s="288"/>
      <c r="AD18" s="288"/>
      <c r="AE18" s="288"/>
    </row>
    <row r="19" spans="2:31" ht="13.2" x14ac:dyDescent="0.2">
      <c r="B19" s="624"/>
      <c r="C19" s="625"/>
      <c r="D19" s="625"/>
      <c r="E19" s="626"/>
      <c r="F19" s="627"/>
      <c r="G19" s="627"/>
      <c r="H19" s="628"/>
      <c r="I19" s="628"/>
      <c r="J19" s="628"/>
      <c r="K19" s="628"/>
      <c r="L19" s="628"/>
      <c r="M19" s="629"/>
      <c r="N19" s="289"/>
      <c r="O19" s="287">
        <f>ROWS($M$8:N19)</f>
        <v>12</v>
      </c>
      <c r="P19" s="287" t="str">
        <f>IF(ID!$A$93=N19,O19,"")</f>
        <v/>
      </c>
      <c r="Q19" s="287" t="str">
        <f>IFERROR(SMALL($P$8:$P270,ROWS($P$8:P19)),"")</f>
        <v/>
      </c>
      <c r="T19" s="288"/>
      <c r="U19" s="288"/>
      <c r="V19" s="288"/>
      <c r="W19" s="288"/>
      <c r="X19" s="288"/>
      <c r="Y19" s="288"/>
      <c r="Z19" s="288"/>
      <c r="AA19" s="288"/>
      <c r="AB19" s="288"/>
      <c r="AC19" s="288"/>
      <c r="AD19" s="288"/>
      <c r="AE19" s="288"/>
    </row>
    <row r="20" spans="2:31" ht="13.5" customHeight="1" x14ac:dyDescent="0.2">
      <c r="B20" s="624"/>
      <c r="C20" s="625"/>
      <c r="D20" s="625"/>
      <c r="E20" s="626"/>
      <c r="F20" s="627"/>
      <c r="G20" s="627"/>
      <c r="H20" s="628"/>
      <c r="I20" s="628"/>
      <c r="J20" s="628"/>
      <c r="K20" s="628"/>
      <c r="L20" s="628"/>
      <c r="M20" s="629"/>
      <c r="N20" s="289"/>
      <c r="O20" s="287">
        <f>ROWS($M$8:N20)</f>
        <v>13</v>
      </c>
      <c r="P20" s="287" t="str">
        <f>IF(ID!$A$93=N20,O20,"")</f>
        <v/>
      </c>
      <c r="Q20" s="287" t="str">
        <f>IFERROR(SMALL($P$8:$P271,ROWS($P$8:P20)),"")</f>
        <v/>
      </c>
      <c r="T20" s="288"/>
      <c r="U20" s="288"/>
      <c r="V20" s="288"/>
      <c r="W20" s="288"/>
      <c r="X20" s="288"/>
      <c r="Y20" s="288"/>
      <c r="Z20" s="288"/>
      <c r="AA20" s="288"/>
      <c r="AB20" s="288"/>
      <c r="AC20" s="288"/>
      <c r="AD20" s="288"/>
      <c r="AE20" s="288"/>
    </row>
    <row r="21" spans="2:31" ht="13.2" x14ac:dyDescent="0.2">
      <c r="B21" s="624"/>
      <c r="C21" s="625"/>
      <c r="D21" s="625"/>
      <c r="E21" s="626"/>
      <c r="F21" s="627"/>
      <c r="G21" s="627"/>
      <c r="H21" s="630"/>
      <c r="I21" s="630"/>
      <c r="J21" s="630"/>
      <c r="K21" s="630"/>
      <c r="L21" s="630"/>
      <c r="M21" s="629"/>
      <c r="N21" s="289"/>
      <c r="O21" s="287">
        <f>ROWS($M$8:N21)</f>
        <v>14</v>
      </c>
      <c r="P21" s="287" t="str">
        <f>IF(ID!$A$93=N21,O21,"")</f>
        <v/>
      </c>
      <c r="Q21" s="287" t="str">
        <f>IFERROR(SMALL($P$8:$P272,ROWS($P$8:P21)),"")</f>
        <v/>
      </c>
      <c r="T21" s="288"/>
      <c r="U21" s="288"/>
      <c r="V21" s="288"/>
      <c r="W21" s="288"/>
      <c r="X21" s="288"/>
      <c r="Y21" s="288"/>
      <c r="Z21" s="288"/>
      <c r="AA21" s="288"/>
      <c r="AB21" s="288"/>
      <c r="AC21" s="288"/>
      <c r="AD21" s="288"/>
      <c r="AE21" s="288"/>
    </row>
    <row r="22" spans="2:31" ht="13.2" x14ac:dyDescent="0.2">
      <c r="B22" s="624"/>
      <c r="C22" s="625"/>
      <c r="D22" s="625"/>
      <c r="E22" s="626"/>
      <c r="F22" s="627"/>
      <c r="G22" s="627"/>
      <c r="H22" s="628"/>
      <c r="I22" s="628"/>
      <c r="J22" s="628"/>
      <c r="K22" s="628"/>
      <c r="L22" s="628"/>
      <c r="M22" s="629"/>
      <c r="N22" s="289"/>
      <c r="O22" s="287">
        <f>ROWS($M$8:N22)</f>
        <v>15</v>
      </c>
      <c r="P22" s="287" t="str">
        <f>IF(ID!$A$93=N22,O22,"")</f>
        <v/>
      </c>
      <c r="Q22" s="287" t="str">
        <f>IFERROR(SMALL($P$8:$P273,ROWS($P$8:P22)),"")</f>
        <v/>
      </c>
      <c r="U22" s="357" t="s">
        <v>243</v>
      </c>
      <c r="V22" s="358">
        <f>MAX(V8:V21)</f>
        <v>0.3</v>
      </c>
      <c r="X22" s="357" t="s">
        <v>243</v>
      </c>
      <c r="Y22" s="358">
        <f>MAX(Y8:Y21)</f>
        <v>2.8</v>
      </c>
      <c r="AC22" s="357" t="s">
        <v>243</v>
      </c>
      <c r="AD22" s="358">
        <f>MAX(AD8:AD21)</f>
        <v>2.1</v>
      </c>
    </row>
    <row r="23" spans="2:31" ht="13.2" x14ac:dyDescent="0.2">
      <c r="B23" s="632"/>
      <c r="C23" s="625"/>
      <c r="D23" s="625"/>
      <c r="E23" s="633"/>
      <c r="F23" s="634"/>
      <c r="G23" s="627"/>
      <c r="H23" s="628"/>
      <c r="I23" s="628"/>
      <c r="J23" s="628"/>
      <c r="K23" s="628"/>
      <c r="L23" s="628"/>
      <c r="M23" s="629"/>
      <c r="N23" s="289"/>
      <c r="O23" s="287">
        <f>ROWS($M$8:N23)</f>
        <v>16</v>
      </c>
      <c r="P23" s="287" t="str">
        <f>IF(ID!$A$93=N23,O23,"")</f>
        <v/>
      </c>
      <c r="Q23" s="287" t="str">
        <f>IFERROR(SMALL($P$8:$P274,ROWS($P$8:P23)),"")</f>
        <v/>
      </c>
    </row>
    <row r="24" spans="2:31" ht="13.2" x14ac:dyDescent="0.2">
      <c r="B24" s="635"/>
      <c r="C24" s="636"/>
      <c r="D24" s="625"/>
      <c r="E24" s="638"/>
      <c r="F24" s="639"/>
      <c r="G24" s="627"/>
      <c r="H24" s="628"/>
      <c r="I24" s="628"/>
      <c r="J24" s="628"/>
      <c r="K24" s="628"/>
      <c r="L24" s="628"/>
      <c r="M24" s="629"/>
      <c r="N24" s="289"/>
      <c r="O24" s="287">
        <f>ROWS($M$8:N24)</f>
        <v>17</v>
      </c>
      <c r="P24" s="287" t="str">
        <f>IF(ID!$A$93=N24,O24,"")</f>
        <v/>
      </c>
      <c r="Q24" s="287" t="str">
        <f>IFERROR(SMALL($P$8:$P275,ROWS($P$8:P24)),"")</f>
        <v/>
      </c>
    </row>
    <row r="25" spans="2:31" x14ac:dyDescent="0.2">
      <c r="O25" s="287">
        <f>ROWS($M$8:N25)</f>
        <v>18</v>
      </c>
      <c r="P25" s="287" t="str">
        <f>IF(ID!$A$93=N25,O25,"")</f>
        <v/>
      </c>
      <c r="Q25" s="287" t="str">
        <f>IFERROR(SMALL($P$8:$P276,ROWS($P$8:P25)),"")</f>
        <v/>
      </c>
    </row>
    <row r="26" spans="2:31" x14ac:dyDescent="0.2">
      <c r="O26" s="287">
        <f>ROWS($M$8:N26)</f>
        <v>19</v>
      </c>
      <c r="P26" s="287" t="str">
        <f>IF(ID!$A$93=N26,O26,"")</f>
        <v/>
      </c>
      <c r="Q26" s="287" t="str">
        <f>IFERROR(SMALL($P$8:$P277,ROWS($P$8:P26)),"")</f>
        <v/>
      </c>
    </row>
    <row r="27" spans="2:31" x14ac:dyDescent="0.2">
      <c r="O27" s="287">
        <f>ROWS($M$8:N27)</f>
        <v>20</v>
      </c>
      <c r="P27" s="287" t="str">
        <f>IF(ID!$A$93=N27,O27,"")</f>
        <v/>
      </c>
      <c r="Q27" s="287" t="str">
        <f>IFERROR(SMALL($P$8:$P278,ROWS($P$8:P27)),"")</f>
        <v/>
      </c>
    </row>
    <row r="28" spans="2:31" ht="13.2" x14ac:dyDescent="0.2">
      <c r="B28" s="624"/>
      <c r="C28" s="625"/>
      <c r="D28" s="625"/>
      <c r="E28" s="626"/>
      <c r="F28" s="627"/>
      <c r="G28" s="627"/>
      <c r="H28" s="628"/>
      <c r="I28" s="628"/>
      <c r="J28" s="628"/>
      <c r="K28" s="628"/>
      <c r="L28" s="628"/>
      <c r="M28" s="629"/>
      <c r="N28" s="289"/>
      <c r="O28" s="287">
        <f>ROWS($M$8:N28)</f>
        <v>21</v>
      </c>
      <c r="P28" s="287" t="str">
        <f>IF(ID!$A$93=N28,O28,"")</f>
        <v/>
      </c>
      <c r="Q28" s="287" t="str">
        <f>IFERROR(SMALL($P$8:$P279,ROWS($P$8:P28)),"")</f>
        <v/>
      </c>
    </row>
    <row r="29" spans="2:31" ht="13.2" x14ac:dyDescent="0.2">
      <c r="B29" s="624"/>
      <c r="C29" s="625"/>
      <c r="D29" s="625"/>
      <c r="E29" s="626"/>
      <c r="F29" s="627"/>
      <c r="G29" s="627"/>
      <c r="H29" s="628"/>
      <c r="I29" s="628"/>
      <c r="J29" s="628"/>
      <c r="K29" s="628"/>
      <c r="L29" s="628"/>
      <c r="M29" s="629"/>
      <c r="N29" s="289"/>
      <c r="O29" s="287">
        <f>ROWS($M$8:N29)</f>
        <v>22</v>
      </c>
      <c r="P29" s="287" t="str">
        <f>IF(ID!$A$93=N29,O29,"")</f>
        <v/>
      </c>
      <c r="Q29" s="287" t="str">
        <f>IFERROR(SMALL($P$8:$P280,ROWS($P$8:P29)),"")</f>
        <v/>
      </c>
    </row>
    <row r="30" spans="2:31" ht="13.5" customHeight="1" x14ac:dyDescent="0.2">
      <c r="B30" s="624"/>
      <c r="C30" s="625"/>
      <c r="D30" s="625"/>
      <c r="E30" s="626"/>
      <c r="F30" s="627"/>
      <c r="G30" s="627"/>
      <c r="H30" s="628"/>
      <c r="I30" s="628"/>
      <c r="J30" s="628"/>
      <c r="K30" s="628"/>
      <c r="L30" s="628"/>
      <c r="M30" s="629"/>
      <c r="N30" s="289"/>
      <c r="O30" s="287">
        <f>ROWS($M$8:N30)</f>
        <v>23</v>
      </c>
      <c r="P30" s="287" t="str">
        <f>IF(ID!$A$93=N30,O30,"")</f>
        <v/>
      </c>
      <c r="Q30" s="287" t="str">
        <f>IFERROR(SMALL($P$8:$P281,ROWS($P$8:P30)),"")</f>
        <v/>
      </c>
    </row>
    <row r="31" spans="2:31" ht="13.2" x14ac:dyDescent="0.2">
      <c r="B31" s="624"/>
      <c r="C31" s="625"/>
      <c r="D31" s="625"/>
      <c r="E31" s="626"/>
      <c r="F31" s="627"/>
      <c r="G31" s="627"/>
      <c r="H31" s="630"/>
      <c r="I31" s="630"/>
      <c r="J31" s="630"/>
      <c r="K31" s="630"/>
      <c r="L31" s="630"/>
      <c r="M31" s="629"/>
      <c r="N31" s="289"/>
      <c r="O31" s="287">
        <f>ROWS($M$8:N31)</f>
        <v>24</v>
      </c>
      <c r="P31" s="287" t="str">
        <f>IF(ID!$A$93=N31,O31,"")</f>
        <v/>
      </c>
      <c r="Q31" s="287" t="str">
        <f>IFERROR(SMALL($P$8:$P282,ROWS($P$8:P31)),"")</f>
        <v/>
      </c>
    </row>
    <row r="32" spans="2:31" ht="13.2" x14ac:dyDescent="0.2">
      <c r="B32" s="624"/>
      <c r="C32" s="625"/>
      <c r="D32" s="625"/>
      <c r="E32" s="626"/>
      <c r="F32" s="627"/>
      <c r="G32" s="627"/>
      <c r="H32" s="628"/>
      <c r="I32" s="628"/>
      <c r="J32" s="628"/>
      <c r="K32" s="628"/>
      <c r="L32" s="628"/>
      <c r="M32" s="629"/>
      <c r="N32" s="289"/>
      <c r="O32" s="287">
        <f>ROWS($M$8:N32)</f>
        <v>25</v>
      </c>
      <c r="P32" s="287" t="str">
        <f>IF(ID!$A$93=N32,O32,"")</f>
        <v/>
      </c>
      <c r="Q32" s="287" t="str">
        <f>IFERROR(SMALL($P$8:$P283,ROWS($P$8:P32)),"")</f>
        <v/>
      </c>
    </row>
    <row r="33" spans="2:17" ht="13.2" x14ac:dyDescent="0.2">
      <c r="B33" s="632"/>
      <c r="C33" s="625"/>
      <c r="D33" s="625"/>
      <c r="E33" s="633"/>
      <c r="F33" s="634"/>
      <c r="G33" s="627"/>
      <c r="H33" s="628"/>
      <c r="I33" s="628"/>
      <c r="J33" s="628"/>
      <c r="K33" s="628"/>
      <c r="L33" s="628"/>
      <c r="M33" s="629"/>
      <c r="N33" s="289"/>
      <c r="O33" s="287">
        <f>ROWS($M$8:N33)</f>
        <v>26</v>
      </c>
      <c r="P33" s="287" t="str">
        <f>IF(ID!$A$93=N33,O33,"")</f>
        <v/>
      </c>
      <c r="Q33" s="287" t="str">
        <f>IFERROR(SMALL($P$8:$P284,ROWS($P$8:P33)),"")</f>
        <v/>
      </c>
    </row>
    <row r="34" spans="2:17" ht="13.2" x14ac:dyDescent="0.2">
      <c r="B34" s="635"/>
      <c r="C34" s="636"/>
      <c r="D34" s="625"/>
      <c r="E34" s="638"/>
      <c r="F34" s="639"/>
      <c r="G34" s="627"/>
      <c r="H34" s="628"/>
      <c r="I34" s="628"/>
      <c r="J34" s="628"/>
      <c r="K34" s="628"/>
      <c r="L34" s="628"/>
      <c r="M34" s="629"/>
      <c r="N34" s="289"/>
      <c r="O34" s="287">
        <f>ROWS($M$8:N34)</f>
        <v>27</v>
      </c>
      <c r="P34" s="287" t="str">
        <f>IF(ID!$A$93=N34,O34,"")</f>
        <v/>
      </c>
      <c r="Q34" s="287" t="str">
        <f>IFERROR(SMALL($P$8:$P285,ROWS($P$8:P34)),"")</f>
        <v/>
      </c>
    </row>
    <row r="35" spans="2:17" x14ac:dyDescent="0.2">
      <c r="O35" s="287">
        <f>ROWS($M$8:N35)</f>
        <v>28</v>
      </c>
      <c r="P35" s="287" t="str">
        <f>IF(ID!$A$93=N35,O35,"")</f>
        <v/>
      </c>
      <c r="Q35" s="287" t="str">
        <f>IFERROR(SMALL($P$8:$P286,ROWS($P$8:P35)),"")</f>
        <v/>
      </c>
    </row>
    <row r="36" spans="2:17" x14ac:dyDescent="0.2">
      <c r="O36" s="287">
        <f>ROWS($M$8:N36)</f>
        <v>29</v>
      </c>
      <c r="P36" s="287" t="str">
        <f>IF(ID!$A$93=N36,O36,"")</f>
        <v/>
      </c>
      <c r="Q36" s="287" t="str">
        <f>IFERROR(SMALL($P$8:$P287,ROWS($P$8:P36)),"")</f>
        <v/>
      </c>
    </row>
    <row r="37" spans="2:17" x14ac:dyDescent="0.2">
      <c r="O37" s="287">
        <f>ROWS($M$8:N37)</f>
        <v>30</v>
      </c>
      <c r="P37" s="287" t="str">
        <f>IF(ID!$A$93=N37,O37,"")</f>
        <v/>
      </c>
      <c r="Q37" s="287" t="str">
        <f>IFERROR(SMALL($P$8:$P288,ROWS($P$8:P37)),"")</f>
        <v/>
      </c>
    </row>
    <row r="38" spans="2:17" ht="13.2" x14ac:dyDescent="0.2">
      <c r="B38" s="624"/>
      <c r="C38" s="625"/>
      <c r="D38" s="663"/>
      <c r="E38" s="626"/>
      <c r="F38" s="627"/>
      <c r="G38" s="634"/>
      <c r="H38" s="664"/>
      <c r="I38" s="664"/>
      <c r="J38" s="664"/>
      <c r="K38" s="664"/>
      <c r="L38" s="664"/>
      <c r="M38" s="629"/>
      <c r="N38" s="289"/>
      <c r="O38" s="287">
        <f>ROWS($M$8:N38)</f>
        <v>31</v>
      </c>
      <c r="P38" s="287" t="str">
        <f>IF(ID!$A$93=N38,O38,"")</f>
        <v/>
      </c>
      <c r="Q38" s="287" t="str">
        <f>IFERROR(SMALL($P$8:$P289,ROWS($P$8:P38)),"")</f>
        <v/>
      </c>
    </row>
    <row r="39" spans="2:17" ht="13.2" x14ac:dyDescent="0.2">
      <c r="B39" s="624"/>
      <c r="C39" s="625"/>
      <c r="D39" s="663"/>
      <c r="E39" s="626"/>
      <c r="F39" s="665"/>
      <c r="G39" s="634"/>
      <c r="H39" s="664"/>
      <c r="I39" s="664"/>
      <c r="J39" s="664"/>
      <c r="K39" s="664"/>
      <c r="L39" s="664"/>
      <c r="M39" s="629"/>
      <c r="N39" s="289"/>
      <c r="O39" s="287">
        <f>ROWS($M$8:N39)</f>
        <v>32</v>
      </c>
      <c r="P39" s="287" t="str">
        <f>IF(ID!$A$93=N39,O39,"")</f>
        <v/>
      </c>
      <c r="Q39" s="287" t="str">
        <f>IFERROR(SMALL($P$8:$P290,ROWS($P$8:P39)),"")</f>
        <v/>
      </c>
    </row>
    <row r="40" spans="2:17" ht="13.5" customHeight="1" x14ac:dyDescent="0.2">
      <c r="B40" s="624"/>
      <c r="C40" s="666"/>
      <c r="D40" s="663"/>
      <c r="E40" s="626"/>
      <c r="F40" s="665"/>
      <c r="G40" s="634"/>
      <c r="H40" s="664"/>
      <c r="I40" s="664"/>
      <c r="J40" s="664"/>
      <c r="K40" s="664"/>
      <c r="L40" s="664"/>
      <c r="M40" s="629"/>
      <c r="N40" s="289"/>
      <c r="O40" s="287">
        <f>ROWS($M$8:N40)</f>
        <v>33</v>
      </c>
      <c r="P40" s="287" t="str">
        <f>IF(ID!$A$93=N40,O40,"")</f>
        <v/>
      </c>
      <c r="Q40" s="287" t="str">
        <f>IFERROR(SMALL($P$8:$P291,ROWS($P$8:P40)),"")</f>
        <v/>
      </c>
    </row>
    <row r="41" spans="2:17" ht="13.2" x14ac:dyDescent="0.2">
      <c r="B41" s="624"/>
      <c r="C41" s="666"/>
      <c r="D41" s="663"/>
      <c r="E41" s="626"/>
      <c r="F41" s="665"/>
      <c r="G41" s="634"/>
      <c r="H41" s="664"/>
      <c r="I41" s="664"/>
      <c r="J41" s="664"/>
      <c r="K41" s="664"/>
      <c r="L41" s="664"/>
      <c r="M41" s="629"/>
      <c r="N41" s="289"/>
      <c r="O41" s="287">
        <f>ROWS($M$8:N41)</f>
        <v>34</v>
      </c>
      <c r="P41" s="287" t="str">
        <f>IF(ID!$A$93=N41,O41,"")</f>
        <v/>
      </c>
      <c r="Q41" s="287" t="str">
        <f>IFERROR(SMALL($P$8:$P292,ROWS($P$8:P41)),"")</f>
        <v/>
      </c>
    </row>
    <row r="42" spans="2:17" ht="13.2" x14ac:dyDescent="0.2">
      <c r="B42" s="624"/>
      <c r="C42" s="666"/>
      <c r="D42" s="663"/>
      <c r="E42" s="626"/>
      <c r="F42" s="665"/>
      <c r="G42" s="634"/>
      <c r="H42" s="664"/>
      <c r="I42" s="664"/>
      <c r="J42" s="664"/>
      <c r="K42" s="664"/>
      <c r="L42" s="664"/>
      <c r="M42" s="629"/>
      <c r="N42" s="289"/>
      <c r="O42" s="287">
        <f>ROWS($M$8:N42)</f>
        <v>35</v>
      </c>
      <c r="P42" s="287" t="str">
        <f>IF(ID!$A$93=N42,O42,"")</f>
        <v/>
      </c>
      <c r="Q42" s="287" t="str">
        <f>IFERROR(SMALL($P$8:$P293,ROWS($P$8:P42)),"")</f>
        <v/>
      </c>
    </row>
    <row r="43" spans="2:17" ht="13.2" x14ac:dyDescent="0.2">
      <c r="B43" s="632"/>
      <c r="C43" s="666"/>
      <c r="D43" s="663"/>
      <c r="E43" s="633"/>
      <c r="F43" s="667"/>
      <c r="G43" s="634"/>
      <c r="H43" s="664"/>
      <c r="I43" s="664"/>
      <c r="J43" s="664"/>
      <c r="K43" s="664"/>
      <c r="L43" s="664"/>
      <c r="M43" s="629"/>
      <c r="N43" s="289"/>
      <c r="O43" s="287">
        <f>ROWS($M$8:N43)</f>
        <v>36</v>
      </c>
      <c r="P43" s="287" t="str">
        <f>IF(ID!$A$93=N43,O43,"")</f>
        <v/>
      </c>
      <c r="Q43" s="287" t="str">
        <f>IFERROR(SMALL($P$8:$P294,ROWS($P$8:P43)),"")</f>
        <v/>
      </c>
    </row>
    <row r="44" spans="2:17" ht="13.2" x14ac:dyDescent="0.2">
      <c r="B44" s="632"/>
      <c r="C44" s="668"/>
      <c r="D44" s="663"/>
      <c r="E44" s="633"/>
      <c r="F44" s="669"/>
      <c r="G44" s="634"/>
      <c r="H44" s="664"/>
      <c r="I44" s="664"/>
      <c r="J44" s="664"/>
      <c r="K44" s="664"/>
      <c r="L44" s="664"/>
      <c r="M44" s="629"/>
      <c r="N44" s="289"/>
      <c r="O44" s="287">
        <f>ROWS($M$8:N44)</f>
        <v>37</v>
      </c>
      <c r="P44" s="287" t="str">
        <f>IF(ID!$A$93=N44,O44,"")</f>
        <v/>
      </c>
      <c r="Q44" s="287" t="str">
        <f>IFERROR(SMALL($P$8:$P295,ROWS($P$8:P44)),"")</f>
        <v/>
      </c>
    </row>
    <row r="45" spans="2:17" x14ac:dyDescent="0.2">
      <c r="O45" s="287">
        <f>ROWS($M$8:N45)</f>
        <v>38</v>
      </c>
      <c r="P45" s="287" t="str">
        <f>IF(ID!$A$93=N45,O45,"")</f>
        <v/>
      </c>
      <c r="Q45" s="287" t="str">
        <f>IFERROR(SMALL($P$8:$P296,ROWS($P$8:P45)),"")</f>
        <v/>
      </c>
    </row>
    <row r="46" spans="2:17" x14ac:dyDescent="0.2">
      <c r="O46" s="287">
        <f>ROWS($M$8:N46)</f>
        <v>39</v>
      </c>
      <c r="P46" s="287" t="str">
        <f>IF(ID!$A$93=N46,O46,"")</f>
        <v/>
      </c>
      <c r="Q46" s="287" t="str">
        <f>IFERROR(SMALL($P$8:$P297,ROWS($P$8:P46)),"")</f>
        <v/>
      </c>
    </row>
    <row r="47" spans="2:17" x14ac:dyDescent="0.2">
      <c r="O47" s="287">
        <f>ROWS($M$8:N47)</f>
        <v>40</v>
      </c>
      <c r="P47" s="287" t="str">
        <f>IF(ID!$A$93=N47,O47,"")</f>
        <v/>
      </c>
      <c r="Q47" s="287" t="str">
        <f>IFERROR(SMALL($P$8:$P298,ROWS($P$8:P47)),"")</f>
        <v/>
      </c>
    </row>
    <row r="48" spans="2:17" x14ac:dyDescent="0.2">
      <c r="B48" s="624"/>
      <c r="C48" s="625"/>
      <c r="D48" s="625"/>
      <c r="E48" s="665"/>
      <c r="F48" s="627"/>
      <c r="G48" s="627"/>
      <c r="H48" s="628"/>
      <c r="I48" s="628"/>
      <c r="J48" s="628"/>
      <c r="K48" s="628"/>
      <c r="L48" s="628"/>
      <c r="M48" s="670"/>
      <c r="N48" s="289"/>
      <c r="O48" s="287">
        <f>ROWS($M$8:N48)</f>
        <v>41</v>
      </c>
      <c r="P48" s="287" t="str">
        <f>IF(ID!$A$93=N48,O48,"")</f>
        <v/>
      </c>
      <c r="Q48" s="287" t="str">
        <f>IFERROR(SMALL($P$8:$P299,ROWS($P$8:P48)),"")</f>
        <v/>
      </c>
    </row>
    <row r="49" spans="2:17" x14ac:dyDescent="0.2">
      <c r="B49" s="624"/>
      <c r="C49" s="625"/>
      <c r="D49" s="625"/>
      <c r="E49" s="665"/>
      <c r="F49" s="627"/>
      <c r="G49" s="627"/>
      <c r="H49" s="628"/>
      <c r="I49" s="628"/>
      <c r="J49" s="628"/>
      <c r="K49" s="628"/>
      <c r="L49" s="628"/>
      <c r="M49" s="670"/>
      <c r="N49" s="289"/>
      <c r="O49" s="287">
        <f>ROWS($M$8:N49)</f>
        <v>42</v>
      </c>
      <c r="P49" s="287" t="str">
        <f>IF(ID!$A$93=N49,O49,"")</f>
        <v/>
      </c>
      <c r="Q49" s="287" t="str">
        <f>IFERROR(SMALL($P$8:$P300,ROWS($P$8:P49)),"")</f>
        <v/>
      </c>
    </row>
    <row r="50" spans="2:17" ht="13.5" customHeight="1" x14ac:dyDescent="0.2">
      <c r="B50" s="624"/>
      <c r="C50" s="625"/>
      <c r="D50" s="625"/>
      <c r="E50" s="665"/>
      <c r="F50" s="627"/>
      <c r="G50" s="627"/>
      <c r="H50" s="628"/>
      <c r="I50" s="628"/>
      <c r="J50" s="628"/>
      <c r="K50" s="628"/>
      <c r="L50" s="628"/>
      <c r="M50" s="670"/>
      <c r="N50" s="289"/>
      <c r="O50" s="287">
        <f>ROWS($M$8:N50)</f>
        <v>43</v>
      </c>
      <c r="P50" s="287" t="str">
        <f>IF(ID!$A$93=N50,O50,"")</f>
        <v/>
      </c>
      <c r="Q50" s="287" t="str">
        <f>IFERROR(SMALL($P$8:$P301,ROWS($P$8:P50)),"")</f>
        <v/>
      </c>
    </row>
    <row r="51" spans="2:17" x14ac:dyDescent="0.2">
      <c r="B51" s="624"/>
      <c r="C51" s="625"/>
      <c r="D51" s="625"/>
      <c r="E51" s="665"/>
      <c r="F51" s="627"/>
      <c r="G51" s="627"/>
      <c r="H51" s="628"/>
      <c r="I51" s="628"/>
      <c r="J51" s="628"/>
      <c r="K51" s="628"/>
      <c r="L51" s="628"/>
      <c r="M51" s="670"/>
      <c r="N51" s="289"/>
      <c r="O51" s="287">
        <f>ROWS($M$8:N51)</f>
        <v>44</v>
      </c>
      <c r="P51" s="287" t="str">
        <f>IF(ID!$A$93=N51,O51,"")</f>
        <v/>
      </c>
      <c r="Q51" s="287" t="str">
        <f>IFERROR(SMALL($P$8:$P302,ROWS($P$8:P51)),"")</f>
        <v/>
      </c>
    </row>
    <row r="52" spans="2:17" x14ac:dyDescent="0.2">
      <c r="B52" s="624"/>
      <c r="C52" s="625"/>
      <c r="D52" s="625"/>
      <c r="E52" s="665"/>
      <c r="F52" s="627"/>
      <c r="G52" s="627"/>
      <c r="H52" s="628"/>
      <c r="I52" s="628"/>
      <c r="J52" s="628"/>
      <c r="K52" s="628"/>
      <c r="L52" s="628"/>
      <c r="M52" s="670"/>
      <c r="N52" s="289"/>
      <c r="O52" s="287">
        <f>ROWS($M$8:N52)</f>
        <v>45</v>
      </c>
      <c r="P52" s="287" t="str">
        <f>IF(ID!$A$93=N52,O52,"")</f>
        <v/>
      </c>
      <c r="Q52" s="287" t="str">
        <f>IFERROR(SMALL($P$8:$P303,ROWS($P$8:P52)),"")</f>
        <v/>
      </c>
    </row>
    <row r="53" spans="2:17" x14ac:dyDescent="0.2">
      <c r="B53" s="632"/>
      <c r="C53" s="625"/>
      <c r="D53" s="625"/>
      <c r="E53" s="665"/>
      <c r="F53" s="627"/>
      <c r="G53" s="627"/>
      <c r="H53" s="628"/>
      <c r="I53" s="628"/>
      <c r="J53" s="628"/>
      <c r="K53" s="628"/>
      <c r="L53" s="628"/>
      <c r="M53" s="670"/>
      <c r="N53" s="289"/>
      <c r="O53" s="287">
        <f>ROWS($M$8:N53)</f>
        <v>46</v>
      </c>
      <c r="P53" s="287" t="str">
        <f>IF(ID!$A$93=N53,O53,"")</f>
        <v/>
      </c>
      <c r="Q53" s="287" t="str">
        <f>IFERROR(SMALL($P$8:$P304,ROWS($P$8:P53)),"")</f>
        <v/>
      </c>
    </row>
    <row r="54" spans="2:17" ht="13.2" x14ac:dyDescent="0.25">
      <c r="B54" s="671"/>
      <c r="C54" s="671"/>
      <c r="D54" s="671"/>
      <c r="E54" s="672"/>
      <c r="F54" s="672"/>
      <c r="G54" s="672"/>
      <c r="H54" s="673"/>
      <c r="I54" s="673"/>
      <c r="J54" s="673"/>
      <c r="K54" s="673"/>
      <c r="L54" s="673"/>
      <c r="M54" s="670"/>
      <c r="N54" s="289"/>
      <c r="O54" s="287">
        <f>ROWS($M$8:N54)</f>
        <v>47</v>
      </c>
      <c r="P54" s="287" t="str">
        <f>IF(ID!$A$93=N54,O54,"")</f>
        <v/>
      </c>
      <c r="Q54" s="287" t="str">
        <f>IFERROR(SMALL($P$8:$P305,ROWS($P$8:P54)),"")</f>
        <v/>
      </c>
    </row>
    <row r="55" spans="2:17" x14ac:dyDescent="0.2">
      <c r="O55" s="287">
        <f>ROWS($M$8:N55)</f>
        <v>48</v>
      </c>
      <c r="P55" s="287" t="str">
        <f>IF(ID!$A$93=N55,O55,"")</f>
        <v/>
      </c>
      <c r="Q55" s="287" t="str">
        <f>IFERROR(SMALL($P$8:$P306,ROWS($P$8:P55)),"")</f>
        <v/>
      </c>
    </row>
    <row r="56" spans="2:17" x14ac:dyDescent="0.2">
      <c r="O56" s="287">
        <f>ROWS($M$8:N56)</f>
        <v>49</v>
      </c>
      <c r="P56" s="287" t="str">
        <f>IF(ID!$A$93=N56,O56,"")</f>
        <v/>
      </c>
      <c r="Q56" s="287" t="str">
        <f>IFERROR(SMALL($P$8:$P307,ROWS($P$8:P56)),"")</f>
        <v/>
      </c>
    </row>
    <row r="57" spans="2:17" x14ac:dyDescent="0.2">
      <c r="O57" s="287">
        <f>ROWS($M$8:N57)</f>
        <v>50</v>
      </c>
      <c r="P57" s="287" t="str">
        <f>IF(ID!$A$93=N57,O57,"")</f>
        <v/>
      </c>
      <c r="Q57" s="287" t="str">
        <f>IFERROR(SMALL($P$8:$P308,ROWS($P$8:P57)),"")</f>
        <v/>
      </c>
    </row>
    <row r="58" spans="2:17" x14ac:dyDescent="0.2">
      <c r="B58" s="624"/>
      <c r="C58" s="625"/>
      <c r="D58" s="625"/>
      <c r="E58" s="626"/>
      <c r="F58" s="627"/>
      <c r="G58" s="627"/>
      <c r="H58" s="628"/>
      <c r="I58" s="628"/>
      <c r="J58" s="628"/>
      <c r="K58" s="628"/>
      <c r="L58" s="628"/>
      <c r="M58" s="674"/>
      <c r="N58" s="289"/>
      <c r="O58" s="287">
        <f>ROWS($M$8:N58)</f>
        <v>51</v>
      </c>
      <c r="P58" s="287" t="str">
        <f>IF(ID!$A$93=N58,O58,"")</f>
        <v/>
      </c>
      <c r="Q58" s="287" t="str">
        <f>IFERROR(SMALL($P$8:$P309,ROWS($P$8:P58)),"")</f>
        <v/>
      </c>
    </row>
    <row r="59" spans="2:17" x14ac:dyDescent="0.2">
      <c r="B59" s="624"/>
      <c r="C59" s="625"/>
      <c r="D59" s="625"/>
      <c r="E59" s="626"/>
      <c r="F59" s="627"/>
      <c r="G59" s="627"/>
      <c r="H59" s="628"/>
      <c r="I59" s="628"/>
      <c r="J59" s="628"/>
      <c r="K59" s="628"/>
      <c r="L59" s="628"/>
      <c r="M59" s="674"/>
      <c r="N59" s="289"/>
      <c r="O59" s="287">
        <f>ROWS($M$8:N59)</f>
        <v>52</v>
      </c>
      <c r="P59" s="287" t="str">
        <f>IF(ID!$A$93=N59,O59,"")</f>
        <v/>
      </c>
      <c r="Q59" s="287" t="str">
        <f>IFERROR(SMALL($P$8:$P310,ROWS($P$8:P59)),"")</f>
        <v/>
      </c>
    </row>
    <row r="60" spans="2:17" x14ac:dyDescent="0.2">
      <c r="B60" s="624"/>
      <c r="C60" s="625"/>
      <c r="D60" s="625"/>
      <c r="E60" s="626"/>
      <c r="F60" s="627"/>
      <c r="G60" s="627"/>
      <c r="H60" s="628"/>
      <c r="I60" s="628"/>
      <c r="J60" s="628"/>
      <c r="K60" s="628"/>
      <c r="L60" s="628"/>
      <c r="M60" s="674"/>
      <c r="N60" s="289"/>
      <c r="O60" s="287">
        <f>ROWS($M$8:N60)</f>
        <v>53</v>
      </c>
      <c r="P60" s="287" t="str">
        <f>IF(ID!$A$93=N60,O60,"")</f>
        <v/>
      </c>
      <c r="Q60" s="287" t="str">
        <f>IFERROR(SMALL($P$8:$P311,ROWS($P$8:P60)),"")</f>
        <v/>
      </c>
    </row>
    <row r="61" spans="2:17" x14ac:dyDescent="0.2">
      <c r="B61" s="624"/>
      <c r="C61" s="625"/>
      <c r="D61" s="625"/>
      <c r="E61" s="626"/>
      <c r="F61" s="627"/>
      <c r="G61" s="627"/>
      <c r="H61" s="628"/>
      <c r="I61" s="628"/>
      <c r="J61" s="628"/>
      <c r="K61" s="628"/>
      <c r="L61" s="628"/>
      <c r="M61" s="674"/>
      <c r="N61" s="289"/>
      <c r="O61" s="287">
        <f>ROWS($M$8:N61)</f>
        <v>54</v>
      </c>
      <c r="P61" s="287" t="str">
        <f>IF(ID!$A$93=N61,O61,"")</f>
        <v/>
      </c>
      <c r="Q61" s="287" t="str">
        <f>IFERROR(SMALL($P$8:$P312,ROWS($P$8:P61)),"")</f>
        <v/>
      </c>
    </row>
    <row r="62" spans="2:17" x14ac:dyDescent="0.2">
      <c r="B62" s="624"/>
      <c r="C62" s="625"/>
      <c r="D62" s="625"/>
      <c r="E62" s="626"/>
      <c r="F62" s="627"/>
      <c r="G62" s="627"/>
      <c r="H62" s="628"/>
      <c r="I62" s="628"/>
      <c r="J62" s="628"/>
      <c r="K62" s="628"/>
      <c r="L62" s="628"/>
      <c r="M62" s="674"/>
      <c r="N62" s="289"/>
      <c r="O62" s="287">
        <f>ROWS($M$8:N62)</f>
        <v>55</v>
      </c>
      <c r="P62" s="287" t="str">
        <f>IF(ID!$A$93=N62,O62,"")</f>
        <v/>
      </c>
      <c r="Q62" s="287" t="str">
        <f>IFERROR(SMALL($P$8:$P313,ROWS($P$8:P62)),"")</f>
        <v/>
      </c>
    </row>
    <row r="63" spans="2:17" x14ac:dyDescent="0.2">
      <c r="B63" s="632"/>
      <c r="C63" s="625"/>
      <c r="D63" s="625"/>
      <c r="E63" s="633"/>
      <c r="F63" s="627"/>
      <c r="G63" s="627"/>
      <c r="H63" s="628"/>
      <c r="I63" s="628"/>
      <c r="J63" s="628"/>
      <c r="K63" s="628"/>
      <c r="L63" s="628"/>
      <c r="M63" s="674"/>
      <c r="N63" s="289"/>
      <c r="O63" s="287">
        <f>ROWS($M$8:N63)</f>
        <v>56</v>
      </c>
      <c r="P63" s="287" t="str">
        <f>IF(ID!$A$93=N63,O63,"")</f>
        <v/>
      </c>
      <c r="Q63" s="287" t="str">
        <f>IFERROR(SMALL($P$8:$P314,ROWS($P$8:P63)),"")</f>
        <v/>
      </c>
    </row>
    <row r="64" spans="2:17" x14ac:dyDescent="0.2">
      <c r="B64" s="632"/>
      <c r="C64" s="663"/>
      <c r="D64" s="625"/>
      <c r="E64" s="633"/>
      <c r="F64" s="634"/>
      <c r="G64" s="627"/>
      <c r="H64" s="628"/>
      <c r="I64" s="628"/>
      <c r="J64" s="628"/>
      <c r="K64" s="628"/>
      <c r="L64" s="628"/>
      <c r="M64" s="674"/>
      <c r="N64" s="289"/>
      <c r="O64" s="287">
        <f>ROWS($M$8:N64)</f>
        <v>57</v>
      </c>
      <c r="P64" s="287" t="str">
        <f>IF(ID!$A$93=N64,O64,"")</f>
        <v/>
      </c>
      <c r="Q64" s="287" t="str">
        <f>IFERROR(SMALL($P$8:$P315,ROWS($P$8:P64)),"")</f>
        <v/>
      </c>
    </row>
    <row r="65" spans="2:17" x14ac:dyDescent="0.2">
      <c r="O65" s="287">
        <f>ROWS($M$8:N65)</f>
        <v>58</v>
      </c>
      <c r="P65" s="287" t="str">
        <f>IF(ID!$A$93=N65,O65,"")</f>
        <v/>
      </c>
      <c r="Q65" s="287" t="str">
        <f>IFERROR(SMALL($P$8:$P316,ROWS($P$8:P65)),"")</f>
        <v/>
      </c>
    </row>
    <row r="66" spans="2:17" x14ac:dyDescent="0.2">
      <c r="O66" s="287">
        <f>ROWS($M$8:N66)</f>
        <v>59</v>
      </c>
      <c r="P66" s="287" t="str">
        <f>IF(ID!$A$93=N66,O66,"")</f>
        <v/>
      </c>
      <c r="Q66" s="287" t="str">
        <f>IFERROR(SMALL($P$8:$P317,ROWS($P$8:P66)),"")</f>
        <v/>
      </c>
    </row>
    <row r="67" spans="2:17" x14ac:dyDescent="0.2">
      <c r="O67" s="287">
        <f>ROWS($M$8:N67)</f>
        <v>60</v>
      </c>
      <c r="P67" s="287" t="str">
        <f>IF(ID!$A$93=N67,O67,"")</f>
        <v/>
      </c>
      <c r="Q67" s="287" t="str">
        <f>IFERROR(SMALL($P$8:$P318,ROWS($P$8:P67)),"")</f>
        <v/>
      </c>
    </row>
    <row r="68" spans="2:17" x14ac:dyDescent="0.2">
      <c r="B68" s="624"/>
      <c r="C68" s="625"/>
      <c r="D68" s="625"/>
      <c r="E68" s="626"/>
      <c r="F68" s="627"/>
      <c r="G68" s="627"/>
      <c r="H68" s="628"/>
      <c r="I68" s="628"/>
      <c r="J68" s="628"/>
      <c r="K68" s="628"/>
      <c r="L68" s="628"/>
      <c r="M68" s="674"/>
      <c r="N68" s="289"/>
      <c r="O68" s="287">
        <f>ROWS($M$8:N68)</f>
        <v>61</v>
      </c>
      <c r="P68" s="287" t="str">
        <f>IF(ID!$A$93=N68,O68,"")</f>
        <v/>
      </c>
      <c r="Q68" s="287" t="str">
        <f>IFERROR(SMALL($P$8:$P319,ROWS($P$8:P68)),"")</f>
        <v/>
      </c>
    </row>
    <row r="69" spans="2:17" x14ac:dyDescent="0.2">
      <c r="B69" s="624"/>
      <c r="C69" s="625"/>
      <c r="D69" s="625"/>
      <c r="E69" s="626"/>
      <c r="F69" s="627"/>
      <c r="G69" s="627"/>
      <c r="H69" s="628"/>
      <c r="I69" s="628"/>
      <c r="J69" s="628"/>
      <c r="K69" s="628"/>
      <c r="L69" s="628"/>
      <c r="M69" s="674"/>
      <c r="N69" s="289"/>
      <c r="O69" s="287">
        <f>ROWS($M$8:N69)</f>
        <v>62</v>
      </c>
      <c r="P69" s="287" t="str">
        <f>IF(ID!$A$93=N69,O69,"")</f>
        <v/>
      </c>
      <c r="Q69" s="287" t="str">
        <f>IFERROR(SMALL($P$8:$P320,ROWS($P$8:P69)),"")</f>
        <v/>
      </c>
    </row>
    <row r="70" spans="2:17" x14ac:dyDescent="0.2">
      <c r="B70" s="624"/>
      <c r="C70" s="625"/>
      <c r="D70" s="625"/>
      <c r="E70" s="626"/>
      <c r="F70" s="627"/>
      <c r="G70" s="627"/>
      <c r="H70" s="628"/>
      <c r="I70" s="628"/>
      <c r="J70" s="628"/>
      <c r="K70" s="628"/>
      <c r="L70" s="628"/>
      <c r="M70" s="674"/>
      <c r="N70" s="289"/>
      <c r="O70" s="287">
        <f>ROWS($M$8:N70)</f>
        <v>63</v>
      </c>
      <c r="P70" s="287" t="str">
        <f>IF(ID!$A$93=N70,O70,"")</f>
        <v/>
      </c>
      <c r="Q70" s="287" t="str">
        <f>IFERROR(SMALL($P$8:$P321,ROWS($P$8:P70)),"")</f>
        <v/>
      </c>
    </row>
    <row r="71" spans="2:17" x14ac:dyDescent="0.2">
      <c r="B71" s="624"/>
      <c r="C71" s="625"/>
      <c r="D71" s="625"/>
      <c r="E71" s="626"/>
      <c r="F71" s="627"/>
      <c r="G71" s="627"/>
      <c r="H71" s="628"/>
      <c r="I71" s="628"/>
      <c r="J71" s="628"/>
      <c r="K71" s="628"/>
      <c r="L71" s="628"/>
      <c r="M71" s="674"/>
      <c r="N71" s="289"/>
      <c r="O71" s="287">
        <f>ROWS($M$8:N71)</f>
        <v>64</v>
      </c>
      <c r="P71" s="287" t="str">
        <f>IF(ID!$A$93=N71,O71,"")</f>
        <v/>
      </c>
      <c r="Q71" s="287" t="str">
        <f>IFERROR(SMALL($P$8:$P322,ROWS($P$8:P71)),"")</f>
        <v/>
      </c>
    </row>
    <row r="72" spans="2:17" x14ac:dyDescent="0.2">
      <c r="B72" s="624"/>
      <c r="C72" s="625"/>
      <c r="D72" s="625"/>
      <c r="E72" s="626"/>
      <c r="F72" s="627"/>
      <c r="G72" s="627"/>
      <c r="H72" s="628"/>
      <c r="I72" s="628"/>
      <c r="J72" s="628"/>
      <c r="K72" s="628"/>
      <c r="L72" s="628"/>
      <c r="M72" s="674"/>
      <c r="N72" s="289"/>
      <c r="O72" s="287">
        <f>ROWS($M$8:N72)</f>
        <v>65</v>
      </c>
      <c r="P72" s="287" t="str">
        <f>IF(ID!$A$93=N72,O72,"")</f>
        <v/>
      </c>
      <c r="Q72" s="287" t="str">
        <f>IFERROR(SMALL($P$8:$P323,ROWS($P$8:P72)),"")</f>
        <v/>
      </c>
    </row>
    <row r="73" spans="2:17" x14ac:dyDescent="0.2">
      <c r="B73" s="632"/>
      <c r="C73" s="625"/>
      <c r="D73" s="625"/>
      <c r="E73" s="633"/>
      <c r="F73" s="627"/>
      <c r="G73" s="627"/>
      <c r="H73" s="628"/>
      <c r="I73" s="628"/>
      <c r="J73" s="628"/>
      <c r="K73" s="628"/>
      <c r="L73" s="628"/>
      <c r="M73" s="674"/>
      <c r="N73" s="289"/>
      <c r="O73" s="287">
        <f>ROWS($M$8:N73)</f>
        <v>66</v>
      </c>
      <c r="P73" s="287" t="str">
        <f>IF(ID!$A$93=N73,O73,"")</f>
        <v/>
      </c>
      <c r="Q73" s="287" t="str">
        <f>IFERROR(SMALL($P$8:$P324,ROWS($P$8:P73)),"")</f>
        <v/>
      </c>
    </row>
    <row r="74" spans="2:17" x14ac:dyDescent="0.2">
      <c r="B74" s="632"/>
      <c r="C74" s="663"/>
      <c r="D74" s="625"/>
      <c r="E74" s="633"/>
      <c r="F74" s="634"/>
      <c r="G74" s="627"/>
      <c r="H74" s="628"/>
      <c r="I74" s="628"/>
      <c r="J74" s="628"/>
      <c r="K74" s="628"/>
      <c r="L74" s="628"/>
      <c r="M74" s="674"/>
      <c r="N74" s="289"/>
      <c r="O74" s="287">
        <f>ROWS($M$8:N74)</f>
        <v>67</v>
      </c>
      <c r="P74" s="287" t="str">
        <f>IF(ID!$A$93=N74,O74,"")</f>
        <v/>
      </c>
      <c r="Q74" s="287" t="str">
        <f>IFERROR(SMALL($P$8:$P325,ROWS($P$8:P74)),"")</f>
        <v/>
      </c>
    </row>
    <row r="75" spans="2:17" x14ac:dyDescent="0.2">
      <c r="O75" s="287">
        <f>ROWS($M$8:N75)</f>
        <v>68</v>
      </c>
      <c r="P75" s="287" t="str">
        <f>IF(ID!$A$93=N75,O75,"")</f>
        <v/>
      </c>
      <c r="Q75" s="287" t="str">
        <f>IFERROR(SMALL($P$8:$P326,ROWS($P$8:P75)),"")</f>
        <v/>
      </c>
    </row>
    <row r="76" spans="2:17" x14ac:dyDescent="0.2">
      <c r="O76" s="287">
        <f>ROWS($M$8:N76)</f>
        <v>69</v>
      </c>
      <c r="P76" s="287" t="str">
        <f>IF(ID!$A$93=N76,O76,"")</f>
        <v/>
      </c>
      <c r="Q76" s="287" t="str">
        <f>IFERROR(SMALL($P$8:$P327,ROWS($P$8:P76)),"")</f>
        <v/>
      </c>
    </row>
    <row r="77" spans="2:17" x14ac:dyDescent="0.2">
      <c r="O77" s="287">
        <f>ROWS($M$8:N77)</f>
        <v>70</v>
      </c>
      <c r="P77" s="287" t="str">
        <f>IF(ID!$A$93=N77,O77,"")</f>
        <v/>
      </c>
      <c r="Q77" s="287" t="str">
        <f>IFERROR(SMALL($P$8:$P328,ROWS($P$8:P77)),"")</f>
        <v/>
      </c>
    </row>
    <row r="78" spans="2:17" ht="13.2" x14ac:dyDescent="0.2">
      <c r="B78" s="624">
        <v>15</v>
      </c>
      <c r="C78" s="625">
        <v>0.4</v>
      </c>
      <c r="D78" s="625">
        <v>0.8</v>
      </c>
      <c r="E78" s="626">
        <v>30</v>
      </c>
      <c r="F78" s="627">
        <v>-1.5</v>
      </c>
      <c r="G78" s="627">
        <v>2.6</v>
      </c>
      <c r="H78" s="628">
        <v>995</v>
      </c>
      <c r="I78" s="628">
        <v>0.9</v>
      </c>
      <c r="J78" s="628"/>
      <c r="K78" s="628"/>
      <c r="L78" s="628">
        <v>1.6</v>
      </c>
      <c r="M78" s="629" t="s">
        <v>363</v>
      </c>
      <c r="O78" s="287">
        <f>ROWS($M$8:N78)</f>
        <v>71</v>
      </c>
      <c r="P78" s="287" t="str">
        <f>IF(ID!$A$93=AG11,O78,"")</f>
        <v/>
      </c>
      <c r="Q78" s="287" t="str">
        <f>IFERROR(SMALL($P$8:$P329,ROWS($P$8:P78)),"")</f>
        <v/>
      </c>
    </row>
    <row r="79" spans="2:17" ht="13.2" x14ac:dyDescent="0.2">
      <c r="B79" s="624">
        <v>20</v>
      </c>
      <c r="C79" s="625">
        <v>0.3</v>
      </c>
      <c r="D79" s="625">
        <v>0.8</v>
      </c>
      <c r="E79" s="626">
        <v>40</v>
      </c>
      <c r="F79" s="627">
        <v>-3.8</v>
      </c>
      <c r="G79" s="627">
        <v>2.6</v>
      </c>
      <c r="H79" s="628">
        <v>1000</v>
      </c>
      <c r="I79" s="628">
        <v>0.9</v>
      </c>
      <c r="J79" s="628"/>
      <c r="K79" s="628"/>
      <c r="L79" s="628">
        <v>1.6</v>
      </c>
      <c r="M79" s="629"/>
      <c r="N79" s="1053" t="s">
        <v>841</v>
      </c>
      <c r="O79" s="287">
        <f>ROWS($M$8:N79)</f>
        <v>72</v>
      </c>
      <c r="P79" s="287" t="str">
        <f>IF(ID!$A$93=N79,O79,"")</f>
        <v/>
      </c>
      <c r="Q79" s="287" t="str">
        <f>IFERROR(SMALL($P$8:$P330,ROWS($P$8:P79)),"")</f>
        <v/>
      </c>
    </row>
    <row r="80" spans="2:17" ht="13.2" x14ac:dyDescent="0.2">
      <c r="B80" s="624">
        <v>25</v>
      </c>
      <c r="C80" s="625">
        <v>0.2</v>
      </c>
      <c r="D80" s="625">
        <v>0.8</v>
      </c>
      <c r="E80" s="626">
        <v>50</v>
      </c>
      <c r="F80" s="627">
        <v>-5.4</v>
      </c>
      <c r="G80" s="627">
        <v>2.6</v>
      </c>
      <c r="H80" s="653">
        <v>1005</v>
      </c>
      <c r="I80" s="653">
        <v>0.9</v>
      </c>
      <c r="J80" s="653"/>
      <c r="K80" s="628"/>
      <c r="L80" s="628">
        <v>1.6</v>
      </c>
      <c r="M80" s="629"/>
      <c r="N80" s="675" t="s">
        <v>841</v>
      </c>
      <c r="O80" s="287">
        <f>ROWS($M$8:N80)</f>
        <v>73</v>
      </c>
      <c r="P80" s="287" t="str">
        <f>IF(ID!$A$93=N80,O80,"")</f>
        <v/>
      </c>
      <c r="Q80" s="287" t="str">
        <f>IFERROR(SMALL($P$8:$P331,ROWS($P$8:P80)),"")</f>
        <v/>
      </c>
    </row>
    <row r="81" spans="2:17" ht="13.2" x14ac:dyDescent="0.2">
      <c r="B81" s="624">
        <v>30</v>
      </c>
      <c r="C81" s="625">
        <v>0.1</v>
      </c>
      <c r="D81" s="625">
        <v>0.8</v>
      </c>
      <c r="E81" s="626">
        <v>60</v>
      </c>
      <c r="F81" s="627">
        <v>-6.4</v>
      </c>
      <c r="G81" s="627">
        <v>2.6</v>
      </c>
      <c r="H81" s="676">
        <v>1015</v>
      </c>
      <c r="I81" s="676">
        <v>0.9</v>
      </c>
      <c r="J81" s="676"/>
      <c r="K81" s="676"/>
      <c r="L81" s="676">
        <v>1.6</v>
      </c>
      <c r="M81" s="629"/>
      <c r="N81" s="675" t="s">
        <v>841</v>
      </c>
      <c r="O81" s="287">
        <f>ROWS($M$8:N81)</f>
        <v>74</v>
      </c>
      <c r="P81" s="287" t="str">
        <f>IF(ID!$A$93=N81,O81,"")</f>
        <v/>
      </c>
      <c r="Q81" s="287" t="str">
        <f>IFERROR(SMALL($P$8:$P332,ROWS($P$8:P81)),"")</f>
        <v/>
      </c>
    </row>
    <row r="82" spans="2:17" ht="13.2" x14ac:dyDescent="0.2">
      <c r="B82" s="624">
        <v>35</v>
      </c>
      <c r="C82" s="625">
        <v>0.1</v>
      </c>
      <c r="D82" s="625">
        <v>0.8</v>
      </c>
      <c r="E82" s="626">
        <v>70</v>
      </c>
      <c r="F82" s="627">
        <v>-6.7</v>
      </c>
      <c r="G82" s="627">
        <v>2.6</v>
      </c>
      <c r="H82" s="628" t="s">
        <v>201</v>
      </c>
      <c r="I82" s="628" t="s">
        <v>201</v>
      </c>
      <c r="J82" s="628" t="s">
        <v>201</v>
      </c>
      <c r="K82" s="628" t="s">
        <v>201</v>
      </c>
      <c r="L82" s="628" t="s">
        <v>201</v>
      </c>
      <c r="M82" s="629"/>
      <c r="N82" s="675" t="s">
        <v>841</v>
      </c>
      <c r="O82" s="287">
        <f>ROWS($M$8:N82)</f>
        <v>75</v>
      </c>
      <c r="P82" s="287" t="str">
        <f>IF(ID!$A$93=N82,O82,"")</f>
        <v/>
      </c>
      <c r="Q82" s="287" t="str">
        <f>IFERROR(SMALL($P$8:$P333,ROWS($P$8:P82)),"")</f>
        <v/>
      </c>
    </row>
    <row r="83" spans="2:17" ht="13.2" x14ac:dyDescent="0.2">
      <c r="B83" s="632">
        <v>37</v>
      </c>
      <c r="C83" s="625">
        <v>0.1</v>
      </c>
      <c r="D83" s="625">
        <v>0.8</v>
      </c>
      <c r="E83" s="633">
        <v>80</v>
      </c>
      <c r="F83" s="627">
        <v>-6.3</v>
      </c>
      <c r="G83" s="627">
        <v>2.6</v>
      </c>
      <c r="H83" s="628" t="s">
        <v>201</v>
      </c>
      <c r="I83" s="628" t="s">
        <v>201</v>
      </c>
      <c r="J83" s="628" t="s">
        <v>201</v>
      </c>
      <c r="K83" s="628" t="s">
        <v>201</v>
      </c>
      <c r="L83" s="628" t="s">
        <v>201</v>
      </c>
      <c r="M83" s="629"/>
      <c r="N83" s="675" t="s">
        <v>841</v>
      </c>
      <c r="O83" s="287">
        <f>ROWS($M$8:N83)</f>
        <v>76</v>
      </c>
      <c r="P83" s="287" t="str">
        <f>IF(ID!$A$93=N83,O83,"")</f>
        <v/>
      </c>
      <c r="Q83" s="287" t="str">
        <f>IFERROR(SMALL($P$8:$P334,ROWS($P$8:P83)),"")</f>
        <v/>
      </c>
    </row>
    <row r="84" spans="2:17" ht="13.2" x14ac:dyDescent="0.2">
      <c r="B84" s="632">
        <v>40</v>
      </c>
      <c r="C84" s="663">
        <v>0.1</v>
      </c>
      <c r="D84" s="625">
        <v>0.8</v>
      </c>
      <c r="E84" s="633">
        <v>90</v>
      </c>
      <c r="F84" s="634">
        <v>-5.2</v>
      </c>
      <c r="G84" s="627">
        <v>2.6</v>
      </c>
      <c r="H84" s="628" t="s">
        <v>201</v>
      </c>
      <c r="I84" s="628" t="s">
        <v>201</v>
      </c>
      <c r="J84" s="628" t="s">
        <v>201</v>
      </c>
      <c r="K84" s="628" t="s">
        <v>201</v>
      </c>
      <c r="L84" s="628" t="s">
        <v>201</v>
      </c>
      <c r="M84" s="629"/>
      <c r="N84" s="675" t="s">
        <v>841</v>
      </c>
      <c r="O84" s="287">
        <f>ROWS($M$8:N84)</f>
        <v>77</v>
      </c>
      <c r="P84" s="287" t="str">
        <f>IF(ID!$A$93=N84,O84,"")</f>
        <v/>
      </c>
      <c r="Q84" s="287" t="str">
        <f>IFERROR(SMALL($P$8:$P335,ROWS($P$8:P84)),"")</f>
        <v/>
      </c>
    </row>
    <row r="85" spans="2:17" ht="13.2" x14ac:dyDescent="0.2">
      <c r="B85" s="647"/>
      <c r="C85" s="648"/>
      <c r="D85" s="649"/>
      <c r="E85" s="650"/>
      <c r="F85" s="651"/>
      <c r="G85" s="652"/>
      <c r="H85" s="628" t="s">
        <v>201</v>
      </c>
      <c r="I85" s="628" t="s">
        <v>201</v>
      </c>
      <c r="J85" s="628" t="s">
        <v>201</v>
      </c>
      <c r="K85" s="628" t="s">
        <v>201</v>
      </c>
      <c r="L85" s="628" t="s">
        <v>201</v>
      </c>
      <c r="M85" s="629"/>
      <c r="N85" s="289"/>
      <c r="O85" s="287">
        <f>ROWS($M$8:N85)</f>
        <v>78</v>
      </c>
      <c r="P85" s="287" t="str">
        <f>IF(ID!$A$93=N85,O85,"")</f>
        <v/>
      </c>
      <c r="Q85" s="287" t="str">
        <f>IFERROR(SMALL($P$8:$P336,ROWS($P$8:P85)),"")</f>
        <v/>
      </c>
    </row>
    <row r="86" spans="2:17" x14ac:dyDescent="0.2">
      <c r="B86" s="647"/>
      <c r="C86" s="648"/>
      <c r="D86" s="649"/>
      <c r="E86" s="650"/>
      <c r="F86" s="651"/>
      <c r="G86" s="652"/>
      <c r="H86" s="628" t="s">
        <v>201</v>
      </c>
      <c r="I86" s="628" t="s">
        <v>201</v>
      </c>
      <c r="J86" s="628" t="s">
        <v>201</v>
      </c>
      <c r="K86" s="628" t="s">
        <v>201</v>
      </c>
      <c r="L86" s="628" t="s">
        <v>201</v>
      </c>
      <c r="M86" s="654"/>
      <c r="N86" s="677"/>
      <c r="O86" s="287">
        <f>ROWS($M$8:N86)</f>
        <v>79</v>
      </c>
      <c r="P86" s="287" t="str">
        <f>IF(ID!$A$93=N86,O86,"")</f>
        <v/>
      </c>
      <c r="Q86" s="287" t="str">
        <f>IFERROR(SMALL($P$8:$P337,ROWS($P$8:P86)),"")</f>
        <v/>
      </c>
    </row>
    <row r="87" spans="2:17" x14ac:dyDescent="0.2">
      <c r="B87" s="647"/>
      <c r="C87" s="648"/>
      <c r="D87" s="649"/>
      <c r="E87" s="650"/>
      <c r="F87" s="651"/>
      <c r="G87" s="652"/>
      <c r="H87" s="653"/>
      <c r="I87" s="653"/>
      <c r="J87" s="653"/>
      <c r="K87" s="653"/>
      <c r="L87" s="653"/>
      <c r="M87" s="678"/>
      <c r="N87" s="356"/>
      <c r="O87" s="287">
        <f>ROWS($M$8:N87)</f>
        <v>80</v>
      </c>
      <c r="P87" s="287" t="str">
        <f>IF(ID!$A$93=N87,O87,"")</f>
        <v/>
      </c>
      <c r="Q87" s="287" t="str">
        <f>IFERROR(SMALL($P$8:$P338,ROWS($P$8:P87)),"")</f>
        <v/>
      </c>
    </row>
    <row r="88" spans="2:17" x14ac:dyDescent="0.2">
      <c r="B88" s="647"/>
      <c r="C88" s="648"/>
      <c r="D88" s="649"/>
      <c r="E88" s="650"/>
      <c r="F88" s="651"/>
      <c r="G88" s="652"/>
      <c r="H88" s="653"/>
      <c r="I88" s="653"/>
      <c r="J88" s="653"/>
      <c r="K88" s="653"/>
      <c r="L88" s="653"/>
      <c r="M88" s="678"/>
      <c r="N88" s="356"/>
      <c r="O88" s="287">
        <f>ROWS($M$8:N88)</f>
        <v>81</v>
      </c>
      <c r="P88" s="287" t="str">
        <f>IF(ID!$A$93=N88,O88,"")</f>
        <v/>
      </c>
      <c r="Q88" s="287" t="str">
        <f>IFERROR(SMALL($P$8:$P339,ROWS($P$8:P88)),"")</f>
        <v/>
      </c>
    </row>
    <row r="89" spans="2:17" x14ac:dyDescent="0.2">
      <c r="B89" s="647"/>
      <c r="C89" s="648"/>
      <c r="D89" s="649"/>
      <c r="E89" s="650"/>
      <c r="F89" s="651"/>
      <c r="G89" s="652"/>
      <c r="H89" s="653"/>
      <c r="I89" s="653"/>
      <c r="J89" s="653"/>
      <c r="K89" s="653"/>
      <c r="L89" s="653"/>
      <c r="M89" s="678"/>
      <c r="N89" s="356"/>
      <c r="O89" s="287">
        <f>ROWS($M$8:N89)</f>
        <v>82</v>
      </c>
      <c r="P89" s="287" t="str">
        <f>IF(ID!$A$93=N89,O89,"")</f>
        <v/>
      </c>
      <c r="Q89" s="287" t="str">
        <f>IFERROR(SMALL($P$8:$P340,ROWS($P$8:P89)),"")</f>
        <v/>
      </c>
    </row>
    <row r="90" spans="2:17" x14ac:dyDescent="0.2">
      <c r="B90" s="647"/>
      <c r="C90" s="648"/>
      <c r="D90" s="649"/>
      <c r="E90" s="650"/>
      <c r="F90" s="651"/>
      <c r="G90" s="652"/>
      <c r="H90" s="653"/>
      <c r="I90" s="653"/>
      <c r="J90" s="653"/>
      <c r="K90" s="653"/>
      <c r="L90" s="653"/>
      <c r="M90" s="678"/>
      <c r="N90" s="356"/>
      <c r="O90" s="287">
        <f>ROWS($M$8:N90)</f>
        <v>83</v>
      </c>
      <c r="P90" s="287" t="str">
        <f>IF(ID!$A$93=N90,O90,"")</f>
        <v/>
      </c>
      <c r="Q90" s="287" t="str">
        <f>IFERROR(SMALL($P$8:$P341,ROWS($P$8:P90)),"")</f>
        <v/>
      </c>
    </row>
    <row r="91" spans="2:17" x14ac:dyDescent="0.2">
      <c r="O91" s="287">
        <f>ROWS($M$8:N91)</f>
        <v>84</v>
      </c>
      <c r="P91" s="287" t="str">
        <f>IF(ID!$A$93=N91,O91,"")</f>
        <v/>
      </c>
      <c r="Q91" s="287" t="str">
        <f>IFERROR(SMALL($P$8:$P342,ROWS($P$8:P91)),"")</f>
        <v/>
      </c>
    </row>
    <row r="92" spans="2:17" x14ac:dyDescent="0.2">
      <c r="O92" s="287">
        <f>ROWS($M$8:N92)</f>
        <v>85</v>
      </c>
      <c r="P92" s="287" t="str">
        <f>IF(ID!$A$93=N92,O92,"")</f>
        <v/>
      </c>
      <c r="Q92" s="287" t="str">
        <f>IFERROR(SMALL($P$8:$P343,ROWS($P$8:P92)),"")</f>
        <v/>
      </c>
    </row>
    <row r="93" spans="2:17" x14ac:dyDescent="0.2">
      <c r="O93" s="287">
        <f>ROWS($M$8:N93)</f>
        <v>86</v>
      </c>
      <c r="P93" s="287" t="str">
        <f>IF(ID!$A$93=N93,O93,"")</f>
        <v/>
      </c>
      <c r="Q93" s="287" t="str">
        <f>IFERROR(SMALL($P$8:$P344,ROWS($P$8:P93)),"")</f>
        <v/>
      </c>
    </row>
    <row r="94" spans="2:17" x14ac:dyDescent="0.2">
      <c r="B94" s="624">
        <v>15</v>
      </c>
      <c r="C94" s="625">
        <v>0.1</v>
      </c>
      <c r="D94" s="625">
        <v>0.3</v>
      </c>
      <c r="E94" s="626">
        <v>30</v>
      </c>
      <c r="F94" s="627">
        <v>-4</v>
      </c>
      <c r="G94" s="627">
        <v>2.5</v>
      </c>
      <c r="H94" s="628">
        <v>990</v>
      </c>
      <c r="I94" s="628">
        <v>-3.6</v>
      </c>
      <c r="J94" s="628"/>
      <c r="K94" s="628"/>
      <c r="L94" s="628">
        <v>2.1</v>
      </c>
      <c r="M94" s="674" t="s">
        <v>417</v>
      </c>
      <c r="N94" s="1053" t="s">
        <v>365</v>
      </c>
      <c r="O94" s="287">
        <f>ROWS($M$8:N94)</f>
        <v>87</v>
      </c>
      <c r="P94" s="287" t="str">
        <f>IF(ID!$A$93=N94,O94,"")</f>
        <v/>
      </c>
      <c r="Q94" s="287" t="str">
        <f>IFERROR(SMALL($P$8:$P345,ROWS($P$8:P94)),"")</f>
        <v/>
      </c>
    </row>
    <row r="95" spans="2:17" x14ac:dyDescent="0.2">
      <c r="B95" s="624">
        <v>20</v>
      </c>
      <c r="C95" s="625">
        <v>0</v>
      </c>
      <c r="D95" s="625">
        <v>0.3</v>
      </c>
      <c r="E95" s="626">
        <v>40</v>
      </c>
      <c r="F95" s="627">
        <v>-3.8</v>
      </c>
      <c r="G95" s="627">
        <v>2.5</v>
      </c>
      <c r="H95" s="653">
        <v>1000</v>
      </c>
      <c r="I95" s="628">
        <v>-3.5</v>
      </c>
      <c r="J95" s="628"/>
      <c r="K95" s="628"/>
      <c r="L95" s="628">
        <v>2.1</v>
      </c>
      <c r="M95" s="674"/>
      <c r="N95" s="675" t="s">
        <v>365</v>
      </c>
      <c r="O95" s="287">
        <f>ROWS($M$8:N95)</f>
        <v>88</v>
      </c>
      <c r="P95" s="287" t="str">
        <f>IF(ID!$A$93=N95,O95,"")</f>
        <v/>
      </c>
      <c r="Q95" s="287" t="str">
        <f>IFERROR(SMALL($P$8:$P346,ROWS($P$8:P95)),"")</f>
        <v/>
      </c>
    </row>
    <row r="96" spans="2:17" x14ac:dyDescent="0.2">
      <c r="B96" s="624">
        <v>25</v>
      </c>
      <c r="C96" s="625">
        <v>-0.1</v>
      </c>
      <c r="D96" s="625">
        <v>0.3</v>
      </c>
      <c r="E96" s="626">
        <v>50</v>
      </c>
      <c r="F96" s="627">
        <v>-3.8</v>
      </c>
      <c r="G96" s="627">
        <v>2.5</v>
      </c>
      <c r="H96" s="653">
        <v>1010</v>
      </c>
      <c r="I96" s="628">
        <v>-3.4</v>
      </c>
      <c r="J96" s="628"/>
      <c r="K96" s="628"/>
      <c r="L96" s="628">
        <v>2.1</v>
      </c>
      <c r="M96" s="674"/>
      <c r="N96" s="675" t="s">
        <v>365</v>
      </c>
      <c r="O96" s="287">
        <f>ROWS($M$8:N96)</f>
        <v>89</v>
      </c>
      <c r="P96" s="287" t="str">
        <f>IF(ID!$A$93=N96,O96,"")</f>
        <v/>
      </c>
      <c r="Q96" s="287" t="str">
        <f>IFERROR(SMALL($P$8:$P347,ROWS($P$8:P96)),"")</f>
        <v/>
      </c>
    </row>
    <row r="97" spans="2:17" x14ac:dyDescent="0.2">
      <c r="B97" s="624">
        <v>30</v>
      </c>
      <c r="C97" s="625">
        <v>-0.2</v>
      </c>
      <c r="D97" s="625">
        <v>0.3</v>
      </c>
      <c r="E97" s="626">
        <v>60</v>
      </c>
      <c r="F97" s="627">
        <v>-3.9</v>
      </c>
      <c r="G97" s="627">
        <v>2.5</v>
      </c>
      <c r="H97" s="679">
        <v>1015</v>
      </c>
      <c r="I97" s="630">
        <f>I96</f>
        <v>-3.4</v>
      </c>
      <c r="J97" s="630"/>
      <c r="K97" s="630"/>
      <c r="L97" s="630">
        <f>L96</f>
        <v>2.1</v>
      </c>
      <c r="M97" s="674"/>
      <c r="N97" s="675" t="s">
        <v>365</v>
      </c>
      <c r="O97" s="287">
        <f>ROWS($M$8:N97)</f>
        <v>90</v>
      </c>
      <c r="P97" s="287" t="str">
        <f>IF(ID!$A$93=N97,O97,"")</f>
        <v/>
      </c>
      <c r="Q97" s="287" t="str">
        <f>IFERROR(SMALL($P$8:$P348,ROWS($P$8:P97)),"")</f>
        <v/>
      </c>
    </row>
    <row r="98" spans="2:17" x14ac:dyDescent="0.2">
      <c r="B98" s="624">
        <v>35</v>
      </c>
      <c r="C98" s="625">
        <v>-0.1</v>
      </c>
      <c r="D98" s="625">
        <v>0.3</v>
      </c>
      <c r="E98" s="626">
        <v>70</v>
      </c>
      <c r="F98" s="627">
        <v>-4.0999999999999996</v>
      </c>
      <c r="G98" s="627">
        <v>2.5</v>
      </c>
      <c r="H98" s="628" t="s">
        <v>201</v>
      </c>
      <c r="I98" s="628" t="s">
        <v>201</v>
      </c>
      <c r="J98" s="628" t="s">
        <v>201</v>
      </c>
      <c r="K98" s="628" t="s">
        <v>201</v>
      </c>
      <c r="L98" s="628" t="s">
        <v>201</v>
      </c>
      <c r="M98" s="674"/>
      <c r="N98" s="675" t="s">
        <v>365</v>
      </c>
      <c r="O98" s="287">
        <f>ROWS($M$8:N98)</f>
        <v>91</v>
      </c>
      <c r="P98" s="287" t="str">
        <f>IF(ID!$A$93=N98,O98,"")</f>
        <v/>
      </c>
      <c r="Q98" s="287" t="str">
        <f>IFERROR(SMALL($P$8:$P349,ROWS($P$8:P98)),"")</f>
        <v/>
      </c>
    </row>
    <row r="99" spans="2:17" x14ac:dyDescent="0.2">
      <c r="B99" s="632">
        <v>37</v>
      </c>
      <c r="C99" s="625">
        <v>-0.1</v>
      </c>
      <c r="D99" s="625">
        <v>0.3</v>
      </c>
      <c r="E99" s="633">
        <v>80</v>
      </c>
      <c r="F99" s="627">
        <v>-4.5</v>
      </c>
      <c r="G99" s="627">
        <v>2.5</v>
      </c>
      <c r="H99" s="628" t="s">
        <v>201</v>
      </c>
      <c r="I99" s="628" t="s">
        <v>201</v>
      </c>
      <c r="J99" s="628" t="s">
        <v>201</v>
      </c>
      <c r="K99" s="628" t="s">
        <v>201</v>
      </c>
      <c r="L99" s="628" t="s">
        <v>201</v>
      </c>
      <c r="M99" s="674"/>
      <c r="N99" s="675" t="s">
        <v>365</v>
      </c>
      <c r="O99" s="287">
        <f>ROWS($M$8:N99)</f>
        <v>92</v>
      </c>
      <c r="P99" s="287" t="str">
        <f>IF(ID!$A$93=N99,O99,"")</f>
        <v/>
      </c>
      <c r="Q99" s="287" t="str">
        <f>IFERROR(SMALL($P$8:$P350,ROWS($P$8:P99)),"")</f>
        <v/>
      </c>
    </row>
    <row r="100" spans="2:17" x14ac:dyDescent="0.2">
      <c r="B100" s="632">
        <v>40</v>
      </c>
      <c r="C100" s="680">
        <v>0</v>
      </c>
      <c r="D100" s="625">
        <v>0.3</v>
      </c>
      <c r="E100" s="633">
        <v>90</v>
      </c>
      <c r="F100" s="634">
        <v>-4.9000000000000004</v>
      </c>
      <c r="G100" s="627">
        <v>2.5</v>
      </c>
      <c r="H100" s="628" t="s">
        <v>201</v>
      </c>
      <c r="I100" s="628" t="s">
        <v>201</v>
      </c>
      <c r="J100" s="628" t="s">
        <v>201</v>
      </c>
      <c r="K100" s="628" t="s">
        <v>201</v>
      </c>
      <c r="L100" s="628" t="s">
        <v>201</v>
      </c>
      <c r="M100" s="674"/>
      <c r="N100" s="675" t="s">
        <v>365</v>
      </c>
      <c r="O100" s="287">
        <f>ROWS($M$8:N100)</f>
        <v>93</v>
      </c>
      <c r="P100" s="287" t="str">
        <f>IF(ID!$A$93=N100,O100,"")</f>
        <v/>
      </c>
      <c r="Q100" s="287" t="str">
        <f>IFERROR(SMALL($P$8:$P351,ROWS($P$8:P100)),"")</f>
        <v/>
      </c>
    </row>
    <row r="101" spans="2:17" x14ac:dyDescent="0.2">
      <c r="B101" s="647"/>
      <c r="C101" s="648"/>
      <c r="D101" s="649"/>
      <c r="E101" s="650"/>
      <c r="F101" s="651"/>
      <c r="G101" s="652"/>
      <c r="H101" s="628" t="s">
        <v>201</v>
      </c>
      <c r="I101" s="628" t="s">
        <v>201</v>
      </c>
      <c r="J101" s="628" t="s">
        <v>201</v>
      </c>
      <c r="K101" s="628" t="s">
        <v>201</v>
      </c>
      <c r="L101" s="628" t="s">
        <v>201</v>
      </c>
      <c r="M101" s="674"/>
      <c r="N101" s="289"/>
      <c r="O101" s="287">
        <f>ROWS($M$8:N101)</f>
        <v>94</v>
      </c>
      <c r="P101" s="287" t="str">
        <f>IF(ID!$A$93=N101,O101,"")</f>
        <v/>
      </c>
      <c r="Q101" s="287" t="str">
        <f>IFERROR(SMALL($P$8:$P352,ROWS($P$8:P101)),"")</f>
        <v/>
      </c>
    </row>
    <row r="102" spans="2:17" x14ac:dyDescent="0.2">
      <c r="B102" s="647"/>
      <c r="C102" s="648"/>
      <c r="D102" s="649"/>
      <c r="E102" s="650"/>
      <c r="F102" s="651"/>
      <c r="G102" s="652"/>
      <c r="H102" s="628" t="s">
        <v>201</v>
      </c>
      <c r="I102" s="628" t="s">
        <v>201</v>
      </c>
      <c r="J102" s="628" t="s">
        <v>201</v>
      </c>
      <c r="K102" s="628" t="s">
        <v>201</v>
      </c>
      <c r="L102" s="628" t="s">
        <v>201</v>
      </c>
      <c r="M102" s="674"/>
      <c r="N102" s="289"/>
      <c r="O102" s="287">
        <f>ROWS($M$8:N102)</f>
        <v>95</v>
      </c>
      <c r="P102" s="287" t="str">
        <f>IF(ID!$A$93=N102,O102,"")</f>
        <v/>
      </c>
      <c r="Q102" s="287" t="str">
        <f>IFERROR(SMALL($P$8:$P353,ROWS($P$8:P102)),"")</f>
        <v/>
      </c>
    </row>
    <row r="103" spans="2:17" s="286" customFormat="1" x14ac:dyDescent="0.2">
      <c r="B103" s="681"/>
      <c r="C103" s="682"/>
      <c r="D103" s="683"/>
      <c r="E103" s="684"/>
      <c r="F103" s="685"/>
      <c r="G103" s="686"/>
      <c r="H103" s="628" t="s">
        <v>201</v>
      </c>
      <c r="I103" s="628" t="s">
        <v>201</v>
      </c>
      <c r="J103" s="628" t="s">
        <v>201</v>
      </c>
      <c r="K103" s="628" t="s">
        <v>201</v>
      </c>
      <c r="L103" s="628" t="s">
        <v>201</v>
      </c>
      <c r="M103" s="687"/>
      <c r="N103" s="688"/>
      <c r="O103" s="287">
        <f>ROWS($M$8:N103)</f>
        <v>96</v>
      </c>
      <c r="P103" s="287" t="str">
        <f>IF(ID!$A$93=N103,O103,"")</f>
        <v/>
      </c>
      <c r="Q103" s="287" t="str">
        <f>IFERROR(SMALL($P$8:$P354,ROWS($P$8:P103)),"")</f>
        <v/>
      </c>
    </row>
    <row r="104" spans="2:17" x14ac:dyDescent="0.2">
      <c r="B104" s="647"/>
      <c r="C104" s="648"/>
      <c r="D104" s="649"/>
      <c r="E104" s="650"/>
      <c r="F104" s="651"/>
      <c r="G104" s="652"/>
      <c r="H104" s="676"/>
      <c r="I104" s="676"/>
      <c r="J104" s="676"/>
      <c r="K104" s="676"/>
      <c r="L104" s="676"/>
      <c r="M104" s="654"/>
      <c r="N104" s="677"/>
      <c r="O104" s="287">
        <f>ROWS($M$8:N104)</f>
        <v>97</v>
      </c>
      <c r="P104" s="287" t="str">
        <f>IF(ID!$A$93=N104,O104,"")</f>
        <v/>
      </c>
      <c r="Q104" s="287" t="str">
        <f>IFERROR(SMALL($P$8:$P355,ROWS($P$8:P104)),"")</f>
        <v/>
      </c>
    </row>
    <row r="105" spans="2:17" x14ac:dyDescent="0.2">
      <c r="B105" s="647"/>
      <c r="C105" s="648"/>
      <c r="D105" s="649"/>
      <c r="E105" s="650"/>
      <c r="F105" s="651"/>
      <c r="G105" s="652"/>
      <c r="H105" s="653"/>
      <c r="I105" s="653"/>
      <c r="J105" s="653"/>
      <c r="K105" s="653"/>
      <c r="L105" s="653"/>
      <c r="M105" s="678"/>
      <c r="N105" s="356"/>
      <c r="O105" s="287">
        <f>ROWS($M$8:N105)</f>
        <v>98</v>
      </c>
      <c r="P105" s="287" t="str">
        <f>IF(ID!$A$93=N105,O105,"")</f>
        <v/>
      </c>
      <c r="Q105" s="287" t="str">
        <f>IFERROR(SMALL($P$8:$P356,ROWS($P$8:P105)),"")</f>
        <v/>
      </c>
    </row>
    <row r="106" spans="2:17" x14ac:dyDescent="0.2">
      <c r="O106" s="287">
        <f>ROWS($M$8:N106)</f>
        <v>99</v>
      </c>
      <c r="P106" s="287" t="str">
        <f>IF(ID!$A$93=N106,O106,"")</f>
        <v/>
      </c>
      <c r="Q106" s="287" t="str">
        <f>IFERROR(SMALL($P$8:$P357,ROWS($P$8:P106)),"")</f>
        <v/>
      </c>
    </row>
    <row r="107" spans="2:17" x14ac:dyDescent="0.2">
      <c r="O107" s="287">
        <f>ROWS($M$8:N107)</f>
        <v>100</v>
      </c>
      <c r="P107" s="287" t="str">
        <f>IF(ID!$A$93=N107,O107,"")</f>
        <v/>
      </c>
      <c r="Q107" s="287" t="str">
        <f>IFERROR(SMALL($P$8:$P358,ROWS($P$8:P107)),"")</f>
        <v/>
      </c>
    </row>
    <row r="108" spans="2:17" x14ac:dyDescent="0.2">
      <c r="O108" s="287">
        <f>ROWS($M$8:N108)</f>
        <v>101</v>
      </c>
      <c r="P108" s="287" t="str">
        <f>IF(ID!$A$93=N108,O108,"")</f>
        <v/>
      </c>
      <c r="Q108" s="287" t="str">
        <f>IFERROR(SMALL($P$8:$P359,ROWS($P$8:P108)),"")</f>
        <v/>
      </c>
    </row>
    <row r="109" spans="2:17" x14ac:dyDescent="0.2">
      <c r="B109" s="624">
        <v>15</v>
      </c>
      <c r="C109" s="625">
        <v>0.1</v>
      </c>
      <c r="D109" s="625">
        <v>0.2</v>
      </c>
      <c r="E109" s="626">
        <v>30</v>
      </c>
      <c r="F109" s="627">
        <v>-1.9</v>
      </c>
      <c r="G109" s="689">
        <v>2.4</v>
      </c>
      <c r="H109" s="690">
        <v>990</v>
      </c>
      <c r="I109" s="628">
        <v>-4</v>
      </c>
      <c r="J109" s="628"/>
      <c r="K109" s="628"/>
      <c r="L109" s="628">
        <v>2.4</v>
      </c>
      <c r="M109" s="674" t="s">
        <v>417</v>
      </c>
      <c r="N109" s="1053" t="s">
        <v>842</v>
      </c>
      <c r="O109" s="287">
        <f>ROWS($M$8:N109)</f>
        <v>102</v>
      </c>
      <c r="P109" s="287" t="str">
        <f>IF(ID!$A$93=N109,O109,"")</f>
        <v/>
      </c>
      <c r="Q109" s="287" t="str">
        <f>IFERROR(SMALL($P$8:$P360,ROWS($P$8:P109)),"")</f>
        <v/>
      </c>
    </row>
    <row r="110" spans="2:17" x14ac:dyDescent="0.2">
      <c r="B110" s="624">
        <v>20</v>
      </c>
      <c r="C110" s="625">
        <v>0</v>
      </c>
      <c r="D110" s="625">
        <v>0.2</v>
      </c>
      <c r="E110" s="626">
        <v>40</v>
      </c>
      <c r="F110" s="627">
        <v>-1.9</v>
      </c>
      <c r="G110" s="689">
        <v>2.4</v>
      </c>
      <c r="H110" s="690">
        <v>1000</v>
      </c>
      <c r="I110" s="628">
        <v>-3.9</v>
      </c>
      <c r="J110" s="628"/>
      <c r="K110" s="628"/>
      <c r="L110" s="628">
        <v>2.4</v>
      </c>
      <c r="M110" s="674"/>
      <c r="N110" s="675" t="s">
        <v>842</v>
      </c>
      <c r="O110" s="287">
        <f>ROWS($M$8:N110)</f>
        <v>103</v>
      </c>
      <c r="P110" s="287" t="str">
        <f>IF(ID!$A$93=N110,O110,"")</f>
        <v/>
      </c>
      <c r="Q110" s="287" t="str">
        <f>IFERROR(SMALL($P$8:$P361,ROWS($P$8:P110)),"")</f>
        <v/>
      </c>
    </row>
    <row r="111" spans="2:17" x14ac:dyDescent="0.2">
      <c r="B111" s="624">
        <v>25</v>
      </c>
      <c r="C111" s="625">
        <v>0</v>
      </c>
      <c r="D111" s="625">
        <v>0.2</v>
      </c>
      <c r="E111" s="626">
        <v>50</v>
      </c>
      <c r="F111" s="627">
        <v>-1.9</v>
      </c>
      <c r="G111" s="689">
        <v>2.4</v>
      </c>
      <c r="H111" s="690">
        <v>1010</v>
      </c>
      <c r="I111" s="628">
        <v>-3.8</v>
      </c>
      <c r="J111" s="628"/>
      <c r="K111" s="628"/>
      <c r="L111" s="690">
        <v>2.4</v>
      </c>
      <c r="M111" s="674"/>
      <c r="N111" s="675" t="s">
        <v>842</v>
      </c>
      <c r="O111" s="287">
        <f>ROWS($M$8:N111)</f>
        <v>104</v>
      </c>
      <c r="P111" s="287" t="str">
        <f>IF(ID!$A$93=N111,O111,"")</f>
        <v/>
      </c>
      <c r="Q111" s="287" t="str">
        <f>IFERROR(SMALL($P$8:$P362,ROWS($P$8:P111)),"")</f>
        <v/>
      </c>
    </row>
    <row r="112" spans="2:17" x14ac:dyDescent="0.2">
      <c r="B112" s="624">
        <v>30</v>
      </c>
      <c r="C112" s="625">
        <v>0</v>
      </c>
      <c r="D112" s="625">
        <v>0.2</v>
      </c>
      <c r="E112" s="626">
        <v>60</v>
      </c>
      <c r="F112" s="627">
        <v>-2.1</v>
      </c>
      <c r="G112" s="689">
        <v>2.4</v>
      </c>
      <c r="H112" s="691">
        <v>1015</v>
      </c>
      <c r="I112" s="691">
        <f>I111</f>
        <v>-3.8</v>
      </c>
      <c r="J112" s="691"/>
      <c r="K112" s="691"/>
      <c r="L112" s="691">
        <f>L111</f>
        <v>2.4</v>
      </c>
      <c r="M112" s="674"/>
      <c r="N112" s="675" t="s">
        <v>842</v>
      </c>
      <c r="O112" s="287">
        <f>ROWS($M$8:N112)</f>
        <v>105</v>
      </c>
      <c r="P112" s="287" t="str">
        <f>IF(ID!$A$93=N112,O112,"")</f>
        <v/>
      </c>
      <c r="Q112" s="287" t="str">
        <f>IFERROR(SMALL($P$8:$P363,ROWS($P$8:P112)),"")</f>
        <v/>
      </c>
    </row>
    <row r="113" spans="2:17" x14ac:dyDescent="0.2">
      <c r="B113" s="624">
        <v>35</v>
      </c>
      <c r="C113" s="625">
        <v>0</v>
      </c>
      <c r="D113" s="625">
        <v>0.2</v>
      </c>
      <c r="E113" s="626">
        <v>70</v>
      </c>
      <c r="F113" s="627">
        <v>-2.2999999999999998</v>
      </c>
      <c r="G113" s="689">
        <v>2.4</v>
      </c>
      <c r="H113" s="690" t="s">
        <v>201</v>
      </c>
      <c r="I113" s="690" t="s">
        <v>201</v>
      </c>
      <c r="J113" s="690" t="s">
        <v>201</v>
      </c>
      <c r="K113" s="690" t="s">
        <v>201</v>
      </c>
      <c r="L113" s="690" t="s">
        <v>201</v>
      </c>
      <c r="M113" s="674"/>
      <c r="N113" s="675" t="s">
        <v>842</v>
      </c>
      <c r="O113" s="287">
        <f>ROWS($M$8:N113)</f>
        <v>106</v>
      </c>
      <c r="P113" s="287" t="str">
        <f>IF(ID!$A$93=N113,O113,"")</f>
        <v/>
      </c>
      <c r="Q113" s="287" t="str">
        <f>IFERROR(SMALL($P$8:$P364,ROWS($P$8:P113)),"")</f>
        <v/>
      </c>
    </row>
    <row r="114" spans="2:17" x14ac:dyDescent="0.2">
      <c r="B114" s="632">
        <v>37</v>
      </c>
      <c r="C114" s="625">
        <v>0</v>
      </c>
      <c r="D114" s="625">
        <v>0.2</v>
      </c>
      <c r="E114" s="633">
        <v>80</v>
      </c>
      <c r="F114" s="627">
        <v>-2.6</v>
      </c>
      <c r="G114" s="689">
        <v>2.4</v>
      </c>
      <c r="H114" s="690" t="s">
        <v>201</v>
      </c>
      <c r="I114" s="690" t="s">
        <v>201</v>
      </c>
      <c r="J114" s="690" t="s">
        <v>201</v>
      </c>
      <c r="K114" s="690" t="s">
        <v>201</v>
      </c>
      <c r="L114" s="690" t="s">
        <v>201</v>
      </c>
      <c r="M114" s="692"/>
      <c r="N114" s="675" t="s">
        <v>842</v>
      </c>
      <c r="O114" s="287">
        <f>ROWS($M$8:N114)</f>
        <v>107</v>
      </c>
      <c r="P114" s="287" t="str">
        <f>IF(ID!$A$93=N114,O114,"")</f>
        <v/>
      </c>
      <c r="Q114" s="287" t="str">
        <f>IFERROR(SMALL($P$8:$P365,ROWS($P$8:P114)),"")</f>
        <v/>
      </c>
    </row>
    <row r="115" spans="2:17" x14ac:dyDescent="0.2">
      <c r="B115" s="632">
        <v>40</v>
      </c>
      <c r="C115" s="625">
        <v>0.1</v>
      </c>
      <c r="D115" s="625">
        <v>0.2</v>
      </c>
      <c r="E115" s="633">
        <v>90</v>
      </c>
      <c r="F115" s="693">
        <v>-3</v>
      </c>
      <c r="G115" s="689">
        <v>2.4</v>
      </c>
      <c r="H115" s="690" t="s">
        <v>201</v>
      </c>
      <c r="I115" s="690" t="s">
        <v>201</v>
      </c>
      <c r="J115" s="690" t="s">
        <v>201</v>
      </c>
      <c r="K115" s="690" t="s">
        <v>201</v>
      </c>
      <c r="L115" s="690" t="s">
        <v>201</v>
      </c>
      <c r="M115" s="694"/>
      <c r="N115" s="675" t="s">
        <v>842</v>
      </c>
      <c r="O115" s="287">
        <f>ROWS($M$8:N115)</f>
        <v>108</v>
      </c>
      <c r="P115" s="287" t="str">
        <f>IF(ID!$A$93=N115,O115,"")</f>
        <v/>
      </c>
      <c r="Q115" s="287" t="str">
        <f>IFERROR(SMALL($P$8:$P366,ROWS($P$8:P115)),"")</f>
        <v/>
      </c>
    </row>
    <row r="116" spans="2:17" x14ac:dyDescent="0.2">
      <c r="B116" s="647"/>
      <c r="C116" s="649"/>
      <c r="D116" s="649"/>
      <c r="E116" s="650"/>
      <c r="F116" s="651"/>
      <c r="G116" s="652"/>
      <c r="H116" s="690" t="s">
        <v>201</v>
      </c>
      <c r="I116" s="690" t="s">
        <v>201</v>
      </c>
      <c r="J116" s="690" t="s">
        <v>201</v>
      </c>
      <c r="K116" s="690" t="s">
        <v>201</v>
      </c>
      <c r="L116" s="690" t="s">
        <v>201</v>
      </c>
      <c r="M116" s="692"/>
      <c r="N116" s="289"/>
      <c r="O116" s="287">
        <f>ROWS($M$8:N116)</f>
        <v>109</v>
      </c>
      <c r="P116" s="287" t="str">
        <f>IF(ID!$A$93=N116,O116,"")</f>
        <v/>
      </c>
      <c r="Q116" s="287" t="str">
        <f>IFERROR(SMALL($P$8:$P367,ROWS($P$8:P116)),"")</f>
        <v/>
      </c>
    </row>
    <row r="117" spans="2:17" x14ac:dyDescent="0.2">
      <c r="B117" s="647"/>
      <c r="C117" s="649"/>
      <c r="D117" s="649"/>
      <c r="E117" s="650"/>
      <c r="F117" s="651"/>
      <c r="G117" s="652"/>
      <c r="H117" s="690" t="s">
        <v>201</v>
      </c>
      <c r="I117" s="690" t="s">
        <v>201</v>
      </c>
      <c r="J117" s="690" t="s">
        <v>201</v>
      </c>
      <c r="K117" s="690" t="s">
        <v>201</v>
      </c>
      <c r="L117" s="690" t="s">
        <v>201</v>
      </c>
      <c r="M117" s="692"/>
      <c r="N117" s="289"/>
      <c r="O117" s="287">
        <f>ROWS($M$8:N117)</f>
        <v>110</v>
      </c>
      <c r="P117" s="287" t="str">
        <f>IF(ID!$A$93=N117,O117,"")</f>
        <v/>
      </c>
      <c r="Q117" s="287" t="str">
        <f>IFERROR(SMALL($P$8:$P368,ROWS($P$8:P117)),"")</f>
        <v/>
      </c>
    </row>
    <row r="118" spans="2:17" s="286" customFormat="1" x14ac:dyDescent="0.2">
      <c r="B118" s="681"/>
      <c r="C118" s="683"/>
      <c r="D118" s="683"/>
      <c r="E118" s="684"/>
      <c r="F118" s="685"/>
      <c r="G118" s="686"/>
      <c r="H118" s="690" t="s">
        <v>201</v>
      </c>
      <c r="I118" s="690" t="s">
        <v>201</v>
      </c>
      <c r="J118" s="690" t="s">
        <v>201</v>
      </c>
      <c r="K118" s="690" t="s">
        <v>201</v>
      </c>
      <c r="L118" s="690" t="s">
        <v>201</v>
      </c>
      <c r="M118" s="695"/>
      <c r="N118" s="688"/>
      <c r="O118" s="287">
        <f>ROWS($M$8:N118)</f>
        <v>111</v>
      </c>
      <c r="P118" s="287" t="str">
        <f>IF(ID!$A$93=N118,O118,"")</f>
        <v/>
      </c>
      <c r="Q118" s="287" t="str">
        <f>IFERROR(SMALL($P$8:$P369,ROWS($P$8:P118)),"")</f>
        <v/>
      </c>
    </row>
    <row r="119" spans="2:17" x14ac:dyDescent="0.2">
      <c r="B119" s="647"/>
      <c r="C119" s="649"/>
      <c r="D119" s="649"/>
      <c r="E119" s="650"/>
      <c r="F119" s="651"/>
      <c r="G119" s="652"/>
      <c r="H119" s="653"/>
      <c r="I119" s="653"/>
      <c r="J119" s="653"/>
      <c r="K119" s="653"/>
      <c r="L119" s="653"/>
      <c r="M119" s="678"/>
      <c r="N119" s="356"/>
      <c r="O119" s="287">
        <f>ROWS($M$8:N119)</f>
        <v>112</v>
      </c>
      <c r="P119" s="287" t="str">
        <f>IF(ID!$A$93=N119,O119,"")</f>
        <v/>
      </c>
      <c r="Q119" s="287" t="str">
        <f>IFERROR(SMALL($P$8:$P370,ROWS($P$8:P119)),"")</f>
        <v/>
      </c>
    </row>
    <row r="120" spans="2:17" x14ac:dyDescent="0.2">
      <c r="B120" s="647"/>
      <c r="C120" s="649"/>
      <c r="D120" s="649"/>
      <c r="E120" s="650"/>
      <c r="F120" s="651"/>
      <c r="G120" s="652"/>
      <c r="H120" s="653"/>
      <c r="I120" s="653"/>
      <c r="J120" s="653"/>
      <c r="K120" s="653"/>
      <c r="L120" s="653"/>
      <c r="M120" s="678"/>
      <c r="N120" s="356"/>
      <c r="O120" s="287">
        <f>ROWS($M$8:N120)</f>
        <v>113</v>
      </c>
      <c r="P120" s="287" t="str">
        <f>IF(ID!$A$93=N120,O120,"")</f>
        <v/>
      </c>
      <c r="Q120" s="287" t="str">
        <f>IFERROR(SMALL($P$8:$P371,ROWS($P$8:P120)),"")</f>
        <v/>
      </c>
    </row>
    <row r="121" spans="2:17" x14ac:dyDescent="0.2">
      <c r="B121" s="647"/>
      <c r="C121" s="649"/>
      <c r="D121" s="649"/>
      <c r="E121" s="650"/>
      <c r="F121" s="651"/>
      <c r="G121" s="652"/>
      <c r="H121" s="653"/>
      <c r="I121" s="653"/>
      <c r="J121" s="653"/>
      <c r="K121" s="653"/>
      <c r="L121" s="653"/>
      <c r="M121" s="678"/>
      <c r="N121" s="356"/>
      <c r="O121" s="287">
        <f>ROWS($M$8:N121)</f>
        <v>114</v>
      </c>
      <c r="P121" s="287" t="str">
        <f>IF(ID!$A$93=N121,O121,"")</f>
        <v/>
      </c>
      <c r="Q121" s="287" t="str">
        <f>IFERROR(SMALL($P$8:$P372,ROWS($P$8:P121)),"")</f>
        <v/>
      </c>
    </row>
    <row r="122" spans="2:17" x14ac:dyDescent="0.2">
      <c r="O122" s="287">
        <f>ROWS($M$8:N122)</f>
        <v>115</v>
      </c>
      <c r="P122" s="287" t="str">
        <f>IF(ID!$A$93=N122,O122,"")</f>
        <v/>
      </c>
      <c r="Q122" s="287" t="str">
        <f>IFERROR(SMALL($P$8:$P373,ROWS($P$8:P122)),"")</f>
        <v/>
      </c>
    </row>
    <row r="123" spans="2:17" x14ac:dyDescent="0.2">
      <c r="O123" s="287">
        <f>ROWS($M$8:N123)</f>
        <v>116</v>
      </c>
      <c r="P123" s="287" t="str">
        <f>IF(ID!$A$93=N123,O123,"")</f>
        <v/>
      </c>
      <c r="Q123" s="287" t="str">
        <f>IFERROR(SMALL($P$8:$P374,ROWS($P$8:P123)),"")</f>
        <v/>
      </c>
    </row>
    <row r="124" spans="2:17" x14ac:dyDescent="0.2">
      <c r="O124" s="287">
        <f>ROWS($M$8:N124)</f>
        <v>117</v>
      </c>
      <c r="P124" s="287" t="str">
        <f>IF(ID!$A$93=N124,O124,"")</f>
        <v/>
      </c>
      <c r="Q124" s="287" t="str">
        <f>IFERROR(SMALL($P$8:$P375,ROWS($P$8:P124)),"")</f>
        <v/>
      </c>
    </row>
    <row r="125" spans="2:17" x14ac:dyDescent="0.2">
      <c r="O125" s="287">
        <f>ROWS($M$8:N125)</f>
        <v>118</v>
      </c>
      <c r="P125" s="287" t="str">
        <f>IF(ID!$A$93=N125,O125,"")</f>
        <v/>
      </c>
      <c r="Q125" s="287" t="str">
        <f>IFERROR(SMALL($P$8:$P376,ROWS($P$8:P125)),"")</f>
        <v/>
      </c>
    </row>
    <row r="126" spans="2:17" x14ac:dyDescent="0.2">
      <c r="B126" s="624">
        <v>15</v>
      </c>
      <c r="C126" s="625">
        <v>0</v>
      </c>
      <c r="D126" s="625">
        <v>0.3</v>
      </c>
      <c r="E126" s="626">
        <v>30</v>
      </c>
      <c r="F126" s="627">
        <v>-1.2</v>
      </c>
      <c r="G126" s="627">
        <v>2.4</v>
      </c>
      <c r="H126" s="628">
        <v>995</v>
      </c>
      <c r="I126" s="628">
        <v>0.2</v>
      </c>
      <c r="J126" s="628"/>
      <c r="K126" s="628"/>
      <c r="L126" s="628">
        <v>2.2000000000000002</v>
      </c>
      <c r="M126" s="674" t="s">
        <v>239</v>
      </c>
      <c r="N126" s="1053" t="s">
        <v>843</v>
      </c>
      <c r="O126" s="287">
        <f>ROWS($M$8:N126)</f>
        <v>119</v>
      </c>
      <c r="P126" s="287" t="str">
        <f>IF(ID!$A$93=N126,O126,"")</f>
        <v/>
      </c>
      <c r="Q126" s="287" t="str">
        <f>IFERROR(SMALL($P$8:$P377,ROWS($P$8:P126)),"")</f>
        <v/>
      </c>
    </row>
    <row r="127" spans="2:17" x14ac:dyDescent="0.2">
      <c r="B127" s="624">
        <v>20</v>
      </c>
      <c r="C127" s="625">
        <v>-0.2</v>
      </c>
      <c r="D127" s="625">
        <v>0.3</v>
      </c>
      <c r="E127" s="626">
        <v>40</v>
      </c>
      <c r="F127" s="627">
        <v>-1</v>
      </c>
      <c r="G127" s="627">
        <v>2.4</v>
      </c>
      <c r="H127" s="653">
        <v>1000</v>
      </c>
      <c r="I127" s="628">
        <v>0.2</v>
      </c>
      <c r="J127" s="628"/>
      <c r="K127" s="628"/>
      <c r="L127" s="628">
        <v>2.2000000000000002</v>
      </c>
      <c r="M127" s="674"/>
      <c r="N127" s="675" t="s">
        <v>843</v>
      </c>
      <c r="O127" s="287">
        <f>ROWS($M$8:N127)</f>
        <v>120</v>
      </c>
      <c r="P127" s="287" t="str">
        <f>IF(ID!$A$93=N127,O127,"")</f>
        <v/>
      </c>
      <c r="Q127" s="287" t="str">
        <f>IFERROR(SMALL($P$8:$P378,ROWS($P$8:P127)),"")</f>
        <v/>
      </c>
    </row>
    <row r="128" spans="2:17" x14ac:dyDescent="0.2">
      <c r="B128" s="624">
        <v>25</v>
      </c>
      <c r="C128" s="625">
        <v>-0.4</v>
      </c>
      <c r="D128" s="625">
        <v>0.3</v>
      </c>
      <c r="E128" s="626">
        <v>50</v>
      </c>
      <c r="F128" s="627">
        <v>-0.9</v>
      </c>
      <c r="G128" s="627">
        <v>2.4</v>
      </c>
      <c r="H128" s="653">
        <v>1005</v>
      </c>
      <c r="I128" s="628">
        <v>0.2</v>
      </c>
      <c r="J128" s="628"/>
      <c r="K128" s="628"/>
      <c r="L128" s="628">
        <v>2.2000000000000002</v>
      </c>
      <c r="M128" s="674"/>
      <c r="N128" s="675" t="s">
        <v>843</v>
      </c>
      <c r="O128" s="287">
        <f>ROWS($M$8:N128)</f>
        <v>121</v>
      </c>
      <c r="P128" s="287" t="str">
        <f>IF(ID!$A$93=N128,O128,"")</f>
        <v/>
      </c>
      <c r="Q128" s="287" t="str">
        <f>IFERROR(SMALL($P$8:$P379,ROWS($P$8:P128)),"")</f>
        <v/>
      </c>
    </row>
    <row r="129" spans="2:17" x14ac:dyDescent="0.2">
      <c r="B129" s="624">
        <v>30</v>
      </c>
      <c r="C129" s="625">
        <v>-0.5</v>
      </c>
      <c r="D129" s="625">
        <v>0.3</v>
      </c>
      <c r="E129" s="626">
        <v>60</v>
      </c>
      <c r="F129" s="627">
        <v>-0.8</v>
      </c>
      <c r="G129" s="627">
        <v>2.4</v>
      </c>
      <c r="H129" s="653">
        <v>1010</v>
      </c>
      <c r="I129" s="628">
        <v>0.2</v>
      </c>
      <c r="J129" s="628"/>
      <c r="K129" s="628"/>
      <c r="L129" s="628">
        <v>2.2000000000000002</v>
      </c>
      <c r="M129" s="674"/>
      <c r="N129" s="675" t="s">
        <v>843</v>
      </c>
      <c r="O129" s="287">
        <f>ROWS($M$8:N129)</f>
        <v>122</v>
      </c>
      <c r="P129" s="287" t="str">
        <f>IF(ID!$A$93=N129,O129,"")</f>
        <v/>
      </c>
      <c r="Q129" s="287" t="str">
        <f>IFERROR(SMALL($P$8:$P380,ROWS($P$8:P129)),"")</f>
        <v/>
      </c>
    </row>
    <row r="130" spans="2:17" x14ac:dyDescent="0.2">
      <c r="B130" s="624">
        <v>35</v>
      </c>
      <c r="C130" s="625">
        <v>-0.5</v>
      </c>
      <c r="D130" s="625">
        <v>0.3</v>
      </c>
      <c r="E130" s="626">
        <v>70</v>
      </c>
      <c r="F130" s="627">
        <v>-0.6</v>
      </c>
      <c r="G130" s="627">
        <v>2.4</v>
      </c>
      <c r="H130" s="676">
        <v>1015</v>
      </c>
      <c r="I130" s="676">
        <v>0.2</v>
      </c>
      <c r="J130" s="676"/>
      <c r="K130" s="676"/>
      <c r="L130" s="676">
        <v>2.2000000000000002</v>
      </c>
      <c r="M130" s="674"/>
      <c r="N130" s="675" t="s">
        <v>843</v>
      </c>
      <c r="O130" s="287">
        <f>ROWS($M$8:N130)</f>
        <v>123</v>
      </c>
      <c r="P130" s="287" t="str">
        <f>IF(ID!$A$93=N130,O130,"")</f>
        <v/>
      </c>
      <c r="Q130" s="287" t="str">
        <f>IFERROR(SMALL($P$8:$P381,ROWS($P$8:P130)),"")</f>
        <v/>
      </c>
    </row>
    <row r="131" spans="2:17" x14ac:dyDescent="0.2">
      <c r="B131" s="632">
        <v>37</v>
      </c>
      <c r="C131" s="625">
        <v>-0.5</v>
      </c>
      <c r="D131" s="625">
        <v>0.3</v>
      </c>
      <c r="E131" s="633">
        <v>80</v>
      </c>
      <c r="F131" s="627">
        <v>-0.5</v>
      </c>
      <c r="G131" s="627">
        <v>2.4</v>
      </c>
      <c r="H131" s="690" t="s">
        <v>201</v>
      </c>
      <c r="I131" s="690" t="s">
        <v>201</v>
      </c>
      <c r="J131" s="690" t="s">
        <v>201</v>
      </c>
      <c r="K131" s="690" t="s">
        <v>201</v>
      </c>
      <c r="L131" s="690" t="s">
        <v>201</v>
      </c>
      <c r="M131" s="674"/>
      <c r="N131" s="675" t="s">
        <v>843</v>
      </c>
      <c r="O131" s="287">
        <f>ROWS($M$8:N131)</f>
        <v>124</v>
      </c>
      <c r="P131" s="287" t="str">
        <f>IF(ID!$A$93=N131,O131,"")</f>
        <v/>
      </c>
      <c r="Q131" s="287" t="str">
        <f>IFERROR(SMALL($P$8:$P382,ROWS($P$8:P131)),"")</f>
        <v/>
      </c>
    </row>
    <row r="132" spans="2:17" x14ac:dyDescent="0.2">
      <c r="B132" s="632">
        <v>40</v>
      </c>
      <c r="C132" s="663">
        <v>-0.4</v>
      </c>
      <c r="D132" s="625">
        <v>0.3</v>
      </c>
      <c r="E132" s="633">
        <v>90</v>
      </c>
      <c r="F132" s="634">
        <v>-0.2</v>
      </c>
      <c r="G132" s="627">
        <v>2.4</v>
      </c>
      <c r="H132" s="690" t="s">
        <v>201</v>
      </c>
      <c r="I132" s="690" t="s">
        <v>201</v>
      </c>
      <c r="J132" s="690" t="s">
        <v>201</v>
      </c>
      <c r="K132" s="690" t="s">
        <v>201</v>
      </c>
      <c r="L132" s="690" t="s">
        <v>201</v>
      </c>
      <c r="M132" s="674"/>
      <c r="N132" s="675" t="s">
        <v>843</v>
      </c>
      <c r="O132" s="287">
        <f>ROWS($M$8:N132)</f>
        <v>125</v>
      </c>
      <c r="P132" s="287" t="str">
        <f>IF(ID!$A$93=N132,O132,"")</f>
        <v/>
      </c>
      <c r="Q132" s="287" t="str">
        <f>IFERROR(SMALL($P$8:$P383,ROWS($P$8:P132)),"")</f>
        <v/>
      </c>
    </row>
    <row r="133" spans="2:17" x14ac:dyDescent="0.2">
      <c r="B133" s="647"/>
      <c r="C133" s="648"/>
      <c r="D133" s="649"/>
      <c r="E133" s="650"/>
      <c r="F133" s="651"/>
      <c r="G133" s="652"/>
      <c r="H133" s="690" t="s">
        <v>201</v>
      </c>
      <c r="I133" s="690" t="s">
        <v>201</v>
      </c>
      <c r="J133" s="690" t="s">
        <v>201</v>
      </c>
      <c r="K133" s="690" t="s">
        <v>201</v>
      </c>
      <c r="L133" s="690" t="s">
        <v>201</v>
      </c>
      <c r="M133" s="674"/>
      <c r="N133" s="289"/>
      <c r="O133" s="287">
        <f>ROWS($M$8:N133)</f>
        <v>126</v>
      </c>
      <c r="P133" s="287" t="str">
        <f>IF(ID!$A$93=N133,O133,"")</f>
        <v/>
      </c>
      <c r="Q133" s="287" t="str">
        <f>IFERROR(SMALL($P$8:$P384,ROWS($P$8:P133)),"")</f>
        <v/>
      </c>
    </row>
    <row r="134" spans="2:17" x14ac:dyDescent="0.2">
      <c r="B134" s="647"/>
      <c r="C134" s="648"/>
      <c r="D134" s="649"/>
      <c r="E134" s="650"/>
      <c r="F134" s="651"/>
      <c r="G134" s="652"/>
      <c r="H134" s="690" t="s">
        <v>201</v>
      </c>
      <c r="I134" s="690" t="s">
        <v>201</v>
      </c>
      <c r="J134" s="690" t="s">
        <v>201</v>
      </c>
      <c r="K134" s="690" t="s">
        <v>201</v>
      </c>
      <c r="L134" s="690" t="s">
        <v>201</v>
      </c>
      <c r="M134" s="674"/>
      <c r="N134" s="289"/>
      <c r="O134" s="287">
        <f>ROWS($M$8:N134)</f>
        <v>127</v>
      </c>
      <c r="P134" s="287" t="str">
        <f>IF(ID!$A$93=N134,O134,"")</f>
        <v/>
      </c>
      <c r="Q134" s="287" t="str">
        <f>IFERROR(SMALL($P$8:$P385,ROWS($P$8:P134)),"")</f>
        <v/>
      </c>
    </row>
    <row r="135" spans="2:17" x14ac:dyDescent="0.2">
      <c r="B135" s="647"/>
      <c r="C135" s="648"/>
      <c r="D135" s="649"/>
      <c r="E135" s="650"/>
      <c r="F135" s="651"/>
      <c r="G135" s="652"/>
      <c r="H135" s="690" t="s">
        <v>201</v>
      </c>
      <c r="I135" s="690" t="s">
        <v>201</v>
      </c>
      <c r="J135" s="690" t="s">
        <v>201</v>
      </c>
      <c r="K135" s="690" t="s">
        <v>201</v>
      </c>
      <c r="L135" s="690" t="s">
        <v>201</v>
      </c>
      <c r="M135" s="674"/>
      <c r="N135" s="289"/>
      <c r="O135" s="287">
        <f>ROWS($M$8:N135)</f>
        <v>128</v>
      </c>
      <c r="P135" s="287" t="str">
        <f>IF(ID!$A$93=N135,O135,"")</f>
        <v/>
      </c>
      <c r="Q135" s="287" t="str">
        <f>IFERROR(SMALL($P$8:$P386,ROWS($P$8:P135)),"")</f>
        <v/>
      </c>
    </row>
    <row r="136" spans="2:17" x14ac:dyDescent="0.2">
      <c r="B136" s="647"/>
      <c r="C136" s="648"/>
      <c r="D136" s="649"/>
      <c r="E136" s="650"/>
      <c r="F136" s="651"/>
      <c r="G136" s="652"/>
      <c r="H136" s="690" t="s">
        <v>201</v>
      </c>
      <c r="I136" s="690" t="s">
        <v>201</v>
      </c>
      <c r="J136" s="690" t="s">
        <v>201</v>
      </c>
      <c r="K136" s="690" t="s">
        <v>201</v>
      </c>
      <c r="L136" s="690" t="s">
        <v>201</v>
      </c>
      <c r="M136" s="654"/>
      <c r="N136" s="677"/>
      <c r="O136" s="287">
        <f>ROWS($M$8:N136)</f>
        <v>129</v>
      </c>
      <c r="P136" s="287" t="str">
        <f>IF(ID!$A$93=N136,O136,"")</f>
        <v/>
      </c>
      <c r="Q136" s="287" t="str">
        <f>IFERROR(SMALL($P$8:$P387,ROWS($P$8:P136)),"")</f>
        <v/>
      </c>
    </row>
    <row r="137" spans="2:17" x14ac:dyDescent="0.2">
      <c r="B137" s="647"/>
      <c r="C137" s="648"/>
      <c r="D137" s="649"/>
      <c r="E137" s="650"/>
      <c r="F137" s="651"/>
      <c r="G137" s="652"/>
      <c r="H137" s="653"/>
      <c r="I137" s="653"/>
      <c r="J137" s="653"/>
      <c r="K137" s="653"/>
      <c r="L137" s="653"/>
      <c r="M137" s="678"/>
      <c r="O137" s="287">
        <f>ROWS($M$8:N137)</f>
        <v>130</v>
      </c>
      <c r="P137" s="287" t="str">
        <f>IF(ID!$A$93=N137,O137,"")</f>
        <v/>
      </c>
      <c r="Q137" s="287" t="str">
        <f>IFERROR(SMALL($P$8:$P388,ROWS($P$8:P137)),"")</f>
        <v/>
      </c>
    </row>
    <row r="138" spans="2:17" x14ac:dyDescent="0.2">
      <c r="O138" s="287">
        <f>ROWS($M$8:N138)</f>
        <v>131</v>
      </c>
      <c r="P138" s="287" t="str">
        <f>IF(ID!$A$93=N138,O138,"")</f>
        <v/>
      </c>
      <c r="Q138" s="287" t="str">
        <f>IFERROR(SMALL($P$8:$P389,ROWS($P$8:P138)),"")</f>
        <v/>
      </c>
    </row>
    <row r="139" spans="2:17" x14ac:dyDescent="0.2">
      <c r="O139" s="287">
        <f>ROWS($M$8:N139)</f>
        <v>132</v>
      </c>
      <c r="P139" s="287" t="str">
        <f>IF(ID!$A$93=N139,O139,"")</f>
        <v/>
      </c>
      <c r="Q139" s="287" t="str">
        <f>IFERROR(SMALL($P$8:$P390,ROWS($P$8:P139)),"")</f>
        <v/>
      </c>
    </row>
    <row r="140" spans="2:17" x14ac:dyDescent="0.2">
      <c r="O140" s="287">
        <f>ROWS($M$8:N140)</f>
        <v>133</v>
      </c>
      <c r="P140" s="287" t="str">
        <f>IF(ID!$A$93=N140,O140,"")</f>
        <v/>
      </c>
      <c r="Q140" s="287" t="str">
        <f>IFERROR(SMALL($P$8:$P391,ROWS($P$8:P140)),"")</f>
        <v/>
      </c>
    </row>
    <row r="141" spans="2:17" x14ac:dyDescent="0.2">
      <c r="O141" s="287">
        <f>ROWS($M$8:N141)</f>
        <v>134</v>
      </c>
      <c r="P141" s="287" t="str">
        <f>IF(ID!$A$93=N141,O141,"")</f>
        <v/>
      </c>
      <c r="Q141" s="287" t="str">
        <f>IFERROR(SMALL($P$8:$P392,ROWS($P$8:P141)),"")</f>
        <v/>
      </c>
    </row>
    <row r="142" spans="2:17" x14ac:dyDescent="0.2">
      <c r="O142" s="287">
        <f>ROWS($M$8:N142)</f>
        <v>135</v>
      </c>
      <c r="P142" s="287" t="str">
        <f>IF(ID!$A$93=N142,O142,"")</f>
        <v/>
      </c>
      <c r="Q142" s="287" t="str">
        <f>IFERROR(SMALL($P$8:$P393,ROWS($P$8:P142)),"")</f>
        <v/>
      </c>
    </row>
    <row r="143" spans="2:17" x14ac:dyDescent="0.2">
      <c r="O143" s="287">
        <f>ROWS($M$8:N143)</f>
        <v>136</v>
      </c>
      <c r="P143" s="287" t="str">
        <f>IF(ID!$A$93=N143,O143,"")</f>
        <v/>
      </c>
      <c r="Q143" s="287" t="str">
        <f>IFERROR(SMALL($P$8:$P394,ROWS($P$8:P143)),"")</f>
        <v/>
      </c>
    </row>
    <row r="144" spans="2:17" x14ac:dyDescent="0.2">
      <c r="B144" s="624"/>
      <c r="C144" s="625"/>
      <c r="D144" s="625"/>
      <c r="E144" s="626"/>
      <c r="F144" s="627"/>
      <c r="G144" s="627"/>
      <c r="H144" s="628"/>
      <c r="I144" s="628"/>
      <c r="J144" s="628"/>
      <c r="K144" s="628"/>
      <c r="L144" s="628"/>
      <c r="M144" s="674"/>
      <c r="N144" s="289"/>
      <c r="O144" s="287">
        <f>ROWS($M$8:N144)</f>
        <v>137</v>
      </c>
      <c r="P144" s="287" t="str">
        <f>IF(ID!$A$93=N144,O144,"")</f>
        <v/>
      </c>
      <c r="Q144" s="287" t="str">
        <f>IFERROR(SMALL($P$8:$P395,ROWS($P$8:P144)),"")</f>
        <v/>
      </c>
    </row>
    <row r="145" spans="2:17" x14ac:dyDescent="0.2">
      <c r="B145" s="624"/>
      <c r="C145" s="625"/>
      <c r="D145" s="625"/>
      <c r="E145" s="626"/>
      <c r="F145" s="627"/>
      <c r="G145" s="627"/>
      <c r="H145" s="628"/>
      <c r="I145" s="628"/>
      <c r="J145" s="628"/>
      <c r="K145" s="628"/>
      <c r="L145" s="628"/>
      <c r="M145" s="674"/>
      <c r="N145" s="289"/>
      <c r="O145" s="287">
        <f>ROWS($M$8:N145)</f>
        <v>138</v>
      </c>
      <c r="P145" s="287" t="str">
        <f>IF(ID!$A$93=N145,O145,"")</f>
        <v/>
      </c>
      <c r="Q145" s="287" t="str">
        <f>IFERROR(SMALL($P$8:$P396,ROWS($P$8:P145)),"")</f>
        <v/>
      </c>
    </row>
    <row r="146" spans="2:17" x14ac:dyDescent="0.2">
      <c r="B146" s="624"/>
      <c r="C146" s="625"/>
      <c r="D146" s="625"/>
      <c r="E146" s="626"/>
      <c r="F146" s="627"/>
      <c r="G146" s="627"/>
      <c r="H146" s="628"/>
      <c r="I146" s="628"/>
      <c r="J146" s="628"/>
      <c r="K146" s="628"/>
      <c r="L146" s="628"/>
      <c r="M146" s="674"/>
      <c r="N146" s="289"/>
      <c r="O146" s="287">
        <f>ROWS($M$8:N146)</f>
        <v>139</v>
      </c>
      <c r="P146" s="287" t="str">
        <f>IF(ID!$A$93=N146,O146,"")</f>
        <v/>
      </c>
      <c r="Q146" s="287" t="str">
        <f>IFERROR(SMALL($P$8:$P397,ROWS($P$8:P146)),"")</f>
        <v/>
      </c>
    </row>
    <row r="147" spans="2:17" x14ac:dyDescent="0.2">
      <c r="B147" s="624"/>
      <c r="C147" s="625"/>
      <c r="D147" s="625"/>
      <c r="E147" s="626"/>
      <c r="F147" s="627"/>
      <c r="G147" s="627"/>
      <c r="H147" s="628"/>
      <c r="I147" s="628"/>
      <c r="J147" s="628"/>
      <c r="K147" s="628"/>
      <c r="L147" s="628"/>
      <c r="M147" s="674"/>
      <c r="N147" s="289"/>
      <c r="O147" s="287">
        <f>ROWS($M$8:N147)</f>
        <v>140</v>
      </c>
      <c r="P147" s="287" t="str">
        <f>IF(ID!$A$93=N147,O147,"")</f>
        <v/>
      </c>
      <c r="Q147" s="287" t="str">
        <f>IFERROR(SMALL($P$8:$P398,ROWS($P$8:P147)),"")</f>
        <v/>
      </c>
    </row>
    <row r="148" spans="2:17" x14ac:dyDescent="0.2">
      <c r="B148" s="624"/>
      <c r="C148" s="625"/>
      <c r="D148" s="625"/>
      <c r="E148" s="626"/>
      <c r="F148" s="627"/>
      <c r="G148" s="627"/>
      <c r="H148" s="628"/>
      <c r="I148" s="628"/>
      <c r="J148" s="628"/>
      <c r="K148" s="628"/>
      <c r="L148" s="628"/>
      <c r="M148" s="674"/>
      <c r="N148" s="289"/>
      <c r="O148" s="287">
        <f>ROWS($M$8:N148)</f>
        <v>141</v>
      </c>
      <c r="P148" s="287" t="str">
        <f>IF(ID!$A$93=N148,O148,"")</f>
        <v/>
      </c>
      <c r="Q148" s="287" t="str">
        <f>IFERROR(SMALL($P$8:$P399,ROWS($P$8:P148)),"")</f>
        <v/>
      </c>
    </row>
    <row r="149" spans="2:17" x14ac:dyDescent="0.2">
      <c r="B149" s="632"/>
      <c r="C149" s="625"/>
      <c r="D149" s="625"/>
      <c r="E149" s="633"/>
      <c r="F149" s="627"/>
      <c r="G149" s="627"/>
      <c r="H149" s="628"/>
      <c r="I149" s="628"/>
      <c r="J149" s="628"/>
      <c r="K149" s="628"/>
      <c r="L149" s="628"/>
      <c r="M149" s="674"/>
      <c r="N149" s="289"/>
      <c r="O149" s="287">
        <f>ROWS($M$8:N149)</f>
        <v>142</v>
      </c>
      <c r="P149" s="287" t="str">
        <f>IF(ID!$A$93=N149,O149,"")</f>
        <v/>
      </c>
      <c r="Q149" s="287" t="str">
        <f>IFERROR(SMALL($P$8:$P400,ROWS($P$8:P149)),"")</f>
        <v/>
      </c>
    </row>
    <row r="150" spans="2:17" x14ac:dyDescent="0.2">
      <c r="B150" s="632"/>
      <c r="C150" s="663"/>
      <c r="D150" s="625"/>
      <c r="E150" s="633"/>
      <c r="F150" s="634"/>
      <c r="G150" s="627"/>
      <c r="H150" s="628"/>
      <c r="I150" s="628"/>
      <c r="J150" s="628"/>
      <c r="K150" s="628"/>
      <c r="L150" s="628"/>
      <c r="M150" s="674"/>
      <c r="N150" s="289"/>
      <c r="O150" s="287">
        <f>ROWS($M$8:N150)</f>
        <v>143</v>
      </c>
      <c r="P150" s="287" t="str">
        <f>IF(ID!$A$93=N150,O150,"")</f>
        <v/>
      </c>
      <c r="Q150" s="287" t="str">
        <f>IFERROR(SMALL($P$8:$P401,ROWS($P$8:P150)),"")</f>
        <v/>
      </c>
    </row>
    <row r="151" spans="2:17" x14ac:dyDescent="0.2">
      <c r="B151" s="647"/>
      <c r="C151" s="648"/>
      <c r="D151" s="649"/>
      <c r="E151" s="650"/>
      <c r="F151" s="651"/>
      <c r="G151" s="652"/>
      <c r="H151" s="653"/>
      <c r="I151" s="628"/>
      <c r="J151" s="628"/>
      <c r="K151" s="628"/>
      <c r="L151" s="628"/>
      <c r="M151" s="674"/>
      <c r="N151" s="289"/>
      <c r="O151" s="287">
        <f>ROWS($M$8:N151)</f>
        <v>144</v>
      </c>
      <c r="P151" s="287" t="str">
        <f>IF(ID!$A$93=N151,O151,"")</f>
        <v/>
      </c>
      <c r="Q151" s="287" t="str">
        <f>IFERROR(SMALL($P$8:$P402,ROWS($P$8:P151)),"")</f>
        <v/>
      </c>
    </row>
    <row r="152" spans="2:17" x14ac:dyDescent="0.2">
      <c r="B152" s="647"/>
      <c r="C152" s="648"/>
      <c r="D152" s="649"/>
      <c r="E152" s="650"/>
      <c r="F152" s="651"/>
      <c r="G152" s="652"/>
      <c r="H152" s="653"/>
      <c r="I152" s="628"/>
      <c r="J152" s="628"/>
      <c r="K152" s="628"/>
      <c r="L152" s="628"/>
      <c r="M152" s="674"/>
      <c r="N152" s="289"/>
      <c r="O152" s="287">
        <f>ROWS($M$8:N152)</f>
        <v>145</v>
      </c>
      <c r="P152" s="287" t="str">
        <f>IF(ID!$A$93=N152,O152,"")</f>
        <v/>
      </c>
      <c r="Q152" s="287" t="str">
        <f>IFERROR(SMALL($P$8:$P403,ROWS($P$8:P152)),"")</f>
        <v/>
      </c>
    </row>
    <row r="153" spans="2:17" x14ac:dyDescent="0.2">
      <c r="B153" s="647"/>
      <c r="C153" s="648"/>
      <c r="D153" s="649"/>
      <c r="E153" s="650"/>
      <c r="F153" s="651"/>
      <c r="G153" s="652"/>
      <c r="H153" s="653"/>
      <c r="I153" s="628"/>
      <c r="J153" s="628"/>
      <c r="K153" s="628"/>
      <c r="L153" s="628"/>
      <c r="M153" s="674"/>
      <c r="N153" s="289"/>
      <c r="O153" s="287">
        <f>ROWS($M$8:N153)</f>
        <v>146</v>
      </c>
      <c r="P153" s="287" t="str">
        <f>IF(ID!$A$93=N153,O153,"")</f>
        <v/>
      </c>
      <c r="Q153" s="287" t="str">
        <f>IFERROR(SMALL($P$8:$P404,ROWS($P$8:P153)),"")</f>
        <v/>
      </c>
    </row>
    <row r="154" spans="2:17" x14ac:dyDescent="0.2">
      <c r="B154" s="647"/>
      <c r="C154" s="648"/>
      <c r="D154" s="649"/>
      <c r="E154" s="650"/>
      <c r="F154" s="651"/>
      <c r="G154" s="652"/>
      <c r="H154" s="653"/>
      <c r="I154" s="653"/>
      <c r="J154" s="653"/>
      <c r="K154" s="653"/>
      <c r="L154" s="653"/>
      <c r="M154" s="674"/>
      <c r="N154" s="289"/>
      <c r="O154" s="287">
        <f>ROWS($M$8:N154)</f>
        <v>147</v>
      </c>
      <c r="P154" s="287" t="str">
        <f>IF(ID!$A$93=N154,O154,"")</f>
        <v/>
      </c>
      <c r="Q154" s="287" t="str">
        <f>IFERROR(SMALL($P$8:$P405,ROWS($P$8:P154)),"")</f>
        <v/>
      </c>
    </row>
    <row r="155" spans="2:17" x14ac:dyDescent="0.2">
      <c r="B155" s="647"/>
      <c r="C155" s="648"/>
      <c r="D155" s="649"/>
      <c r="E155" s="650"/>
      <c r="F155" s="651"/>
      <c r="G155" s="652"/>
      <c r="H155" s="653"/>
      <c r="I155" s="653"/>
      <c r="J155" s="653"/>
      <c r="K155" s="653"/>
      <c r="L155" s="653"/>
      <c r="M155" s="678"/>
      <c r="O155" s="287">
        <f>ROWS($M$8:N155)</f>
        <v>148</v>
      </c>
      <c r="P155" s="287" t="str">
        <f>IF(ID!$A$93=N155,O155,"")</f>
        <v/>
      </c>
      <c r="Q155" s="287" t="str">
        <f>IFERROR(SMALL($P$8:$P406,ROWS($P$8:P155)),"")</f>
        <v/>
      </c>
    </row>
    <row r="156" spans="2:17" x14ac:dyDescent="0.2">
      <c r="O156" s="287">
        <f>ROWS($M$8:N156)</f>
        <v>149</v>
      </c>
      <c r="P156" s="287" t="str">
        <f>IF(ID!$A$93=N156,O156,"")</f>
        <v/>
      </c>
      <c r="Q156" s="287" t="str">
        <f>IFERROR(SMALL($P$8:$P407,ROWS($P$8:P156)),"")</f>
        <v/>
      </c>
    </row>
    <row r="157" spans="2:17" x14ac:dyDescent="0.2">
      <c r="O157" s="287">
        <f>ROWS($M$8:N157)</f>
        <v>150</v>
      </c>
      <c r="P157" s="287" t="str">
        <f>IF(ID!$A$93=N157,O157,"")</f>
        <v/>
      </c>
      <c r="Q157" s="287" t="str">
        <f>IFERROR(SMALL($P$8:$P408,ROWS($P$8:P157)),"")</f>
        <v/>
      </c>
    </row>
    <row r="158" spans="2:17" x14ac:dyDescent="0.2">
      <c r="O158" s="287">
        <f>ROWS($M$8:N158)</f>
        <v>151</v>
      </c>
      <c r="P158" s="287" t="str">
        <f>IF(ID!$A$93=N158,O158,"")</f>
        <v/>
      </c>
      <c r="Q158" s="287" t="str">
        <f>IFERROR(SMALL($P$8:$P409,ROWS($P$8:P158)),"")</f>
        <v/>
      </c>
    </row>
    <row r="159" spans="2:17" x14ac:dyDescent="0.2">
      <c r="O159" s="287">
        <f>ROWS($M$8:N159)</f>
        <v>152</v>
      </c>
      <c r="P159" s="287" t="str">
        <f>IF(ID!$A$93=N159,O159,"")</f>
        <v/>
      </c>
      <c r="Q159" s="287" t="str">
        <f>IFERROR(SMALL($P$8:$P410,ROWS($P$8:P159)),"")</f>
        <v/>
      </c>
    </row>
    <row r="160" spans="2:17" x14ac:dyDescent="0.2">
      <c r="O160" s="287">
        <f>ROWS($M$8:N160)</f>
        <v>153</v>
      </c>
      <c r="P160" s="287" t="str">
        <f>IF(ID!$A$93=N160,O160,"")</f>
        <v/>
      </c>
      <c r="Q160" s="287" t="str">
        <f>IFERROR(SMALL($P$8:$P411,ROWS($P$8:P160)),"")</f>
        <v/>
      </c>
    </row>
    <row r="161" spans="2:17" x14ac:dyDescent="0.2">
      <c r="O161" s="287">
        <f>ROWS($M$8:N161)</f>
        <v>154</v>
      </c>
      <c r="P161" s="287" t="str">
        <f>IF(ID!$A$93=N161,O161,"")</f>
        <v/>
      </c>
      <c r="Q161" s="287" t="str">
        <f>IFERROR(SMALL($P$8:$P412,ROWS($P$8:P161)),"")</f>
        <v/>
      </c>
    </row>
    <row r="162" spans="2:17" x14ac:dyDescent="0.2">
      <c r="B162" s="1645" t="s">
        <v>240</v>
      </c>
      <c r="C162" s="1645"/>
      <c r="D162" s="1645"/>
      <c r="E162" s="1646" t="s">
        <v>241</v>
      </c>
      <c r="F162" s="1646"/>
      <c r="G162" s="1646"/>
      <c r="H162" s="1647" t="s">
        <v>242</v>
      </c>
      <c r="I162" s="1647"/>
      <c r="J162" s="1647"/>
      <c r="K162" s="1647"/>
      <c r="L162" s="1647"/>
      <c r="O162" s="287">
        <f>ROWS($M$8:N162)</f>
        <v>155</v>
      </c>
      <c r="P162" s="287" t="str">
        <f>IF(ID!$A$93=N162,O162,"")</f>
        <v/>
      </c>
      <c r="Q162" s="287" t="str">
        <f>IFERROR(SMALL($P$8:$P413,ROWS($P$8:P162)),"")</f>
        <v/>
      </c>
    </row>
    <row r="163" spans="2:17" x14ac:dyDescent="0.2">
      <c r="B163" s="353" t="s">
        <v>50</v>
      </c>
      <c r="C163" s="353" t="s">
        <v>52</v>
      </c>
      <c r="D163" s="353" t="s">
        <v>54</v>
      </c>
      <c r="E163" s="621" t="s">
        <v>51</v>
      </c>
      <c r="F163" s="621" t="s">
        <v>53</v>
      </c>
      <c r="G163" s="621" t="s">
        <v>55</v>
      </c>
      <c r="H163" s="622" t="s">
        <v>236</v>
      </c>
      <c r="I163" s="622" t="s">
        <v>238</v>
      </c>
      <c r="J163" s="622"/>
      <c r="K163" s="622"/>
      <c r="L163" s="622" t="s">
        <v>237</v>
      </c>
      <c r="M163" s="623" t="s">
        <v>56</v>
      </c>
      <c r="O163" s="287">
        <f>ROWS($M$8:N163)</f>
        <v>156</v>
      </c>
      <c r="P163" s="287" t="str">
        <f>IF(ID!$A$93=N163,O163,"")</f>
        <v/>
      </c>
      <c r="Q163" s="287" t="str">
        <f>IFERROR(SMALL($P$8:$P414,ROWS($P$8:P163)),"")</f>
        <v/>
      </c>
    </row>
    <row r="164" spans="2:17" x14ac:dyDescent="0.2">
      <c r="B164" s="696">
        <v>15</v>
      </c>
      <c r="C164" s="697">
        <v>0.5</v>
      </c>
      <c r="D164" s="697">
        <v>0.5</v>
      </c>
      <c r="E164" s="696">
        <v>30</v>
      </c>
      <c r="F164" s="697">
        <v>-0.8</v>
      </c>
      <c r="G164" s="697">
        <v>2.7</v>
      </c>
      <c r="H164" s="698">
        <v>990</v>
      </c>
      <c r="I164" s="698">
        <v>3.9</v>
      </c>
      <c r="J164" s="698"/>
      <c r="K164" s="690"/>
      <c r="L164" s="698">
        <v>2.4</v>
      </c>
      <c r="M164" s="699" t="s">
        <v>768</v>
      </c>
      <c r="N164" s="1053" t="s">
        <v>366</v>
      </c>
      <c r="O164" s="287">
        <f>ROWS($M$8:N164)</f>
        <v>157</v>
      </c>
      <c r="P164" s="287" t="str">
        <f>IF(ID!$A$93=N164,O164,"")</f>
        <v/>
      </c>
      <c r="Q164" s="287" t="str">
        <f>IFERROR(SMALL($P$8:$P415,ROWS($P$8:P164)),"")</f>
        <v/>
      </c>
    </row>
    <row r="165" spans="2:17" x14ac:dyDescent="0.2">
      <c r="B165" s="696">
        <v>20</v>
      </c>
      <c r="C165" s="697">
        <v>0.2</v>
      </c>
      <c r="D165" s="697">
        <v>0.5</v>
      </c>
      <c r="E165" s="696">
        <v>40</v>
      </c>
      <c r="F165" s="697">
        <v>-0.4</v>
      </c>
      <c r="G165" s="697">
        <v>2.7</v>
      </c>
      <c r="H165" s="698">
        <v>995</v>
      </c>
      <c r="I165" s="698">
        <v>3.8</v>
      </c>
      <c r="J165" s="698"/>
      <c r="K165" s="690"/>
      <c r="L165" s="698">
        <v>2.4</v>
      </c>
      <c r="M165" s="692"/>
      <c r="N165" s="675" t="s">
        <v>366</v>
      </c>
      <c r="O165" s="287">
        <f>ROWS($M$8:N165)</f>
        <v>158</v>
      </c>
      <c r="P165" s="287" t="str">
        <f>IF(ID!$A$93=N165,O165,"")</f>
        <v/>
      </c>
      <c r="Q165" s="287" t="str">
        <f>IFERROR(SMALL($P$8:$P416,ROWS($P$8:P165)),"")</f>
        <v/>
      </c>
    </row>
    <row r="166" spans="2:17" x14ac:dyDescent="0.2">
      <c r="B166" s="696">
        <v>25</v>
      </c>
      <c r="C166" s="697">
        <v>-0.1</v>
      </c>
      <c r="D166" s="697">
        <v>0.5</v>
      </c>
      <c r="E166" s="696">
        <v>50</v>
      </c>
      <c r="F166" s="697">
        <v>0</v>
      </c>
      <c r="G166" s="697">
        <v>2.7</v>
      </c>
      <c r="H166" s="698">
        <v>1000</v>
      </c>
      <c r="I166" s="698">
        <v>3.8</v>
      </c>
      <c r="J166" s="698"/>
      <c r="K166" s="690"/>
      <c r="L166" s="698">
        <v>2.4</v>
      </c>
      <c r="M166" s="692"/>
      <c r="N166" s="675" t="s">
        <v>366</v>
      </c>
      <c r="O166" s="287">
        <f>ROWS($M$8:N166)</f>
        <v>159</v>
      </c>
      <c r="P166" s="287" t="str">
        <f>IF(ID!$A$93=N166,O166,"")</f>
        <v/>
      </c>
      <c r="Q166" s="287" t="str">
        <f>IFERROR(SMALL($P$8:$P417,ROWS($P$8:P166)),"")</f>
        <v/>
      </c>
    </row>
    <row r="167" spans="2:17" x14ac:dyDescent="0.2">
      <c r="B167" s="696">
        <v>30</v>
      </c>
      <c r="C167" s="697">
        <v>-0.4</v>
      </c>
      <c r="D167" s="697">
        <v>0.5</v>
      </c>
      <c r="E167" s="696">
        <v>60</v>
      </c>
      <c r="F167" s="697">
        <v>0.3</v>
      </c>
      <c r="G167" s="697">
        <v>2.7</v>
      </c>
      <c r="H167" s="700">
        <v>1005</v>
      </c>
      <c r="I167" s="700">
        <v>3.8</v>
      </c>
      <c r="J167" s="700"/>
      <c r="K167" s="700"/>
      <c r="L167" s="698">
        <v>2.4</v>
      </c>
      <c r="M167" s="692"/>
      <c r="N167" s="675" t="s">
        <v>366</v>
      </c>
      <c r="O167" s="287">
        <f>ROWS($M$8:N167)</f>
        <v>160</v>
      </c>
      <c r="P167" s="287" t="str">
        <f>IF(ID!$A$93=N167,O167,"")</f>
        <v/>
      </c>
      <c r="Q167" s="287" t="str">
        <f>IFERROR(SMALL($P$8:$P418,ROWS($P$8:P167)),"")</f>
        <v/>
      </c>
    </row>
    <row r="168" spans="2:17" x14ac:dyDescent="0.2">
      <c r="B168" s="696">
        <v>35</v>
      </c>
      <c r="C168" s="697">
        <v>-0.6</v>
      </c>
      <c r="D168" s="697">
        <v>0.5</v>
      </c>
      <c r="E168" s="696">
        <v>70</v>
      </c>
      <c r="F168" s="697">
        <v>0.7</v>
      </c>
      <c r="G168" s="697">
        <v>2.7</v>
      </c>
      <c r="H168" s="698">
        <v>1010</v>
      </c>
      <c r="I168" s="698">
        <v>3.7</v>
      </c>
      <c r="J168" s="698"/>
      <c r="K168" s="698"/>
      <c r="L168" s="698">
        <v>2.4</v>
      </c>
      <c r="M168" s="692"/>
      <c r="N168" s="675" t="s">
        <v>366</v>
      </c>
      <c r="O168" s="287">
        <f>ROWS($M$8:N168)</f>
        <v>161</v>
      </c>
      <c r="P168" s="287" t="str">
        <f>IF(ID!$A$93=N168,O168,"")</f>
        <v/>
      </c>
      <c r="Q168" s="287" t="str">
        <f>IFERROR(SMALL($P$8:$P419,ROWS($P$8:P168)),"")</f>
        <v/>
      </c>
    </row>
    <row r="169" spans="2:17" x14ac:dyDescent="0.2">
      <c r="B169" s="701">
        <v>37</v>
      </c>
      <c r="C169" s="697">
        <v>-0.7</v>
      </c>
      <c r="D169" s="697">
        <v>0.5</v>
      </c>
      <c r="E169" s="701">
        <v>80</v>
      </c>
      <c r="F169" s="697">
        <v>1.1000000000000001</v>
      </c>
      <c r="G169" s="697">
        <v>2.7</v>
      </c>
      <c r="H169" s="702">
        <v>1015</v>
      </c>
      <c r="I169" s="702">
        <f>I168</f>
        <v>3.7</v>
      </c>
      <c r="J169" s="702"/>
      <c r="K169" s="702"/>
      <c r="L169" s="702">
        <f>L168</f>
        <v>2.4</v>
      </c>
      <c r="M169" s="692"/>
      <c r="N169" s="675" t="s">
        <v>366</v>
      </c>
      <c r="O169" s="287">
        <f>ROWS($M$8:N169)</f>
        <v>162</v>
      </c>
      <c r="P169" s="287" t="str">
        <f>IF(ID!$A$93=N169,O169,"")</f>
        <v/>
      </c>
      <c r="Q169" s="287" t="str">
        <f>IFERROR(SMALL($P$8:$P420,ROWS($P$8:P169)),"")</f>
        <v/>
      </c>
    </row>
    <row r="170" spans="2:17" x14ac:dyDescent="0.2">
      <c r="B170" s="701">
        <v>40</v>
      </c>
      <c r="C170" s="703">
        <v>-0.8</v>
      </c>
      <c r="D170" s="697">
        <v>0.5</v>
      </c>
      <c r="E170" s="701">
        <v>90</v>
      </c>
      <c r="F170" s="703">
        <v>1.5</v>
      </c>
      <c r="G170" s="697">
        <v>2.7</v>
      </c>
      <c r="H170" s="698" t="s">
        <v>201</v>
      </c>
      <c r="I170" s="698" t="s">
        <v>201</v>
      </c>
      <c r="J170" s="698" t="s">
        <v>201</v>
      </c>
      <c r="K170" s="698" t="s">
        <v>201</v>
      </c>
      <c r="L170" s="698" t="s">
        <v>201</v>
      </c>
      <c r="M170" s="692"/>
      <c r="N170" s="675" t="s">
        <v>366</v>
      </c>
      <c r="O170" s="287">
        <f>ROWS($M$8:N170)</f>
        <v>163</v>
      </c>
      <c r="P170" s="287" t="str">
        <f>IF(ID!$A$93=N170,O170,"")</f>
        <v/>
      </c>
      <c r="Q170" s="287" t="str">
        <f>IFERROR(SMALL($P$8:$P421,ROWS($P$8:P170)),"")</f>
        <v/>
      </c>
    </row>
    <row r="171" spans="2:17" x14ac:dyDescent="0.2">
      <c r="H171" s="698" t="s">
        <v>201</v>
      </c>
      <c r="I171" s="698" t="s">
        <v>201</v>
      </c>
      <c r="J171" s="698" t="s">
        <v>201</v>
      </c>
      <c r="K171" s="698" t="s">
        <v>201</v>
      </c>
      <c r="L171" s="698" t="s">
        <v>201</v>
      </c>
      <c r="M171" s="704"/>
      <c r="N171" s="289"/>
      <c r="O171" s="287">
        <f>ROWS($M$8:N171)</f>
        <v>164</v>
      </c>
      <c r="P171" s="287" t="str">
        <f>IF(ID!$A$93=N171,O171,"")</f>
        <v/>
      </c>
      <c r="Q171" s="287" t="str">
        <f>IFERROR(SMALL($P$8:$P422,ROWS($P$8:P171)),"")</f>
        <v/>
      </c>
    </row>
    <row r="172" spans="2:17" x14ac:dyDescent="0.2">
      <c r="H172" s="698" t="s">
        <v>201</v>
      </c>
      <c r="I172" s="698" t="s">
        <v>201</v>
      </c>
      <c r="J172" s="698" t="s">
        <v>201</v>
      </c>
      <c r="K172" s="698" t="s">
        <v>201</v>
      </c>
      <c r="L172" s="698" t="s">
        <v>201</v>
      </c>
      <c r="M172" s="704"/>
      <c r="N172" s="289"/>
      <c r="O172" s="287">
        <f>ROWS($M$8:N172)</f>
        <v>165</v>
      </c>
      <c r="P172" s="287" t="str">
        <f>IF(ID!$A$93=N172,O172,"")</f>
        <v/>
      </c>
      <c r="Q172" s="287" t="str">
        <f>IFERROR(SMALL($P$8:$P423,ROWS($P$8:P172)),"")</f>
        <v/>
      </c>
    </row>
    <row r="173" spans="2:17" x14ac:dyDescent="0.2">
      <c r="H173" s="698" t="s">
        <v>201</v>
      </c>
      <c r="I173" s="698" t="s">
        <v>201</v>
      </c>
      <c r="J173" s="698" t="s">
        <v>201</v>
      </c>
      <c r="K173" s="698" t="s">
        <v>201</v>
      </c>
      <c r="L173" s="698" t="s">
        <v>201</v>
      </c>
      <c r="M173" s="694"/>
      <c r="N173" s="705"/>
      <c r="O173" s="287">
        <f>ROWS($M$8:N173)</f>
        <v>166</v>
      </c>
      <c r="P173" s="287" t="str">
        <f>IF(ID!$A$93=N173,O173,"")</f>
        <v/>
      </c>
      <c r="Q173" s="287" t="str">
        <f>IFERROR(SMALL($P$8:$P424,ROWS($P$8:P173)),"")</f>
        <v/>
      </c>
    </row>
    <row r="174" spans="2:17" x14ac:dyDescent="0.2">
      <c r="H174" s="676"/>
      <c r="I174" s="676"/>
      <c r="J174" s="676"/>
      <c r="K174" s="676"/>
      <c r="L174" s="676"/>
      <c r="M174" s="654"/>
      <c r="N174" s="677"/>
      <c r="O174" s="287">
        <f>ROWS($M$8:N174)</f>
        <v>167</v>
      </c>
      <c r="P174" s="287" t="str">
        <f>IF(ID!$A$93=N174,O174,"")</f>
        <v/>
      </c>
      <c r="Q174" s="287" t="str">
        <f>IFERROR(SMALL($P$8:$P425,ROWS($P$8:P174)),"")</f>
        <v/>
      </c>
    </row>
    <row r="175" spans="2:17" x14ac:dyDescent="0.2">
      <c r="B175" s="1645" t="s">
        <v>240</v>
      </c>
      <c r="C175" s="1645"/>
      <c r="D175" s="1645"/>
      <c r="E175" s="1646" t="s">
        <v>241</v>
      </c>
      <c r="F175" s="1646"/>
      <c r="G175" s="1646"/>
      <c r="H175" s="1647" t="s">
        <v>242</v>
      </c>
      <c r="I175" s="1647"/>
      <c r="J175" s="1647"/>
      <c r="K175" s="1647"/>
      <c r="L175" s="1647"/>
      <c r="N175" s="677"/>
      <c r="O175" s="287">
        <f>ROWS($M$8:N175)</f>
        <v>168</v>
      </c>
      <c r="P175" s="287" t="str">
        <f>IF(ID!$A$93=N175,O175,"")</f>
        <v/>
      </c>
      <c r="Q175" s="287" t="str">
        <f>IFERROR(SMALL($P$8:$P426,ROWS($P$8:P175)),"")</f>
        <v/>
      </c>
    </row>
    <row r="176" spans="2:17" x14ac:dyDescent="0.2">
      <c r="B176" s="353" t="s">
        <v>50</v>
      </c>
      <c r="C176" s="353" t="s">
        <v>52</v>
      </c>
      <c r="D176" s="353" t="s">
        <v>54</v>
      </c>
      <c r="E176" s="621" t="s">
        <v>51</v>
      </c>
      <c r="F176" s="621" t="s">
        <v>53</v>
      </c>
      <c r="G176" s="621" t="s">
        <v>55</v>
      </c>
      <c r="H176" s="622" t="s">
        <v>236</v>
      </c>
      <c r="I176" s="622" t="s">
        <v>238</v>
      </c>
      <c r="J176" s="622"/>
      <c r="K176" s="622"/>
      <c r="L176" s="622" t="s">
        <v>237</v>
      </c>
      <c r="M176" s="623" t="s">
        <v>56</v>
      </c>
      <c r="N176" s="677"/>
      <c r="O176" s="287">
        <f>ROWS($M$8:N176)</f>
        <v>169</v>
      </c>
      <c r="P176" s="287" t="str">
        <f>IF(ID!$A$93=N176,O176,"")</f>
        <v/>
      </c>
      <c r="Q176" s="287" t="str">
        <f>IFERROR(SMALL($P$8:$P427,ROWS($P$8:P176)),"")</f>
        <v/>
      </c>
    </row>
    <row r="177" spans="2:17" x14ac:dyDescent="0.2">
      <c r="B177" s="696">
        <v>15</v>
      </c>
      <c r="C177" s="697">
        <v>0.6</v>
      </c>
      <c r="D177" s="697">
        <v>0.5</v>
      </c>
      <c r="E177" s="696">
        <v>30</v>
      </c>
      <c r="F177" s="697">
        <v>-2</v>
      </c>
      <c r="G177" s="697">
        <v>2.6</v>
      </c>
      <c r="H177" s="698">
        <v>990</v>
      </c>
      <c r="I177" s="698">
        <v>4.2</v>
      </c>
      <c r="J177" s="698"/>
      <c r="K177" s="690"/>
      <c r="L177" s="698">
        <v>2.6</v>
      </c>
      <c r="M177" s="699" t="s">
        <v>768</v>
      </c>
      <c r="N177" s="1053" t="s">
        <v>367</v>
      </c>
      <c r="O177" s="287">
        <f>ROWS($M$8:N177)</f>
        <v>170</v>
      </c>
      <c r="P177" s="287" t="str">
        <f>IF(ID!$A$93=N177,O177,"")</f>
        <v/>
      </c>
      <c r="Q177" s="287" t="str">
        <f>IFERROR(SMALL($P$8:$P428,ROWS($P$8:P177)),"")</f>
        <v/>
      </c>
    </row>
    <row r="178" spans="2:17" x14ac:dyDescent="0.2">
      <c r="B178" s="696">
        <v>20</v>
      </c>
      <c r="C178" s="697">
        <v>0.3</v>
      </c>
      <c r="D178" s="697">
        <v>0.5</v>
      </c>
      <c r="E178" s="696">
        <v>40</v>
      </c>
      <c r="F178" s="697">
        <v>-1.7</v>
      </c>
      <c r="G178" s="697">
        <v>2.6</v>
      </c>
      <c r="H178" s="698">
        <v>995</v>
      </c>
      <c r="I178" s="698">
        <v>4.0999999999999996</v>
      </c>
      <c r="J178" s="698"/>
      <c r="K178" s="690"/>
      <c r="L178" s="698">
        <v>2.6</v>
      </c>
      <c r="M178" s="692"/>
      <c r="N178" s="675" t="s">
        <v>367</v>
      </c>
      <c r="O178" s="287">
        <f>ROWS($M$8:N178)</f>
        <v>171</v>
      </c>
      <c r="P178" s="287" t="str">
        <f>IF(ID!$A$93=N178,O178,"")</f>
        <v/>
      </c>
      <c r="Q178" s="287" t="str">
        <f>IFERROR(SMALL($P$8:$P429,ROWS($P$8:P178)),"")</f>
        <v/>
      </c>
    </row>
    <row r="179" spans="2:17" x14ac:dyDescent="0.2">
      <c r="B179" s="696">
        <v>25</v>
      </c>
      <c r="C179" s="697">
        <v>0.2</v>
      </c>
      <c r="D179" s="697">
        <v>0.5</v>
      </c>
      <c r="E179" s="696">
        <v>50</v>
      </c>
      <c r="F179" s="697">
        <v>-1.4</v>
      </c>
      <c r="G179" s="697">
        <v>2.6</v>
      </c>
      <c r="H179" s="698">
        <v>1000</v>
      </c>
      <c r="I179" s="698">
        <v>4.0999999999999996</v>
      </c>
      <c r="J179" s="698"/>
      <c r="K179" s="690"/>
      <c r="L179" s="698">
        <v>2.6</v>
      </c>
      <c r="M179" s="692"/>
      <c r="N179" s="675" t="s">
        <v>367</v>
      </c>
      <c r="O179" s="287">
        <f>ROWS($M$8:N179)</f>
        <v>172</v>
      </c>
      <c r="P179" s="287" t="str">
        <f>IF(ID!$A$93=N179,O179,"")</f>
        <v/>
      </c>
      <c r="Q179" s="287" t="str">
        <f>IFERROR(SMALL($P$8:$P430,ROWS($P$8:P179)),"")</f>
        <v/>
      </c>
    </row>
    <row r="180" spans="2:17" x14ac:dyDescent="0.2">
      <c r="B180" s="696">
        <v>30</v>
      </c>
      <c r="C180" s="697">
        <v>0.4</v>
      </c>
      <c r="D180" s="697">
        <v>0.5</v>
      </c>
      <c r="E180" s="696">
        <v>60</v>
      </c>
      <c r="F180" s="697">
        <v>-1.1000000000000001</v>
      </c>
      <c r="G180" s="697">
        <v>2.6</v>
      </c>
      <c r="H180" s="700">
        <v>1005</v>
      </c>
      <c r="I180" s="700">
        <v>4</v>
      </c>
      <c r="J180" s="700"/>
      <c r="K180" s="700"/>
      <c r="L180" s="698">
        <v>2.6</v>
      </c>
      <c r="M180" s="692"/>
      <c r="N180" s="675" t="s">
        <v>367</v>
      </c>
      <c r="O180" s="287">
        <f>ROWS($M$8:N180)</f>
        <v>173</v>
      </c>
      <c r="P180" s="287" t="str">
        <f>IF(ID!$A$93=N180,O180,"")</f>
        <v/>
      </c>
      <c r="Q180" s="287" t="str">
        <f>IFERROR(SMALL($P$8:$P431,ROWS($P$8:P180)),"")</f>
        <v/>
      </c>
    </row>
    <row r="181" spans="2:17" x14ac:dyDescent="0.2">
      <c r="B181" s="696">
        <v>35</v>
      </c>
      <c r="C181" s="697">
        <v>0.8</v>
      </c>
      <c r="D181" s="697">
        <v>0.5</v>
      </c>
      <c r="E181" s="696">
        <v>70</v>
      </c>
      <c r="F181" s="697">
        <v>-0.7</v>
      </c>
      <c r="G181" s="697">
        <v>2.6</v>
      </c>
      <c r="H181" s="698">
        <v>1010</v>
      </c>
      <c r="I181" s="698">
        <v>3.9</v>
      </c>
      <c r="J181" s="698"/>
      <c r="K181" s="698"/>
      <c r="L181" s="698">
        <v>2.6</v>
      </c>
      <c r="M181" s="692"/>
      <c r="N181" s="675" t="s">
        <v>367</v>
      </c>
      <c r="O181" s="287">
        <f>ROWS($M$8:N181)</f>
        <v>174</v>
      </c>
      <c r="P181" s="287" t="str">
        <f>IF(ID!$A$93=N181,O181,"")</f>
        <v/>
      </c>
      <c r="Q181" s="287" t="str">
        <f>IFERROR(SMALL($P$8:$P432,ROWS($P$8:P181)),"")</f>
        <v/>
      </c>
    </row>
    <row r="182" spans="2:17" x14ac:dyDescent="0.2">
      <c r="B182" s="701">
        <v>37</v>
      </c>
      <c r="C182" s="697">
        <v>1</v>
      </c>
      <c r="D182" s="697">
        <v>0.5</v>
      </c>
      <c r="E182" s="701">
        <v>80</v>
      </c>
      <c r="F182" s="697">
        <v>-0.4</v>
      </c>
      <c r="G182" s="697">
        <v>2.6</v>
      </c>
      <c r="H182" s="702">
        <v>1015</v>
      </c>
      <c r="I182" s="702">
        <f>I181</f>
        <v>3.9</v>
      </c>
      <c r="J182" s="702"/>
      <c r="K182" s="702"/>
      <c r="L182" s="702">
        <f>L181</f>
        <v>2.6</v>
      </c>
      <c r="M182" s="692"/>
      <c r="N182" s="675" t="s">
        <v>367</v>
      </c>
      <c r="O182" s="287">
        <f>ROWS($M$8:N182)</f>
        <v>175</v>
      </c>
      <c r="P182" s="287" t="str">
        <f>IF(ID!$A$93=N182,O182,"")</f>
        <v/>
      </c>
      <c r="Q182" s="287" t="str">
        <f>IFERROR(SMALL($P$8:$P433,ROWS($P$8:P182)),"")</f>
        <v/>
      </c>
    </row>
    <row r="183" spans="2:17" x14ac:dyDescent="0.2">
      <c r="B183" s="701">
        <v>40</v>
      </c>
      <c r="C183" s="706">
        <v>1.4</v>
      </c>
      <c r="D183" s="697">
        <v>0.5</v>
      </c>
      <c r="E183" s="701">
        <v>90</v>
      </c>
      <c r="F183" s="703">
        <v>-0.1</v>
      </c>
      <c r="G183" s="697">
        <v>2.6</v>
      </c>
      <c r="H183" s="698" t="s">
        <v>201</v>
      </c>
      <c r="I183" s="698" t="s">
        <v>201</v>
      </c>
      <c r="J183" s="698" t="s">
        <v>201</v>
      </c>
      <c r="K183" s="698" t="s">
        <v>201</v>
      </c>
      <c r="L183" s="698" t="s">
        <v>201</v>
      </c>
      <c r="M183" s="692"/>
      <c r="N183" s="675" t="s">
        <v>367</v>
      </c>
      <c r="O183" s="287">
        <f>ROWS($M$8:N183)</f>
        <v>176</v>
      </c>
      <c r="P183" s="287" t="str">
        <f>IF(ID!$A$93=N183,O183,"")</f>
        <v/>
      </c>
      <c r="Q183" s="287" t="str">
        <f>IFERROR(SMALL($P$8:$P434,ROWS($P$8:P183)),"")</f>
        <v/>
      </c>
    </row>
    <row r="184" spans="2:17" x14ac:dyDescent="0.2">
      <c r="H184" s="698" t="s">
        <v>201</v>
      </c>
      <c r="I184" s="698" t="s">
        <v>201</v>
      </c>
      <c r="J184" s="698" t="s">
        <v>201</v>
      </c>
      <c r="K184" s="698" t="s">
        <v>201</v>
      </c>
      <c r="L184" s="698" t="s">
        <v>201</v>
      </c>
      <c r="M184" s="704"/>
      <c r="N184" s="289"/>
      <c r="O184" s="287">
        <f>ROWS($M$8:N184)</f>
        <v>177</v>
      </c>
      <c r="P184" s="287" t="str">
        <f>IF(ID!$A$93=N184,O184,"")</f>
        <v/>
      </c>
      <c r="Q184" s="287" t="str">
        <f>IFERROR(SMALL($P$8:$P435,ROWS($P$8:P184)),"")</f>
        <v/>
      </c>
    </row>
    <row r="185" spans="2:17" x14ac:dyDescent="0.2">
      <c r="H185" s="698" t="s">
        <v>201</v>
      </c>
      <c r="I185" s="698" t="s">
        <v>201</v>
      </c>
      <c r="J185" s="698" t="s">
        <v>201</v>
      </c>
      <c r="K185" s="698" t="s">
        <v>201</v>
      </c>
      <c r="L185" s="698" t="s">
        <v>201</v>
      </c>
      <c r="M185" s="704"/>
      <c r="N185" s="289"/>
      <c r="O185" s="287">
        <f>ROWS($M$8:N185)</f>
        <v>178</v>
      </c>
      <c r="P185" s="287" t="str">
        <f>IF(ID!$A$93=N185,O185,"")</f>
        <v/>
      </c>
      <c r="Q185" s="287" t="str">
        <f>IFERROR(SMALL($P$8:$P436,ROWS($P$8:P185)),"")</f>
        <v/>
      </c>
    </row>
    <row r="186" spans="2:17" x14ac:dyDescent="0.2">
      <c r="H186" s="698" t="s">
        <v>201</v>
      </c>
      <c r="I186" s="698" t="s">
        <v>201</v>
      </c>
      <c r="J186" s="698" t="s">
        <v>201</v>
      </c>
      <c r="K186" s="698" t="s">
        <v>201</v>
      </c>
      <c r="L186" s="698" t="s">
        <v>201</v>
      </c>
      <c r="M186" s="694"/>
      <c r="N186" s="705"/>
      <c r="O186" s="287">
        <f>ROWS($M$8:N186)</f>
        <v>179</v>
      </c>
      <c r="P186" s="287" t="str">
        <f>IF(ID!$A$93=N186,O186,"")</f>
        <v/>
      </c>
      <c r="Q186" s="287" t="str">
        <f>IFERROR(SMALL($P$8:$P437,ROWS($P$8:P186)),"")</f>
        <v/>
      </c>
    </row>
    <row r="187" spans="2:17" x14ac:dyDescent="0.2">
      <c r="K187" s="653"/>
      <c r="O187" s="287">
        <f>ROWS($M$8:N187)</f>
        <v>180</v>
      </c>
      <c r="P187" s="287" t="str">
        <f>IF(ID!$A$93=N187,O187,"")</f>
        <v/>
      </c>
      <c r="Q187" s="287" t="str">
        <f>IFERROR(SMALL($P$8:$P438,ROWS($P$8:P187)),"")</f>
        <v/>
      </c>
    </row>
    <row r="188" spans="2:17" x14ac:dyDescent="0.2">
      <c r="B188" s="1645" t="s">
        <v>240</v>
      </c>
      <c r="C188" s="1645"/>
      <c r="D188" s="1645"/>
      <c r="E188" s="1646" t="s">
        <v>241</v>
      </c>
      <c r="F188" s="1646"/>
      <c r="G188" s="1646"/>
      <c r="H188" s="1647" t="s">
        <v>242</v>
      </c>
      <c r="I188" s="1647"/>
      <c r="J188" s="1647"/>
      <c r="K188" s="1647"/>
      <c r="L188" s="1647"/>
      <c r="O188" s="287">
        <f>ROWS($M$8:N188)</f>
        <v>181</v>
      </c>
      <c r="P188" s="287" t="str">
        <f>IF(ID!$A$93=N188,O188,"")</f>
        <v/>
      </c>
      <c r="Q188" s="287" t="str">
        <f>IFERROR(SMALL($P$8:$P439,ROWS($P$8:P188)),"")</f>
        <v/>
      </c>
    </row>
    <row r="189" spans="2:17" x14ac:dyDescent="0.2">
      <c r="B189" s="353" t="s">
        <v>50</v>
      </c>
      <c r="C189" s="353" t="s">
        <v>52</v>
      </c>
      <c r="D189" s="353" t="s">
        <v>54</v>
      </c>
      <c r="E189" s="621" t="s">
        <v>51</v>
      </c>
      <c r="F189" s="621" t="s">
        <v>53</v>
      </c>
      <c r="G189" s="621" t="s">
        <v>55</v>
      </c>
      <c r="H189" s="622" t="s">
        <v>236</v>
      </c>
      <c r="I189" s="622" t="s">
        <v>238</v>
      </c>
      <c r="J189" s="622"/>
      <c r="K189" s="622"/>
      <c r="L189" s="622" t="s">
        <v>237</v>
      </c>
      <c r="M189" s="623" t="s">
        <v>56</v>
      </c>
      <c r="O189" s="287">
        <f>ROWS($M$8:N189)</f>
        <v>182</v>
      </c>
      <c r="P189" s="287" t="str">
        <f>IF(ID!$A$93=N189,O189,"")</f>
        <v/>
      </c>
      <c r="Q189" s="287" t="str">
        <f>IFERROR(SMALL($P$8:$P440,ROWS($P$8:P189)),"")</f>
        <v/>
      </c>
    </row>
    <row r="190" spans="2:17" x14ac:dyDescent="0.2">
      <c r="B190" s="696">
        <v>15</v>
      </c>
      <c r="C190" s="697">
        <v>0.5</v>
      </c>
      <c r="D190" s="697">
        <v>0.5</v>
      </c>
      <c r="E190" s="696">
        <v>30</v>
      </c>
      <c r="F190" s="697">
        <v>-2.2000000000000002</v>
      </c>
      <c r="G190" s="697">
        <v>2.2999999999999998</v>
      </c>
      <c r="H190" s="698">
        <v>990</v>
      </c>
      <c r="I190" s="698">
        <v>3.8</v>
      </c>
      <c r="J190" s="698"/>
      <c r="K190" s="690"/>
      <c r="L190" s="698">
        <v>2.4</v>
      </c>
      <c r="M190" s="699" t="s">
        <v>760</v>
      </c>
      <c r="N190" s="1053" t="s">
        <v>368</v>
      </c>
      <c r="O190" s="287">
        <f>ROWS($M$8:N190)</f>
        <v>183</v>
      </c>
      <c r="P190" s="287" t="str">
        <f>IF(ID!$A$93=N190,O190,"")</f>
        <v/>
      </c>
      <c r="Q190" s="287" t="str">
        <f>IFERROR(SMALL($P$8:$P441,ROWS($P$8:P190)),"")</f>
        <v/>
      </c>
    </row>
    <row r="191" spans="2:17" x14ac:dyDescent="0.2">
      <c r="B191" s="696">
        <v>20</v>
      </c>
      <c r="C191" s="697">
        <v>0.2</v>
      </c>
      <c r="D191" s="697">
        <v>0.5</v>
      </c>
      <c r="E191" s="696">
        <v>40</v>
      </c>
      <c r="F191" s="697">
        <v>-2</v>
      </c>
      <c r="G191" s="697">
        <v>2.2999999999999998</v>
      </c>
      <c r="H191" s="698">
        <v>995</v>
      </c>
      <c r="I191" s="698">
        <v>3.7</v>
      </c>
      <c r="J191" s="698"/>
      <c r="K191" s="690"/>
      <c r="L191" s="698">
        <v>2.4</v>
      </c>
      <c r="M191" s="692"/>
      <c r="N191" s="675" t="s">
        <v>368</v>
      </c>
      <c r="O191" s="287">
        <f>ROWS($M$8:N191)</f>
        <v>184</v>
      </c>
      <c r="P191" s="287" t="str">
        <f>IF(ID!$A$93=N191,O191,"")</f>
        <v/>
      </c>
      <c r="Q191" s="287" t="str">
        <f>IFERROR(SMALL($P$8:$P442,ROWS($P$8:P191)),"")</f>
        <v/>
      </c>
    </row>
    <row r="192" spans="2:17" x14ac:dyDescent="0.2">
      <c r="B192" s="696">
        <v>25</v>
      </c>
      <c r="C192" s="697">
        <v>0.1</v>
      </c>
      <c r="D192" s="697">
        <v>0.5</v>
      </c>
      <c r="E192" s="696">
        <v>50</v>
      </c>
      <c r="F192" s="697">
        <v>-1.8</v>
      </c>
      <c r="G192" s="697">
        <v>2.2999999999999998</v>
      </c>
      <c r="H192" s="698">
        <v>1000</v>
      </c>
      <c r="I192" s="698">
        <v>3.7</v>
      </c>
      <c r="J192" s="698"/>
      <c r="K192" s="690"/>
      <c r="L192" s="698">
        <v>2.4</v>
      </c>
      <c r="M192" s="692"/>
      <c r="N192" s="675" t="s">
        <v>368</v>
      </c>
      <c r="O192" s="287">
        <f>ROWS($M$8:N192)</f>
        <v>185</v>
      </c>
      <c r="P192" s="287" t="str">
        <f>IF(ID!$A$93=N192,O192,"")</f>
        <v/>
      </c>
      <c r="Q192" s="287" t="str">
        <f>IFERROR(SMALL($P$8:$P443,ROWS($P$8:P192)),"")</f>
        <v/>
      </c>
    </row>
    <row r="193" spans="2:17" x14ac:dyDescent="0.2">
      <c r="B193" s="696">
        <v>30</v>
      </c>
      <c r="C193" s="697">
        <v>-0.1</v>
      </c>
      <c r="D193" s="697">
        <v>0.5</v>
      </c>
      <c r="E193" s="696">
        <v>60</v>
      </c>
      <c r="F193" s="697">
        <v>-1.6</v>
      </c>
      <c r="G193" s="697">
        <v>2.2999999999999998</v>
      </c>
      <c r="H193" s="700">
        <v>1005</v>
      </c>
      <c r="I193" s="700">
        <v>3.6</v>
      </c>
      <c r="J193" s="700"/>
      <c r="K193" s="700"/>
      <c r="L193" s="698">
        <v>2.4</v>
      </c>
      <c r="M193" s="692"/>
      <c r="N193" s="675" t="s">
        <v>368</v>
      </c>
      <c r="O193" s="287">
        <f>ROWS($M$8:N193)</f>
        <v>186</v>
      </c>
      <c r="P193" s="287" t="str">
        <f>IF(ID!$A$93=N193,O193,"")</f>
        <v/>
      </c>
      <c r="Q193" s="287" t="str">
        <f>IFERROR(SMALL($P$8:$P444,ROWS($P$8:P193)),"")</f>
        <v/>
      </c>
    </row>
    <row r="194" spans="2:17" x14ac:dyDescent="0.2">
      <c r="B194" s="696">
        <v>35</v>
      </c>
      <c r="C194" s="697">
        <v>-0.2</v>
      </c>
      <c r="D194" s="697">
        <v>0.5</v>
      </c>
      <c r="E194" s="696">
        <v>70</v>
      </c>
      <c r="F194" s="697">
        <v>-1.4</v>
      </c>
      <c r="G194" s="697">
        <v>2.2999999999999998</v>
      </c>
      <c r="H194" s="698">
        <v>1010</v>
      </c>
      <c r="I194" s="698">
        <v>3.5</v>
      </c>
      <c r="J194" s="698"/>
      <c r="K194" s="698"/>
      <c r="L194" s="698">
        <v>2.4</v>
      </c>
      <c r="M194" s="692"/>
      <c r="N194" s="675" t="s">
        <v>368</v>
      </c>
      <c r="O194" s="287">
        <f>ROWS($M$8:N194)</f>
        <v>187</v>
      </c>
      <c r="P194" s="287" t="str">
        <f>IF(ID!$A$93=N194,O194,"")</f>
        <v/>
      </c>
      <c r="Q194" s="287" t="str">
        <f>IFERROR(SMALL($P$8:$P445,ROWS($P$8:P194)),"")</f>
        <v/>
      </c>
    </row>
    <row r="195" spans="2:17" x14ac:dyDescent="0.2">
      <c r="B195" s="701">
        <v>37</v>
      </c>
      <c r="C195" s="697">
        <v>-0.2</v>
      </c>
      <c r="D195" s="697">
        <v>0.5</v>
      </c>
      <c r="E195" s="701">
        <v>80</v>
      </c>
      <c r="F195" s="697">
        <v>-1.2</v>
      </c>
      <c r="G195" s="697">
        <v>2.2999999999999998</v>
      </c>
      <c r="H195" s="702">
        <v>1015</v>
      </c>
      <c r="I195" s="702">
        <f>I194</f>
        <v>3.5</v>
      </c>
      <c r="J195" s="702"/>
      <c r="K195" s="702"/>
      <c r="L195" s="702">
        <f>L194</f>
        <v>2.4</v>
      </c>
      <c r="M195" s="692"/>
      <c r="N195" s="675" t="s">
        <v>368</v>
      </c>
      <c r="O195" s="287">
        <f>ROWS($M$8:N195)</f>
        <v>188</v>
      </c>
      <c r="P195" s="287" t="str">
        <f>IF(ID!$A$93=N195,O195,"")</f>
        <v/>
      </c>
      <c r="Q195" s="287" t="str">
        <f>IFERROR(SMALL($P$8:$P446,ROWS($P$8:P195)),"")</f>
        <v/>
      </c>
    </row>
    <row r="196" spans="2:17" x14ac:dyDescent="0.2">
      <c r="B196" s="701">
        <v>40</v>
      </c>
      <c r="C196" s="706">
        <v>-0.2</v>
      </c>
      <c r="D196" s="697">
        <v>0.5</v>
      </c>
      <c r="E196" s="701">
        <v>90</v>
      </c>
      <c r="F196" s="706">
        <v>-1</v>
      </c>
      <c r="G196" s="697">
        <v>2.2999999999999998</v>
      </c>
      <c r="H196" s="698" t="s">
        <v>201</v>
      </c>
      <c r="I196" s="698" t="s">
        <v>201</v>
      </c>
      <c r="J196" s="698" t="s">
        <v>201</v>
      </c>
      <c r="K196" s="698" t="s">
        <v>201</v>
      </c>
      <c r="L196" s="698" t="s">
        <v>201</v>
      </c>
      <c r="M196" s="692"/>
      <c r="N196" s="675" t="s">
        <v>368</v>
      </c>
      <c r="O196" s="287">
        <f>ROWS($M$8:N196)</f>
        <v>189</v>
      </c>
      <c r="P196" s="287" t="str">
        <f>IF(ID!$A$93=N196,O196,"")</f>
        <v/>
      </c>
      <c r="Q196" s="287" t="str">
        <f>IFERROR(SMALL($P$8:$P447,ROWS($P$8:P196)),"")</f>
        <v/>
      </c>
    </row>
    <row r="197" spans="2:17" x14ac:dyDescent="0.2">
      <c r="H197" s="698" t="s">
        <v>201</v>
      </c>
      <c r="I197" s="698" t="s">
        <v>201</v>
      </c>
      <c r="J197" s="698" t="s">
        <v>201</v>
      </c>
      <c r="K197" s="698" t="s">
        <v>201</v>
      </c>
      <c r="L197" s="698" t="s">
        <v>201</v>
      </c>
      <c r="M197" s="704"/>
      <c r="N197" s="289"/>
      <c r="O197" s="287">
        <f>ROWS($M$8:N197)</f>
        <v>190</v>
      </c>
      <c r="P197" s="287" t="str">
        <f>IF(ID!$A$93=N197,O197,"")</f>
        <v/>
      </c>
      <c r="Q197" s="287" t="str">
        <f>IFERROR(SMALL($P$8:$P448,ROWS($P$8:P197)),"")</f>
        <v/>
      </c>
    </row>
    <row r="198" spans="2:17" x14ac:dyDescent="0.2">
      <c r="H198" s="698" t="s">
        <v>201</v>
      </c>
      <c r="I198" s="698" t="s">
        <v>201</v>
      </c>
      <c r="J198" s="698" t="s">
        <v>201</v>
      </c>
      <c r="K198" s="698" t="s">
        <v>201</v>
      </c>
      <c r="L198" s="698" t="s">
        <v>201</v>
      </c>
      <c r="M198" s="704"/>
      <c r="N198" s="289"/>
      <c r="O198" s="287">
        <f>ROWS($M$8:N198)</f>
        <v>191</v>
      </c>
      <c r="P198" s="287" t="str">
        <f>IF(ID!$A$93=N198,O198,"")</f>
        <v/>
      </c>
      <c r="Q198" s="287" t="str">
        <f>IFERROR(SMALL($P$8:$P449,ROWS($P$8:P198)),"")</f>
        <v/>
      </c>
    </row>
    <row r="199" spans="2:17" x14ac:dyDescent="0.2">
      <c r="H199" s="698" t="s">
        <v>201</v>
      </c>
      <c r="I199" s="698" t="s">
        <v>201</v>
      </c>
      <c r="J199" s="698" t="s">
        <v>201</v>
      </c>
      <c r="K199" s="698" t="s">
        <v>201</v>
      </c>
      <c r="L199" s="698" t="s">
        <v>201</v>
      </c>
      <c r="M199" s="694"/>
      <c r="N199" s="705"/>
      <c r="O199" s="287">
        <f>ROWS($M$8:N199)</f>
        <v>192</v>
      </c>
      <c r="P199" s="287" t="str">
        <f>IF(ID!$A$93=N199,O199,"")</f>
        <v/>
      </c>
      <c r="Q199" s="287" t="str">
        <f>IFERROR(SMALL($P$8:$P450,ROWS($P$8:P199)),"")</f>
        <v/>
      </c>
    </row>
    <row r="200" spans="2:17" x14ac:dyDescent="0.2">
      <c r="O200" s="287">
        <f>ROWS($M$8:N200)</f>
        <v>193</v>
      </c>
      <c r="P200" s="287" t="str">
        <f>IF(ID!$A$93=N200,O200,"")</f>
        <v/>
      </c>
      <c r="Q200" s="287" t="str">
        <f>IFERROR(SMALL($P$8:$P451,ROWS($P$8:P200)),"")</f>
        <v/>
      </c>
    </row>
    <row r="201" spans="2:17" x14ac:dyDescent="0.2">
      <c r="O201" s="287">
        <f>ROWS($M$8:N201)</f>
        <v>194</v>
      </c>
      <c r="P201" s="287" t="str">
        <f>IF(ID!$A$93=N201,O201,"")</f>
        <v/>
      </c>
      <c r="Q201" s="287" t="str">
        <f>IFERROR(SMALL($P$8:$P452,ROWS($P$8:P201)),"")</f>
        <v/>
      </c>
    </row>
    <row r="202" spans="2:17" x14ac:dyDescent="0.2">
      <c r="B202" s="624">
        <v>15</v>
      </c>
      <c r="C202" s="625">
        <v>0</v>
      </c>
      <c r="D202" s="625">
        <v>0.3</v>
      </c>
      <c r="E202" s="626">
        <v>30</v>
      </c>
      <c r="F202" s="627">
        <v>-0.4</v>
      </c>
      <c r="G202" s="689">
        <v>2</v>
      </c>
      <c r="H202" s="698">
        <v>950</v>
      </c>
      <c r="I202" s="698">
        <v>-0.7</v>
      </c>
      <c r="J202" s="698"/>
      <c r="K202" s="690"/>
      <c r="L202" s="698">
        <v>2.4</v>
      </c>
      <c r="M202" s="620" t="s">
        <v>421</v>
      </c>
      <c r="N202" s="1053" t="s">
        <v>420</v>
      </c>
      <c r="O202" s="287">
        <f>ROWS($M$8:N202)</f>
        <v>195</v>
      </c>
      <c r="P202" s="287" t="str">
        <f>IF(ID!$A$93=N202,O202,"")</f>
        <v/>
      </c>
      <c r="Q202" s="287" t="str">
        <f>IFERROR(SMALL($P$8:$P453,ROWS($P$8:P202)),"")</f>
        <v/>
      </c>
    </row>
    <row r="203" spans="2:17" x14ac:dyDescent="0.2">
      <c r="B203" s="624">
        <v>20</v>
      </c>
      <c r="C203" s="625">
        <v>0</v>
      </c>
      <c r="D203" s="625">
        <v>0.3</v>
      </c>
      <c r="E203" s="626">
        <v>40</v>
      </c>
      <c r="F203" s="627">
        <v>-0.1</v>
      </c>
      <c r="G203" s="689">
        <v>2</v>
      </c>
      <c r="H203" s="698">
        <v>1000</v>
      </c>
      <c r="I203" s="698">
        <v>-0.8</v>
      </c>
      <c r="J203" s="698"/>
      <c r="K203" s="690"/>
      <c r="L203" s="698">
        <v>2.4</v>
      </c>
      <c r="N203" s="675" t="s">
        <v>420</v>
      </c>
      <c r="O203" s="287">
        <f>ROWS($M$8:N203)</f>
        <v>196</v>
      </c>
      <c r="P203" s="287" t="str">
        <f>IF(ID!$A$93=N203,O203,"")</f>
        <v/>
      </c>
      <c r="Q203" s="287" t="str">
        <f>IFERROR(SMALL($P$8:$P454,ROWS($P$8:P203)),"")</f>
        <v/>
      </c>
    </row>
    <row r="204" spans="2:17" x14ac:dyDescent="0.2">
      <c r="B204" s="624">
        <v>25</v>
      </c>
      <c r="C204" s="625">
        <v>0</v>
      </c>
      <c r="D204" s="625">
        <v>0.3</v>
      </c>
      <c r="E204" s="626">
        <v>50</v>
      </c>
      <c r="F204" s="627">
        <v>0</v>
      </c>
      <c r="G204" s="689">
        <v>2</v>
      </c>
      <c r="H204" s="698">
        <v>1005</v>
      </c>
      <c r="I204" s="698">
        <v>-0.8</v>
      </c>
      <c r="J204" s="698"/>
      <c r="K204" s="690"/>
      <c r="L204" s="698">
        <v>2.4</v>
      </c>
      <c r="N204" s="675" t="s">
        <v>420</v>
      </c>
      <c r="O204" s="287">
        <f>ROWS($M$8:N204)</f>
        <v>197</v>
      </c>
      <c r="P204" s="287" t="str">
        <f>IF(ID!$A$93=N204,O204,"")</f>
        <v/>
      </c>
      <c r="Q204" s="287" t="str">
        <f>IFERROR(SMALL($P$8:$P455,ROWS($P$8:P204)),"")</f>
        <v/>
      </c>
    </row>
    <row r="205" spans="2:17" x14ac:dyDescent="0.2">
      <c r="B205" s="624">
        <v>30</v>
      </c>
      <c r="C205" s="625">
        <v>-0.1</v>
      </c>
      <c r="D205" s="625">
        <v>0.3</v>
      </c>
      <c r="E205" s="626">
        <v>60</v>
      </c>
      <c r="F205" s="627">
        <v>0</v>
      </c>
      <c r="G205" s="689">
        <v>2</v>
      </c>
      <c r="H205" s="702">
        <v>1015</v>
      </c>
      <c r="I205" s="702">
        <f>I204</f>
        <v>-0.8</v>
      </c>
      <c r="J205" s="702"/>
      <c r="K205" s="702"/>
      <c r="L205" s="702">
        <f>L204</f>
        <v>2.4</v>
      </c>
      <c r="N205" s="675" t="s">
        <v>420</v>
      </c>
      <c r="O205" s="287">
        <f>ROWS($M$8:N205)</f>
        <v>198</v>
      </c>
      <c r="P205" s="287" t="str">
        <f>IF(ID!$A$93=N205,O205,"")</f>
        <v/>
      </c>
      <c r="Q205" s="287" t="str">
        <f>IFERROR(SMALL($P$8:$P456,ROWS($P$8:P205)),"")</f>
        <v/>
      </c>
    </row>
    <row r="206" spans="2:17" x14ac:dyDescent="0.2">
      <c r="B206" s="624">
        <v>35</v>
      </c>
      <c r="C206" s="625">
        <v>-0.2</v>
      </c>
      <c r="D206" s="625">
        <v>0.3</v>
      </c>
      <c r="E206" s="626">
        <v>70</v>
      </c>
      <c r="F206" s="627">
        <v>-0.1</v>
      </c>
      <c r="G206" s="689">
        <v>2</v>
      </c>
      <c r="H206" s="698" t="s">
        <v>201</v>
      </c>
      <c r="I206" s="698" t="s">
        <v>201</v>
      </c>
      <c r="J206" s="698" t="s">
        <v>201</v>
      </c>
      <c r="K206" s="698" t="s">
        <v>201</v>
      </c>
      <c r="L206" s="698" t="s">
        <v>201</v>
      </c>
      <c r="N206" s="675" t="s">
        <v>420</v>
      </c>
      <c r="O206" s="287">
        <f>ROWS($M$8:N206)</f>
        <v>199</v>
      </c>
      <c r="P206" s="287" t="str">
        <f>IF(ID!$A$93=N206,O206,"")</f>
        <v/>
      </c>
      <c r="Q206" s="287" t="str">
        <f>IFERROR(SMALL($P$8:$P457,ROWS($P$8:P206)),"")</f>
        <v/>
      </c>
    </row>
    <row r="207" spans="2:17" x14ac:dyDescent="0.2">
      <c r="B207" s="632">
        <v>37</v>
      </c>
      <c r="C207" s="625">
        <v>-0.3</v>
      </c>
      <c r="D207" s="625">
        <v>0.3</v>
      </c>
      <c r="E207" s="633">
        <v>80</v>
      </c>
      <c r="F207" s="627">
        <v>-0.5</v>
      </c>
      <c r="G207" s="689">
        <v>2</v>
      </c>
      <c r="H207" s="698" t="s">
        <v>201</v>
      </c>
      <c r="I207" s="698" t="s">
        <v>201</v>
      </c>
      <c r="J207" s="698" t="s">
        <v>201</v>
      </c>
      <c r="K207" s="698" t="s">
        <v>201</v>
      </c>
      <c r="L207" s="698" t="s">
        <v>201</v>
      </c>
      <c r="N207" s="675" t="s">
        <v>420</v>
      </c>
      <c r="O207" s="287">
        <f>ROWS($M$8:N207)</f>
        <v>200</v>
      </c>
      <c r="P207" s="287" t="str">
        <f>IF(ID!$A$93=N207,O207,"")</f>
        <v/>
      </c>
      <c r="Q207" s="287" t="str">
        <f>IFERROR(SMALL($P$8:$P458,ROWS($P$8:P207)),"")</f>
        <v/>
      </c>
    </row>
    <row r="208" spans="2:17" x14ac:dyDescent="0.2">
      <c r="B208" s="632">
        <v>40</v>
      </c>
      <c r="C208" s="680">
        <v>-0.4</v>
      </c>
      <c r="D208" s="625">
        <v>0.3</v>
      </c>
      <c r="E208" s="633">
        <v>90</v>
      </c>
      <c r="F208" s="634">
        <v>-0.9</v>
      </c>
      <c r="G208" s="689">
        <v>2</v>
      </c>
      <c r="H208" s="698" t="s">
        <v>201</v>
      </c>
      <c r="I208" s="698" t="s">
        <v>201</v>
      </c>
      <c r="J208" s="698" t="s">
        <v>201</v>
      </c>
      <c r="K208" s="698" t="s">
        <v>201</v>
      </c>
      <c r="L208" s="698" t="s">
        <v>201</v>
      </c>
      <c r="N208" s="675" t="s">
        <v>420</v>
      </c>
      <c r="O208" s="287">
        <f>ROWS($M$8:N208)</f>
        <v>201</v>
      </c>
      <c r="P208" s="287" t="str">
        <f>IF(ID!$A$93=N208,O208,"")</f>
        <v/>
      </c>
      <c r="Q208" s="287" t="str">
        <f>IFERROR(SMALL($P$8:$P459,ROWS($P$8:P208)),"")</f>
        <v/>
      </c>
    </row>
    <row r="209" spans="2:17" x14ac:dyDescent="0.2">
      <c r="H209" s="698" t="s">
        <v>201</v>
      </c>
      <c r="I209" s="698" t="s">
        <v>201</v>
      </c>
      <c r="J209" s="698" t="s">
        <v>201</v>
      </c>
      <c r="K209" s="698" t="s">
        <v>201</v>
      </c>
      <c r="L209" s="698" t="s">
        <v>201</v>
      </c>
      <c r="N209" s="289"/>
      <c r="O209" s="287">
        <f>ROWS($M$8:N209)</f>
        <v>202</v>
      </c>
      <c r="P209" s="287" t="str">
        <f>IF(ID!$A$93=N209,O209,"")</f>
        <v/>
      </c>
      <c r="Q209" s="287" t="str">
        <f>IFERROR(SMALL($P$8:$P460,ROWS($P$8:P209)),"")</f>
        <v/>
      </c>
    </row>
    <row r="210" spans="2:17" x14ac:dyDescent="0.2">
      <c r="H210" s="698" t="s">
        <v>201</v>
      </c>
      <c r="I210" s="698" t="s">
        <v>201</v>
      </c>
      <c r="J210" s="698" t="s">
        <v>201</v>
      </c>
      <c r="K210" s="698" t="s">
        <v>201</v>
      </c>
      <c r="L210" s="698" t="s">
        <v>201</v>
      </c>
      <c r="N210" s="289"/>
      <c r="O210" s="287">
        <f>ROWS($M$8:N210)</f>
        <v>203</v>
      </c>
      <c r="P210" s="287" t="str">
        <f>IF(ID!$A$93=N210,O210,"")</f>
        <v/>
      </c>
      <c r="Q210" s="287" t="str">
        <f>IFERROR(SMALL($P$8:$P461,ROWS($P$8:P210)),"")</f>
        <v/>
      </c>
    </row>
    <row r="211" spans="2:17" x14ac:dyDescent="0.2">
      <c r="H211" s="698" t="s">
        <v>201</v>
      </c>
      <c r="I211" s="698" t="s">
        <v>201</v>
      </c>
      <c r="J211" s="698" t="s">
        <v>201</v>
      </c>
      <c r="K211" s="698" t="s">
        <v>201</v>
      </c>
      <c r="L211" s="698" t="s">
        <v>201</v>
      </c>
      <c r="N211" s="289"/>
      <c r="O211" s="287">
        <f>ROWS($M$8:N211)</f>
        <v>204</v>
      </c>
      <c r="P211" s="287" t="str">
        <f>IF(ID!$A$93=N211,O211,"")</f>
        <v/>
      </c>
      <c r="Q211" s="287" t="str">
        <f>IFERROR(SMALL($P$8:$P462,ROWS($P$8:P211)),"")</f>
        <v/>
      </c>
    </row>
    <row r="212" spans="2:17" x14ac:dyDescent="0.2">
      <c r="O212" s="287">
        <f>ROWS($M$8:N212)</f>
        <v>205</v>
      </c>
      <c r="P212" s="287" t="str">
        <f>IF(ID!$A$93=N212,O212,"")</f>
        <v/>
      </c>
      <c r="Q212" s="287" t="str">
        <f>IFERROR(SMALL($P$8:$P463,ROWS($P$8:P212)),"")</f>
        <v/>
      </c>
    </row>
    <row r="213" spans="2:17" x14ac:dyDescent="0.2">
      <c r="O213" s="287">
        <f>ROWS($M$8:N213)</f>
        <v>206</v>
      </c>
      <c r="P213" s="287" t="str">
        <f>IF(ID!$A$93=N213,O213,"")</f>
        <v/>
      </c>
      <c r="Q213" s="287" t="str">
        <f>IFERROR(SMALL($P$8:$P464,ROWS($P$8:P213)),"")</f>
        <v/>
      </c>
    </row>
    <row r="214" spans="2:17" x14ac:dyDescent="0.2">
      <c r="B214" s="624">
        <v>15</v>
      </c>
      <c r="C214" s="625">
        <v>0.1</v>
      </c>
      <c r="D214" s="625">
        <v>0.4</v>
      </c>
      <c r="E214" s="626">
        <v>30</v>
      </c>
      <c r="F214" s="627">
        <v>-1.6</v>
      </c>
      <c r="G214" s="689">
        <v>2.2000000000000002</v>
      </c>
      <c r="H214" s="698">
        <v>950</v>
      </c>
      <c r="I214" s="698">
        <v>-1.1000000000000001</v>
      </c>
      <c r="J214" s="698"/>
      <c r="K214" s="690"/>
      <c r="L214" s="698">
        <v>2.2999999999999998</v>
      </c>
      <c r="M214" s="620" t="s">
        <v>421</v>
      </c>
      <c r="N214" s="1053" t="s">
        <v>422</v>
      </c>
      <c r="O214" s="287">
        <f>ROWS($M$8:N214)</f>
        <v>207</v>
      </c>
      <c r="P214" s="287" t="str">
        <f>IF(ID!$A$93=N214,O214,"")</f>
        <v/>
      </c>
      <c r="Q214" s="287" t="str">
        <f>IFERROR(SMALL($P$8:$P465,ROWS($P$8:P214)),"")</f>
        <v/>
      </c>
    </row>
    <row r="215" spans="2:17" x14ac:dyDescent="0.2">
      <c r="B215" s="624">
        <v>20</v>
      </c>
      <c r="C215" s="625">
        <v>0.2</v>
      </c>
      <c r="D215" s="625">
        <v>0.4</v>
      </c>
      <c r="E215" s="626">
        <v>40</v>
      </c>
      <c r="F215" s="627">
        <v>-1.4</v>
      </c>
      <c r="G215" s="689">
        <v>2.2000000000000002</v>
      </c>
      <c r="H215" s="698">
        <v>1000</v>
      </c>
      <c r="I215" s="698">
        <v>-0.4</v>
      </c>
      <c r="J215" s="698"/>
      <c r="K215" s="690"/>
      <c r="L215" s="698">
        <v>2.2999999999999998</v>
      </c>
      <c r="N215" s="675" t="s">
        <v>422</v>
      </c>
      <c r="O215" s="287">
        <f>ROWS($M$8:N215)</f>
        <v>208</v>
      </c>
      <c r="P215" s="287" t="str">
        <f>IF(ID!$A$93=N215,O215,"")</f>
        <v/>
      </c>
      <c r="Q215" s="287" t="str">
        <f>IFERROR(SMALL($P$8:$P466,ROWS($P$8:P215)),"")</f>
        <v/>
      </c>
    </row>
    <row r="216" spans="2:17" x14ac:dyDescent="0.2">
      <c r="B216" s="624">
        <v>25</v>
      </c>
      <c r="C216" s="625">
        <v>0.2</v>
      </c>
      <c r="D216" s="625">
        <v>0.4</v>
      </c>
      <c r="E216" s="626">
        <v>50</v>
      </c>
      <c r="F216" s="627">
        <v>-1.4</v>
      </c>
      <c r="G216" s="689">
        <v>2.2000000000000002</v>
      </c>
      <c r="H216" s="698">
        <v>1005</v>
      </c>
      <c r="I216" s="698">
        <v>-0.4</v>
      </c>
      <c r="J216" s="698"/>
      <c r="K216" s="690"/>
      <c r="L216" s="698">
        <v>2.2999999999999998</v>
      </c>
      <c r="N216" s="675" t="s">
        <v>422</v>
      </c>
      <c r="O216" s="287">
        <f>ROWS($M$8:N216)</f>
        <v>209</v>
      </c>
      <c r="P216" s="287" t="str">
        <f>IF(ID!$A$93=N216,O216,"")</f>
        <v/>
      </c>
      <c r="Q216" s="287" t="str">
        <f>IFERROR(SMALL($P$8:$P467,ROWS($P$8:P216)),"")</f>
        <v/>
      </c>
    </row>
    <row r="217" spans="2:17" x14ac:dyDescent="0.2">
      <c r="B217" s="624">
        <v>30</v>
      </c>
      <c r="C217" s="625">
        <v>0.2</v>
      </c>
      <c r="D217" s="625">
        <v>0.4</v>
      </c>
      <c r="E217" s="626">
        <v>60</v>
      </c>
      <c r="F217" s="627">
        <v>-1.5</v>
      </c>
      <c r="G217" s="689">
        <v>2.2000000000000002</v>
      </c>
      <c r="H217" s="702">
        <v>1015</v>
      </c>
      <c r="I217" s="702">
        <f>I216</f>
        <v>-0.4</v>
      </c>
      <c r="J217" s="702"/>
      <c r="K217" s="702"/>
      <c r="L217" s="702">
        <f>L216</f>
        <v>2.2999999999999998</v>
      </c>
      <c r="N217" s="675" t="s">
        <v>422</v>
      </c>
      <c r="O217" s="287">
        <f>ROWS($M$8:N217)</f>
        <v>210</v>
      </c>
      <c r="P217" s="287" t="str">
        <f>IF(ID!$A$93=N217,O217,"")</f>
        <v/>
      </c>
      <c r="Q217" s="287" t="str">
        <f>IFERROR(SMALL($P$8:$P468,ROWS($P$8:P217)),"")</f>
        <v/>
      </c>
    </row>
    <row r="218" spans="2:17" x14ac:dyDescent="0.2">
      <c r="B218" s="624">
        <v>35</v>
      </c>
      <c r="C218" s="625">
        <v>0.1</v>
      </c>
      <c r="D218" s="625">
        <v>0.4</v>
      </c>
      <c r="E218" s="626">
        <v>70</v>
      </c>
      <c r="F218" s="627">
        <v>-1.8</v>
      </c>
      <c r="G218" s="689">
        <v>2.2000000000000002</v>
      </c>
      <c r="H218" s="698" t="s">
        <v>201</v>
      </c>
      <c r="I218" s="698" t="s">
        <v>201</v>
      </c>
      <c r="J218" s="698" t="s">
        <v>201</v>
      </c>
      <c r="K218" s="698" t="s">
        <v>201</v>
      </c>
      <c r="L218" s="698" t="s">
        <v>201</v>
      </c>
      <c r="N218" s="675" t="s">
        <v>422</v>
      </c>
      <c r="O218" s="287">
        <f>ROWS($M$8:N218)</f>
        <v>211</v>
      </c>
      <c r="P218" s="287" t="str">
        <f>IF(ID!$A$93=N218,O218,"")</f>
        <v/>
      </c>
      <c r="Q218" s="287" t="str">
        <f>IFERROR(SMALL($P$8:$P469,ROWS($P$8:P218)),"")</f>
        <v/>
      </c>
    </row>
    <row r="219" spans="2:17" x14ac:dyDescent="0.2">
      <c r="B219" s="632">
        <v>37</v>
      </c>
      <c r="C219" s="625">
        <v>0</v>
      </c>
      <c r="D219" s="625">
        <v>0.4</v>
      </c>
      <c r="E219" s="633">
        <v>80</v>
      </c>
      <c r="F219" s="627">
        <v>-2.2999999999999998</v>
      </c>
      <c r="G219" s="689">
        <v>2.2000000000000002</v>
      </c>
      <c r="H219" s="698" t="s">
        <v>201</v>
      </c>
      <c r="I219" s="698" t="s">
        <v>201</v>
      </c>
      <c r="J219" s="698" t="s">
        <v>201</v>
      </c>
      <c r="K219" s="698" t="s">
        <v>201</v>
      </c>
      <c r="L219" s="698" t="s">
        <v>201</v>
      </c>
      <c r="N219" s="675" t="s">
        <v>422</v>
      </c>
      <c r="O219" s="287">
        <f>ROWS($M$8:N219)</f>
        <v>212</v>
      </c>
      <c r="P219" s="287" t="str">
        <f>IF(ID!$A$93=N219,O219,"")</f>
        <v/>
      </c>
      <c r="Q219" s="287" t="str">
        <f>IFERROR(SMALL($P$8:$P470,ROWS($P$8:P219)),"")</f>
        <v/>
      </c>
    </row>
    <row r="220" spans="2:17" x14ac:dyDescent="0.2">
      <c r="B220" s="632">
        <v>40</v>
      </c>
      <c r="C220" s="680">
        <v>0</v>
      </c>
      <c r="D220" s="625">
        <v>0.4</v>
      </c>
      <c r="E220" s="633">
        <v>90</v>
      </c>
      <c r="F220" s="634">
        <v>-3</v>
      </c>
      <c r="G220" s="689">
        <v>2.2000000000000002</v>
      </c>
      <c r="H220" s="698" t="s">
        <v>201</v>
      </c>
      <c r="I220" s="698" t="s">
        <v>201</v>
      </c>
      <c r="J220" s="698" t="s">
        <v>201</v>
      </c>
      <c r="K220" s="698" t="s">
        <v>201</v>
      </c>
      <c r="L220" s="698" t="s">
        <v>201</v>
      </c>
      <c r="N220" s="675" t="s">
        <v>422</v>
      </c>
      <c r="O220" s="287">
        <f>ROWS($M$8:N220)</f>
        <v>213</v>
      </c>
      <c r="P220" s="287" t="str">
        <f>IF(ID!$A$93=N220,O220,"")</f>
        <v/>
      </c>
      <c r="Q220" s="287" t="str">
        <f>IFERROR(SMALL($P$8:$P471,ROWS($P$8:P220)),"")</f>
        <v/>
      </c>
    </row>
    <row r="221" spans="2:17" x14ac:dyDescent="0.2">
      <c r="H221" s="698" t="s">
        <v>201</v>
      </c>
      <c r="I221" s="698" t="s">
        <v>201</v>
      </c>
      <c r="J221" s="698" t="s">
        <v>201</v>
      </c>
      <c r="K221" s="698" t="s">
        <v>201</v>
      </c>
      <c r="L221" s="698" t="s">
        <v>201</v>
      </c>
      <c r="N221" s="289"/>
      <c r="O221" s="287">
        <f>ROWS($M$8:N221)</f>
        <v>214</v>
      </c>
      <c r="P221" s="287" t="str">
        <f>IF(ID!$A$93=N221,O221,"")</f>
        <v/>
      </c>
      <c r="Q221" s="287" t="str">
        <f>IFERROR(SMALL($P$8:$P472,ROWS($P$8:P221)),"")</f>
        <v/>
      </c>
    </row>
    <row r="222" spans="2:17" x14ac:dyDescent="0.2">
      <c r="H222" s="698" t="s">
        <v>201</v>
      </c>
      <c r="I222" s="698" t="s">
        <v>201</v>
      </c>
      <c r="J222" s="698" t="s">
        <v>201</v>
      </c>
      <c r="K222" s="698" t="s">
        <v>201</v>
      </c>
      <c r="L222" s="698" t="s">
        <v>201</v>
      </c>
      <c r="N222" s="289"/>
      <c r="O222" s="287">
        <f>ROWS($M$8:N222)</f>
        <v>215</v>
      </c>
      <c r="P222" s="287" t="str">
        <f>IF(ID!$A$93=N222,O222,"")</f>
        <v/>
      </c>
      <c r="Q222" s="287" t="str">
        <f>IFERROR(SMALL($P$8:$P473,ROWS($P$8:P222)),"")</f>
        <v/>
      </c>
    </row>
    <row r="223" spans="2:17" x14ac:dyDescent="0.2">
      <c r="H223" s="698" t="s">
        <v>201</v>
      </c>
      <c r="I223" s="698" t="s">
        <v>201</v>
      </c>
      <c r="J223" s="698" t="s">
        <v>201</v>
      </c>
      <c r="K223" s="698" t="s">
        <v>201</v>
      </c>
      <c r="L223" s="698" t="s">
        <v>201</v>
      </c>
      <c r="N223" s="289"/>
      <c r="O223" s="287">
        <f>ROWS($M$8:N223)</f>
        <v>216</v>
      </c>
      <c r="P223" s="287" t="str">
        <f>IF(ID!$A$93=N223,O223,"")</f>
        <v/>
      </c>
      <c r="Q223" s="287" t="str">
        <f>IFERROR(SMALL($P$8:$P474,ROWS($P$8:P223)),"")</f>
        <v/>
      </c>
    </row>
    <row r="224" spans="2:17" x14ac:dyDescent="0.2">
      <c r="O224" s="287">
        <f>ROWS($M$8:N224)</f>
        <v>217</v>
      </c>
      <c r="P224" s="287" t="str">
        <f>IF(ID!$A$93=N224,O224,"")</f>
        <v/>
      </c>
      <c r="Q224" s="287" t="str">
        <f>IFERROR(SMALL($P$8:$P475,ROWS($P$8:P224)),"")</f>
        <v/>
      </c>
    </row>
    <row r="225" spans="2:17" x14ac:dyDescent="0.2">
      <c r="O225" s="287">
        <f>ROWS($M$8:N225)</f>
        <v>218</v>
      </c>
      <c r="P225" s="287" t="str">
        <f>IF(ID!$A$93=N225,O225,"")</f>
        <v/>
      </c>
      <c r="Q225" s="287" t="str">
        <f>IFERROR(SMALL($P$8:$P476,ROWS($P$8:P225)),"")</f>
        <v/>
      </c>
    </row>
    <row r="226" spans="2:17" x14ac:dyDescent="0.2">
      <c r="B226" s="624">
        <v>15</v>
      </c>
      <c r="C226" s="625">
        <v>0.1</v>
      </c>
      <c r="D226" s="625">
        <v>0.3</v>
      </c>
      <c r="E226" s="626">
        <v>30</v>
      </c>
      <c r="F226" s="627">
        <v>0.1</v>
      </c>
      <c r="G226" s="689">
        <v>2.8</v>
      </c>
      <c r="H226" s="698">
        <v>990</v>
      </c>
      <c r="I226" s="698">
        <v>-0.6</v>
      </c>
      <c r="J226" s="698"/>
      <c r="K226" s="690"/>
      <c r="L226" s="698">
        <v>2.1</v>
      </c>
      <c r="M226" s="620" t="s">
        <v>423</v>
      </c>
      <c r="N226" s="1053" t="s">
        <v>424</v>
      </c>
      <c r="O226" s="287">
        <f>ROWS($M$8:N226)</f>
        <v>219</v>
      </c>
      <c r="P226" s="287">
        <f>IF(ID!$A$93=N226,O226,"")</f>
        <v>219</v>
      </c>
      <c r="Q226" s="287" t="str">
        <f>IFERROR(SMALL($P$8:$P477,ROWS($P$8:P226)),"")</f>
        <v/>
      </c>
    </row>
    <row r="227" spans="2:17" x14ac:dyDescent="0.2">
      <c r="B227" s="624">
        <v>20</v>
      </c>
      <c r="C227" s="625">
        <v>0.1</v>
      </c>
      <c r="D227" s="625">
        <v>0.3</v>
      </c>
      <c r="E227" s="626">
        <v>40</v>
      </c>
      <c r="F227" s="627">
        <v>0.2</v>
      </c>
      <c r="G227" s="689">
        <v>2.8</v>
      </c>
      <c r="H227" s="698">
        <v>1000</v>
      </c>
      <c r="I227" s="698">
        <v>-0.6</v>
      </c>
      <c r="J227" s="698"/>
      <c r="K227" s="690"/>
      <c r="L227" s="698">
        <v>2.1</v>
      </c>
      <c r="N227" s="675" t="s">
        <v>424</v>
      </c>
      <c r="O227" s="287">
        <f>ROWS($M$8:N227)</f>
        <v>220</v>
      </c>
      <c r="P227" s="287">
        <f>IF(ID!$A$93=N227,O227,"")</f>
        <v>220</v>
      </c>
      <c r="Q227" s="287" t="str">
        <f>IFERROR(SMALL($P$8:$P478,ROWS($P$8:P227)),"")</f>
        <v/>
      </c>
    </row>
    <row r="228" spans="2:17" x14ac:dyDescent="0.2">
      <c r="B228" s="624">
        <v>25</v>
      </c>
      <c r="C228" s="625">
        <v>0</v>
      </c>
      <c r="D228" s="625">
        <v>0.3</v>
      </c>
      <c r="E228" s="626">
        <v>50</v>
      </c>
      <c r="F228" s="627">
        <v>0.2</v>
      </c>
      <c r="G228" s="689">
        <v>2.8</v>
      </c>
      <c r="H228" s="698">
        <v>1005</v>
      </c>
      <c r="I228" s="698">
        <v>-0.6</v>
      </c>
      <c r="J228" s="698"/>
      <c r="K228" s="690"/>
      <c r="L228" s="698">
        <v>2.1</v>
      </c>
      <c r="N228" s="675" t="s">
        <v>424</v>
      </c>
      <c r="O228" s="287">
        <f>ROWS($M$8:N228)</f>
        <v>221</v>
      </c>
      <c r="P228" s="287">
        <f>IF(ID!$A$93=N228,O228,"")</f>
        <v>221</v>
      </c>
      <c r="Q228" s="287" t="str">
        <f>IFERROR(SMALL($P$8:$P479,ROWS($P$8:P228)),"")</f>
        <v/>
      </c>
    </row>
    <row r="229" spans="2:17" x14ac:dyDescent="0.2">
      <c r="B229" s="624">
        <v>30</v>
      </c>
      <c r="C229" s="625">
        <v>-0.2</v>
      </c>
      <c r="D229" s="625">
        <v>0.3</v>
      </c>
      <c r="E229" s="626">
        <v>60</v>
      </c>
      <c r="F229" s="627">
        <v>0</v>
      </c>
      <c r="G229" s="689">
        <v>2.8</v>
      </c>
      <c r="H229" s="702">
        <v>1015</v>
      </c>
      <c r="I229" s="702">
        <f>I228</f>
        <v>-0.6</v>
      </c>
      <c r="J229" s="702"/>
      <c r="K229" s="702"/>
      <c r="L229" s="702">
        <f>L228</f>
        <v>2.1</v>
      </c>
      <c r="N229" s="675" t="s">
        <v>424</v>
      </c>
      <c r="O229" s="287">
        <f>ROWS($M$8:N229)</f>
        <v>222</v>
      </c>
      <c r="P229" s="287">
        <f>IF(ID!$A$93=N229,O229,"")</f>
        <v>222</v>
      </c>
      <c r="Q229" s="287" t="str">
        <f>IFERROR(SMALL($P$8:$P480,ROWS($P$8:P229)),"")</f>
        <v/>
      </c>
    </row>
    <row r="230" spans="2:17" x14ac:dyDescent="0.2">
      <c r="B230" s="624">
        <v>35</v>
      </c>
      <c r="C230" s="625">
        <v>-0.5</v>
      </c>
      <c r="D230" s="625">
        <v>0.3</v>
      </c>
      <c r="E230" s="626">
        <v>70</v>
      </c>
      <c r="F230" s="627">
        <v>-0.3</v>
      </c>
      <c r="G230" s="689">
        <v>2.8</v>
      </c>
      <c r="H230" s="698" t="s">
        <v>201</v>
      </c>
      <c r="I230" s="698" t="s">
        <v>201</v>
      </c>
      <c r="J230" s="698" t="s">
        <v>201</v>
      </c>
      <c r="K230" s="698" t="s">
        <v>201</v>
      </c>
      <c r="L230" s="698" t="s">
        <v>201</v>
      </c>
      <c r="N230" s="675" t="s">
        <v>424</v>
      </c>
      <c r="O230" s="287">
        <f>ROWS($M$8:N230)</f>
        <v>223</v>
      </c>
      <c r="P230" s="287">
        <f>IF(ID!$A$93=N230,O230,"")</f>
        <v>223</v>
      </c>
      <c r="Q230" s="287" t="str">
        <f>IFERROR(SMALL($P$8:$P481,ROWS($P$8:P230)),"")</f>
        <v/>
      </c>
    </row>
    <row r="231" spans="2:17" x14ac:dyDescent="0.2">
      <c r="B231" s="632">
        <v>37</v>
      </c>
      <c r="C231" s="625">
        <v>-0.6</v>
      </c>
      <c r="D231" s="625">
        <v>0.3</v>
      </c>
      <c r="E231" s="633">
        <v>80</v>
      </c>
      <c r="F231" s="627">
        <v>-0.8</v>
      </c>
      <c r="G231" s="689">
        <v>2.8</v>
      </c>
      <c r="H231" s="698" t="s">
        <v>201</v>
      </c>
      <c r="I231" s="698" t="s">
        <v>201</v>
      </c>
      <c r="J231" s="698" t="s">
        <v>201</v>
      </c>
      <c r="K231" s="698" t="s">
        <v>201</v>
      </c>
      <c r="L231" s="698" t="s">
        <v>201</v>
      </c>
      <c r="N231" s="675" t="s">
        <v>424</v>
      </c>
      <c r="O231" s="287">
        <f>ROWS($M$8:N231)</f>
        <v>224</v>
      </c>
      <c r="P231" s="287">
        <f>IF(ID!$A$93=N231,O231,"")</f>
        <v>224</v>
      </c>
      <c r="Q231" s="287" t="str">
        <f>IFERROR(SMALL($P$8:$P482,ROWS($P$8:P231)),"")</f>
        <v/>
      </c>
    </row>
    <row r="232" spans="2:17" x14ac:dyDescent="0.2">
      <c r="B232" s="632">
        <v>40</v>
      </c>
      <c r="C232" s="680">
        <v>-0.8</v>
      </c>
      <c r="D232" s="625">
        <v>0.3</v>
      </c>
      <c r="E232" s="633">
        <v>90</v>
      </c>
      <c r="F232" s="634">
        <v>-1.4</v>
      </c>
      <c r="G232" s="689">
        <v>2.8</v>
      </c>
      <c r="H232" s="698" t="s">
        <v>201</v>
      </c>
      <c r="I232" s="698" t="s">
        <v>201</v>
      </c>
      <c r="J232" s="698" t="s">
        <v>201</v>
      </c>
      <c r="K232" s="698" t="s">
        <v>201</v>
      </c>
      <c r="L232" s="698" t="s">
        <v>201</v>
      </c>
      <c r="N232" s="675" t="s">
        <v>424</v>
      </c>
      <c r="O232" s="287">
        <f>ROWS($M$8:N232)</f>
        <v>225</v>
      </c>
      <c r="P232" s="287">
        <f>IF(ID!$A$93=N232,O232,"")</f>
        <v>225</v>
      </c>
      <c r="Q232" s="287" t="str">
        <f>IFERROR(SMALL($P$8:$P483,ROWS($P$8:P232)),"")</f>
        <v/>
      </c>
    </row>
    <row r="233" spans="2:17" x14ac:dyDescent="0.2">
      <c r="H233" s="698" t="s">
        <v>201</v>
      </c>
      <c r="I233" s="698" t="s">
        <v>201</v>
      </c>
      <c r="J233" s="698" t="s">
        <v>201</v>
      </c>
      <c r="K233" s="698" t="s">
        <v>201</v>
      </c>
      <c r="L233" s="698" t="s">
        <v>201</v>
      </c>
      <c r="N233" s="675"/>
      <c r="O233" s="287">
        <f>ROWS($M$8:N233)</f>
        <v>226</v>
      </c>
      <c r="P233" s="287" t="str">
        <f>IF(ID!$A$93=N233,O233,"")</f>
        <v/>
      </c>
      <c r="Q233" s="287" t="str">
        <f>IFERROR(SMALL($P$8:$P484,ROWS($P$8:P233)),"")</f>
        <v/>
      </c>
    </row>
    <row r="234" spans="2:17" x14ac:dyDescent="0.2">
      <c r="H234" s="698" t="s">
        <v>201</v>
      </c>
      <c r="I234" s="698" t="s">
        <v>201</v>
      </c>
      <c r="J234" s="698" t="s">
        <v>201</v>
      </c>
      <c r="K234" s="698" t="s">
        <v>201</v>
      </c>
      <c r="L234" s="698" t="s">
        <v>201</v>
      </c>
      <c r="N234" s="289"/>
      <c r="O234" s="287">
        <f>ROWS($M$8:N234)</f>
        <v>227</v>
      </c>
      <c r="P234" s="287" t="str">
        <f>IF(ID!$A$93=N234,O234,"")</f>
        <v/>
      </c>
      <c r="Q234" s="287" t="str">
        <f>IFERROR(SMALL($P$8:$P485,ROWS($P$8:P234)),"")</f>
        <v/>
      </c>
    </row>
    <row r="235" spans="2:17" x14ac:dyDescent="0.2">
      <c r="H235" s="698" t="s">
        <v>201</v>
      </c>
      <c r="I235" s="698" t="s">
        <v>201</v>
      </c>
      <c r="J235" s="698" t="s">
        <v>201</v>
      </c>
      <c r="K235" s="698" t="s">
        <v>201</v>
      </c>
      <c r="L235" s="698" t="s">
        <v>201</v>
      </c>
      <c r="N235" s="289"/>
      <c r="O235" s="287">
        <f>ROWS($M$8:N235)</f>
        <v>228</v>
      </c>
      <c r="P235" s="287" t="str">
        <f>IF(ID!$A$93=N235,O235,"")</f>
        <v/>
      </c>
      <c r="Q235" s="287" t="str">
        <f>IFERROR(SMALL($P$8:$P486,ROWS($P$8:P235)),"")</f>
        <v/>
      </c>
    </row>
    <row r="236" spans="2:17" x14ac:dyDescent="0.2">
      <c r="O236" s="287">
        <f>ROWS($M$8:N236)</f>
        <v>229</v>
      </c>
      <c r="P236" s="287" t="str">
        <f>IF(ID!$A$93=N236,O236,"")</f>
        <v/>
      </c>
      <c r="Q236" s="287" t="str">
        <f>IFERROR(SMALL($P$8:$P487,ROWS($P$8:P236)),"")</f>
        <v/>
      </c>
    </row>
    <row r="237" spans="2:17" x14ac:dyDescent="0.2">
      <c r="O237" s="287">
        <f>ROWS($M$8:N237)</f>
        <v>230</v>
      </c>
      <c r="P237" s="287" t="str">
        <f>IF(ID!$A$93=N237,O237,"")</f>
        <v/>
      </c>
      <c r="Q237" s="287" t="str">
        <f>IFERROR(SMALL($P$8:$P488,ROWS($P$8:P237)),"")</f>
        <v/>
      </c>
    </row>
    <row r="238" spans="2:17" x14ac:dyDescent="0.2">
      <c r="B238" s="624">
        <v>15</v>
      </c>
      <c r="C238" s="625">
        <v>0</v>
      </c>
      <c r="D238" s="625">
        <v>0.3</v>
      </c>
      <c r="E238" s="626">
        <v>30</v>
      </c>
      <c r="F238" s="627">
        <v>-0.4</v>
      </c>
      <c r="G238" s="689">
        <v>1.6</v>
      </c>
      <c r="H238" s="698">
        <v>990</v>
      </c>
      <c r="I238" s="698">
        <v>-0.9</v>
      </c>
      <c r="J238" s="698"/>
      <c r="K238" s="690"/>
      <c r="L238" s="698">
        <v>2.4</v>
      </c>
      <c r="M238" s="620" t="s">
        <v>421</v>
      </c>
      <c r="N238" s="1053" t="s">
        <v>425</v>
      </c>
      <c r="O238" s="287">
        <f>ROWS($M$8:N238)</f>
        <v>231</v>
      </c>
      <c r="P238" s="287" t="str">
        <f>IF(ID!$A$93=N238,O238,"")</f>
        <v/>
      </c>
      <c r="Q238" s="287" t="str">
        <f>IFERROR(SMALL($P$8:$P489,ROWS($P$8:P238)),"")</f>
        <v/>
      </c>
    </row>
    <row r="239" spans="2:17" x14ac:dyDescent="0.2">
      <c r="B239" s="624">
        <v>20</v>
      </c>
      <c r="C239" s="625">
        <v>-0.1</v>
      </c>
      <c r="D239" s="625">
        <v>0.3</v>
      </c>
      <c r="E239" s="626">
        <v>40</v>
      </c>
      <c r="F239" s="627">
        <v>-0.2</v>
      </c>
      <c r="G239" s="689">
        <v>1.6</v>
      </c>
      <c r="H239" s="698">
        <v>1000</v>
      </c>
      <c r="I239" s="698">
        <v>-0.8</v>
      </c>
      <c r="J239" s="698"/>
      <c r="K239" s="690"/>
      <c r="L239" s="698">
        <v>2.4</v>
      </c>
      <c r="N239" s="675" t="s">
        <v>425</v>
      </c>
      <c r="O239" s="287">
        <f>ROWS($M$8:N239)</f>
        <v>232</v>
      </c>
      <c r="P239" s="287" t="str">
        <f>IF(ID!$A$93=N239,O239,"")</f>
        <v/>
      </c>
      <c r="Q239" s="287" t="str">
        <f>IFERROR(SMALL($P$8:$P490,ROWS($P$8:P239)),"")</f>
        <v/>
      </c>
    </row>
    <row r="240" spans="2:17" x14ac:dyDescent="0.2">
      <c r="B240" s="624">
        <v>25</v>
      </c>
      <c r="C240" s="625">
        <v>-0.2</v>
      </c>
      <c r="D240" s="625">
        <v>0.3</v>
      </c>
      <c r="E240" s="626">
        <v>50</v>
      </c>
      <c r="F240" s="627">
        <v>-0.2</v>
      </c>
      <c r="G240" s="689">
        <v>1.6</v>
      </c>
      <c r="H240" s="698">
        <v>1005</v>
      </c>
      <c r="I240" s="698">
        <v>-0.7</v>
      </c>
      <c r="J240" s="698"/>
      <c r="K240" s="690"/>
      <c r="L240" s="698">
        <v>2.4</v>
      </c>
      <c r="N240" s="675" t="s">
        <v>425</v>
      </c>
      <c r="O240" s="287">
        <f>ROWS($M$8:N240)</f>
        <v>233</v>
      </c>
      <c r="P240" s="287" t="str">
        <f>IF(ID!$A$93=N240,O240,"")</f>
        <v/>
      </c>
      <c r="Q240" s="287" t="str">
        <f>IFERROR(SMALL($P$8:$P491,ROWS($P$8:P240)),"")</f>
        <v/>
      </c>
    </row>
    <row r="241" spans="2:17" x14ac:dyDescent="0.2">
      <c r="B241" s="624">
        <v>30</v>
      </c>
      <c r="C241" s="625">
        <v>-0.2</v>
      </c>
      <c r="D241" s="625">
        <v>0.3</v>
      </c>
      <c r="E241" s="626">
        <v>60</v>
      </c>
      <c r="F241" s="627">
        <v>-0.2</v>
      </c>
      <c r="G241" s="689">
        <v>1.6</v>
      </c>
      <c r="H241" s="702">
        <v>1015</v>
      </c>
      <c r="I241" s="702">
        <f>I240</f>
        <v>-0.7</v>
      </c>
      <c r="J241" s="702"/>
      <c r="K241" s="702"/>
      <c r="L241" s="702">
        <f>L240</f>
        <v>2.4</v>
      </c>
      <c r="N241" s="675" t="s">
        <v>425</v>
      </c>
      <c r="O241" s="287">
        <f>ROWS($M$8:N241)</f>
        <v>234</v>
      </c>
      <c r="P241" s="287" t="str">
        <f>IF(ID!$A$93=N241,O241,"")</f>
        <v/>
      </c>
      <c r="Q241" s="287" t="str">
        <f>IFERROR(SMALL($P$8:$P492,ROWS($P$8:P241)),"")</f>
        <v/>
      </c>
    </row>
    <row r="242" spans="2:17" x14ac:dyDescent="0.2">
      <c r="B242" s="624">
        <v>35</v>
      </c>
      <c r="C242" s="625">
        <v>-0.3</v>
      </c>
      <c r="D242" s="625">
        <v>0.3</v>
      </c>
      <c r="E242" s="626">
        <v>70</v>
      </c>
      <c r="F242" s="627">
        <v>-0.3</v>
      </c>
      <c r="G242" s="689">
        <v>1.6</v>
      </c>
      <c r="H242" s="698" t="s">
        <v>201</v>
      </c>
      <c r="I242" s="698" t="s">
        <v>201</v>
      </c>
      <c r="J242" s="698" t="s">
        <v>201</v>
      </c>
      <c r="K242" s="698" t="s">
        <v>201</v>
      </c>
      <c r="L242" s="698" t="s">
        <v>201</v>
      </c>
      <c r="N242" s="675" t="s">
        <v>425</v>
      </c>
      <c r="O242" s="287">
        <f>ROWS($M$8:N242)</f>
        <v>235</v>
      </c>
      <c r="P242" s="287" t="str">
        <f>IF(ID!$A$93=N242,O242,"")</f>
        <v/>
      </c>
      <c r="Q242" s="287" t="str">
        <f>IFERROR(SMALL($P$8:$P493,ROWS($P$8:P242)),"")</f>
        <v/>
      </c>
    </row>
    <row r="243" spans="2:17" x14ac:dyDescent="0.2">
      <c r="B243" s="632">
        <v>37</v>
      </c>
      <c r="C243" s="625">
        <v>-0.3</v>
      </c>
      <c r="D243" s="625">
        <v>0.3</v>
      </c>
      <c r="E243" s="633">
        <v>80</v>
      </c>
      <c r="F243" s="627">
        <v>-0.5</v>
      </c>
      <c r="G243" s="689">
        <v>1.6</v>
      </c>
      <c r="H243" s="698" t="s">
        <v>201</v>
      </c>
      <c r="I243" s="698" t="s">
        <v>201</v>
      </c>
      <c r="J243" s="698" t="s">
        <v>201</v>
      </c>
      <c r="K243" s="698" t="s">
        <v>201</v>
      </c>
      <c r="L243" s="698" t="s">
        <v>201</v>
      </c>
      <c r="N243" s="675" t="s">
        <v>425</v>
      </c>
      <c r="O243" s="287">
        <f>ROWS($M$8:N243)</f>
        <v>236</v>
      </c>
      <c r="P243" s="287" t="str">
        <f>IF(ID!$A$93=N243,O243,"")</f>
        <v/>
      </c>
      <c r="Q243" s="287" t="str">
        <f>IFERROR(SMALL($P$8:$P494,ROWS($P$8:P243)),"")</f>
        <v/>
      </c>
    </row>
    <row r="244" spans="2:17" x14ac:dyDescent="0.2">
      <c r="B244" s="632">
        <v>40</v>
      </c>
      <c r="C244" s="680">
        <v>-0.4</v>
      </c>
      <c r="D244" s="625">
        <v>0.3</v>
      </c>
      <c r="E244" s="633">
        <v>90</v>
      </c>
      <c r="F244" s="634">
        <v>-0.8</v>
      </c>
      <c r="G244" s="689">
        <v>1.6</v>
      </c>
      <c r="H244" s="698" t="s">
        <v>201</v>
      </c>
      <c r="I244" s="698" t="s">
        <v>201</v>
      </c>
      <c r="J244" s="698" t="s">
        <v>201</v>
      </c>
      <c r="K244" s="698" t="s">
        <v>201</v>
      </c>
      <c r="L244" s="698" t="s">
        <v>201</v>
      </c>
      <c r="N244" s="675" t="s">
        <v>425</v>
      </c>
      <c r="O244" s="287">
        <f>ROWS($M$8:N244)</f>
        <v>237</v>
      </c>
      <c r="P244" s="287" t="str">
        <f>IF(ID!$A$93=N244,O244,"")</f>
        <v/>
      </c>
      <c r="Q244" s="287" t="str">
        <f>IFERROR(SMALL($P$8:$P495,ROWS($P$8:P244)),"")</f>
        <v/>
      </c>
    </row>
    <row r="245" spans="2:17" x14ac:dyDescent="0.2">
      <c r="H245" s="698" t="s">
        <v>201</v>
      </c>
      <c r="I245" s="698" t="s">
        <v>201</v>
      </c>
      <c r="J245" s="698" t="s">
        <v>201</v>
      </c>
      <c r="K245" s="698" t="s">
        <v>201</v>
      </c>
      <c r="L245" s="698" t="s">
        <v>201</v>
      </c>
      <c r="N245" s="289"/>
      <c r="O245" s="287">
        <f>ROWS($M$8:N245)</f>
        <v>238</v>
      </c>
      <c r="P245" s="287" t="str">
        <f>IF(ID!$A$93=N245,O245,"")</f>
        <v/>
      </c>
      <c r="Q245" s="287" t="str">
        <f>IFERROR(SMALL($P$8:$P496,ROWS($P$8:P245)),"")</f>
        <v/>
      </c>
    </row>
    <row r="246" spans="2:17" x14ac:dyDescent="0.2">
      <c r="H246" s="698" t="s">
        <v>201</v>
      </c>
      <c r="I246" s="698" t="s">
        <v>201</v>
      </c>
      <c r="J246" s="698" t="s">
        <v>201</v>
      </c>
      <c r="K246" s="698" t="s">
        <v>201</v>
      </c>
      <c r="L246" s="698" t="s">
        <v>201</v>
      </c>
      <c r="N246" s="289"/>
      <c r="O246" s="287">
        <f>ROWS($M$8:N246)</f>
        <v>239</v>
      </c>
      <c r="P246" s="287" t="str">
        <f>IF(ID!$A$93=N246,O246,"")</f>
        <v/>
      </c>
      <c r="Q246" s="287" t="str">
        <f>IFERROR(SMALL($P$8:$P497,ROWS($P$8:P246)),"")</f>
        <v/>
      </c>
    </row>
    <row r="247" spans="2:17" x14ac:dyDescent="0.2">
      <c r="H247" s="698" t="s">
        <v>201</v>
      </c>
      <c r="I247" s="698" t="s">
        <v>201</v>
      </c>
      <c r="J247" s="698" t="s">
        <v>201</v>
      </c>
      <c r="K247" s="698" t="s">
        <v>201</v>
      </c>
      <c r="L247" s="698" t="s">
        <v>201</v>
      </c>
      <c r="N247" s="289"/>
      <c r="O247" s="287">
        <f>ROWS($M$8:N247)</f>
        <v>240</v>
      </c>
      <c r="P247" s="287" t="str">
        <f>IF(ID!$A$93=N247,O247,"")</f>
        <v/>
      </c>
      <c r="Q247" s="287" t="str">
        <f>IFERROR(SMALL($P$8:$P498,ROWS($P$8:P247)),"")</f>
        <v/>
      </c>
    </row>
    <row r="248" spans="2:17" x14ac:dyDescent="0.2">
      <c r="O248" s="287">
        <f>ROWS($M$8:N248)</f>
        <v>241</v>
      </c>
      <c r="P248" s="287" t="str">
        <f>IF(ID!$A$93=N248,O248,"")</f>
        <v/>
      </c>
      <c r="Q248" s="287" t="str">
        <f>IFERROR(SMALL($P$8:$P499,ROWS($P$8:P248)),"")</f>
        <v/>
      </c>
    </row>
    <row r="249" spans="2:17" x14ac:dyDescent="0.2">
      <c r="O249" s="287">
        <f>ROWS($M$8:N249)</f>
        <v>242</v>
      </c>
      <c r="P249" s="287" t="str">
        <f>IF(ID!$A$93=N249,O249,"")</f>
        <v/>
      </c>
      <c r="Q249" s="287" t="str">
        <f>IFERROR(SMALL($P$8:$P500,ROWS($P$8:P249)),"")</f>
        <v/>
      </c>
    </row>
    <row r="250" spans="2:17" x14ac:dyDescent="0.2">
      <c r="B250" s="624">
        <v>15.1</v>
      </c>
      <c r="C250" s="625">
        <v>0</v>
      </c>
      <c r="D250" s="625">
        <v>0.1</v>
      </c>
      <c r="E250" s="626">
        <v>36.299999999999997</v>
      </c>
      <c r="F250" s="627">
        <v>-1.5</v>
      </c>
      <c r="G250" s="689">
        <v>1.5</v>
      </c>
      <c r="H250" s="698">
        <v>997</v>
      </c>
      <c r="I250" s="698">
        <v>2.2000000000000002</v>
      </c>
      <c r="J250" s="698"/>
      <c r="K250" s="690"/>
      <c r="L250" s="698">
        <v>0.4</v>
      </c>
      <c r="M250" s="359" t="s">
        <v>428</v>
      </c>
      <c r="N250" s="1053" t="s">
        <v>426</v>
      </c>
      <c r="O250" s="287">
        <f>ROWS($M$8:N250)</f>
        <v>243</v>
      </c>
      <c r="P250" s="287" t="str">
        <f>IF(ID!$A$93=N250,O250,"")</f>
        <v/>
      </c>
      <c r="Q250" s="287" t="str">
        <f>IFERROR(SMALL($P$8:$P501,ROWS($P$8:P250)),"")</f>
        <v/>
      </c>
    </row>
    <row r="251" spans="2:17" x14ac:dyDescent="0.2">
      <c r="B251" s="624">
        <v>20.2</v>
      </c>
      <c r="C251" s="625">
        <v>0.1</v>
      </c>
      <c r="D251" s="625">
        <v>0.1</v>
      </c>
      <c r="E251" s="626">
        <v>40.5</v>
      </c>
      <c r="F251" s="627">
        <v>-0.8</v>
      </c>
      <c r="G251" s="689">
        <v>1.5</v>
      </c>
      <c r="H251" s="707">
        <v>1047</v>
      </c>
      <c r="I251" s="707">
        <v>2.2999999999999998</v>
      </c>
      <c r="J251" s="707"/>
      <c r="K251" s="690"/>
      <c r="L251" s="707">
        <v>0.4</v>
      </c>
      <c r="N251" s="675" t="s">
        <v>426</v>
      </c>
      <c r="O251" s="287">
        <f>ROWS($M$8:N251)</f>
        <v>244</v>
      </c>
      <c r="P251" s="287" t="str">
        <f>IF(ID!$A$93=N251,O251,"")</f>
        <v/>
      </c>
      <c r="Q251" s="287" t="str">
        <f>IFERROR(SMALL($P$8:$P502,ROWS($P$8:P251)),"")</f>
        <v/>
      </c>
    </row>
    <row r="252" spans="2:17" x14ac:dyDescent="0.2">
      <c r="B252" s="624">
        <v>25</v>
      </c>
      <c r="C252" s="625">
        <v>0</v>
      </c>
      <c r="D252" s="625">
        <v>0.1</v>
      </c>
      <c r="E252" s="626">
        <v>49.8</v>
      </c>
      <c r="F252" s="627">
        <v>-0.2</v>
      </c>
      <c r="G252" s="689">
        <v>1.5</v>
      </c>
      <c r="H252" s="707">
        <v>1096.9000000000001</v>
      </c>
      <c r="I252" s="707">
        <v>2.4</v>
      </c>
      <c r="J252" s="707"/>
      <c r="K252" s="690"/>
      <c r="L252" s="707">
        <v>0.4</v>
      </c>
      <c r="N252" s="675" t="s">
        <v>426</v>
      </c>
      <c r="O252" s="287">
        <f>ROWS($M$8:N252)</f>
        <v>245</v>
      </c>
      <c r="P252" s="287" t="str">
        <f>IF(ID!$A$93=N252,O252,"")</f>
        <v/>
      </c>
      <c r="Q252" s="287" t="str">
        <f>IFERROR(SMALL($P$8:$P503,ROWS($P$8:P252)),"")</f>
        <v/>
      </c>
    </row>
    <row r="253" spans="2:17" x14ac:dyDescent="0.2">
      <c r="B253" s="624">
        <v>30.5</v>
      </c>
      <c r="C253" s="625">
        <v>-0.1</v>
      </c>
      <c r="D253" s="625">
        <v>0.1</v>
      </c>
      <c r="E253" s="626">
        <v>59.2</v>
      </c>
      <c r="F253" s="627">
        <v>0.4</v>
      </c>
      <c r="G253" s="689">
        <v>1.5</v>
      </c>
      <c r="H253" s="702">
        <v>1100</v>
      </c>
      <c r="I253" s="702">
        <f>I252</f>
        <v>2.4</v>
      </c>
      <c r="J253" s="702" t="s">
        <v>201</v>
      </c>
      <c r="K253" s="702" t="s">
        <v>201</v>
      </c>
      <c r="L253" s="702">
        <f>L252</f>
        <v>0.4</v>
      </c>
      <c r="N253" s="675" t="s">
        <v>426</v>
      </c>
      <c r="O253" s="287">
        <f>ROWS($M$8:N253)</f>
        <v>246</v>
      </c>
      <c r="P253" s="287" t="str">
        <f>IF(ID!$A$93=N253,O253,"")</f>
        <v/>
      </c>
      <c r="Q253" s="287" t="str">
        <f>IFERROR(SMALL($P$8:$P504,ROWS($P$8:P253)),"")</f>
        <v/>
      </c>
    </row>
    <row r="254" spans="2:17" x14ac:dyDescent="0.2">
      <c r="B254" s="624">
        <v>35.5</v>
      </c>
      <c r="C254" s="625">
        <v>-0.1</v>
      </c>
      <c r="D254" s="625">
        <v>0.1</v>
      </c>
      <c r="E254" s="626">
        <v>70.599999999999994</v>
      </c>
      <c r="F254" s="627">
        <v>-0.7</v>
      </c>
      <c r="G254" s="689">
        <v>1.5</v>
      </c>
      <c r="H254" s="698" t="s">
        <v>201</v>
      </c>
      <c r="I254" s="698" t="s">
        <v>201</v>
      </c>
      <c r="J254" s="698" t="s">
        <v>201</v>
      </c>
      <c r="K254" s="698" t="s">
        <v>201</v>
      </c>
      <c r="L254" s="698" t="s">
        <v>201</v>
      </c>
      <c r="N254" s="675" t="s">
        <v>426</v>
      </c>
      <c r="O254" s="287">
        <f>ROWS($M$8:N254)</f>
        <v>247</v>
      </c>
      <c r="P254" s="287" t="str">
        <f>IF(ID!$A$93=N254,O254,"")</f>
        <v/>
      </c>
      <c r="Q254" s="287" t="str">
        <f>IFERROR(SMALL($P$8:$P505,ROWS($P$8:P254)),"")</f>
        <v/>
      </c>
    </row>
    <row r="255" spans="2:17" x14ac:dyDescent="0.2">
      <c r="B255" s="632">
        <v>37.200000000000003</v>
      </c>
      <c r="C255" s="625">
        <v>0</v>
      </c>
      <c r="D255" s="625">
        <v>0.1</v>
      </c>
      <c r="E255" s="633">
        <v>80.900000000000006</v>
      </c>
      <c r="F255" s="627">
        <v>-0.9</v>
      </c>
      <c r="G255" s="689">
        <v>1.5</v>
      </c>
      <c r="H255" s="698" t="s">
        <v>201</v>
      </c>
      <c r="I255" s="698" t="s">
        <v>201</v>
      </c>
      <c r="J255" s="698" t="s">
        <v>201</v>
      </c>
      <c r="K255" s="698" t="s">
        <v>201</v>
      </c>
      <c r="L255" s="698" t="s">
        <v>201</v>
      </c>
      <c r="N255" s="675" t="s">
        <v>426</v>
      </c>
      <c r="O255" s="287">
        <f>ROWS($M$8:N255)</f>
        <v>248</v>
      </c>
      <c r="P255" s="287" t="str">
        <f>IF(ID!$A$93=N255,O255,"")</f>
        <v/>
      </c>
      <c r="Q255" s="287" t="str">
        <f>IFERROR(SMALL($P$8:$P506,ROWS($P$8:P255)),"")</f>
        <v/>
      </c>
    </row>
    <row r="256" spans="2:17" x14ac:dyDescent="0.2">
      <c r="B256" s="632">
        <v>39.700000000000003</v>
      </c>
      <c r="C256" s="680">
        <v>0.2</v>
      </c>
      <c r="D256" s="625">
        <v>0.1</v>
      </c>
      <c r="E256" s="633">
        <v>90.4</v>
      </c>
      <c r="F256" s="634">
        <v>-0.6</v>
      </c>
      <c r="G256" s="689">
        <v>1.5</v>
      </c>
      <c r="H256" s="698" t="s">
        <v>201</v>
      </c>
      <c r="I256" s="698" t="s">
        <v>201</v>
      </c>
      <c r="J256" s="698" t="s">
        <v>201</v>
      </c>
      <c r="K256" s="698" t="s">
        <v>201</v>
      </c>
      <c r="L256" s="698" t="s">
        <v>201</v>
      </c>
      <c r="N256" s="675" t="s">
        <v>426</v>
      </c>
      <c r="O256" s="287">
        <f>ROWS($M$8:N256)</f>
        <v>249</v>
      </c>
      <c r="P256" s="287" t="str">
        <f>IF(ID!$A$93=N256,O256,"")</f>
        <v/>
      </c>
      <c r="Q256" s="287" t="str">
        <f>IFERROR(SMALL($P$8:$P507,ROWS($P$8:P256)),"")</f>
        <v/>
      </c>
    </row>
    <row r="257" spans="8:17" x14ac:dyDescent="0.2">
      <c r="H257" s="698" t="s">
        <v>201</v>
      </c>
      <c r="I257" s="698" t="s">
        <v>201</v>
      </c>
      <c r="J257" s="698" t="s">
        <v>201</v>
      </c>
      <c r="K257" s="698" t="s">
        <v>201</v>
      </c>
      <c r="L257" s="698" t="s">
        <v>201</v>
      </c>
      <c r="N257" s="289"/>
      <c r="O257" s="287">
        <f>ROWS($M$8:N257)</f>
        <v>250</v>
      </c>
      <c r="P257" s="287" t="str">
        <f>IF(ID!$A$93=N257,O257,"")</f>
        <v/>
      </c>
      <c r="Q257" s="287" t="str">
        <f>IFERROR(SMALL($P$8:$P508,ROWS($P$8:P257)),"")</f>
        <v/>
      </c>
    </row>
    <row r="258" spans="8:17" x14ac:dyDescent="0.2">
      <c r="H258" s="698" t="s">
        <v>201</v>
      </c>
      <c r="I258" s="698" t="s">
        <v>201</v>
      </c>
      <c r="J258" s="698" t="s">
        <v>201</v>
      </c>
      <c r="K258" s="698" t="s">
        <v>201</v>
      </c>
      <c r="L258" s="698" t="s">
        <v>201</v>
      </c>
      <c r="N258" s="289"/>
      <c r="O258" s="287">
        <f>ROWS($M$8:N258)</f>
        <v>251</v>
      </c>
      <c r="P258" s="287" t="str">
        <f>IF(ID!$A$93=N258,O258,"")</f>
        <v/>
      </c>
      <c r="Q258" s="287" t="str">
        <f>IFERROR(SMALL($P$8:$P509,ROWS($P$8:P258)),"")</f>
        <v/>
      </c>
    </row>
    <row r="259" spans="8:17" x14ac:dyDescent="0.2">
      <c r="H259" s="698" t="s">
        <v>201</v>
      </c>
      <c r="I259" s="698" t="s">
        <v>201</v>
      </c>
      <c r="J259" s="698" t="s">
        <v>201</v>
      </c>
      <c r="K259" s="698" t="s">
        <v>201</v>
      </c>
      <c r="L259" s="698" t="s">
        <v>201</v>
      </c>
      <c r="N259" s="289"/>
      <c r="O259" s="287">
        <f>ROWS($M$8:N259)</f>
        <v>252</v>
      </c>
      <c r="P259" s="287" t="str">
        <f>IF(ID!$A$93=N259,O259,"")</f>
        <v/>
      </c>
      <c r="Q259" s="287" t="str">
        <f>IFERROR(SMALL($P$8:$P510,ROWS($P$8:P259)),"")</f>
        <v/>
      </c>
    </row>
  </sheetData>
  <mergeCells count="15">
    <mergeCell ref="B188:D188"/>
    <mergeCell ref="E188:G188"/>
    <mergeCell ref="H188:L188"/>
    <mergeCell ref="B162:D162"/>
    <mergeCell ref="E162:G162"/>
    <mergeCell ref="H162:L162"/>
    <mergeCell ref="B175:D175"/>
    <mergeCell ref="E175:G175"/>
    <mergeCell ref="H175:L175"/>
    <mergeCell ref="Z6:AD6"/>
    <mergeCell ref="B6:D6"/>
    <mergeCell ref="E6:G6"/>
    <mergeCell ref="H6:L6"/>
    <mergeCell ref="T6:V6"/>
    <mergeCell ref="W6:Y6"/>
  </mergeCell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H1:P54"/>
  <sheetViews>
    <sheetView topLeftCell="A14" workbookViewId="0">
      <selection activeCell="I29" sqref="I29"/>
    </sheetView>
  </sheetViews>
  <sheetFormatPr defaultRowHeight="13.2" x14ac:dyDescent="0.25"/>
  <cols>
    <col min="8" max="8" width="16.21875" customWidth="1"/>
    <col min="9" max="9" width="31.44140625" customWidth="1"/>
    <col min="10" max="10" width="25.77734375" customWidth="1"/>
    <col min="11" max="11" width="17.109375" customWidth="1"/>
  </cols>
  <sheetData>
    <row r="1" spans="8:16" ht="15.6" x14ac:dyDescent="0.3">
      <c r="P1" s="47" t="s">
        <v>288</v>
      </c>
    </row>
    <row r="2" spans="8:16" ht="15.6" x14ac:dyDescent="0.3">
      <c r="P2" s="47" t="s">
        <v>289</v>
      </c>
    </row>
    <row r="3" spans="8:16" ht="15.6" x14ac:dyDescent="0.3">
      <c r="P3" s="9" t="s">
        <v>290</v>
      </c>
    </row>
    <row r="4" spans="8:16" ht="13.8" x14ac:dyDescent="0.25">
      <c r="P4" s="78" t="s">
        <v>291</v>
      </c>
    </row>
    <row r="5" spans="8:16" ht="13.8" x14ac:dyDescent="0.25">
      <c r="P5" s="78" t="s">
        <v>292</v>
      </c>
    </row>
    <row r="9" spans="8:16" x14ac:dyDescent="0.25">
      <c r="H9" s="26" t="s">
        <v>33</v>
      </c>
      <c r="I9" s="27">
        <v>1</v>
      </c>
      <c r="J9" s="28"/>
      <c r="K9" s="26" t="s">
        <v>33</v>
      </c>
    </row>
    <row r="10" spans="8:16" x14ac:dyDescent="0.25">
      <c r="H10" s="26" t="s">
        <v>117</v>
      </c>
      <c r="I10" s="29">
        <v>10</v>
      </c>
      <c r="J10" s="29"/>
      <c r="K10" s="26" t="s">
        <v>33</v>
      </c>
    </row>
    <row r="11" spans="8:16" x14ac:dyDescent="0.25">
      <c r="H11" s="30" t="s">
        <v>118</v>
      </c>
      <c r="I11" s="1648">
        <v>7.500616827</v>
      </c>
      <c r="J11" s="1648"/>
      <c r="K11" s="26" t="s">
        <v>33</v>
      </c>
    </row>
    <row r="12" spans="8:16" x14ac:dyDescent="0.25">
      <c r="H12" s="30" t="s">
        <v>119</v>
      </c>
      <c r="I12" s="1649">
        <v>750.06168270000001</v>
      </c>
      <c r="J12" s="1649"/>
      <c r="K12" s="26" t="s">
        <v>33</v>
      </c>
    </row>
    <row r="13" spans="8:16" x14ac:dyDescent="0.25">
      <c r="H13" s="26" t="s">
        <v>120</v>
      </c>
      <c r="I13" s="1650">
        <v>0.75006168269999995</v>
      </c>
      <c r="J13" s="1650"/>
      <c r="K13" s="26" t="s">
        <v>33</v>
      </c>
    </row>
    <row r="14" spans="8:16" x14ac:dyDescent="0.25">
      <c r="H14" s="26" t="s">
        <v>121</v>
      </c>
      <c r="I14" s="1651">
        <v>7500.6168269999998</v>
      </c>
      <c r="J14" s="1651"/>
      <c r="K14" s="26" t="s">
        <v>33</v>
      </c>
    </row>
    <row r="15" spans="8:16" x14ac:dyDescent="0.25">
      <c r="H15" s="26" t="s">
        <v>122</v>
      </c>
      <c r="I15" s="1652">
        <v>51.714932571569904</v>
      </c>
      <c r="J15" s="1652"/>
      <c r="K15" s="26" t="s">
        <v>33</v>
      </c>
    </row>
    <row r="19" spans="8:13" x14ac:dyDescent="0.25">
      <c r="H19" s="48"/>
      <c r="I19" s="84" t="s">
        <v>339</v>
      </c>
      <c r="J19" s="49" t="s">
        <v>319</v>
      </c>
      <c r="K19" s="49"/>
      <c r="L19" s="49"/>
      <c r="M19" s="50"/>
    </row>
    <row r="20" spans="8:13" ht="15.6" x14ac:dyDescent="0.25">
      <c r="H20" s="82"/>
      <c r="I20" s="11" t="s">
        <v>191</v>
      </c>
      <c r="J20" s="52" t="s">
        <v>318</v>
      </c>
      <c r="M20" s="53"/>
    </row>
    <row r="21" spans="8:13" ht="15.6" x14ac:dyDescent="0.25">
      <c r="H21" s="51" t="s">
        <v>128</v>
      </c>
      <c r="I21" s="83" t="s">
        <v>338</v>
      </c>
      <c r="J21" s="76" t="s">
        <v>337</v>
      </c>
      <c r="K21" s="52" t="s">
        <v>133</v>
      </c>
      <c r="L21" s="10" t="s">
        <v>149</v>
      </c>
      <c r="M21" s="53"/>
    </row>
    <row r="22" spans="8:13" ht="13.8" x14ac:dyDescent="0.3">
      <c r="H22" s="54" t="s">
        <v>123</v>
      </c>
      <c r="I22">
        <v>1</v>
      </c>
      <c r="J22" s="52" t="s">
        <v>6</v>
      </c>
      <c r="K22" s="52" t="s">
        <v>33</v>
      </c>
      <c r="L22" s="52" t="s">
        <v>150</v>
      </c>
      <c r="M22" s="53"/>
    </row>
    <row r="23" spans="8:13" x14ac:dyDescent="0.25">
      <c r="H23" s="54" t="s">
        <v>124</v>
      </c>
      <c r="I23">
        <v>0.1</v>
      </c>
      <c r="J23" s="52" t="s">
        <v>148</v>
      </c>
      <c r="K23" s="52" t="s">
        <v>118</v>
      </c>
      <c r="L23" s="52" t="s">
        <v>151</v>
      </c>
      <c r="M23" s="53"/>
    </row>
    <row r="24" spans="8:13" x14ac:dyDescent="0.25">
      <c r="H24" s="54" t="s">
        <v>134</v>
      </c>
      <c r="I24">
        <v>0.133322</v>
      </c>
      <c r="J24" s="52" t="s">
        <v>143</v>
      </c>
      <c r="K24" s="52" t="s">
        <v>120</v>
      </c>
      <c r="L24" s="52" t="s">
        <v>152</v>
      </c>
      <c r="M24" s="53"/>
    </row>
    <row r="25" spans="8:13" x14ac:dyDescent="0.25">
      <c r="H25" s="54" t="s">
        <v>135</v>
      </c>
      <c r="I25">
        <v>1.3332200000000001E-4</v>
      </c>
      <c r="J25" s="52" t="s">
        <v>144</v>
      </c>
      <c r="K25" s="52" t="s">
        <v>122</v>
      </c>
      <c r="L25" s="52" t="s">
        <v>153</v>
      </c>
      <c r="M25" s="53"/>
    </row>
    <row r="26" spans="8:13" x14ac:dyDescent="0.25">
      <c r="H26" s="54" t="s">
        <v>136</v>
      </c>
      <c r="I26">
        <v>1.3332200000000001</v>
      </c>
      <c r="J26" s="52" t="s">
        <v>145</v>
      </c>
      <c r="K26" s="52" t="s">
        <v>351</v>
      </c>
      <c r="L26" s="52" t="s">
        <v>154</v>
      </c>
      <c r="M26" s="53"/>
    </row>
    <row r="27" spans="8:13" x14ac:dyDescent="0.25">
      <c r="H27" s="54" t="s">
        <v>137</v>
      </c>
      <c r="I27">
        <v>1.33322E-3</v>
      </c>
      <c r="J27" s="52" t="s">
        <v>146</v>
      </c>
      <c r="L27" s="52" t="s">
        <v>155</v>
      </c>
      <c r="M27" s="53"/>
    </row>
    <row r="28" spans="8:13" x14ac:dyDescent="0.25">
      <c r="H28" s="54" t="s">
        <v>130</v>
      </c>
      <c r="I28" s="55">
        <v>1.9336721269668001E-2</v>
      </c>
      <c r="J28" s="52" t="s">
        <v>147</v>
      </c>
      <c r="L28" s="52" t="s">
        <v>156</v>
      </c>
      <c r="M28" s="53"/>
    </row>
    <row r="29" spans="8:13" ht="14.4" thickBot="1" x14ac:dyDescent="0.35">
      <c r="H29" s="54" t="s">
        <v>353</v>
      </c>
      <c r="I29">
        <v>1.3595090000000001</v>
      </c>
      <c r="J29" s="52" t="s">
        <v>354</v>
      </c>
      <c r="L29" s="52" t="s">
        <v>355</v>
      </c>
      <c r="M29" s="53"/>
    </row>
    <row r="30" spans="8:13" ht="14.4" thickBot="1" x14ac:dyDescent="0.35">
      <c r="H30" s="54" t="s">
        <v>869</v>
      </c>
      <c r="I30" s="55">
        <v>3.9370078275118001E-2</v>
      </c>
      <c r="J30" s="52" t="s">
        <v>870</v>
      </c>
      <c r="L30" s="908" t="s">
        <v>871</v>
      </c>
      <c r="M30" s="53"/>
    </row>
    <row r="31" spans="8:13" x14ac:dyDescent="0.25">
      <c r="H31" s="54" t="s">
        <v>125</v>
      </c>
      <c r="I31">
        <v>1</v>
      </c>
      <c r="J31" s="52" t="s">
        <v>143</v>
      </c>
      <c r="L31" s="52" t="s">
        <v>152</v>
      </c>
      <c r="M31" s="53"/>
    </row>
    <row r="32" spans="8:13" x14ac:dyDescent="0.25">
      <c r="H32" s="54" t="s">
        <v>129</v>
      </c>
      <c r="I32">
        <v>1E-3</v>
      </c>
      <c r="J32" s="52" t="s">
        <v>144</v>
      </c>
      <c r="L32" s="52" t="s">
        <v>153</v>
      </c>
      <c r="M32" s="53"/>
    </row>
    <row r="33" spans="8:13" x14ac:dyDescent="0.25">
      <c r="H33" s="54" t="s">
        <v>126</v>
      </c>
      <c r="I33">
        <v>1</v>
      </c>
      <c r="J33" s="52" t="s">
        <v>145</v>
      </c>
      <c r="L33" s="52" t="s">
        <v>154</v>
      </c>
      <c r="M33" s="53"/>
    </row>
    <row r="34" spans="8:13" x14ac:dyDescent="0.25">
      <c r="H34" s="54" t="s">
        <v>127</v>
      </c>
      <c r="I34">
        <v>1E-3</v>
      </c>
      <c r="J34" s="52" t="s">
        <v>146</v>
      </c>
      <c r="L34" s="52" t="s">
        <v>155</v>
      </c>
      <c r="M34" s="53"/>
    </row>
    <row r="35" spans="8:13" x14ac:dyDescent="0.25">
      <c r="H35" s="54" t="s">
        <v>131</v>
      </c>
      <c r="I35">
        <v>1</v>
      </c>
      <c r="J35" s="52" t="s">
        <v>147</v>
      </c>
      <c r="L35" s="52" t="s">
        <v>156</v>
      </c>
      <c r="M35" s="53"/>
    </row>
    <row r="36" spans="8:13" ht="13.8" x14ac:dyDescent="0.3">
      <c r="H36" s="85" t="s">
        <v>352</v>
      </c>
      <c r="I36" s="56">
        <v>1</v>
      </c>
      <c r="J36" s="86" t="s">
        <v>354</v>
      </c>
      <c r="K36" s="56"/>
      <c r="L36" s="86" t="s">
        <v>355</v>
      </c>
      <c r="M36" s="57"/>
    </row>
    <row r="41" spans="8:13" ht="15.6" x14ac:dyDescent="0.25">
      <c r="I41" s="80" t="s">
        <v>301</v>
      </c>
      <c r="J41" s="81"/>
    </row>
    <row r="42" spans="8:13" ht="16.2" thickBot="1" x14ac:dyDescent="0.3">
      <c r="H42" s="51" t="s">
        <v>128</v>
      </c>
      <c r="I42" s="11" t="s">
        <v>132</v>
      </c>
      <c r="J42" s="79"/>
    </row>
    <row r="43" spans="8:13" x14ac:dyDescent="0.25">
      <c r="H43" s="31" t="s">
        <v>123</v>
      </c>
      <c r="I43" s="32">
        <v>1</v>
      </c>
    </row>
    <row r="44" spans="8:13" x14ac:dyDescent="0.25">
      <c r="H44" s="31" t="s">
        <v>293</v>
      </c>
      <c r="I44" s="32">
        <v>10</v>
      </c>
    </row>
    <row r="45" spans="8:13" x14ac:dyDescent="0.25">
      <c r="H45" s="31" t="s">
        <v>294</v>
      </c>
      <c r="I45" s="32">
        <v>7.5006170000000001</v>
      </c>
    </row>
    <row r="46" spans="8:13" x14ac:dyDescent="0.25">
      <c r="H46" s="31" t="s">
        <v>295</v>
      </c>
      <c r="I46" s="32">
        <v>7500.6168299999999</v>
      </c>
    </row>
    <row r="47" spans="8:13" x14ac:dyDescent="0.25">
      <c r="H47" s="31" t="s">
        <v>296</v>
      </c>
      <c r="I47" s="32">
        <v>0.75006200000000001</v>
      </c>
    </row>
    <row r="48" spans="8:13" x14ac:dyDescent="0.25">
      <c r="H48" s="31" t="s">
        <v>297</v>
      </c>
      <c r="I48" s="32">
        <v>750.06168300000002</v>
      </c>
    </row>
    <row r="49" spans="8:12" x14ac:dyDescent="0.25">
      <c r="H49" s="31" t="s">
        <v>298</v>
      </c>
      <c r="I49" s="32">
        <v>51.714928</v>
      </c>
    </row>
    <row r="50" spans="8:12" x14ac:dyDescent="0.25">
      <c r="K50" s="31" t="s">
        <v>125</v>
      </c>
      <c r="L50" s="32">
        <v>1</v>
      </c>
    </row>
    <row r="51" spans="8:12" x14ac:dyDescent="0.25">
      <c r="K51" s="31" t="s">
        <v>299</v>
      </c>
      <c r="L51" s="32">
        <v>1000</v>
      </c>
    </row>
    <row r="52" spans="8:12" x14ac:dyDescent="0.25">
      <c r="K52" s="31" t="s">
        <v>126</v>
      </c>
      <c r="L52" s="32">
        <v>1</v>
      </c>
    </row>
    <row r="53" spans="8:12" x14ac:dyDescent="0.25">
      <c r="K53" s="31" t="s">
        <v>300</v>
      </c>
      <c r="L53" s="32">
        <v>1000</v>
      </c>
    </row>
    <row r="54" spans="8:12" x14ac:dyDescent="0.25">
      <c r="K54" s="31" t="s">
        <v>131</v>
      </c>
      <c r="L54" s="32">
        <v>1</v>
      </c>
    </row>
  </sheetData>
  <sheetProtection algorithmName="SHA-512" hashValue="XsCnpEy0lI3fZXDTvTcQ4BPurkMx1ec96g33s6A46xk9s32gDu/Oh1Kl3k9TZRMHYyyMwpdTJvmKHtAJL7tcFA==" saltValue="EPz6s1NP5Z+dNUlNCjwLyA==" spinCount="100000" sheet="1" objects="1" scenarios="1"/>
  <mergeCells count="5">
    <mergeCell ref="I11:J11"/>
    <mergeCell ref="I12:J12"/>
    <mergeCell ref="I13:J13"/>
    <mergeCell ref="I14:J14"/>
    <mergeCell ref="I15:J15"/>
  </mergeCells>
  <pageMargins left="0.7" right="0.7" top="0.75" bottom="0.75" header="0.3" footer="0.3"/>
  <pageSetup paperSize="9"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K155"/>
  <sheetViews>
    <sheetView topLeftCell="G1" zoomScale="60" zoomScaleNormal="60" workbookViewId="0">
      <selection activeCell="G9" sqref="G9"/>
    </sheetView>
  </sheetViews>
  <sheetFormatPr defaultColWidth="9.21875" defaultRowHeight="13.2" x14ac:dyDescent="0.25"/>
  <cols>
    <col min="1" max="1" width="16.5546875" style="13" hidden="1" customWidth="1"/>
    <col min="2" max="2" width="9.21875" style="13" hidden="1" customWidth="1"/>
    <col min="3" max="3" width="24.88671875" style="13" hidden="1" customWidth="1"/>
    <col min="4" max="5" width="9.21875" style="13" hidden="1" customWidth="1"/>
    <col min="6" max="6" width="60.77734375" style="13" customWidth="1"/>
    <col min="7" max="7" width="90.44140625" style="13" customWidth="1"/>
    <col min="8" max="28" width="9.21875" style="13" customWidth="1"/>
    <col min="29" max="16384" width="9.21875" style="13"/>
  </cols>
  <sheetData>
    <row r="5" spans="1:11" x14ac:dyDescent="0.25">
      <c r="F5" s="18" t="s">
        <v>94</v>
      </c>
    </row>
    <row r="7" spans="1:11" x14ac:dyDescent="0.25">
      <c r="F7" s="19" t="s">
        <v>89</v>
      </c>
      <c r="G7" s="19" t="s">
        <v>49</v>
      </c>
    </row>
    <row r="8" spans="1:11" ht="15.6" x14ac:dyDescent="0.25">
      <c r="F8" s="1424" t="s">
        <v>906</v>
      </c>
      <c r="G8" s="74" t="s">
        <v>388</v>
      </c>
    </row>
    <row r="9" spans="1:11" ht="15.6" x14ac:dyDescent="0.25">
      <c r="F9" s="1425" t="s">
        <v>907</v>
      </c>
      <c r="G9" s="74" t="s">
        <v>389</v>
      </c>
    </row>
    <row r="11" spans="1:11" x14ac:dyDescent="0.25">
      <c r="A11" s="20" t="s">
        <v>115</v>
      </c>
      <c r="C11" s="20" t="s">
        <v>116</v>
      </c>
    </row>
    <row r="12" spans="1:11" ht="15.6" x14ac:dyDescent="0.25">
      <c r="A12" s="24" t="s">
        <v>107</v>
      </c>
      <c r="B12" s="24"/>
      <c r="C12" s="24" t="s">
        <v>108</v>
      </c>
      <c r="F12" s="70" t="s">
        <v>851</v>
      </c>
      <c r="G12" s="70" t="s">
        <v>170</v>
      </c>
      <c r="H12" s="72"/>
      <c r="I12" s="72"/>
      <c r="J12" s="72"/>
      <c r="K12" s="72"/>
    </row>
    <row r="13" spans="1:11" s="14" customFormat="1" ht="15.6" x14ac:dyDescent="0.3">
      <c r="A13" s="20">
        <v>200</v>
      </c>
      <c r="B13" s="20" t="s">
        <v>96</v>
      </c>
      <c r="C13" s="25" t="s">
        <v>109</v>
      </c>
      <c r="D13" s="25" t="s">
        <v>112</v>
      </c>
      <c r="E13" s="20"/>
      <c r="F13" s="70" t="s">
        <v>852</v>
      </c>
      <c r="G13" s="71" t="s">
        <v>856</v>
      </c>
      <c r="H13" s="15" t="str">
        <f>IFERROR(SMALL($F$13:$F$21,ROWS($D$13:D13)),"")</f>
        <v/>
      </c>
      <c r="K13" s="15" t="str">
        <f>IFERROR(INDEX($A$13:$C$21,$H13,COLUMNS(J$13:$J13)),"")</f>
        <v/>
      </c>
    </row>
    <row r="14" spans="1:11" s="14" customFormat="1" x14ac:dyDescent="0.25">
      <c r="A14" s="20">
        <v>120</v>
      </c>
      <c r="B14" s="20" t="s">
        <v>96</v>
      </c>
      <c r="C14" s="25" t="s">
        <v>110</v>
      </c>
      <c r="D14" s="25" t="s">
        <v>113</v>
      </c>
      <c r="E14" s="20"/>
      <c r="H14" s="15" t="str">
        <f>IFERROR(SMALL($F$13:$F$21,ROWS($D$13:D14)),"")</f>
        <v/>
      </c>
      <c r="K14" s="15" t="str">
        <f>IFERROR(INDEX($A$13:$C$21,$H14,COLUMNS(J$13:$J14)),"")</f>
        <v/>
      </c>
    </row>
    <row r="15" spans="1:11" s="14" customFormat="1" x14ac:dyDescent="0.25">
      <c r="A15" s="20">
        <v>60</v>
      </c>
      <c r="B15" s="20" t="s">
        <v>96</v>
      </c>
      <c r="C15" s="25" t="s">
        <v>111</v>
      </c>
      <c r="D15" s="25" t="s">
        <v>114</v>
      </c>
      <c r="E15" s="20"/>
      <c r="H15" s="15" t="str">
        <f>IFERROR(SMALL($F$13:$F$21,ROWS($D$13:D15)),"")</f>
        <v/>
      </c>
      <c r="K15" s="15" t="str">
        <f>IFERROR(INDEX($A$13:$C$21,$H15,COLUMNS(J$13:$J15)),"")</f>
        <v/>
      </c>
    </row>
    <row r="16" spans="1:11" s="14" customFormat="1" x14ac:dyDescent="0.25">
      <c r="A16" s="20">
        <v>150</v>
      </c>
      <c r="B16" s="20" t="s">
        <v>97</v>
      </c>
      <c r="E16" s="15"/>
      <c r="F16" s="15" t="str">
        <f>IF(ID!$C$94=B16,E16,"")</f>
        <v/>
      </c>
      <c r="H16" s="15" t="str">
        <f>IFERROR(SMALL($F$13:$F$21,ROWS($F$13:F16)),"")</f>
        <v/>
      </c>
    </row>
    <row r="17" spans="1:8" s="14" customFormat="1" x14ac:dyDescent="0.25">
      <c r="A17" s="20">
        <v>120</v>
      </c>
      <c r="B17" s="20" t="s">
        <v>97</v>
      </c>
      <c r="E17" s="15"/>
      <c r="F17" s="15" t="str">
        <f>IF(ID!$C$94=B17,E17,"")</f>
        <v/>
      </c>
      <c r="H17" s="15" t="str">
        <f>IFERROR(SMALL($F$13:$F$21,ROWS($F$13:F17)),"")</f>
        <v/>
      </c>
    </row>
    <row r="18" spans="1:8" s="14" customFormat="1" x14ac:dyDescent="0.25">
      <c r="A18" s="20">
        <v>60</v>
      </c>
      <c r="B18" s="20" t="s">
        <v>97</v>
      </c>
      <c r="E18" s="15"/>
      <c r="F18" s="15" t="str">
        <f>IF(ID!$C$94=B18,E18,"")</f>
        <v/>
      </c>
      <c r="H18" s="15" t="str">
        <f>IFERROR(SMALL($F$13:$F$21,ROWS($F$13:F18)),"")</f>
        <v/>
      </c>
    </row>
    <row r="19" spans="1:8" s="14" customFormat="1" x14ac:dyDescent="0.25">
      <c r="A19" s="20">
        <v>80</v>
      </c>
      <c r="B19" s="20" t="s">
        <v>98</v>
      </c>
      <c r="E19" s="15"/>
      <c r="F19" s="15" t="str">
        <f>IF(ID!$C$94=B19,E19,"")</f>
        <v/>
      </c>
      <c r="H19" s="15" t="str">
        <f>IFERROR(SMALL($F$13:$F$21,ROWS($F$13:F19)),"")</f>
        <v/>
      </c>
    </row>
    <row r="20" spans="1:8" s="14" customFormat="1" x14ac:dyDescent="0.25">
      <c r="A20" s="20">
        <v>60</v>
      </c>
      <c r="B20" s="20" t="s">
        <v>98</v>
      </c>
      <c r="E20" s="15"/>
      <c r="F20" s="15" t="str">
        <f>IF(ID!$C$94=B20,E20,"")</f>
        <v/>
      </c>
      <c r="H20" s="15" t="str">
        <f>IFERROR(SMALL($F$13:$F$21,ROWS($F$13:F20)),"")</f>
        <v/>
      </c>
    </row>
    <row r="21" spans="1:8" s="14" customFormat="1" x14ac:dyDescent="0.25">
      <c r="A21" s="20">
        <v>50</v>
      </c>
      <c r="B21" s="20" t="s">
        <v>98</v>
      </c>
      <c r="E21" s="15"/>
      <c r="F21" s="15" t="str">
        <f>IF(ID!$C$94=B21,E21,"")</f>
        <v/>
      </c>
      <c r="H21" s="15" t="str">
        <f>IFERROR(SMALL($F$13:$F$21,ROWS($F$13:F21)),"")</f>
        <v/>
      </c>
    </row>
    <row r="25" spans="1:8" x14ac:dyDescent="0.25">
      <c r="F25" s="21" t="s">
        <v>106</v>
      </c>
      <c r="G25" s="22"/>
    </row>
    <row r="26" spans="1:8" ht="15.6" x14ac:dyDescent="0.25">
      <c r="B26" s="16"/>
      <c r="C26" s="17"/>
      <c r="F26" s="73" t="s">
        <v>249</v>
      </c>
      <c r="G26" s="23"/>
    </row>
    <row r="27" spans="1:8" ht="15.6" x14ac:dyDescent="0.25">
      <c r="F27" s="58" t="s">
        <v>250</v>
      </c>
      <c r="G27" s="23"/>
    </row>
    <row r="28" spans="1:8" ht="15.6" x14ac:dyDescent="0.25">
      <c r="F28" s="23"/>
      <c r="G28" s="23"/>
    </row>
    <row r="29" spans="1:8" ht="15.6" x14ac:dyDescent="0.25">
      <c r="F29" s="23"/>
      <c r="G29" s="23"/>
    </row>
    <row r="30" spans="1:8" ht="15.6" x14ac:dyDescent="0.25">
      <c r="F30" s="23"/>
      <c r="G30" s="23"/>
    </row>
    <row r="31" spans="1:8" ht="15.6" x14ac:dyDescent="0.25">
      <c r="F31" s="23"/>
      <c r="G31" s="23"/>
    </row>
    <row r="32" spans="1:8" ht="15.6" x14ac:dyDescent="0.25">
      <c r="F32" s="23"/>
      <c r="G32" s="23"/>
    </row>
    <row r="35" spans="2:7" x14ac:dyDescent="0.25">
      <c r="F35" s="154" t="s">
        <v>253</v>
      </c>
    </row>
    <row r="36" spans="2:7" ht="15.6" x14ac:dyDescent="0.25">
      <c r="B36" s="16"/>
      <c r="F36" s="154" t="s">
        <v>252</v>
      </c>
    </row>
    <row r="37" spans="2:7" ht="15.6" x14ac:dyDescent="0.25">
      <c r="B37" s="16"/>
      <c r="F37" s="154" t="s">
        <v>255</v>
      </c>
      <c r="G37" s="154" t="s">
        <v>75</v>
      </c>
    </row>
    <row r="38" spans="2:7" ht="15.6" x14ac:dyDescent="0.25">
      <c r="B38" s="16"/>
      <c r="F38" s="154" t="s">
        <v>307</v>
      </c>
      <c r="G38" s="154" t="s">
        <v>64</v>
      </c>
    </row>
    <row r="39" spans="2:7" ht="15.6" x14ac:dyDescent="0.25">
      <c r="B39" s="16"/>
      <c r="F39" s="154" t="s">
        <v>254</v>
      </c>
      <c r="G39" s="154" t="s">
        <v>257</v>
      </c>
    </row>
    <row r="40" spans="2:7" ht="15.6" x14ac:dyDescent="0.25">
      <c r="B40" s="16"/>
      <c r="F40" s="154" t="s">
        <v>258</v>
      </c>
      <c r="G40" s="154" t="s">
        <v>256</v>
      </c>
    </row>
    <row r="41" spans="2:7" ht="15.6" x14ac:dyDescent="0.25">
      <c r="B41" s="16"/>
      <c r="F41" s="154" t="s">
        <v>25</v>
      </c>
    </row>
    <row r="42" spans="2:7" ht="15.6" x14ac:dyDescent="0.25">
      <c r="B42" s="16"/>
      <c r="F42" s="154" t="s">
        <v>196</v>
      </c>
    </row>
    <row r="43" spans="2:7" ht="15.6" x14ac:dyDescent="0.25">
      <c r="B43" s="16"/>
      <c r="F43" s="154" t="s">
        <v>24</v>
      </c>
    </row>
    <row r="44" spans="2:7" ht="15.6" x14ac:dyDescent="0.25">
      <c r="B44" s="16"/>
      <c r="F44" s="154" t="s">
        <v>65</v>
      </c>
    </row>
    <row r="45" spans="2:7" ht="13.8" x14ac:dyDescent="0.25">
      <c r="F45" s="154" t="s">
        <v>63</v>
      </c>
      <c r="G45" s="75" t="s">
        <v>306</v>
      </c>
    </row>
    <row r="46" spans="2:7" x14ac:dyDescent="0.25">
      <c r="F46" s="154" t="s">
        <v>202</v>
      </c>
      <c r="G46" s="52" t="s">
        <v>64</v>
      </c>
    </row>
    <row r="47" spans="2:7" ht="13.8" x14ac:dyDescent="0.25">
      <c r="G47" s="75" t="s">
        <v>256</v>
      </c>
    </row>
    <row r="48" spans="2:7" ht="13.8" x14ac:dyDescent="0.25">
      <c r="G48" s="75" t="s">
        <v>257</v>
      </c>
    </row>
    <row r="49" spans="7:7" ht="13.8" x14ac:dyDescent="0.25">
      <c r="G49" s="75" t="s">
        <v>258</v>
      </c>
    </row>
    <row r="50" spans="7:7" ht="13.8" x14ac:dyDescent="0.25">
      <c r="G50" s="75" t="s">
        <v>259</v>
      </c>
    </row>
    <row r="51" spans="7:7" ht="13.8" x14ac:dyDescent="0.25">
      <c r="G51" s="75" t="s">
        <v>307</v>
      </c>
    </row>
    <row r="52" spans="7:7" ht="13.8" x14ac:dyDescent="0.25">
      <c r="G52" s="75" t="s">
        <v>251</v>
      </c>
    </row>
    <row r="54" spans="7:7" x14ac:dyDescent="0.25">
      <c r="G54" s="154" t="s">
        <v>390</v>
      </c>
    </row>
    <row r="55" spans="7:7" x14ac:dyDescent="0.25">
      <c r="G55" s="154" t="s">
        <v>306</v>
      </c>
    </row>
    <row r="56" spans="7:7" x14ac:dyDescent="0.25">
      <c r="G56" s="154" t="s">
        <v>391</v>
      </c>
    </row>
    <row r="57" spans="7:7" x14ac:dyDescent="0.25">
      <c r="G57" s="154" t="s">
        <v>392</v>
      </c>
    </row>
    <row r="58" spans="7:7" x14ac:dyDescent="0.25">
      <c r="G58" s="154" t="s">
        <v>393</v>
      </c>
    </row>
    <row r="59" spans="7:7" x14ac:dyDescent="0.25">
      <c r="G59" s="154" t="s">
        <v>394</v>
      </c>
    </row>
    <row r="60" spans="7:7" x14ac:dyDescent="0.25">
      <c r="G60" s="154" t="s">
        <v>395</v>
      </c>
    </row>
    <row r="61" spans="7:7" x14ac:dyDescent="0.25">
      <c r="G61" s="154" t="s">
        <v>259</v>
      </c>
    </row>
    <row r="75" spans="6:6" x14ac:dyDescent="0.25">
      <c r="F75" s="13" t="s">
        <v>466</v>
      </c>
    </row>
    <row r="76" spans="6:6" x14ac:dyDescent="0.25">
      <c r="F76" s="13" t="s">
        <v>467</v>
      </c>
    </row>
    <row r="77" spans="6:6" x14ac:dyDescent="0.25">
      <c r="F77" s="13" t="s">
        <v>468</v>
      </c>
    </row>
    <row r="78" spans="6:6" x14ac:dyDescent="0.25">
      <c r="F78" s="13" t="s">
        <v>469</v>
      </c>
    </row>
    <row r="148" spans="6:7" x14ac:dyDescent="0.25">
      <c r="F148" s="436" t="s">
        <v>323</v>
      </c>
      <c r="G148" s="436" t="s">
        <v>276</v>
      </c>
    </row>
    <row r="149" spans="6:7" ht="15.6" x14ac:dyDescent="0.25">
      <c r="F149" s="70" t="s">
        <v>853</v>
      </c>
      <c r="G149" s="70" t="s">
        <v>210</v>
      </c>
    </row>
    <row r="150" spans="6:7" ht="15.6" x14ac:dyDescent="0.3">
      <c r="F150" s="70" t="s">
        <v>854</v>
      </c>
      <c r="G150" s="71" t="s">
        <v>754</v>
      </c>
    </row>
    <row r="153" spans="6:7" x14ac:dyDescent="0.25">
      <c r="F153" s="13" t="s">
        <v>755</v>
      </c>
    </row>
    <row r="154" spans="6:7" x14ac:dyDescent="0.25">
      <c r="F154" s="13" t="s">
        <v>756</v>
      </c>
    </row>
    <row r="155" spans="6:7" x14ac:dyDescent="0.25">
      <c r="F155" s="13" t="s">
        <v>772</v>
      </c>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CS165"/>
  <sheetViews>
    <sheetView topLeftCell="AE1" zoomScale="50" zoomScaleNormal="50" workbookViewId="0">
      <selection activeCell="AM20" sqref="AM20"/>
    </sheetView>
  </sheetViews>
  <sheetFormatPr defaultColWidth="9.21875" defaultRowHeight="13.2" x14ac:dyDescent="0.25"/>
  <cols>
    <col min="1" max="6" width="9.21875" style="118"/>
    <col min="7" max="7" width="9.21875" style="563"/>
    <col min="8" max="11" width="9.21875" style="118"/>
    <col min="12" max="12" width="9.21875" style="564"/>
    <col min="13" max="16" width="9.21875" style="118"/>
    <col min="17" max="17" width="9.21875" style="138"/>
    <col min="18" max="18" width="9.21875" style="118"/>
    <col min="19" max="21" width="12.5546875" style="118" customWidth="1"/>
    <col min="22" max="22" width="10.6640625" style="118" bestFit="1" customWidth="1"/>
    <col min="23" max="23" width="14.77734375" style="118" customWidth="1"/>
    <col min="24" max="26" width="11.6640625" style="118" customWidth="1"/>
    <col min="27" max="27" width="12.77734375" style="118" customWidth="1"/>
    <col min="28" max="28" width="15" style="118" customWidth="1"/>
    <col min="29" max="29" width="106.88671875" style="118" customWidth="1"/>
    <col min="30" max="30" width="74.77734375" style="118" customWidth="1"/>
    <col min="31" max="36" width="10.33203125" style="118" customWidth="1"/>
    <col min="37" max="46" width="17.21875" style="118" customWidth="1"/>
    <col min="47" max="47" width="145.21875" style="118" customWidth="1"/>
    <col min="48" max="48" width="12" style="118" customWidth="1"/>
    <col min="49" max="49" width="74" style="118" customWidth="1"/>
    <col min="50" max="92" width="9.21875" style="118" customWidth="1"/>
    <col min="93" max="96" width="9.21875" style="118"/>
    <col min="97" max="97" width="13.44140625" style="118" customWidth="1"/>
    <col min="98" max="16384" width="9.21875" style="118"/>
  </cols>
  <sheetData>
    <row r="1" spans="2:97" x14ac:dyDescent="0.25">
      <c r="CS1" s="119" t="s">
        <v>25</v>
      </c>
    </row>
    <row r="2" spans="2:97" x14ac:dyDescent="0.25">
      <c r="CS2" s="119" t="s">
        <v>63</v>
      </c>
    </row>
    <row r="3" spans="2:97" x14ac:dyDescent="0.25">
      <c r="AW3" s="120" t="s">
        <v>48</v>
      </c>
      <c r="CS3" s="119" t="s">
        <v>64</v>
      </c>
    </row>
    <row r="4" spans="2:97" x14ac:dyDescent="0.25">
      <c r="AW4" s="121" t="s">
        <v>356</v>
      </c>
      <c r="CS4" s="119" t="s">
        <v>65</v>
      </c>
    </row>
    <row r="5" spans="2:97" x14ac:dyDescent="0.25">
      <c r="AJ5" s="122"/>
      <c r="AK5" s="122"/>
      <c r="AL5" s="122"/>
      <c r="AM5" s="122"/>
      <c r="AN5" s="122"/>
      <c r="AO5" s="122"/>
      <c r="AP5" s="122"/>
      <c r="AQ5" s="122"/>
      <c r="AR5" s="122"/>
      <c r="AS5" s="122"/>
      <c r="AT5" s="123"/>
      <c r="AU5" s="124"/>
      <c r="AV5" s="124"/>
      <c r="AW5" s="142" t="s">
        <v>796</v>
      </c>
      <c r="CS5" s="119" t="s">
        <v>202</v>
      </c>
    </row>
    <row r="6" spans="2:97" x14ac:dyDescent="0.25">
      <c r="AJ6" s="118" t="str">
        <f>IFERROR(INDEX($R$10:$AC$63,$AG6,COLUMNS(AI$6:$AI10)),"")</f>
        <v/>
      </c>
      <c r="AS6" s="118" t="str">
        <f>IFERROR(INDEX($R$10:$AC$63,$AG6,COLUMNS($AI$6:AJ10)),"")</f>
        <v/>
      </c>
      <c r="AT6" s="118" t="str">
        <f>IFERROR(INDEX($R$10:$AC$63,$AG6,COLUMNS($AI$6:AS10)),"")</f>
        <v/>
      </c>
      <c r="AU6" s="118" t="str">
        <f>IFERROR(INDEX($R$10:$AC$63,$AG6,COLUMNS($AI$6:AT10)),"")</f>
        <v/>
      </c>
      <c r="AV6" s="118" t="str">
        <f>IFERROR(INDEX($R$10:$AC$63,$AG6,COLUMNS($AI$6:AU10)),"")</f>
        <v/>
      </c>
      <c r="AW6" s="121" t="s">
        <v>797</v>
      </c>
      <c r="AX6" s="125"/>
      <c r="AY6" s="121" t="s">
        <v>799</v>
      </c>
      <c r="CS6" s="119" t="s">
        <v>24</v>
      </c>
    </row>
    <row r="7" spans="2:97" x14ac:dyDescent="0.25">
      <c r="AJ7" s="118" t="str">
        <f>IFERROR(INDEX($R$10:$AC$63,$AG7,COLUMNS(AI$7:$AI10)),"")</f>
        <v/>
      </c>
      <c r="AS7" s="118" t="str">
        <f>IFERROR(INDEX($R$10:$AC$63,$AG7,COLUMNS($AI$7:AJ10)),"")</f>
        <v/>
      </c>
      <c r="AT7" s="118" t="str">
        <f>IFERROR(INDEX($R$10:$AC$63,$AG7,COLUMNS($AI$7:AS10)),"")</f>
        <v/>
      </c>
      <c r="AU7" s="118" t="str">
        <f>IFERROR(INDEX($R$10:$AC$63,$AG7,COLUMNS($AI$7:AT10)),"")</f>
        <v/>
      </c>
      <c r="AV7" s="118" t="str">
        <f>IFERROR(INDEX($R$10:$AC$63,$AG7,COLUMNS($AI$7:AU10)),"")</f>
        <v/>
      </c>
      <c r="AW7" s="121" t="s">
        <v>798</v>
      </c>
      <c r="AY7" s="126"/>
      <c r="CS7" s="119" t="s">
        <v>196</v>
      </c>
    </row>
    <row r="8" spans="2:97" ht="17.399999999999999" x14ac:dyDescent="0.3">
      <c r="B8" s="1653" t="s">
        <v>371</v>
      </c>
      <c r="C8" s="1653"/>
      <c r="D8" s="1653"/>
      <c r="E8" s="1653"/>
      <c r="F8" s="1653"/>
      <c r="G8" s="565"/>
      <c r="H8" s="1653" t="s">
        <v>455</v>
      </c>
      <c r="I8" s="1653"/>
      <c r="J8" s="1653"/>
      <c r="K8" s="1653"/>
      <c r="L8" s="566"/>
      <c r="M8" s="1653" t="s">
        <v>372</v>
      </c>
      <c r="N8" s="1653"/>
      <c r="O8" s="1653"/>
      <c r="P8" s="1653"/>
      <c r="R8" s="567"/>
      <c r="S8" s="568"/>
      <c r="V8" s="1066" t="s">
        <v>884</v>
      </c>
      <c r="AA8" s="1066" t="s">
        <v>884</v>
      </c>
      <c r="AJ8" s="118" t="str">
        <f>IFERROR(INDEX($R$10:$AC$63,$AG8,COLUMNS(AI$8:$AI10)),"")</f>
        <v/>
      </c>
      <c r="AS8" s="118" t="str">
        <f>IFERROR(INDEX($R$10:$AC$63,$AG8,COLUMNS($AI$8:AJ10)),"")</f>
        <v/>
      </c>
      <c r="AT8" s="118" t="str">
        <f>IFERROR(INDEX($R$10:$AC$63,$AG8,COLUMNS($AI$8:AS10)),"")</f>
        <v/>
      </c>
      <c r="AU8" s="118" t="str">
        <f>IFERROR(INDEX($R$10:$AC$63,$AG8,COLUMNS($AI$8:AT10)),"")</f>
        <v/>
      </c>
      <c r="AV8" s="118" t="str">
        <f>IFERROR(INDEX($R$10:$AC$63,$AG8,COLUMNS($AI$8:AU10)),"")</f>
        <v/>
      </c>
      <c r="AW8" s="127" t="s">
        <v>373</v>
      </c>
      <c r="AY8" s="126"/>
      <c r="CS8" s="119" t="s">
        <v>75</v>
      </c>
    </row>
    <row r="9" spans="2:97" ht="12.75" customHeight="1" x14ac:dyDescent="0.25">
      <c r="B9" s="110" t="s">
        <v>41</v>
      </c>
      <c r="C9" s="110" t="s">
        <v>375</v>
      </c>
      <c r="D9" s="110" t="s">
        <v>376</v>
      </c>
      <c r="E9" s="110" t="s">
        <v>211</v>
      </c>
      <c r="F9" s="1662" t="s">
        <v>404</v>
      </c>
      <c r="H9" s="110" t="s">
        <v>41</v>
      </c>
      <c r="I9" s="110" t="s">
        <v>375</v>
      </c>
      <c r="J9" s="110" t="s">
        <v>377</v>
      </c>
      <c r="K9" s="1663" t="s">
        <v>227</v>
      </c>
      <c r="M9" s="110" t="s">
        <v>41</v>
      </c>
      <c r="N9" s="110" t="s">
        <v>375</v>
      </c>
      <c r="O9" s="110" t="s">
        <v>377</v>
      </c>
      <c r="P9" s="1656" t="s">
        <v>475</v>
      </c>
      <c r="R9" s="110" t="s">
        <v>41</v>
      </c>
      <c r="S9" s="128" t="s">
        <v>228</v>
      </c>
      <c r="T9" s="128" t="s">
        <v>456</v>
      </c>
      <c r="U9" s="128" t="s">
        <v>457</v>
      </c>
      <c r="V9" s="128" t="s">
        <v>222</v>
      </c>
      <c r="W9" s="129" t="s">
        <v>223</v>
      </c>
      <c r="X9" s="130" t="s">
        <v>229</v>
      </c>
      <c r="Y9" s="130" t="s">
        <v>458</v>
      </c>
      <c r="Z9" s="130" t="s">
        <v>459</v>
      </c>
      <c r="AA9" s="130" t="s">
        <v>224</v>
      </c>
      <c r="AB9" s="131" t="s">
        <v>225</v>
      </c>
      <c r="AC9" s="132" t="s">
        <v>93</v>
      </c>
      <c r="AD9" s="120" t="s">
        <v>48</v>
      </c>
      <c r="AE9" s="133" t="s">
        <v>90</v>
      </c>
      <c r="AF9" s="133" t="s">
        <v>91</v>
      </c>
      <c r="AG9" s="133" t="s">
        <v>92</v>
      </c>
      <c r="AH9" s="134"/>
      <c r="AI9" s="134"/>
      <c r="AJ9" s="110" t="s">
        <v>41</v>
      </c>
      <c r="AK9" s="128" t="s">
        <v>228</v>
      </c>
      <c r="AL9" s="128" t="s">
        <v>456</v>
      </c>
      <c r="AM9" s="128" t="s">
        <v>457</v>
      </c>
      <c r="AN9" s="128" t="s">
        <v>222</v>
      </c>
      <c r="AO9" s="129" t="s">
        <v>223</v>
      </c>
      <c r="AP9" s="130" t="s">
        <v>229</v>
      </c>
      <c r="AQ9" s="130" t="s">
        <v>458</v>
      </c>
      <c r="AR9" s="130" t="s">
        <v>459</v>
      </c>
      <c r="AS9" s="130" t="s">
        <v>224</v>
      </c>
      <c r="AT9" s="131" t="s">
        <v>225</v>
      </c>
      <c r="AU9" s="132" t="s">
        <v>93</v>
      </c>
      <c r="AV9" s="135" t="str">
        <f>IFERROR(INDEX($R$10:$AC$63,$AG9,COLUMNS($AI$9:AU10)),"")</f>
        <v/>
      </c>
      <c r="AW9" s="127" t="s">
        <v>378</v>
      </c>
      <c r="AY9" s="126"/>
    </row>
    <row r="10" spans="2:97" ht="12.75" customHeight="1" x14ac:dyDescent="0.25">
      <c r="B10" s="569">
        <v>0</v>
      </c>
      <c r="C10" s="570">
        <v>0</v>
      </c>
      <c r="D10" s="570">
        <v>0</v>
      </c>
      <c r="E10" s="571">
        <v>1.5</v>
      </c>
      <c r="F10" s="1662"/>
      <c r="H10" s="569">
        <v>0</v>
      </c>
      <c r="I10" s="570">
        <f>0.3-0</f>
        <v>0.3</v>
      </c>
      <c r="J10" s="570">
        <f>0.3-0</f>
        <v>0.3</v>
      </c>
      <c r="K10" s="1664"/>
      <c r="M10" s="569">
        <v>0</v>
      </c>
      <c r="N10" s="570">
        <v>0</v>
      </c>
      <c r="O10" s="570">
        <v>0</v>
      </c>
      <c r="P10" s="1657"/>
      <c r="R10" s="569">
        <f>B10</f>
        <v>0</v>
      </c>
      <c r="S10" s="572">
        <f>C10</f>
        <v>0</v>
      </c>
      <c r="T10" s="572">
        <f>I10</f>
        <v>0.3</v>
      </c>
      <c r="U10" s="572">
        <f>N10</f>
        <v>0</v>
      </c>
      <c r="V10" s="573">
        <f>0.5*(MAX(S10:U10)-(MIN(S10:U10)))</f>
        <v>0.15</v>
      </c>
      <c r="W10" s="572">
        <f t="shared" ref="W10:W17" si="0">E10</f>
        <v>1.5</v>
      </c>
      <c r="X10" s="574">
        <f>D10</f>
        <v>0</v>
      </c>
      <c r="Y10" s="574">
        <f>J10</f>
        <v>0.3</v>
      </c>
      <c r="Z10" s="574">
        <f>O10</f>
        <v>0</v>
      </c>
      <c r="AA10" s="573">
        <f>0.5*(MAX(X10:Z10)-(MIN(X10:Z10)))</f>
        <v>0.15</v>
      </c>
      <c r="AB10" s="570">
        <f>E10</f>
        <v>1.5</v>
      </c>
      <c r="AC10" s="576" t="s">
        <v>435</v>
      </c>
      <c r="AD10" s="121" t="s">
        <v>356</v>
      </c>
      <c r="AE10" s="136">
        <f>ROWS(AD$10:$AD10)</f>
        <v>1</v>
      </c>
      <c r="AF10" s="136" t="str">
        <f>IF(ID!$A$91=AD10,AE10,"")</f>
        <v/>
      </c>
      <c r="AG10" s="136">
        <f>IFERROR(SMALL($AF$10:$AF$165,ROWS($AF$10:AF10)),"")</f>
        <v>101</v>
      </c>
      <c r="AJ10" s="136">
        <f>IFERROR(INDEX($R$10:$AC$165,$AG10,COLUMNS(AI$10:$AI10)),"")</f>
        <v>0</v>
      </c>
      <c r="AK10" s="137">
        <f>IFERROR(INDEX($R$10:$AC$165,$AG10,COLUMNS($AI$10:AJ10)),"")</f>
        <v>0</v>
      </c>
      <c r="AL10" s="137">
        <f>IFERROR(INDEX($R$10:$AC$165,$AG10,COLUMNS($AI$10:AK10)),"")</f>
        <v>0</v>
      </c>
      <c r="AM10" s="137" t="str">
        <f>IFERROR(INDEX($R$10:$AC$165,$AG10,COLUMNS($AI$10:AL10)),"")</f>
        <v>-</v>
      </c>
      <c r="AN10" s="137">
        <f>IFERROR(INDEX($R$10:$AC$165,$AG10,COLUMNS($AI$10:AM10)),"")</f>
        <v>0</v>
      </c>
      <c r="AO10" s="137">
        <f>IFERROR(INDEX($R$10:$AC$165,$AG10,COLUMNS($AI$10:AN10)),"")</f>
        <v>0.6</v>
      </c>
      <c r="AP10" s="137">
        <f>IFERROR(INDEX($R$10:$AC$165,$AG10,COLUMNS($AI$10:AO10)),"")</f>
        <v>0</v>
      </c>
      <c r="AQ10" s="137">
        <f>IFERROR(INDEX($R$10:$AC$165,$AG10,COLUMNS($AI$10:AP10)),"")</f>
        <v>0</v>
      </c>
      <c r="AR10" s="137" t="str">
        <f>IFERROR(INDEX($R$10:$AC$165,$AG10,COLUMNS($AI$10:AQ10)),"")</f>
        <v>-</v>
      </c>
      <c r="AS10" s="137">
        <f>IFERROR(INDEX($R$10:$AC$165,$AG10,COLUMNS($AI$10:AR10)),"")</f>
        <v>0</v>
      </c>
      <c r="AT10" s="137">
        <f>IFERROR(INDEX($R$10:$AC$165,$AG10,COLUMNS($AI$10:AS10)),"")</f>
        <v>0.6</v>
      </c>
      <c r="AU10" s="136" t="str">
        <f>IFERROR(INDEX($R$10:$AC$165,$AG10,COLUMNS($AI$10:AT10)),"")</f>
        <v>Hasil pengukuran akurasi vacuum gauge dan tekanan hisap maksimum tertelusur ke Satuan SI melalui  Laboratorium SNSU-BSN</v>
      </c>
      <c r="AV10" s="135" t="str">
        <f>IFERROR(INDEX($R$10:$AC$60,$AG10,COLUMNS($AI$10:AU10)),"")</f>
        <v/>
      </c>
      <c r="AW10" s="127" t="s">
        <v>379</v>
      </c>
      <c r="AY10" s="126"/>
    </row>
    <row r="11" spans="2:97" x14ac:dyDescent="0.25">
      <c r="B11" s="569">
        <v>-100</v>
      </c>
      <c r="C11" s="570">
        <v>0.3</v>
      </c>
      <c r="D11" s="570">
        <v>0.4</v>
      </c>
      <c r="E11" s="571">
        <v>1.5</v>
      </c>
      <c r="F11" s="1662"/>
      <c r="H11" s="569">
        <v>-100</v>
      </c>
      <c r="I11" s="570">
        <f>-99.8+100</f>
        <v>0.20000000000000284</v>
      </c>
      <c r="J11" s="570">
        <f>-99.8+100</f>
        <v>0.20000000000000284</v>
      </c>
      <c r="K11" s="1664"/>
      <c r="M11" s="569">
        <v>-100</v>
      </c>
      <c r="N11" s="570">
        <v>0</v>
      </c>
      <c r="O11" s="570">
        <v>0</v>
      </c>
      <c r="P11" s="1657"/>
      <c r="R11" s="569">
        <f t="shared" ref="R11:R17" si="1">B11</f>
        <v>-100</v>
      </c>
      <c r="S11" s="572">
        <f t="shared" ref="S11:S17" si="2">C11</f>
        <v>0.3</v>
      </c>
      <c r="T11" s="572">
        <f t="shared" ref="T11:T17" si="3">I11</f>
        <v>0.20000000000000284</v>
      </c>
      <c r="U11" s="572">
        <f t="shared" ref="U11:U17" si="4">N11</f>
        <v>0</v>
      </c>
      <c r="V11" s="573">
        <f t="shared" ref="V11:V17" si="5">0.5*(MAX(S11:U11)-(MIN(S11:U11)))</f>
        <v>0.15</v>
      </c>
      <c r="W11" s="572">
        <f t="shared" si="0"/>
        <v>1.5</v>
      </c>
      <c r="X11" s="574">
        <f t="shared" ref="X11:X17" si="6">D11</f>
        <v>0.4</v>
      </c>
      <c r="Y11" s="574">
        <f t="shared" ref="Y11:Y17" si="7">J11</f>
        <v>0.20000000000000284</v>
      </c>
      <c r="Z11" s="574">
        <f t="shared" ref="Z11:Z17" si="8">O11</f>
        <v>0</v>
      </c>
      <c r="AA11" s="573">
        <f t="shared" ref="AA11:AA17" si="9">0.5*(MAX(X11:Z11)-(MIN(X11:Z11)))</f>
        <v>0.2</v>
      </c>
      <c r="AB11" s="570">
        <f t="shared" ref="AB11:AB17" si="10">E11</f>
        <v>1.5</v>
      </c>
      <c r="AC11" s="576" t="s">
        <v>435</v>
      </c>
      <c r="AD11" s="121" t="s">
        <v>356</v>
      </c>
      <c r="AE11" s="136">
        <f>ROWS(AD$10:$AD11)</f>
        <v>2</v>
      </c>
      <c r="AF11" s="136" t="str">
        <f>IF(ID!$A$91=AD11,AE11,"")</f>
        <v/>
      </c>
      <c r="AG11" s="136">
        <f>IFERROR(SMALL($AF$10:$AF$165,ROWS($AF$10:AF11)),"")</f>
        <v>102</v>
      </c>
      <c r="AJ11" s="136">
        <f>IFERROR(INDEX($R$10:$AC$165,$AG11,COLUMNS(AI$10:$AI11)),"")</f>
        <v>-100</v>
      </c>
      <c r="AK11" s="137">
        <f>IFERROR(INDEX($R$10:$AC$165,$AG11,COLUMNS($AI$10:AJ11)),"")</f>
        <v>-0.2</v>
      </c>
      <c r="AL11" s="137">
        <f>IFERROR(INDEX($R$10:$AC$165,$AG11,COLUMNS($AI$10:AK11)),"")</f>
        <v>-0.2</v>
      </c>
      <c r="AM11" s="137" t="str">
        <f>IFERROR(INDEX($R$10:$AC$165,$AG11,COLUMNS($AI$10:AL11)),"")</f>
        <v>-</v>
      </c>
      <c r="AN11" s="137">
        <f>IFERROR(INDEX($R$10:$AC$165,$AG11,COLUMNS($AI$10:AM11)),"")</f>
        <v>0</v>
      </c>
      <c r="AO11" s="137">
        <f>IFERROR(INDEX($R$10:$AC$165,$AG11,COLUMNS($AI$10:AN11)),"")</f>
        <v>0.6</v>
      </c>
      <c r="AP11" s="137">
        <f>IFERROR(INDEX($R$10:$AC$165,$AG11,COLUMNS($AI$10:AO11)),"")</f>
        <v>-0.2</v>
      </c>
      <c r="AQ11" s="137">
        <f>IFERROR(INDEX($R$10:$AC$165,$AG11,COLUMNS($AI$10:AP11)),"")</f>
        <v>0</v>
      </c>
      <c r="AR11" s="137" t="str">
        <f>IFERROR(INDEX($R$10:$AC$165,$AG11,COLUMNS($AI$10:AQ11)),"")</f>
        <v>-</v>
      </c>
      <c r="AS11" s="137">
        <f>IFERROR(INDEX($R$10:$AC$165,$AG11,COLUMNS($AI$10:AR11)),"")</f>
        <v>0.1</v>
      </c>
      <c r="AT11" s="137">
        <f>IFERROR(INDEX($R$10:$AC$165,$AG11,COLUMNS($AI$10:AS11)),"")</f>
        <v>0.6</v>
      </c>
      <c r="AU11" s="136" t="str">
        <f>IFERROR(INDEX($R$10:$AC$165,$AG11,COLUMNS($AI$10:AT11)),"")</f>
        <v>Hasil pengukuran akurasi vacuum gauge dan tekanan hisap maksimum tertelusur ke Satuan SI melalui  Laboratorium SNSU-BSN</v>
      </c>
      <c r="AV11" s="135" t="str">
        <f>IFERROR(INDEX($R$10:$AC$60,$AG11,COLUMNS($AI$10:AU11)),"")</f>
        <v/>
      </c>
      <c r="AW11" s="127" t="s">
        <v>380</v>
      </c>
    </row>
    <row r="12" spans="2:97" x14ac:dyDescent="0.25">
      <c r="B12" s="569">
        <v>-200</v>
      </c>
      <c r="C12" s="570">
        <v>0.3</v>
      </c>
      <c r="D12" s="570">
        <v>0.4</v>
      </c>
      <c r="E12" s="571">
        <v>1.5</v>
      </c>
      <c r="F12" s="1662"/>
      <c r="H12" s="569">
        <v>-200</v>
      </c>
      <c r="I12" s="570">
        <f>-199.8+200</f>
        <v>0.19999999999998863</v>
      </c>
      <c r="J12" s="570">
        <f>-199.8+200</f>
        <v>0.19999999999998863</v>
      </c>
      <c r="K12" s="1664"/>
      <c r="M12" s="569">
        <v>-200</v>
      </c>
      <c r="N12" s="570">
        <v>0</v>
      </c>
      <c r="O12" s="570">
        <v>0</v>
      </c>
      <c r="P12" s="1657"/>
      <c r="R12" s="569">
        <f t="shared" si="1"/>
        <v>-200</v>
      </c>
      <c r="S12" s="572">
        <f t="shared" si="2"/>
        <v>0.3</v>
      </c>
      <c r="T12" s="572">
        <f t="shared" si="3"/>
        <v>0.19999999999998863</v>
      </c>
      <c r="U12" s="572">
        <f t="shared" si="4"/>
        <v>0</v>
      </c>
      <c r="V12" s="573">
        <f t="shared" si="5"/>
        <v>0.15</v>
      </c>
      <c r="W12" s="572">
        <f t="shared" si="0"/>
        <v>1.5</v>
      </c>
      <c r="X12" s="574">
        <f t="shared" si="6"/>
        <v>0.4</v>
      </c>
      <c r="Y12" s="574">
        <f t="shared" si="7"/>
        <v>0.19999999999998863</v>
      </c>
      <c r="Z12" s="574">
        <f t="shared" si="8"/>
        <v>0</v>
      </c>
      <c r="AA12" s="573">
        <f t="shared" si="9"/>
        <v>0.2</v>
      </c>
      <c r="AB12" s="570">
        <f t="shared" si="10"/>
        <v>1.5</v>
      </c>
      <c r="AC12" s="576" t="s">
        <v>435</v>
      </c>
      <c r="AD12" s="121" t="s">
        <v>356</v>
      </c>
      <c r="AE12" s="136">
        <f>ROWS(AD$10:$AD12)</f>
        <v>3</v>
      </c>
      <c r="AF12" s="136" t="str">
        <f>IF(ID!$A$91=AD12,AE12,"")</f>
        <v/>
      </c>
      <c r="AG12" s="136">
        <f>IFERROR(SMALL($AF$10:$AF$165,ROWS($AF$10:AF12)),"")</f>
        <v>103</v>
      </c>
      <c r="AJ12" s="136">
        <f>IFERROR(INDEX($R$10:$AC$165,$AG12,COLUMNS(AI$10:$AI12)),"")</f>
        <v>-200</v>
      </c>
      <c r="AK12" s="137">
        <f>IFERROR(INDEX($R$10:$AC$165,$AG12,COLUMNS($AI$10:AJ12)),"")</f>
        <v>-0.5</v>
      </c>
      <c r="AL12" s="137">
        <f>IFERROR(INDEX($R$10:$AC$165,$AG12,COLUMNS($AI$10:AK12)),"")</f>
        <v>-0.8</v>
      </c>
      <c r="AM12" s="137" t="str">
        <f>IFERROR(INDEX($R$10:$AC$165,$AG12,COLUMNS($AI$10:AL12)),"")</f>
        <v>-</v>
      </c>
      <c r="AN12" s="137">
        <f>IFERROR(INDEX($R$10:$AC$165,$AG12,COLUMNS($AI$10:AM12)),"")</f>
        <v>0.15000000000000002</v>
      </c>
      <c r="AO12" s="137">
        <f>IFERROR(INDEX($R$10:$AC$165,$AG12,COLUMNS($AI$10:AN12)),"")</f>
        <v>0.6</v>
      </c>
      <c r="AP12" s="137">
        <f>IFERROR(INDEX($R$10:$AC$165,$AG12,COLUMNS($AI$10:AO12)),"")</f>
        <v>-0.5</v>
      </c>
      <c r="AQ12" s="137">
        <f>IFERROR(INDEX($R$10:$AC$165,$AG12,COLUMNS($AI$10:AP12)),"")</f>
        <v>-0.5</v>
      </c>
      <c r="AR12" s="137" t="str">
        <f>IFERROR(INDEX($R$10:$AC$165,$AG12,COLUMNS($AI$10:AQ12)),"")</f>
        <v>-</v>
      </c>
      <c r="AS12" s="137">
        <f>IFERROR(INDEX($R$10:$AC$165,$AG12,COLUMNS($AI$10:AR12)),"")</f>
        <v>0</v>
      </c>
      <c r="AT12" s="137">
        <f>IFERROR(INDEX($R$10:$AC$165,$AG12,COLUMNS($AI$10:AS12)),"")</f>
        <v>0.6</v>
      </c>
      <c r="AU12" s="136" t="str">
        <f>IFERROR(INDEX($R$10:$AC$165,$AG12,COLUMNS($AI$10:AT12)),"")</f>
        <v>Hasil pengukuran akurasi vacuum gauge dan tekanan hisap maksimum tertelusur ke Satuan SI melalui  Laboratorium SNSU-BSN</v>
      </c>
      <c r="AV12" s="135" t="str">
        <f>IFERROR(INDEX($R$10:$AC$60,$AG12,COLUMNS($AI$10:AU12)),"")</f>
        <v/>
      </c>
      <c r="AW12" s="127" t="s">
        <v>381</v>
      </c>
    </row>
    <row r="13" spans="2:97" x14ac:dyDescent="0.25">
      <c r="B13" s="569">
        <v>-300</v>
      </c>
      <c r="C13" s="570">
        <v>0.2</v>
      </c>
      <c r="D13" s="570">
        <v>0.3</v>
      </c>
      <c r="E13" s="571">
        <v>1.5</v>
      </c>
      <c r="F13" s="1662"/>
      <c r="H13" s="569">
        <v>-300</v>
      </c>
      <c r="I13" s="570">
        <f>-299.9+300</f>
        <v>0.10000000000002274</v>
      </c>
      <c r="J13" s="570">
        <f>-299.9+300</f>
        <v>0.10000000000002274</v>
      </c>
      <c r="K13" s="1664"/>
      <c r="M13" s="569">
        <v>-300</v>
      </c>
      <c r="N13" s="570">
        <v>0</v>
      </c>
      <c r="O13" s="570">
        <v>0</v>
      </c>
      <c r="P13" s="1657"/>
      <c r="R13" s="569">
        <f t="shared" si="1"/>
        <v>-300</v>
      </c>
      <c r="S13" s="572">
        <f t="shared" si="2"/>
        <v>0.2</v>
      </c>
      <c r="T13" s="572">
        <f t="shared" si="3"/>
        <v>0.10000000000002274</v>
      </c>
      <c r="U13" s="572">
        <f t="shared" si="4"/>
        <v>0</v>
      </c>
      <c r="V13" s="573">
        <f t="shared" si="5"/>
        <v>0.1</v>
      </c>
      <c r="W13" s="572">
        <f t="shared" si="0"/>
        <v>1.5</v>
      </c>
      <c r="X13" s="574">
        <f t="shared" si="6"/>
        <v>0.3</v>
      </c>
      <c r="Y13" s="574">
        <f t="shared" si="7"/>
        <v>0.10000000000002274</v>
      </c>
      <c r="Z13" s="574">
        <f t="shared" si="8"/>
        <v>0</v>
      </c>
      <c r="AA13" s="573">
        <f t="shared" si="9"/>
        <v>0.15</v>
      </c>
      <c r="AB13" s="570">
        <f t="shared" si="10"/>
        <v>1.5</v>
      </c>
      <c r="AC13" s="576" t="s">
        <v>435</v>
      </c>
      <c r="AD13" s="121" t="s">
        <v>356</v>
      </c>
      <c r="AE13" s="136">
        <f>ROWS(AD$10:$AD13)</f>
        <v>4</v>
      </c>
      <c r="AF13" s="136" t="str">
        <f>IF(ID!$A$91=AD13,AE13,"")</f>
        <v/>
      </c>
      <c r="AG13" s="136">
        <f>IFERROR(SMALL($AF$10:$AF$165,ROWS($AF$10:AF13)),"")</f>
        <v>104</v>
      </c>
      <c r="AJ13" s="136">
        <f>IFERROR(INDEX($R$10:$AC$165,$AG13,COLUMNS(AI$10:$AI13)),"")</f>
        <v>-300</v>
      </c>
      <c r="AK13" s="137">
        <f>IFERROR(INDEX($R$10:$AC$165,$AG13,COLUMNS($AI$10:AJ13)),"")</f>
        <v>-0.7</v>
      </c>
      <c r="AL13" s="137">
        <f>IFERROR(INDEX($R$10:$AC$165,$AG13,COLUMNS($AI$10:AK13)),"")</f>
        <v>-1.2</v>
      </c>
      <c r="AM13" s="137" t="str">
        <f>IFERROR(INDEX($R$10:$AC$165,$AG13,COLUMNS($AI$10:AL13)),"")</f>
        <v>-</v>
      </c>
      <c r="AN13" s="137">
        <f>IFERROR(INDEX($R$10:$AC$165,$AG13,COLUMNS($AI$10:AM13)),"")</f>
        <v>0.25</v>
      </c>
      <c r="AO13" s="137">
        <f>IFERROR(INDEX($R$10:$AC$165,$AG13,COLUMNS($AI$10:AN13)),"")</f>
        <v>0.6</v>
      </c>
      <c r="AP13" s="137">
        <f>IFERROR(INDEX($R$10:$AC$165,$AG13,COLUMNS($AI$10:AO13)),"")</f>
        <v>-0.7</v>
      </c>
      <c r="AQ13" s="137">
        <f>IFERROR(INDEX($R$10:$AC$165,$AG13,COLUMNS($AI$10:AP13)),"")</f>
        <v>-0.9</v>
      </c>
      <c r="AR13" s="137" t="str">
        <f>IFERROR(INDEX($R$10:$AC$165,$AG13,COLUMNS($AI$10:AQ13)),"")</f>
        <v>-</v>
      </c>
      <c r="AS13" s="137">
        <f>IFERROR(INDEX($R$10:$AC$165,$AG13,COLUMNS($AI$10:AR13)),"")</f>
        <v>0.10000000000000003</v>
      </c>
      <c r="AT13" s="137">
        <f>IFERROR(INDEX($R$10:$AC$165,$AG13,COLUMNS($AI$10:AS13)),"")</f>
        <v>0.6</v>
      </c>
      <c r="AU13" s="136" t="str">
        <f>IFERROR(INDEX($R$10:$AC$165,$AG13,COLUMNS($AI$10:AT13)),"")</f>
        <v>Hasil pengukuran akurasi vacuum gauge dan tekanan hisap maksimum tertelusur ke Satuan SI melalui  Laboratorium SNSU-BSN</v>
      </c>
      <c r="AV13" s="135" t="str">
        <f>IFERROR(INDEX($R$10:$AC$60,$AG13,COLUMNS($AI$10:AU13)),"")</f>
        <v/>
      </c>
      <c r="AW13" s="127" t="s">
        <v>382</v>
      </c>
    </row>
    <row r="14" spans="2:97" x14ac:dyDescent="0.25">
      <c r="B14" s="569">
        <v>-400</v>
      </c>
      <c r="C14" s="570">
        <v>0</v>
      </c>
      <c r="D14" s="570">
        <v>0</v>
      </c>
      <c r="E14" s="571">
        <v>1.5</v>
      </c>
      <c r="F14" s="1662"/>
      <c r="H14" s="569">
        <v>-400</v>
      </c>
      <c r="I14" s="570">
        <f>-399.8+400</f>
        <v>0.19999999999998863</v>
      </c>
      <c r="J14" s="570">
        <f>-399.8+400</f>
        <v>0.19999999999998863</v>
      </c>
      <c r="K14" s="1664"/>
      <c r="M14" s="569">
        <v>-400</v>
      </c>
      <c r="N14" s="570">
        <v>0</v>
      </c>
      <c r="O14" s="570">
        <v>0</v>
      </c>
      <c r="P14" s="1657"/>
      <c r="R14" s="569">
        <f t="shared" si="1"/>
        <v>-400</v>
      </c>
      <c r="S14" s="572">
        <f t="shared" si="2"/>
        <v>0</v>
      </c>
      <c r="T14" s="572">
        <f t="shared" si="3"/>
        <v>0.19999999999998863</v>
      </c>
      <c r="U14" s="572">
        <f t="shared" si="4"/>
        <v>0</v>
      </c>
      <c r="V14" s="573">
        <f t="shared" si="5"/>
        <v>9.9999999999994316E-2</v>
      </c>
      <c r="W14" s="572">
        <f t="shared" si="0"/>
        <v>1.5</v>
      </c>
      <c r="X14" s="574">
        <f t="shared" si="6"/>
        <v>0</v>
      </c>
      <c r="Y14" s="574">
        <f t="shared" si="7"/>
        <v>0.19999999999998863</v>
      </c>
      <c r="Z14" s="574">
        <f t="shared" si="8"/>
        <v>0</v>
      </c>
      <c r="AA14" s="573">
        <f t="shared" si="9"/>
        <v>9.9999999999994316E-2</v>
      </c>
      <c r="AB14" s="570">
        <f t="shared" si="10"/>
        <v>1.5</v>
      </c>
      <c r="AC14" s="576" t="s">
        <v>435</v>
      </c>
      <c r="AD14" s="121" t="s">
        <v>356</v>
      </c>
      <c r="AE14" s="136">
        <f>ROWS(AD$10:$AD14)</f>
        <v>5</v>
      </c>
      <c r="AF14" s="136" t="str">
        <f>IF(ID!$A$91=AD14,AE14,"")</f>
        <v/>
      </c>
      <c r="AG14" s="136">
        <f>IFERROR(SMALL($AF$10:$AF$165,ROWS($AF$10:AF14)),"")</f>
        <v>105</v>
      </c>
      <c r="AJ14" s="136">
        <f>IFERROR(INDEX($R$10:$AC$165,$AG14,COLUMNS(AI$10:$AI14)),"")</f>
        <v>-400</v>
      </c>
      <c r="AK14" s="137">
        <f>IFERROR(INDEX($R$10:$AC$165,$AG14,COLUMNS($AI$10:AJ14)),"")</f>
        <v>-0.9</v>
      </c>
      <c r="AL14" s="137">
        <f>IFERROR(INDEX($R$10:$AC$165,$AG14,COLUMNS($AI$10:AK14)),"")</f>
        <v>-1.3</v>
      </c>
      <c r="AM14" s="137" t="str">
        <f>IFERROR(INDEX($R$10:$AC$165,$AG14,COLUMNS($AI$10:AL14)),"")</f>
        <v>-</v>
      </c>
      <c r="AN14" s="137">
        <f>IFERROR(INDEX($R$10:$AC$165,$AG14,COLUMNS($AI$10:AM14)),"")</f>
        <v>0.2</v>
      </c>
      <c r="AO14" s="137">
        <f>IFERROR(INDEX($R$10:$AC$165,$AG14,COLUMNS($AI$10:AN14)),"")</f>
        <v>0.6</v>
      </c>
      <c r="AP14" s="137">
        <f>IFERROR(INDEX($R$10:$AC$165,$AG14,COLUMNS($AI$10:AO14)),"")</f>
        <v>-0.9</v>
      </c>
      <c r="AQ14" s="137">
        <f>IFERROR(INDEX($R$10:$AC$165,$AG14,COLUMNS($AI$10:AP14)),"")</f>
        <v>-1</v>
      </c>
      <c r="AR14" s="137" t="str">
        <f>IFERROR(INDEX($R$10:$AC$165,$AG14,COLUMNS($AI$10:AQ14)),"")</f>
        <v>-</v>
      </c>
      <c r="AS14" s="137">
        <f>IFERROR(INDEX($R$10:$AC$165,$AG14,COLUMNS($AI$10:AR14)),"")</f>
        <v>4.9999999999999989E-2</v>
      </c>
      <c r="AT14" s="137">
        <f>IFERROR(INDEX($R$10:$AC$165,$AG14,COLUMNS($AI$10:AS14)),"")</f>
        <v>0.6</v>
      </c>
      <c r="AU14" s="136" t="str">
        <f>IFERROR(INDEX($R$10:$AC$165,$AG14,COLUMNS($AI$10:AT14)),"")</f>
        <v>Hasil pengukuran akurasi vacuum gauge dan tekanan hisap maksimum tertelusur ke Satuan SI melalui  Laboratorium SNSU-BSN</v>
      </c>
      <c r="AV14" s="135" t="str">
        <f>IFERROR(INDEX($R$10:$AC$60,$AG14,COLUMNS($AI$10:AU14)),"")</f>
        <v/>
      </c>
      <c r="AX14" s="121"/>
    </row>
    <row r="15" spans="2:97" x14ac:dyDescent="0.25">
      <c r="B15" s="569">
        <v>-500</v>
      </c>
      <c r="C15" s="570">
        <v>0.4</v>
      </c>
      <c r="D15" s="570">
        <v>0.4</v>
      </c>
      <c r="E15" s="571">
        <v>1.5</v>
      </c>
      <c r="F15" s="1662"/>
      <c r="H15" s="569">
        <v>-500</v>
      </c>
      <c r="I15" s="570">
        <f>-499.8+500</f>
        <v>0.19999999999998863</v>
      </c>
      <c r="J15" s="570">
        <f>-499.8+500</f>
        <v>0.19999999999998863</v>
      </c>
      <c r="K15" s="1664"/>
      <c r="M15" s="569">
        <v>-500</v>
      </c>
      <c r="N15" s="570">
        <v>0</v>
      </c>
      <c r="O15" s="570">
        <v>0</v>
      </c>
      <c r="P15" s="1657"/>
      <c r="R15" s="569">
        <f t="shared" si="1"/>
        <v>-500</v>
      </c>
      <c r="S15" s="572">
        <f t="shared" si="2"/>
        <v>0.4</v>
      </c>
      <c r="T15" s="572">
        <f t="shared" si="3"/>
        <v>0.19999999999998863</v>
      </c>
      <c r="U15" s="572">
        <f t="shared" si="4"/>
        <v>0</v>
      </c>
      <c r="V15" s="573">
        <f t="shared" si="5"/>
        <v>0.2</v>
      </c>
      <c r="W15" s="572">
        <f t="shared" si="0"/>
        <v>1.5</v>
      </c>
      <c r="X15" s="574">
        <f t="shared" si="6"/>
        <v>0.4</v>
      </c>
      <c r="Y15" s="574">
        <f t="shared" si="7"/>
        <v>0.19999999999998863</v>
      </c>
      <c r="Z15" s="574">
        <f t="shared" si="8"/>
        <v>0</v>
      </c>
      <c r="AA15" s="573">
        <f t="shared" si="9"/>
        <v>0.2</v>
      </c>
      <c r="AB15" s="570">
        <f t="shared" si="10"/>
        <v>1.5</v>
      </c>
      <c r="AC15" s="576" t="s">
        <v>435</v>
      </c>
      <c r="AD15" s="121" t="s">
        <v>356</v>
      </c>
      <c r="AE15" s="136">
        <f>ROWS(AD$10:$AD15)</f>
        <v>6</v>
      </c>
      <c r="AF15" s="136" t="str">
        <f>IF(ID!$A$91=AD15,AE15,"")</f>
        <v/>
      </c>
      <c r="AG15" s="136">
        <f>IFERROR(SMALL($AF$10:$AF$165,ROWS($AF$10:AF15)),"")</f>
        <v>106</v>
      </c>
      <c r="AJ15" s="136">
        <f>IFERROR(INDEX($R$10:$AC$165,$AG15,COLUMNS(AI$10:$AI15)),"")</f>
        <v>-500</v>
      </c>
      <c r="AK15" s="137">
        <f>IFERROR(INDEX($R$10:$AC$165,$AG15,COLUMNS($AI$10:AJ15)),"")</f>
        <v>-1.1000000000000001</v>
      </c>
      <c r="AL15" s="137">
        <f>IFERROR(INDEX($R$10:$AC$165,$AG15,COLUMNS($AI$10:AK15)),"")</f>
        <v>-1.6</v>
      </c>
      <c r="AM15" s="137" t="str">
        <f>IFERROR(INDEX($R$10:$AC$165,$AG15,COLUMNS($AI$10:AL15)),"")</f>
        <v>-</v>
      </c>
      <c r="AN15" s="137">
        <f>IFERROR(INDEX($R$10:$AC$165,$AG15,COLUMNS($AI$10:AM15)),"")</f>
        <v>0.25</v>
      </c>
      <c r="AO15" s="137">
        <f>IFERROR(INDEX($R$10:$AC$165,$AG15,COLUMNS($AI$10:AN15)),"")</f>
        <v>0.6</v>
      </c>
      <c r="AP15" s="137">
        <f>IFERROR(INDEX($R$10:$AC$165,$AG15,COLUMNS($AI$10:AO15)),"")</f>
        <v>-1.1000000000000001</v>
      </c>
      <c r="AQ15" s="137">
        <f>IFERROR(INDEX($R$10:$AC$165,$AG15,COLUMNS($AI$10:AP15)),"")</f>
        <v>-1.4</v>
      </c>
      <c r="AR15" s="137" t="str">
        <f>IFERROR(INDEX($R$10:$AC$165,$AG15,COLUMNS($AI$10:AQ15)),"")</f>
        <v>-</v>
      </c>
      <c r="AS15" s="137">
        <f>IFERROR(INDEX($R$10:$AC$165,$AG15,COLUMNS($AI$10:AR15)),"")</f>
        <v>0.14999999999999991</v>
      </c>
      <c r="AT15" s="137">
        <f>IFERROR(INDEX($R$10:$AC$165,$AG15,COLUMNS($AI$10:AS15)),"")</f>
        <v>0.6</v>
      </c>
      <c r="AU15" s="136" t="str">
        <f>IFERROR(INDEX($R$10:$AC$165,$AG15,COLUMNS($AI$10:AT15)),"")</f>
        <v>Hasil pengukuran akurasi vacuum gauge dan tekanan hisap maksimum tertelusur ke Satuan SI melalui  Laboratorium SNSU-BSN</v>
      </c>
      <c r="AV15" s="135" t="str">
        <f>IFERROR(INDEX($R$10:$AC$60,$AG15,COLUMNS($AI$10:AU15)),"")</f>
        <v/>
      </c>
      <c r="AW15" s="127"/>
    </row>
    <row r="16" spans="2:97" x14ac:dyDescent="0.25">
      <c r="B16" s="569">
        <v>-600</v>
      </c>
      <c r="C16" s="570">
        <v>0.5</v>
      </c>
      <c r="D16" s="570">
        <v>0.6</v>
      </c>
      <c r="E16" s="571">
        <v>1.5</v>
      </c>
      <c r="F16" s="1662"/>
      <c r="H16" s="569">
        <v>-600</v>
      </c>
      <c r="I16" s="570">
        <f>-599.8+600</f>
        <v>0.20000000000004547</v>
      </c>
      <c r="J16" s="570">
        <f>-599.8+600</f>
        <v>0.20000000000004547</v>
      </c>
      <c r="K16" s="1664"/>
      <c r="M16" s="569">
        <v>-600</v>
      </c>
      <c r="N16" s="570">
        <v>0</v>
      </c>
      <c r="O16" s="570">
        <v>0</v>
      </c>
      <c r="P16" s="1657"/>
      <c r="R16" s="569">
        <f t="shared" si="1"/>
        <v>-600</v>
      </c>
      <c r="S16" s="572">
        <f t="shared" si="2"/>
        <v>0.5</v>
      </c>
      <c r="T16" s="572">
        <f t="shared" si="3"/>
        <v>0.20000000000004547</v>
      </c>
      <c r="U16" s="572">
        <f t="shared" si="4"/>
        <v>0</v>
      </c>
      <c r="V16" s="573">
        <f t="shared" si="5"/>
        <v>0.25</v>
      </c>
      <c r="W16" s="572">
        <f t="shared" si="0"/>
        <v>1.5</v>
      </c>
      <c r="X16" s="574">
        <f t="shared" si="6"/>
        <v>0.6</v>
      </c>
      <c r="Y16" s="574">
        <f t="shared" si="7"/>
        <v>0.20000000000004547</v>
      </c>
      <c r="Z16" s="574">
        <f t="shared" si="8"/>
        <v>0</v>
      </c>
      <c r="AA16" s="573">
        <f t="shared" si="9"/>
        <v>0.3</v>
      </c>
      <c r="AB16" s="570">
        <f t="shared" si="10"/>
        <v>1.5</v>
      </c>
      <c r="AC16" s="576" t="s">
        <v>435</v>
      </c>
      <c r="AD16" s="121" t="s">
        <v>356</v>
      </c>
      <c r="AE16" s="136">
        <f>ROWS(AD$10:$AD16)</f>
        <v>7</v>
      </c>
      <c r="AF16" s="136" t="str">
        <f>IF(ID!$A$91=AD16,AE16,"")</f>
        <v/>
      </c>
      <c r="AG16" s="136">
        <f>IFERROR(SMALL($AF$10:$AF$165,ROWS($AF$10:AF16)),"")</f>
        <v>107</v>
      </c>
      <c r="AJ16" s="136">
        <f>IFERROR(INDEX($R$10:$AC$165,$AG16,COLUMNS(AI$10:$AI16)),"")</f>
        <v>-600</v>
      </c>
      <c r="AK16" s="137">
        <f>IFERROR(INDEX($R$10:$AC$165,$AG16,COLUMNS($AI$10:AJ16)),"")</f>
        <v>-1.2</v>
      </c>
      <c r="AL16" s="137">
        <f>IFERROR(INDEX($R$10:$AC$165,$AG16,COLUMNS($AI$10:AK16)),"")</f>
        <v>-1.8</v>
      </c>
      <c r="AM16" s="137" t="str">
        <f>IFERROR(INDEX($R$10:$AC$165,$AG16,COLUMNS($AI$10:AL16)),"")</f>
        <v>-</v>
      </c>
      <c r="AN16" s="137">
        <f>IFERROR(INDEX($R$10:$AC$165,$AG16,COLUMNS($AI$10:AM16)),"")</f>
        <v>0.30000000000000004</v>
      </c>
      <c r="AO16" s="137">
        <f>IFERROR(INDEX($R$10:$AC$165,$AG16,COLUMNS($AI$10:AN16)),"")</f>
        <v>0.6</v>
      </c>
      <c r="AP16" s="137">
        <f>IFERROR(INDEX($R$10:$AC$165,$AG16,COLUMNS($AI$10:AO16)),"")</f>
        <v>-1.2</v>
      </c>
      <c r="AQ16" s="137">
        <f>IFERROR(INDEX($R$10:$AC$165,$AG16,COLUMNS($AI$10:AP16)),"")</f>
        <v>-1.5</v>
      </c>
      <c r="AR16" s="137" t="str">
        <f>IFERROR(INDEX($R$10:$AC$165,$AG16,COLUMNS($AI$10:AQ16)),"")</f>
        <v>-</v>
      </c>
      <c r="AS16" s="137">
        <f>IFERROR(INDEX($R$10:$AC$165,$AG16,COLUMNS($AI$10:AR16)),"")</f>
        <v>0.15000000000000002</v>
      </c>
      <c r="AT16" s="137">
        <f>IFERROR(INDEX($R$10:$AC$165,$AG16,COLUMNS($AI$10:AS16)),"")</f>
        <v>0.6</v>
      </c>
      <c r="AU16" s="136" t="str">
        <f>IFERROR(INDEX($R$10:$AC$165,$AG16,COLUMNS($AI$10:AT16)),"")</f>
        <v>Hasil pengukuran akurasi vacuum gauge dan tekanan hisap maksimum tertelusur ke Satuan SI melalui  Laboratorium SNSU-BSN</v>
      </c>
      <c r="AV16" s="135" t="str">
        <f>IFERROR(INDEX($R$10:$AC$60,$AG16,COLUMNS($AI$10:AU16)),"")</f>
        <v/>
      </c>
    </row>
    <row r="17" spans="2:59" s="138" customFormat="1" x14ac:dyDescent="0.25">
      <c r="B17" s="577">
        <v>-700</v>
      </c>
      <c r="C17" s="578">
        <f>C16</f>
        <v>0.5</v>
      </c>
      <c r="D17" s="578">
        <f>D16</f>
        <v>0.6</v>
      </c>
      <c r="E17" s="578">
        <f>E16</f>
        <v>1.5</v>
      </c>
      <c r="F17" s="1662"/>
      <c r="G17" s="563"/>
      <c r="H17" s="577">
        <v>-700</v>
      </c>
      <c r="I17" s="579">
        <v>0.3</v>
      </c>
      <c r="J17" s="579">
        <v>0.3</v>
      </c>
      <c r="K17" s="1664"/>
      <c r="L17" s="564"/>
      <c r="M17" s="577">
        <v>-700</v>
      </c>
      <c r="N17" s="579">
        <f>N16</f>
        <v>0</v>
      </c>
      <c r="O17" s="579">
        <f>O16</f>
        <v>0</v>
      </c>
      <c r="P17" s="1657"/>
      <c r="R17" s="569">
        <f t="shared" si="1"/>
        <v>-700</v>
      </c>
      <c r="S17" s="572">
        <f t="shared" si="2"/>
        <v>0.5</v>
      </c>
      <c r="T17" s="572">
        <f t="shared" si="3"/>
        <v>0.3</v>
      </c>
      <c r="U17" s="572">
        <f t="shared" si="4"/>
        <v>0</v>
      </c>
      <c r="V17" s="573">
        <f t="shared" si="5"/>
        <v>0.25</v>
      </c>
      <c r="W17" s="572">
        <f t="shared" si="0"/>
        <v>1.5</v>
      </c>
      <c r="X17" s="574">
        <f t="shared" si="6"/>
        <v>0.6</v>
      </c>
      <c r="Y17" s="574">
        <f t="shared" si="7"/>
        <v>0.3</v>
      </c>
      <c r="Z17" s="574">
        <f t="shared" si="8"/>
        <v>0</v>
      </c>
      <c r="AA17" s="573">
        <f t="shared" si="9"/>
        <v>0.3</v>
      </c>
      <c r="AB17" s="570">
        <f t="shared" si="10"/>
        <v>1.5</v>
      </c>
      <c r="AC17" s="581" t="s">
        <v>435</v>
      </c>
      <c r="AD17" s="121" t="s">
        <v>356</v>
      </c>
      <c r="AE17" s="285">
        <f>ROWS(AD$10:$AD17)</f>
        <v>8</v>
      </c>
      <c r="AF17" s="285" t="str">
        <f>IF(ID!$A$91=AD17,AE17,"")</f>
        <v/>
      </c>
      <c r="AG17" s="285">
        <f>IFERROR(SMALL($AF$10:$AF$165,ROWS($AF$10:AF17)),"")</f>
        <v>108</v>
      </c>
      <c r="AJ17" s="136">
        <f>IFERROR(INDEX($R$10:$AC$165,$AG17,COLUMNS(AI$10:$AI17)),"")</f>
        <v>-700</v>
      </c>
      <c r="AK17" s="137">
        <f>IFERROR(INDEX($R$10:$AC$165,$AG17,COLUMNS($AI$10:AJ17)),"")</f>
        <v>-1.3</v>
      </c>
      <c r="AL17" s="137">
        <f>IFERROR(INDEX($R$10:$AC$165,$AG17,COLUMNS($AI$10:AK17)),"")</f>
        <v>-1.8</v>
      </c>
      <c r="AM17" s="137" t="str">
        <f>IFERROR(INDEX($R$10:$AC$165,$AG17,COLUMNS($AI$10:AL17)),"")</f>
        <v>-</v>
      </c>
      <c r="AN17" s="137">
        <f>IFERROR(INDEX($R$10:$AC$165,$AG17,COLUMNS($AI$10:AM17)),"")</f>
        <v>0.25</v>
      </c>
      <c r="AO17" s="137">
        <f>IFERROR(INDEX($R$10:$AC$165,$AG17,COLUMNS($AI$10:AN17)),"")</f>
        <v>0.6</v>
      </c>
      <c r="AP17" s="137">
        <f>IFERROR(INDEX($R$10:$AC$165,$AG17,COLUMNS($AI$10:AO17)),"")</f>
        <v>-1.3</v>
      </c>
      <c r="AQ17" s="137">
        <f>IFERROR(INDEX($R$10:$AC$165,$AG17,COLUMNS($AI$10:AP17)),"")</f>
        <v>-1.5</v>
      </c>
      <c r="AR17" s="137" t="str">
        <f>IFERROR(INDEX($R$10:$AC$165,$AG17,COLUMNS($AI$10:AQ17)),"")</f>
        <v>-</v>
      </c>
      <c r="AS17" s="137">
        <f>IFERROR(INDEX($R$10:$AC$165,$AG17,COLUMNS($AI$10:AR17)),"")</f>
        <v>9.9999999999999978E-2</v>
      </c>
      <c r="AT17" s="137">
        <f>IFERROR(INDEX($R$10:$AC$165,$AG17,COLUMNS($AI$10:AS17)),"")</f>
        <v>0.6</v>
      </c>
      <c r="AU17" s="136" t="str">
        <f>IFERROR(INDEX($R$10:$AC$165,$AG17,COLUMNS($AI$10:AT17)),"")</f>
        <v>Hasil pengukuran akurasi vacuum gauge dan tekanan hisap maksimum tertelusur ke Satuan SI melalui  Laboratorium SNSU-BSN</v>
      </c>
      <c r="AV17" s="139" t="str">
        <f>IFERROR(INDEX($R$10:$AC$60,$AG17,COLUMNS($AI$10:AU17)),"")</f>
        <v/>
      </c>
      <c r="BG17" s="142"/>
    </row>
    <row r="18" spans="2:59" s="138" customFormat="1" x14ac:dyDescent="0.25">
      <c r="B18" s="577"/>
      <c r="C18" s="583"/>
      <c r="D18" s="583"/>
      <c r="E18" s="583"/>
      <c r="G18" s="563"/>
      <c r="H18" s="577"/>
      <c r="I18" s="578"/>
      <c r="J18" s="578"/>
      <c r="L18" s="564"/>
      <c r="M18" s="577"/>
      <c r="N18" s="578"/>
      <c r="O18" s="578"/>
      <c r="R18" s="580"/>
      <c r="S18" s="572"/>
      <c r="T18" s="572"/>
      <c r="U18" s="572"/>
      <c r="V18" s="573"/>
      <c r="W18" s="572"/>
      <c r="X18" s="574"/>
      <c r="Y18" s="574"/>
      <c r="Z18" s="574"/>
      <c r="AA18" s="573"/>
      <c r="AB18" s="575"/>
      <c r="AC18" s="576"/>
      <c r="AD18" s="582"/>
      <c r="AE18" s="136">
        <f>ROWS(AD$10:$AD18)</f>
        <v>9</v>
      </c>
      <c r="AF18" s="136" t="str">
        <f>IF(ID!$A$91=AD18,AE18,"")</f>
        <v/>
      </c>
      <c r="AG18" s="136" t="str">
        <f>IFERROR(SMALL($AF$10:$AF$165,ROWS($AF$10:AF18)),"")</f>
        <v/>
      </c>
      <c r="AJ18" s="136"/>
      <c r="AK18" s="137"/>
      <c r="AL18" s="137"/>
      <c r="AM18" s="137"/>
      <c r="AN18" s="137"/>
      <c r="AO18" s="137"/>
      <c r="AP18" s="137"/>
      <c r="AQ18" s="137"/>
      <c r="AR18" s="137"/>
      <c r="AS18" s="137"/>
      <c r="AT18" s="137"/>
      <c r="AU18" s="136"/>
      <c r="AV18" s="139" t="str">
        <f>IFERROR(INDEX($R$10:$AC$60,$AG18,COLUMNS($AI$10:AU18)),"")</f>
        <v/>
      </c>
      <c r="AW18" s="140"/>
      <c r="BG18" s="142"/>
    </row>
    <row r="19" spans="2:59" x14ac:dyDescent="0.25">
      <c r="AE19" s="136">
        <f>ROWS(AD$10:$AD19)</f>
        <v>10</v>
      </c>
      <c r="AF19" s="136" t="str">
        <f>IF(ID!$A$91=AD19,AE19,"")</f>
        <v/>
      </c>
      <c r="AG19" s="136" t="str">
        <f>IFERROR(SMALL($AF$10:$AF$165,ROWS($AF$10:AF19)),"")</f>
        <v/>
      </c>
      <c r="AJ19" s="136"/>
      <c r="AK19" s="137"/>
      <c r="AL19" s="137"/>
      <c r="AM19" s="137"/>
      <c r="AN19" s="137"/>
      <c r="AO19" s="137"/>
      <c r="AP19" s="137"/>
      <c r="AQ19" s="137"/>
      <c r="AR19" s="137"/>
      <c r="AS19" s="137"/>
      <c r="AT19" s="137"/>
      <c r="AU19" s="136"/>
      <c r="AV19" s="135" t="str">
        <f>IFERROR(INDEX($R$10:$AC$60,$AG19,COLUMNS($AI$10:AU19)),"")</f>
        <v/>
      </c>
      <c r="BG19" s="142"/>
    </row>
    <row r="20" spans="2:59" ht="17.399999999999999" x14ac:dyDescent="0.3">
      <c r="B20" s="1653" t="s">
        <v>371</v>
      </c>
      <c r="C20" s="1653"/>
      <c r="D20" s="1653"/>
      <c r="E20" s="1653"/>
      <c r="F20" s="1653"/>
      <c r="G20" s="565"/>
      <c r="H20" s="1653" t="s">
        <v>455</v>
      </c>
      <c r="I20" s="1653"/>
      <c r="J20" s="1653"/>
      <c r="K20" s="1653"/>
      <c r="L20" s="566"/>
      <c r="M20" s="1653" t="s">
        <v>372</v>
      </c>
      <c r="N20" s="1653"/>
      <c r="O20" s="1653"/>
      <c r="P20" s="1653"/>
      <c r="R20" s="141"/>
      <c r="S20" s="141"/>
      <c r="T20" s="141"/>
      <c r="U20" s="141"/>
      <c r="V20" s="1066" t="s">
        <v>884</v>
      </c>
      <c r="AA20" s="1066" t="s">
        <v>884</v>
      </c>
      <c r="AB20" s="141"/>
      <c r="AC20" s="141"/>
      <c r="AD20" s="141"/>
      <c r="AE20" s="136">
        <f>ROWS(AD$10:$AD20)</f>
        <v>11</v>
      </c>
      <c r="AF20" s="136" t="str">
        <f>IF(ID!$A$91=AD20,AE20,"")</f>
        <v/>
      </c>
      <c r="AG20" s="136" t="str">
        <f>IFERROR(SMALL($AF$10:$AF$165,ROWS($AF$10:AF20)),"")</f>
        <v/>
      </c>
      <c r="AJ20" s="136"/>
      <c r="AK20" s="137"/>
      <c r="AL20" s="137"/>
      <c r="AM20" s="137"/>
      <c r="AN20" s="137"/>
      <c r="AO20" s="137"/>
      <c r="AP20" s="137"/>
      <c r="AQ20" s="137"/>
      <c r="AR20" s="137"/>
      <c r="AS20" s="137"/>
      <c r="AT20" s="137"/>
      <c r="AU20" s="136"/>
      <c r="AV20" s="135" t="str">
        <f>IFERROR(INDEX($R$10:$AC$60,$AG20,COLUMNS($AI$10:AU20)),"")</f>
        <v/>
      </c>
      <c r="AW20"/>
      <c r="BG20" s="142"/>
    </row>
    <row r="21" spans="2:59" ht="12.75" customHeight="1" x14ac:dyDescent="0.25">
      <c r="B21" s="110" t="s">
        <v>41</v>
      </c>
      <c r="C21" s="110" t="s">
        <v>375</v>
      </c>
      <c r="D21" s="110" t="s">
        <v>376</v>
      </c>
      <c r="E21" s="110" t="s">
        <v>211</v>
      </c>
      <c r="F21" s="1662" t="s">
        <v>404</v>
      </c>
      <c r="H21" s="110" t="s">
        <v>41</v>
      </c>
      <c r="I21" s="110" t="s">
        <v>375</v>
      </c>
      <c r="J21" s="110" t="s">
        <v>377</v>
      </c>
      <c r="K21" s="1663" t="s">
        <v>227</v>
      </c>
      <c r="M21" s="110" t="s">
        <v>41</v>
      </c>
      <c r="N21" s="110" t="s">
        <v>375</v>
      </c>
      <c r="O21" s="110" t="s">
        <v>377</v>
      </c>
      <c r="P21" s="1656" t="s">
        <v>475</v>
      </c>
      <c r="R21" s="110" t="s">
        <v>41</v>
      </c>
      <c r="S21" s="128" t="s">
        <v>228</v>
      </c>
      <c r="T21" s="128" t="s">
        <v>456</v>
      </c>
      <c r="U21" s="128" t="s">
        <v>457</v>
      </c>
      <c r="V21" s="128" t="s">
        <v>222</v>
      </c>
      <c r="W21" s="129" t="s">
        <v>223</v>
      </c>
      <c r="X21" s="130" t="s">
        <v>229</v>
      </c>
      <c r="Y21" s="130" t="s">
        <v>458</v>
      </c>
      <c r="Z21" s="130" t="s">
        <v>459</v>
      </c>
      <c r="AA21" s="130" t="s">
        <v>224</v>
      </c>
      <c r="AB21" s="131" t="s">
        <v>225</v>
      </c>
      <c r="AC21" s="132" t="s">
        <v>93</v>
      </c>
      <c r="AD21" s="120" t="s">
        <v>48</v>
      </c>
      <c r="AE21" s="136">
        <f>ROWS(AD$10:$AD21)</f>
        <v>12</v>
      </c>
      <c r="AF21" s="136" t="str">
        <f>IF(ID!$A$91=AD21,AE21,"")</f>
        <v/>
      </c>
      <c r="AG21" s="136" t="str">
        <f>IFERROR(SMALL($AF$10:$AF$165,ROWS($AF$10:AF21)),"")</f>
        <v/>
      </c>
      <c r="AJ21" s="136"/>
      <c r="AK21" s="137"/>
      <c r="AL21" s="137"/>
      <c r="AM21" s="137"/>
      <c r="AN21" s="137"/>
      <c r="AO21" s="137"/>
      <c r="AP21" s="137"/>
      <c r="AQ21" s="137"/>
      <c r="AR21" s="137"/>
      <c r="AS21" s="137"/>
      <c r="AT21" s="137"/>
      <c r="AU21" s="136"/>
      <c r="AV21"/>
      <c r="AW21"/>
      <c r="BG21" s="142"/>
    </row>
    <row r="22" spans="2:59" x14ac:dyDescent="0.25">
      <c r="B22" s="569">
        <v>0</v>
      </c>
      <c r="C22" s="570">
        <v>0</v>
      </c>
      <c r="D22" s="570">
        <v>0</v>
      </c>
      <c r="E22" s="571">
        <v>1.5</v>
      </c>
      <c r="F22" s="1662"/>
      <c r="H22" s="569">
        <v>0</v>
      </c>
      <c r="I22" s="570">
        <f>0.1</f>
        <v>0.1</v>
      </c>
      <c r="J22" s="570">
        <f>0.1</f>
        <v>0.1</v>
      </c>
      <c r="K22" s="1664"/>
      <c r="M22" s="569">
        <v>0</v>
      </c>
      <c r="N22" s="570">
        <v>-0.1</v>
      </c>
      <c r="O22" s="570">
        <v>-0.1</v>
      </c>
      <c r="P22" s="1657"/>
      <c r="R22" s="569">
        <f>B22</f>
        <v>0</v>
      </c>
      <c r="S22" s="572">
        <f>C22</f>
        <v>0</v>
      </c>
      <c r="T22" s="572">
        <f>I22</f>
        <v>0.1</v>
      </c>
      <c r="U22" s="572">
        <f>N22</f>
        <v>-0.1</v>
      </c>
      <c r="V22" s="573">
        <f>0.5*(MAX(S22:U22)-(MIN(S22:U22)))</f>
        <v>0.1</v>
      </c>
      <c r="W22" s="572">
        <f t="shared" ref="W22:W29" si="11">E22</f>
        <v>1.5</v>
      </c>
      <c r="X22" s="574">
        <f t="shared" ref="X22:X29" si="12">D22</f>
        <v>0</v>
      </c>
      <c r="Y22" s="574">
        <f t="shared" ref="Y22:Y29" si="13">J22</f>
        <v>0.1</v>
      </c>
      <c r="Z22" s="574">
        <f>O22</f>
        <v>-0.1</v>
      </c>
      <c r="AA22" s="573">
        <f>0.5*(MAX(X22:Z22)-(MIN(X22:Z22)))</f>
        <v>0.1</v>
      </c>
      <c r="AB22" s="570">
        <f>E22</f>
        <v>1.5</v>
      </c>
      <c r="AC22" s="576" t="s">
        <v>435</v>
      </c>
      <c r="AD22" s="142" t="s">
        <v>796</v>
      </c>
      <c r="AE22" s="136">
        <f>ROWS(AD$10:$AD22)</f>
        <v>13</v>
      </c>
      <c r="AF22" s="136" t="str">
        <f>IF(ID!$A$91=AD22,AE22,"")</f>
        <v/>
      </c>
      <c r="AG22" s="136" t="str">
        <f>IFERROR(SMALL($AF$10:$AF$165,ROWS($AF$10:AF22)),"")</f>
        <v/>
      </c>
      <c r="AJ22"/>
      <c r="AK22"/>
      <c r="AL22"/>
      <c r="AM22"/>
      <c r="AN22"/>
      <c r="AO22"/>
      <c r="AP22"/>
      <c r="AQ22"/>
      <c r="AR22"/>
      <c r="AS22"/>
      <c r="AT22"/>
      <c r="AU22"/>
      <c r="AV22"/>
      <c r="AW22"/>
      <c r="BG22" s="142"/>
    </row>
    <row r="23" spans="2:59" x14ac:dyDescent="0.25">
      <c r="B23" s="569">
        <v>-100</v>
      </c>
      <c r="C23" s="570">
        <v>-0.6</v>
      </c>
      <c r="D23" s="570">
        <v>-0.5</v>
      </c>
      <c r="E23" s="571">
        <v>1.5</v>
      </c>
      <c r="F23" s="1662"/>
      <c r="H23" s="569">
        <v>-100</v>
      </c>
      <c r="I23" s="570">
        <f>-100.1+100</f>
        <v>-9.9999999999994316E-2</v>
      </c>
      <c r="J23" s="570">
        <f>-100.1+100</f>
        <v>-9.9999999999994316E-2</v>
      </c>
      <c r="K23" s="1664"/>
      <c r="M23" s="569">
        <v>-100</v>
      </c>
      <c r="N23" s="570">
        <f>-100.4+100</f>
        <v>-0.40000000000000568</v>
      </c>
      <c r="O23" s="570">
        <f>-100.4+100</f>
        <v>-0.40000000000000568</v>
      </c>
      <c r="P23" s="1657"/>
      <c r="R23" s="569">
        <f t="shared" ref="R23:R29" si="14">B23</f>
        <v>-100</v>
      </c>
      <c r="S23" s="572">
        <f t="shared" ref="S23:S29" si="15">C23</f>
        <v>-0.6</v>
      </c>
      <c r="T23" s="572">
        <f t="shared" ref="T23:T29" si="16">I23</f>
        <v>-9.9999999999994316E-2</v>
      </c>
      <c r="U23" s="572">
        <f t="shared" ref="U23:U29" si="17">N23</f>
        <v>-0.40000000000000568</v>
      </c>
      <c r="V23" s="573">
        <f t="shared" ref="V23:V29" si="18">0.5*(MAX(S23:U23)-(MIN(S23:U23)))</f>
        <v>0.25000000000000283</v>
      </c>
      <c r="W23" s="572">
        <f t="shared" si="11"/>
        <v>1.5</v>
      </c>
      <c r="X23" s="574">
        <f t="shared" si="12"/>
        <v>-0.5</v>
      </c>
      <c r="Y23" s="574">
        <f t="shared" si="13"/>
        <v>-9.9999999999994316E-2</v>
      </c>
      <c r="Z23" s="574">
        <f t="shared" ref="Z23:Z29" si="19">O23</f>
        <v>-0.40000000000000568</v>
      </c>
      <c r="AA23" s="573">
        <f t="shared" ref="AA23:AA29" si="20">0.5*(MAX(X23:Z23)-(MIN(X23:Z23)))</f>
        <v>0.20000000000000284</v>
      </c>
      <c r="AB23" s="570">
        <f t="shared" ref="AB23:AB29" si="21">E23</f>
        <v>1.5</v>
      </c>
      <c r="AC23" s="576" t="s">
        <v>435</v>
      </c>
      <c r="AD23" s="142" t="s">
        <v>796</v>
      </c>
      <c r="AE23" s="136">
        <f>ROWS(AD$10:$AD23)</f>
        <v>14</v>
      </c>
      <c r="AF23" s="136" t="str">
        <f>IF(ID!$A$91=AD23,AE23,"")</f>
        <v/>
      </c>
      <c r="AG23" s="136" t="str">
        <f>IFERROR(SMALL($AF$10:$AF$165,ROWS($AF$10:AF23)),"")</f>
        <v/>
      </c>
      <c r="AJ23"/>
      <c r="AK23"/>
      <c r="AL23"/>
      <c r="AM23"/>
      <c r="AN23"/>
      <c r="AO23"/>
      <c r="AP23"/>
      <c r="AQ23"/>
      <c r="AR23"/>
      <c r="AS23"/>
      <c r="AT23"/>
      <c r="AU23"/>
      <c r="AV23"/>
      <c r="AW23"/>
      <c r="BG23" s="142"/>
    </row>
    <row r="24" spans="2:59" x14ac:dyDescent="0.25">
      <c r="B24" s="569">
        <v>-200</v>
      </c>
      <c r="C24" s="570">
        <v>-0.3</v>
      </c>
      <c r="D24" s="570">
        <v>-0.3</v>
      </c>
      <c r="E24" s="571">
        <v>1.5</v>
      </c>
      <c r="F24" s="1662"/>
      <c r="H24" s="569">
        <v>-200</v>
      </c>
      <c r="I24" s="570">
        <f>-200.3+200</f>
        <v>-0.30000000000001137</v>
      </c>
      <c r="J24" s="570">
        <f>-200.3+200</f>
        <v>-0.30000000000001137</v>
      </c>
      <c r="K24" s="1664"/>
      <c r="M24" s="569">
        <v>-200</v>
      </c>
      <c r="N24" s="570">
        <v>-0.6</v>
      </c>
      <c r="O24" s="570">
        <v>-0.6</v>
      </c>
      <c r="P24" s="1657"/>
      <c r="R24" s="569">
        <f t="shared" si="14"/>
        <v>-200</v>
      </c>
      <c r="S24" s="572">
        <f t="shared" si="15"/>
        <v>-0.3</v>
      </c>
      <c r="T24" s="572">
        <f t="shared" si="16"/>
        <v>-0.30000000000001137</v>
      </c>
      <c r="U24" s="572">
        <f t="shared" si="17"/>
        <v>-0.6</v>
      </c>
      <c r="V24" s="573">
        <f t="shared" si="18"/>
        <v>0.15</v>
      </c>
      <c r="W24" s="572">
        <f t="shared" si="11"/>
        <v>1.5</v>
      </c>
      <c r="X24" s="574">
        <f t="shared" si="12"/>
        <v>-0.3</v>
      </c>
      <c r="Y24" s="574">
        <f t="shared" si="13"/>
        <v>-0.30000000000001137</v>
      </c>
      <c r="Z24" s="574">
        <f t="shared" si="19"/>
        <v>-0.6</v>
      </c>
      <c r="AA24" s="573">
        <f t="shared" si="20"/>
        <v>0.15</v>
      </c>
      <c r="AB24" s="570">
        <f t="shared" si="21"/>
        <v>1.5</v>
      </c>
      <c r="AC24" s="576" t="s">
        <v>435</v>
      </c>
      <c r="AD24" s="142" t="s">
        <v>796</v>
      </c>
      <c r="AE24" s="136">
        <f>ROWS(AD$10:$AD24)</f>
        <v>15</v>
      </c>
      <c r="AF24" s="136" t="str">
        <f>IF(ID!$A$91=AD24,AE24,"")</f>
        <v/>
      </c>
      <c r="AG24" s="136" t="str">
        <f>IFERROR(SMALL($AF$10:$AF$165,ROWS($AF$10:AF24)),"")</f>
        <v/>
      </c>
      <c r="AJ24" s="1661" t="s">
        <v>231</v>
      </c>
      <c r="AK24" s="1661"/>
      <c r="AL24" s="1661"/>
      <c r="AM24" s="1661"/>
      <c r="AN24" s="1661"/>
      <c r="AO24" s="1661"/>
      <c r="AP24" s="1661"/>
      <c r="AQ24" s="1661"/>
      <c r="AR24" s="1661"/>
      <c r="AS24" s="1661"/>
      <c r="AT24" s="1661"/>
      <c r="AU24"/>
      <c r="AV24"/>
      <c r="AW24"/>
      <c r="BG24" s="146"/>
    </row>
    <row r="25" spans="2:59" x14ac:dyDescent="0.25">
      <c r="B25" s="569">
        <v>-300</v>
      </c>
      <c r="C25" s="570">
        <v>-0.1</v>
      </c>
      <c r="D25" s="570">
        <v>0</v>
      </c>
      <c r="E25" s="571">
        <v>1.5</v>
      </c>
      <c r="F25" s="1662"/>
      <c r="H25" s="569">
        <v>-300</v>
      </c>
      <c r="I25" s="570">
        <f>-300.3+300</f>
        <v>-0.30000000000001137</v>
      </c>
      <c r="J25" s="570">
        <f>-300.3+300</f>
        <v>-0.30000000000001137</v>
      </c>
      <c r="K25" s="1664"/>
      <c r="M25" s="569">
        <v>-300</v>
      </c>
      <c r="N25" s="570">
        <v>-0.6</v>
      </c>
      <c r="O25" s="570">
        <v>-0.6</v>
      </c>
      <c r="P25" s="1657"/>
      <c r="R25" s="569">
        <f t="shared" si="14"/>
        <v>-300</v>
      </c>
      <c r="S25" s="572">
        <f t="shared" si="15"/>
        <v>-0.1</v>
      </c>
      <c r="T25" s="572">
        <f t="shared" si="16"/>
        <v>-0.30000000000001137</v>
      </c>
      <c r="U25" s="572">
        <f t="shared" si="17"/>
        <v>-0.6</v>
      </c>
      <c r="V25" s="573">
        <f t="shared" si="18"/>
        <v>0.25</v>
      </c>
      <c r="W25" s="572">
        <f t="shared" si="11"/>
        <v>1.5</v>
      </c>
      <c r="X25" s="574">
        <f t="shared" si="12"/>
        <v>0</v>
      </c>
      <c r="Y25" s="574">
        <f t="shared" si="13"/>
        <v>-0.30000000000001137</v>
      </c>
      <c r="Z25" s="574">
        <f t="shared" si="19"/>
        <v>-0.6</v>
      </c>
      <c r="AA25" s="573">
        <f t="shared" si="20"/>
        <v>0.3</v>
      </c>
      <c r="AB25" s="570">
        <f t="shared" si="21"/>
        <v>1.5</v>
      </c>
      <c r="AC25" s="576" t="s">
        <v>435</v>
      </c>
      <c r="AD25" s="142" t="s">
        <v>796</v>
      </c>
      <c r="AE25" s="136">
        <f>ROWS(AD$10:$AD25)</f>
        <v>16</v>
      </c>
      <c r="AF25" s="136" t="str">
        <f>IF(ID!$A$91=AD25,AE25,"")</f>
        <v/>
      </c>
      <c r="AG25" s="136" t="str">
        <f>IFERROR(SMALL($AF$10:$AF$165,ROWS($AF$10:AF25)),"")</f>
        <v/>
      </c>
      <c r="AJ25" s="111" t="str">
        <f>AJ9</f>
        <v>PA</v>
      </c>
      <c r="AK25" s="143" t="str">
        <f t="shared" ref="AK25:AT25" si="22">AK9</f>
        <v>Naik terbaru</v>
      </c>
      <c r="AL25" s="143" t="str">
        <f t="shared" si="22"/>
        <v>Naik Tengah</v>
      </c>
      <c r="AM25" s="143" t="str">
        <f t="shared" si="22"/>
        <v>Naik Lama</v>
      </c>
      <c r="AN25" s="143" t="str">
        <f t="shared" si="22"/>
        <v xml:space="preserve">DRIFT NAIK </v>
      </c>
      <c r="AO25" s="143" t="str">
        <f t="shared" si="22"/>
        <v>U95 Naik terbaru</v>
      </c>
      <c r="AP25" s="144" t="str">
        <f t="shared" si="22"/>
        <v>Turun Terbaru</v>
      </c>
      <c r="AQ25" s="144" t="str">
        <f t="shared" si="22"/>
        <v>Turun Tengah</v>
      </c>
      <c r="AR25" s="144" t="str">
        <f t="shared" si="22"/>
        <v>Turun Lama</v>
      </c>
      <c r="AS25" s="144" t="str">
        <f t="shared" si="22"/>
        <v>DRIFT TURUN</v>
      </c>
      <c r="AT25" s="144" t="str">
        <f t="shared" si="22"/>
        <v>U95 Turun terbaru</v>
      </c>
      <c r="AU25"/>
      <c r="AV25"/>
      <c r="AW25"/>
    </row>
    <row r="26" spans="2:59" x14ac:dyDescent="0.25">
      <c r="B26" s="569">
        <v>-400</v>
      </c>
      <c r="C26" s="570">
        <v>0.3</v>
      </c>
      <c r="D26" s="570">
        <v>0.5</v>
      </c>
      <c r="E26" s="571">
        <v>1.5</v>
      </c>
      <c r="F26" s="1662"/>
      <c r="H26" s="569">
        <v>-400</v>
      </c>
      <c r="I26" s="570">
        <f>-400.2+400</f>
        <v>-0.19999999999998863</v>
      </c>
      <c r="J26" s="570">
        <f>-400.2+400</f>
        <v>-0.19999999999998863</v>
      </c>
      <c r="K26" s="1664"/>
      <c r="M26" s="569">
        <v>-400</v>
      </c>
      <c r="N26" s="570">
        <v>-0.5</v>
      </c>
      <c r="O26" s="570">
        <v>-0.5</v>
      </c>
      <c r="P26" s="1657"/>
      <c r="R26" s="569">
        <f t="shared" si="14"/>
        <v>-400</v>
      </c>
      <c r="S26" s="572">
        <f t="shared" si="15"/>
        <v>0.3</v>
      </c>
      <c r="T26" s="572">
        <f t="shared" si="16"/>
        <v>-0.19999999999998863</v>
      </c>
      <c r="U26" s="572">
        <f t="shared" si="17"/>
        <v>-0.5</v>
      </c>
      <c r="V26" s="573">
        <f t="shared" si="18"/>
        <v>0.4</v>
      </c>
      <c r="W26" s="572">
        <f t="shared" si="11"/>
        <v>1.5</v>
      </c>
      <c r="X26" s="574">
        <f t="shared" si="12"/>
        <v>0.5</v>
      </c>
      <c r="Y26" s="574">
        <f t="shared" si="13"/>
        <v>-0.19999999999998863</v>
      </c>
      <c r="Z26" s="574">
        <f t="shared" si="19"/>
        <v>-0.5</v>
      </c>
      <c r="AA26" s="573">
        <f t="shared" si="20"/>
        <v>0.5</v>
      </c>
      <c r="AB26" s="570">
        <f t="shared" si="21"/>
        <v>1.5</v>
      </c>
      <c r="AC26" s="576" t="s">
        <v>435</v>
      </c>
      <c r="AD26" s="142" t="s">
        <v>796</v>
      </c>
      <c r="AE26" s="136">
        <f>ROWS(AD$10:$AD26)</f>
        <v>17</v>
      </c>
      <c r="AF26" s="136" t="str">
        <f>IF(ID!$A$91=AD26,AE26,"")</f>
        <v/>
      </c>
      <c r="AG26" s="136" t="str">
        <f>IFERROR(SMALL($AF$10:$AF$165,ROWS($AF$10:AF26)),"")</f>
        <v/>
      </c>
      <c r="AJ26" s="145">
        <f>IFERROR(AJ10*ID!$O$62,"-")</f>
        <v>0</v>
      </c>
      <c r="AK26" s="145">
        <f>IFERROR(AK10*ID!$O$62,"-")</f>
        <v>0</v>
      </c>
      <c r="AL26" s="145">
        <f>IFERROR(AL10*ID!$O$62,"-")</f>
        <v>0</v>
      </c>
      <c r="AM26" s="145" t="str">
        <f>IFERROR(AM10*ID!$O$62,"-")</f>
        <v>-</v>
      </c>
      <c r="AN26" s="145">
        <f>IFERROR(AN10*ID!$O$62,"-")</f>
        <v>0</v>
      </c>
      <c r="AO26" s="145">
        <f>IFERROR(AO10*ID!$O$62,"-")</f>
        <v>0.6</v>
      </c>
      <c r="AP26" s="145">
        <f>IFERROR(AP10*ID!$O$62,"-")</f>
        <v>0</v>
      </c>
      <c r="AQ26" s="145">
        <f>IFERROR(AQ10*ID!$O$62,"-")</f>
        <v>0</v>
      </c>
      <c r="AR26" s="145" t="str">
        <f>IFERROR(AR10*ID!$O$62,"-")</f>
        <v>-</v>
      </c>
      <c r="AS26" s="145">
        <f>IFERROR(AS10*ID!$O$62,"-")</f>
        <v>0</v>
      </c>
      <c r="AT26" s="1416">
        <f>IFERROR(AT10*ID!$O$62,"-")</f>
        <v>0.6</v>
      </c>
      <c r="AU26"/>
      <c r="AV26"/>
      <c r="AW26"/>
      <c r="BG26" s="141"/>
    </row>
    <row r="27" spans="2:59" x14ac:dyDescent="0.25">
      <c r="B27" s="569">
        <v>-500</v>
      </c>
      <c r="C27" s="570">
        <v>0.7</v>
      </c>
      <c r="D27" s="570">
        <v>0.7</v>
      </c>
      <c r="E27" s="571">
        <v>1.5</v>
      </c>
      <c r="F27" s="1662"/>
      <c r="H27" s="569">
        <v>-500</v>
      </c>
      <c r="I27" s="570">
        <f>-500.1+500</f>
        <v>-0.10000000000002274</v>
      </c>
      <c r="J27" s="570">
        <f>-500.1+500</f>
        <v>-0.10000000000002274</v>
      </c>
      <c r="K27" s="1664"/>
      <c r="M27" s="569">
        <v>-500</v>
      </c>
      <c r="N27" s="570">
        <v>-0.2</v>
      </c>
      <c r="O27" s="570">
        <v>-0.2</v>
      </c>
      <c r="P27" s="1657"/>
      <c r="R27" s="569">
        <f t="shared" si="14"/>
        <v>-500</v>
      </c>
      <c r="S27" s="572">
        <f t="shared" si="15"/>
        <v>0.7</v>
      </c>
      <c r="T27" s="572">
        <f t="shared" si="16"/>
        <v>-0.10000000000002274</v>
      </c>
      <c r="U27" s="572">
        <f t="shared" si="17"/>
        <v>-0.2</v>
      </c>
      <c r="V27" s="573">
        <f t="shared" si="18"/>
        <v>0.44999999999999996</v>
      </c>
      <c r="W27" s="572">
        <f t="shared" si="11"/>
        <v>1.5</v>
      </c>
      <c r="X27" s="574">
        <f t="shared" si="12"/>
        <v>0.7</v>
      </c>
      <c r="Y27" s="574">
        <f t="shared" si="13"/>
        <v>-0.10000000000002274</v>
      </c>
      <c r="Z27" s="574">
        <f t="shared" si="19"/>
        <v>-0.2</v>
      </c>
      <c r="AA27" s="573">
        <f t="shared" si="20"/>
        <v>0.44999999999999996</v>
      </c>
      <c r="AB27" s="570">
        <f t="shared" si="21"/>
        <v>1.5</v>
      </c>
      <c r="AC27" s="576" t="s">
        <v>435</v>
      </c>
      <c r="AD27" s="142" t="s">
        <v>796</v>
      </c>
      <c r="AE27" s="136">
        <f>ROWS(AD$10:$AD27)</f>
        <v>18</v>
      </c>
      <c r="AF27" s="136" t="str">
        <f>IF(ID!$A$91=AD27,AE27,"")</f>
        <v/>
      </c>
      <c r="AG27" s="136" t="str">
        <f>IFERROR(SMALL($AF$10:$AF$165,ROWS($AF$10:AF27)),"")</f>
        <v/>
      </c>
      <c r="AJ27" s="145">
        <f>IFERROR(AJ11*ID!$O$62,"-")</f>
        <v>-100</v>
      </c>
      <c r="AK27" s="145">
        <f>IFERROR(AK11*ID!$O$62,"-")</f>
        <v>-0.2</v>
      </c>
      <c r="AL27" s="145">
        <f>IFERROR(AL11*ID!$O$62,"-")</f>
        <v>-0.2</v>
      </c>
      <c r="AM27" s="145" t="str">
        <f>IFERROR(AM11*ID!$O$62,"-")</f>
        <v>-</v>
      </c>
      <c r="AN27" s="145">
        <f>IFERROR(AN11*ID!$O$62,"-")</f>
        <v>0</v>
      </c>
      <c r="AO27" s="145">
        <f>IFERROR(AO11*ID!$O$62,"-")</f>
        <v>0.6</v>
      </c>
      <c r="AP27" s="145">
        <f>IFERROR(AP11*ID!$O$62,"-")</f>
        <v>-0.2</v>
      </c>
      <c r="AQ27" s="145">
        <f>IFERROR(AQ11*ID!$O$62,"-")</f>
        <v>0</v>
      </c>
      <c r="AR27" s="145" t="str">
        <f>IFERROR(AR11*ID!$O$62,"-")</f>
        <v>-</v>
      </c>
      <c r="AS27" s="145">
        <f>IFERROR(AS11*ID!$O$62,"-")</f>
        <v>0.1</v>
      </c>
      <c r="AT27" s="1416">
        <f>IFERROR(AT11*ID!$O$62,"-")</f>
        <v>0.6</v>
      </c>
      <c r="AU27"/>
      <c r="AV27"/>
      <c r="AW27"/>
      <c r="BG27" s="141"/>
    </row>
    <row r="28" spans="2:59" s="141" customFormat="1" x14ac:dyDescent="0.25">
      <c r="B28" s="569">
        <v>-600</v>
      </c>
      <c r="C28" s="570">
        <v>0.7</v>
      </c>
      <c r="D28" s="570">
        <v>0.8</v>
      </c>
      <c r="E28" s="571">
        <v>1.5</v>
      </c>
      <c r="F28" s="1662"/>
      <c r="G28" s="563"/>
      <c r="H28" s="569">
        <v>-600</v>
      </c>
      <c r="I28" s="570">
        <f>-599.8+600</f>
        <v>0.20000000000004547</v>
      </c>
      <c r="J28" s="570">
        <f>-599.8+600</f>
        <v>0.20000000000004547</v>
      </c>
      <c r="K28" s="1664"/>
      <c r="L28" s="564"/>
      <c r="M28" s="569">
        <v>-600</v>
      </c>
      <c r="N28" s="570">
        <f>-599.8+600</f>
        <v>0.20000000000004547</v>
      </c>
      <c r="O28" s="570">
        <f>-599.8+600</f>
        <v>0.20000000000004547</v>
      </c>
      <c r="P28" s="1657"/>
      <c r="Q28" s="138"/>
      <c r="R28" s="569">
        <f t="shared" si="14"/>
        <v>-600</v>
      </c>
      <c r="S28" s="572">
        <f t="shared" si="15"/>
        <v>0.7</v>
      </c>
      <c r="T28" s="572">
        <f t="shared" si="16"/>
        <v>0.20000000000004547</v>
      </c>
      <c r="U28" s="572">
        <f t="shared" si="17"/>
        <v>0.20000000000004547</v>
      </c>
      <c r="V28" s="573">
        <f t="shared" si="18"/>
        <v>0.24999999999997724</v>
      </c>
      <c r="W28" s="572">
        <f t="shared" si="11"/>
        <v>1.5</v>
      </c>
      <c r="X28" s="574">
        <f t="shared" si="12"/>
        <v>0.8</v>
      </c>
      <c r="Y28" s="574">
        <f t="shared" si="13"/>
        <v>0.20000000000004547</v>
      </c>
      <c r="Z28" s="574">
        <f t="shared" si="19"/>
        <v>0.20000000000004547</v>
      </c>
      <c r="AA28" s="573">
        <f t="shared" si="20"/>
        <v>0.29999999999997728</v>
      </c>
      <c r="AB28" s="570">
        <f t="shared" si="21"/>
        <v>1.5</v>
      </c>
      <c r="AC28" s="576" t="s">
        <v>435</v>
      </c>
      <c r="AD28" s="142" t="s">
        <v>796</v>
      </c>
      <c r="AE28" s="136">
        <f>ROWS(AD$10:$AD28)</f>
        <v>19</v>
      </c>
      <c r="AF28" s="136" t="str">
        <f>IF(ID!$A$91=AD28,AE28,"")</f>
        <v/>
      </c>
      <c r="AG28" s="136" t="str">
        <f>IFERROR(SMALL($AF$10:$AF$165,ROWS($AF$10:AF28)),"")</f>
        <v/>
      </c>
      <c r="AH28" s="118"/>
      <c r="AI28" s="118"/>
      <c r="AJ28" s="145">
        <f>IFERROR(AJ12*ID!$O$62,"-")</f>
        <v>-200</v>
      </c>
      <c r="AK28" s="145">
        <f>IFERROR(AK12*ID!$O$62,"-")</f>
        <v>-0.5</v>
      </c>
      <c r="AL28" s="145">
        <f>IFERROR(AL12*ID!$O$62,"-")</f>
        <v>-0.8</v>
      </c>
      <c r="AM28" s="145" t="str">
        <f>IFERROR(AM12*ID!$O$62,"-")</f>
        <v>-</v>
      </c>
      <c r="AN28" s="145">
        <f>IFERROR(AN12*ID!$O$62,"-")</f>
        <v>0.15000000000000002</v>
      </c>
      <c r="AO28" s="145">
        <f>IFERROR(AO12*ID!$O$62,"-")</f>
        <v>0.6</v>
      </c>
      <c r="AP28" s="145">
        <f>IFERROR(AP12*ID!$O$62,"-")</f>
        <v>-0.5</v>
      </c>
      <c r="AQ28" s="145">
        <f>IFERROR(AQ12*ID!$O$62,"-")</f>
        <v>-0.5</v>
      </c>
      <c r="AR28" s="145" t="str">
        <f>IFERROR(AR12*ID!$O$62,"-")</f>
        <v>-</v>
      </c>
      <c r="AS28" s="145">
        <f>IFERROR(AS12*ID!$O$62,"-")</f>
        <v>0</v>
      </c>
      <c r="AT28" s="1416">
        <f>IFERROR(AT12*ID!$O$62,"-")</f>
        <v>0.6</v>
      </c>
      <c r="AU28"/>
      <c r="AV28"/>
      <c r="AW28"/>
      <c r="BG28" s="118"/>
    </row>
    <row r="29" spans="2:59" s="138" customFormat="1" x14ac:dyDescent="0.25">
      <c r="B29" s="577">
        <v>-700</v>
      </c>
      <c r="C29" s="578">
        <f>C28</f>
        <v>0.7</v>
      </c>
      <c r="D29" s="578">
        <f>D28</f>
        <v>0.8</v>
      </c>
      <c r="E29" s="578">
        <f>E28</f>
        <v>1.5</v>
      </c>
      <c r="F29" s="1662"/>
      <c r="G29" s="563"/>
      <c r="H29" s="577">
        <v>-700</v>
      </c>
      <c r="I29" s="579">
        <f>I28</f>
        <v>0.20000000000004547</v>
      </c>
      <c r="J29" s="579">
        <f>J28</f>
        <v>0.20000000000004547</v>
      </c>
      <c r="K29" s="1664"/>
      <c r="L29" s="564"/>
      <c r="M29" s="577">
        <v>-700</v>
      </c>
      <c r="N29" s="579">
        <f>-699.2+700</f>
        <v>0.79999999999995453</v>
      </c>
      <c r="O29" s="579">
        <f>-699.2+700</f>
        <v>0.79999999999995453</v>
      </c>
      <c r="P29" s="1657"/>
      <c r="R29" s="569">
        <f t="shared" si="14"/>
        <v>-700</v>
      </c>
      <c r="S29" s="572">
        <f t="shared" si="15"/>
        <v>0.7</v>
      </c>
      <c r="T29" s="572">
        <f t="shared" si="16"/>
        <v>0.20000000000004547</v>
      </c>
      <c r="U29" s="572">
        <f t="shared" si="17"/>
        <v>0.79999999999995453</v>
      </c>
      <c r="V29" s="573">
        <f t="shared" si="18"/>
        <v>0.29999999999995453</v>
      </c>
      <c r="W29" s="572">
        <f t="shared" si="11"/>
        <v>1.5</v>
      </c>
      <c r="X29" s="574">
        <f t="shared" si="12"/>
        <v>0.8</v>
      </c>
      <c r="Y29" s="574">
        <f t="shared" si="13"/>
        <v>0.20000000000004547</v>
      </c>
      <c r="Z29" s="574">
        <f t="shared" si="19"/>
        <v>0.79999999999995453</v>
      </c>
      <c r="AA29" s="573">
        <f t="shared" si="20"/>
        <v>0.29999999999997728</v>
      </c>
      <c r="AB29" s="570">
        <f t="shared" si="21"/>
        <v>1.5</v>
      </c>
      <c r="AC29" s="581" t="s">
        <v>435</v>
      </c>
      <c r="AD29" s="142" t="s">
        <v>796</v>
      </c>
      <c r="AE29" s="285">
        <f>ROWS(AD$10:$AD29)</f>
        <v>20</v>
      </c>
      <c r="AF29" s="285" t="str">
        <f>IF(ID!$A$91=AD29,AE29,"")</f>
        <v/>
      </c>
      <c r="AG29" s="285" t="str">
        <f>IFERROR(SMALL($AF$10:$AF$165,ROWS($AF$10:AF29)),"")</f>
        <v/>
      </c>
      <c r="AJ29" s="145">
        <f>IFERROR(AJ13*ID!$O$62,"-")</f>
        <v>-300</v>
      </c>
      <c r="AK29" s="145">
        <f>IFERROR(AK13*ID!$O$62,"-")</f>
        <v>-0.7</v>
      </c>
      <c r="AL29" s="145">
        <f>IFERROR(AL13*ID!$O$62,"-")</f>
        <v>-1.2</v>
      </c>
      <c r="AM29" s="145" t="str">
        <f>IFERROR(AM13*ID!$O$62,"-")</f>
        <v>-</v>
      </c>
      <c r="AN29" s="145">
        <f>IFERROR(AN13*ID!$O$62,"-")</f>
        <v>0.25</v>
      </c>
      <c r="AO29" s="145">
        <f>IFERROR(AO13*ID!$O$62,"-")</f>
        <v>0.6</v>
      </c>
      <c r="AP29" s="145">
        <f>IFERROR(AP13*ID!$O$62,"-")</f>
        <v>-0.7</v>
      </c>
      <c r="AQ29" s="145">
        <f>IFERROR(AQ13*ID!$O$62,"-")</f>
        <v>-0.9</v>
      </c>
      <c r="AR29" s="145" t="str">
        <f>IFERROR(AR13*ID!$O$62,"-")</f>
        <v>-</v>
      </c>
      <c r="AS29" s="145">
        <f>IFERROR(AS13*ID!$O$62,"-")</f>
        <v>0.10000000000000003</v>
      </c>
      <c r="AT29" s="1416">
        <f>IFERROR(AT13*ID!$O$62,"-")</f>
        <v>0.6</v>
      </c>
      <c r="AU29" s="147"/>
      <c r="AV29" s="147"/>
      <c r="AW29" s="147"/>
      <c r="BG29" s="148"/>
    </row>
    <row r="30" spans="2:59" s="138" customFormat="1" x14ac:dyDescent="0.25">
      <c r="B30" s="577"/>
      <c r="C30" s="583"/>
      <c r="D30" s="583"/>
      <c r="E30" s="583"/>
      <c r="G30" s="563"/>
      <c r="H30" s="577"/>
      <c r="I30" s="578"/>
      <c r="J30" s="578"/>
      <c r="L30" s="564"/>
      <c r="M30" s="577"/>
      <c r="N30" s="578"/>
      <c r="O30" s="578"/>
      <c r="R30" s="580"/>
      <c r="S30" s="572"/>
      <c r="T30" s="572"/>
      <c r="U30" s="572"/>
      <c r="V30" s="573"/>
      <c r="W30" s="572"/>
      <c r="X30" s="574"/>
      <c r="Y30" s="574"/>
      <c r="Z30" s="574"/>
      <c r="AA30" s="573"/>
      <c r="AB30" s="575"/>
      <c r="AC30" s="576"/>
      <c r="AD30" s="146"/>
      <c r="AE30" s="136">
        <f>ROWS(AD$10:$AD30)</f>
        <v>21</v>
      </c>
      <c r="AF30" s="136" t="str">
        <f>IF(ID!$A$91=AD30,AE30,"")</f>
        <v/>
      </c>
      <c r="AG30" s="136" t="str">
        <f>IFERROR(SMALL($AF$10:$AF$165,ROWS($AF$10:AF30)),"")</f>
        <v/>
      </c>
      <c r="AJ30" s="145">
        <f>IFERROR(AJ14*ID!$O$62,"-")</f>
        <v>-400</v>
      </c>
      <c r="AK30" s="145">
        <f>IFERROR(AK14*ID!$O$62,"-")</f>
        <v>-0.9</v>
      </c>
      <c r="AL30" s="145">
        <f>IFERROR(AL14*ID!$O$62,"-")</f>
        <v>-1.3</v>
      </c>
      <c r="AM30" s="145" t="str">
        <f>IFERROR(AM14*ID!$O$62,"-")</f>
        <v>-</v>
      </c>
      <c r="AN30" s="145">
        <f>IFERROR(AN14*ID!$O$62,"-")</f>
        <v>0.2</v>
      </c>
      <c r="AO30" s="145">
        <f>IFERROR(AO14*ID!$O$62,"-")</f>
        <v>0.6</v>
      </c>
      <c r="AP30" s="145">
        <f>IFERROR(AP14*ID!$O$62,"-")</f>
        <v>-0.9</v>
      </c>
      <c r="AQ30" s="145">
        <f>IFERROR(AQ14*ID!$O$62,"-")</f>
        <v>-1</v>
      </c>
      <c r="AR30" s="145" t="str">
        <f>IFERROR(AR14*ID!$O$62,"-")</f>
        <v>-</v>
      </c>
      <c r="AS30" s="145">
        <f>IFERROR(AS14*ID!$O$62,"-")</f>
        <v>4.9999999999999989E-2</v>
      </c>
      <c r="AT30" s="1416">
        <f>IFERROR(AT14*ID!$O$62,"-")</f>
        <v>0.6</v>
      </c>
      <c r="AU30" s="147"/>
      <c r="AV30" s="147"/>
      <c r="AW30" s="147"/>
      <c r="BG30" s="121"/>
    </row>
    <row r="31" spans="2:59" x14ac:dyDescent="0.25">
      <c r="AE31" s="136">
        <f>ROWS(AD$10:$AD31)</f>
        <v>22</v>
      </c>
      <c r="AF31" s="136" t="str">
        <f>IF(ID!$A$91=AD31,AE31,"")</f>
        <v/>
      </c>
      <c r="AG31" s="136" t="str">
        <f>IFERROR(SMALL($AF$10:$AF$165,ROWS($AF$10:AF31)),"")</f>
        <v/>
      </c>
      <c r="AJ31" s="145">
        <f>IFERROR(AJ15*ID!$O$62,"-")</f>
        <v>-500</v>
      </c>
      <c r="AK31" s="145">
        <f>IFERROR(AK15*ID!$O$62,"-")</f>
        <v>-1.1000000000000001</v>
      </c>
      <c r="AL31" s="145">
        <f>IFERROR(AL15*ID!$O$62,"-")</f>
        <v>-1.6</v>
      </c>
      <c r="AM31" s="145" t="str">
        <f>IFERROR(AM15*ID!$O$62,"-")</f>
        <v>-</v>
      </c>
      <c r="AN31" s="145">
        <f>IFERROR(AN15*ID!$O$62,"-")</f>
        <v>0.25</v>
      </c>
      <c r="AO31" s="145">
        <f>IFERROR(AO15*ID!$O$62,"-")</f>
        <v>0.6</v>
      </c>
      <c r="AP31" s="145">
        <f>IFERROR(AP15*ID!$O$62,"-")</f>
        <v>-1.1000000000000001</v>
      </c>
      <c r="AQ31" s="145">
        <f>IFERROR(AQ15*ID!$O$62,"-")</f>
        <v>-1.4</v>
      </c>
      <c r="AR31" s="145" t="str">
        <f>IFERROR(AR15*ID!$O$62,"-")</f>
        <v>-</v>
      </c>
      <c r="AS31" s="145">
        <f>IFERROR(AS15*ID!$O$62,"-")</f>
        <v>0.14999999999999991</v>
      </c>
      <c r="AT31" s="1416">
        <f>IFERROR(AT15*ID!$O$62,"-")</f>
        <v>0.6</v>
      </c>
      <c r="AU31"/>
      <c r="AV31"/>
      <c r="AW31"/>
      <c r="BG31" s="121"/>
    </row>
    <row r="32" spans="2:59" x14ac:dyDescent="0.25">
      <c r="R32" s="141"/>
      <c r="S32" s="141"/>
      <c r="T32" s="141"/>
      <c r="U32" s="141"/>
      <c r="V32" s="141"/>
      <c r="W32" s="141"/>
      <c r="X32" s="141"/>
      <c r="Y32" s="141"/>
      <c r="Z32" s="141"/>
      <c r="AA32" s="141"/>
      <c r="AB32" s="141"/>
      <c r="AC32" s="141"/>
      <c r="AD32" s="141"/>
      <c r="AE32" s="136">
        <f>ROWS(AD$10:$AD32)</f>
        <v>23</v>
      </c>
      <c r="AF32" s="136" t="str">
        <f>IF(ID!$A$91=AD32,AE32,"")</f>
        <v/>
      </c>
      <c r="AG32" s="136" t="str">
        <f>IFERROR(SMALL($AF$10:$AF$165,ROWS($AF$10:AF32)),"")</f>
        <v/>
      </c>
      <c r="AJ32" s="145">
        <f>IFERROR(AJ16*ID!$O$62,"-")</f>
        <v>-600</v>
      </c>
      <c r="AK32" s="145">
        <f>IFERROR(AK16*ID!$O$62,"-")</f>
        <v>-1.2</v>
      </c>
      <c r="AL32" s="145">
        <f>IFERROR(AL16*ID!$O$62,"-")</f>
        <v>-1.8</v>
      </c>
      <c r="AM32" s="145" t="str">
        <f>IFERROR(AM16*ID!$O$62,"-")</f>
        <v>-</v>
      </c>
      <c r="AN32" s="145">
        <f>IFERROR(AN16*ID!$O$62,"-")</f>
        <v>0.30000000000000004</v>
      </c>
      <c r="AO32" s="145">
        <f>IFERROR(AO16*ID!$O$62,"-")</f>
        <v>0.6</v>
      </c>
      <c r="AP32" s="145">
        <f>IFERROR(AP16*ID!$O$62,"-")</f>
        <v>-1.2</v>
      </c>
      <c r="AQ32" s="145">
        <f>IFERROR(AQ16*ID!$O$62,"-")</f>
        <v>-1.5</v>
      </c>
      <c r="AR32" s="145" t="str">
        <f>IFERROR(AR16*ID!$O$62,"-")</f>
        <v>-</v>
      </c>
      <c r="AS32" s="145">
        <f>IFERROR(AS16*ID!$O$62,"-")</f>
        <v>0.15000000000000002</v>
      </c>
      <c r="AT32" s="1416">
        <f>IFERROR(AT16*ID!$O$62,"-")</f>
        <v>0.6</v>
      </c>
      <c r="AU32"/>
      <c r="AV32"/>
      <c r="AW32"/>
      <c r="BG32" s="121"/>
    </row>
    <row r="33" spans="1:59" x14ac:dyDescent="0.25">
      <c r="R33" s="141"/>
      <c r="S33" s="141"/>
      <c r="T33" s="141"/>
      <c r="U33" s="141"/>
      <c r="V33" s="141"/>
      <c r="W33" s="141"/>
      <c r="X33" s="141"/>
      <c r="Y33" s="141"/>
      <c r="Z33" s="141"/>
      <c r="AA33" s="141"/>
      <c r="AB33" s="141"/>
      <c r="AC33" s="141"/>
      <c r="AD33" s="141"/>
      <c r="AE33" s="136">
        <f>ROWS(AD$10:$AD33)</f>
        <v>24</v>
      </c>
      <c r="AF33" s="136" t="str">
        <f>IF(ID!$A$91=AD33,AE33,"")</f>
        <v/>
      </c>
      <c r="AG33" s="136" t="str">
        <f>IFERROR(SMALL($AF$10:$AF$165,ROWS($AF$10:AF33)),"")</f>
        <v/>
      </c>
      <c r="AJ33" s="145">
        <f>IFERROR(AJ17*ID!$O$62,"-")</f>
        <v>-700</v>
      </c>
      <c r="AK33" s="145">
        <f>IFERROR(AK17*ID!$O$62,"-")</f>
        <v>-1.3</v>
      </c>
      <c r="AL33" s="145">
        <f>IFERROR(AL17*ID!$O$62,"-")</f>
        <v>-1.8</v>
      </c>
      <c r="AM33" s="145" t="str">
        <f>IFERROR(AM17*ID!$O$62,"-")</f>
        <v>-</v>
      </c>
      <c r="AN33" s="145">
        <f>IFERROR(AN17*ID!$O$62,"-")</f>
        <v>0.25</v>
      </c>
      <c r="AO33" s="145">
        <f>IFERROR(AO17*ID!$O$62,"-")</f>
        <v>0.6</v>
      </c>
      <c r="AP33" s="145">
        <f>IFERROR(AP17*ID!$O$62,"-")</f>
        <v>-1.3</v>
      </c>
      <c r="AQ33" s="145">
        <f>IFERROR(AQ17*ID!$O$62,"-")</f>
        <v>-1.5</v>
      </c>
      <c r="AR33" s="145" t="str">
        <f>IFERROR(AR17*ID!$O$62,"-")</f>
        <v>-</v>
      </c>
      <c r="AS33" s="145">
        <f>IFERROR(AS17*ID!$O$62,"-")</f>
        <v>9.9999999999999978E-2</v>
      </c>
      <c r="AT33" s="1416">
        <f>IFERROR(AT17*ID!$O$62,"-")</f>
        <v>0.6</v>
      </c>
      <c r="AU33"/>
      <c r="AV33"/>
      <c r="AW33"/>
      <c r="BG33" s="121"/>
    </row>
    <row r="34" spans="1:59" ht="17.399999999999999" x14ac:dyDescent="0.3">
      <c r="B34" s="1653" t="s">
        <v>371</v>
      </c>
      <c r="C34" s="1653"/>
      <c r="D34" s="1653"/>
      <c r="E34" s="1653"/>
      <c r="F34" s="1653"/>
      <c r="G34" s="565"/>
      <c r="H34" s="1653" t="s">
        <v>455</v>
      </c>
      <c r="I34" s="1653"/>
      <c r="J34" s="1653"/>
      <c r="K34" s="1653"/>
      <c r="L34" s="566"/>
      <c r="M34" s="1653" t="s">
        <v>372</v>
      </c>
      <c r="N34" s="1653"/>
      <c r="O34" s="1653"/>
      <c r="P34" s="1653"/>
      <c r="R34" s="585"/>
      <c r="S34" s="584"/>
      <c r="T34" s="584"/>
      <c r="U34" s="584"/>
      <c r="V34" s="1067" t="s">
        <v>885</v>
      </c>
      <c r="AA34" s="1067" t="s">
        <v>885</v>
      </c>
      <c r="AE34" s="136">
        <f>ROWS(AD$10:$AD34)</f>
        <v>25</v>
      </c>
      <c r="AF34" s="136" t="str">
        <f>IF(ID!$A$91=AD34,AE34,"")</f>
        <v/>
      </c>
      <c r="AG34" s="136" t="str">
        <f>IFERROR(SMALL($AF$10:$AF$165,ROWS($AF$10:AF34)),"")</f>
        <v/>
      </c>
      <c r="AJ34" s="145"/>
      <c r="AK34" s="145"/>
      <c r="AL34" s="145"/>
      <c r="AM34" s="145"/>
      <c r="AN34" s="145"/>
      <c r="AO34" s="145"/>
      <c r="AP34" s="145"/>
      <c r="AQ34" s="145"/>
      <c r="AR34" s="145"/>
      <c r="AS34" s="145"/>
      <c r="AT34" s="145"/>
      <c r="AU34"/>
      <c r="AV34"/>
      <c r="AW34"/>
      <c r="BG34" s="121"/>
    </row>
    <row r="35" spans="1:59" ht="12.75" customHeight="1" x14ac:dyDescent="0.25">
      <c r="A35" s="1068"/>
      <c r="B35" s="1069" t="s">
        <v>41</v>
      </c>
      <c r="C35" s="1069" t="s">
        <v>375</v>
      </c>
      <c r="D35" s="1069" t="s">
        <v>376</v>
      </c>
      <c r="E35" s="1069" t="s">
        <v>211</v>
      </c>
      <c r="F35" s="1670" t="s">
        <v>227</v>
      </c>
      <c r="G35" s="1070"/>
      <c r="H35" s="1069" t="s">
        <v>41</v>
      </c>
      <c r="I35" s="1069" t="s">
        <v>375</v>
      </c>
      <c r="J35" s="1069" t="s">
        <v>377</v>
      </c>
      <c r="K35" s="1658" t="s">
        <v>201</v>
      </c>
      <c r="L35" s="1071"/>
      <c r="M35" s="1069" t="s">
        <v>41</v>
      </c>
      <c r="N35" s="1069" t="s">
        <v>375</v>
      </c>
      <c r="O35" s="1069" t="s">
        <v>377</v>
      </c>
      <c r="P35" s="1658" t="s">
        <v>201</v>
      </c>
      <c r="Q35" s="1072"/>
      <c r="R35" s="1069" t="s">
        <v>41</v>
      </c>
      <c r="S35" s="1073" t="s">
        <v>228</v>
      </c>
      <c r="T35" s="1073" t="s">
        <v>456</v>
      </c>
      <c r="U35" s="1073" t="s">
        <v>457</v>
      </c>
      <c r="V35" s="1073" t="s">
        <v>222</v>
      </c>
      <c r="W35" s="1073" t="s">
        <v>223</v>
      </c>
      <c r="X35" s="1074" t="s">
        <v>229</v>
      </c>
      <c r="Y35" s="1074" t="s">
        <v>458</v>
      </c>
      <c r="Z35" s="1074" t="s">
        <v>459</v>
      </c>
      <c r="AA35" s="1074" t="s">
        <v>224</v>
      </c>
      <c r="AB35" s="1074" t="s">
        <v>225</v>
      </c>
      <c r="AC35" s="1075" t="s">
        <v>93</v>
      </c>
      <c r="AD35" s="120" t="s">
        <v>48</v>
      </c>
      <c r="AE35" s="136">
        <f>ROWS(AD$10:$AD35)</f>
        <v>26</v>
      </c>
      <c r="AF35" s="136" t="str">
        <f>IF(ID!$A$91=AD35,AE35,"")</f>
        <v/>
      </c>
      <c r="AG35" s="136" t="str">
        <f>IFERROR(SMALL($AF$10:$AF$165,ROWS($AF$10:AF35)),"")</f>
        <v/>
      </c>
      <c r="AJ35" s="145"/>
      <c r="AK35" s="145"/>
      <c r="AL35" s="145"/>
      <c r="AM35" s="145"/>
      <c r="AN35" s="145"/>
      <c r="AO35" s="145"/>
      <c r="AP35" s="145"/>
      <c r="AQ35" s="145"/>
      <c r="AR35" s="145"/>
      <c r="AS35" s="145"/>
      <c r="AT35" s="145"/>
      <c r="AU35"/>
      <c r="AV35"/>
      <c r="AW35"/>
      <c r="BG35" s="121"/>
    </row>
    <row r="36" spans="1:59" x14ac:dyDescent="0.25">
      <c r="A36" s="1068"/>
      <c r="B36" s="1076">
        <v>0</v>
      </c>
      <c r="C36" s="1077">
        <f>0+0</f>
        <v>0</v>
      </c>
      <c r="D36" s="1077">
        <f>0+0</f>
        <v>0</v>
      </c>
      <c r="E36" s="1078">
        <v>2</v>
      </c>
      <c r="F36" s="1671"/>
      <c r="G36" s="1070"/>
      <c r="H36" s="1076">
        <v>0</v>
      </c>
      <c r="I36" s="1077" t="s">
        <v>201</v>
      </c>
      <c r="J36" s="1077" t="s">
        <v>201</v>
      </c>
      <c r="K36" s="1659"/>
      <c r="L36" s="1071"/>
      <c r="M36" s="1076">
        <v>0</v>
      </c>
      <c r="N36" s="1077" t="s">
        <v>201</v>
      </c>
      <c r="O36" s="1077" t="s">
        <v>201</v>
      </c>
      <c r="P36" s="1659"/>
      <c r="Q36" s="1072"/>
      <c r="R36" s="1079">
        <f>B36</f>
        <v>0</v>
      </c>
      <c r="S36" s="1080">
        <f>C36</f>
        <v>0</v>
      </c>
      <c r="T36" s="1080" t="str">
        <f>I36</f>
        <v>-</v>
      </c>
      <c r="U36" s="1080" t="str">
        <f>N36</f>
        <v>-</v>
      </c>
      <c r="V36" s="1081">
        <f>(1/3)*W36</f>
        <v>0.66666666666666663</v>
      </c>
      <c r="W36" s="1082">
        <f t="shared" ref="W36:W47" si="23">E36</f>
        <v>2</v>
      </c>
      <c r="X36" s="1083">
        <f t="shared" ref="X36:X43" si="24">D36</f>
        <v>0</v>
      </c>
      <c r="Y36" s="1083" t="str">
        <f t="shared" ref="Y36:Y43" si="25">J36</f>
        <v>-</v>
      </c>
      <c r="Z36" s="1083" t="str">
        <f>O36</f>
        <v>-</v>
      </c>
      <c r="AA36" s="1081"/>
      <c r="AB36" s="570">
        <f>E36</f>
        <v>2</v>
      </c>
      <c r="AC36" s="1084" t="s">
        <v>436</v>
      </c>
      <c r="AE36" s="136">
        <f>ROWS(AD$10:$AD36)</f>
        <v>27</v>
      </c>
      <c r="AF36" s="136" t="str">
        <f>IF(ID!$A$91=AW36,AE36,"")</f>
        <v/>
      </c>
      <c r="AG36" s="136" t="str">
        <f>IFERROR(SMALL($AF$10:$AF$165,ROWS($AF$10:AF36)),"")</f>
        <v/>
      </c>
      <c r="AJ36" s="145"/>
      <c r="AK36" s="145"/>
      <c r="AL36" s="145"/>
      <c r="AM36" s="145"/>
      <c r="AN36" s="145"/>
      <c r="AO36" s="145"/>
      <c r="AP36" s="145"/>
      <c r="AQ36" s="145"/>
      <c r="AR36" s="145"/>
      <c r="AS36" s="145"/>
      <c r="AT36" s="145"/>
      <c r="AU36"/>
      <c r="AV36"/>
      <c r="AW36" s="121" t="s">
        <v>799</v>
      </c>
      <c r="BG36" s="121"/>
    </row>
    <row r="37" spans="1:59" x14ac:dyDescent="0.25">
      <c r="A37" s="1068"/>
      <c r="B37" s="1076">
        <v>-50</v>
      </c>
      <c r="C37" s="1077">
        <f>-50+50</f>
        <v>0</v>
      </c>
      <c r="D37" s="1077">
        <f>-50+50</f>
        <v>0</v>
      </c>
      <c r="E37" s="1078">
        <v>2</v>
      </c>
      <c r="F37" s="1671"/>
      <c r="G37" s="1070"/>
      <c r="H37" s="1076">
        <v>-50</v>
      </c>
      <c r="I37" s="1077" t="s">
        <v>201</v>
      </c>
      <c r="J37" s="1077" t="s">
        <v>201</v>
      </c>
      <c r="K37" s="1659"/>
      <c r="L37" s="1071"/>
      <c r="M37" s="1076">
        <v>-50</v>
      </c>
      <c r="N37" s="1077" t="s">
        <v>201</v>
      </c>
      <c r="O37" s="1077" t="s">
        <v>201</v>
      </c>
      <c r="P37" s="1659"/>
      <c r="Q37" s="1072"/>
      <c r="R37" s="1079">
        <f t="shared" ref="R37:R47" si="26">B37</f>
        <v>-50</v>
      </c>
      <c r="S37" s="1080">
        <f t="shared" ref="S37:S43" si="27">C37</f>
        <v>0</v>
      </c>
      <c r="T37" s="1080" t="str">
        <f t="shared" ref="T37:T43" si="28">I37</f>
        <v>-</v>
      </c>
      <c r="U37" s="1080" t="str">
        <f t="shared" ref="U37:U43" si="29">N37</f>
        <v>-</v>
      </c>
      <c r="V37" s="1081">
        <f t="shared" ref="V37:V47" si="30">(1/3)*W37</f>
        <v>0.66666666666666663</v>
      </c>
      <c r="W37" s="1082">
        <f t="shared" si="23"/>
        <v>2</v>
      </c>
      <c r="X37" s="1083">
        <f t="shared" si="24"/>
        <v>0</v>
      </c>
      <c r="Y37" s="1083" t="str">
        <f t="shared" si="25"/>
        <v>-</v>
      </c>
      <c r="Z37" s="1083" t="str">
        <f t="shared" ref="Z37:Z43" si="31">O37</f>
        <v>-</v>
      </c>
      <c r="AA37" s="1081"/>
      <c r="AB37" s="570">
        <f t="shared" ref="AB37:AB47" si="32">E37</f>
        <v>2</v>
      </c>
      <c r="AC37" s="1084" t="s">
        <v>436</v>
      </c>
      <c r="AE37" s="136">
        <f>ROWS(AD$10:$AD37)</f>
        <v>28</v>
      </c>
      <c r="AF37" s="136" t="str">
        <f>IF(ID!$A$91=AW37,AE37,"")</f>
        <v/>
      </c>
      <c r="AG37" s="136" t="str">
        <f>IFERROR(SMALL($AF$10:$AF$165,ROWS($AF$10:AF37)),"")</f>
        <v/>
      </c>
      <c r="AJ37" s="145"/>
      <c r="AK37" s="145"/>
      <c r="AL37" s="145"/>
      <c r="AM37" s="145"/>
      <c r="AN37" s="145"/>
      <c r="AO37" s="145"/>
      <c r="AP37" s="145"/>
      <c r="AQ37" s="145"/>
      <c r="AR37" s="145"/>
      <c r="AS37" s="145"/>
      <c r="AT37" s="145"/>
      <c r="AU37"/>
      <c r="AV37"/>
      <c r="AW37" s="121" t="s">
        <v>799</v>
      </c>
      <c r="BG37" s="121"/>
    </row>
    <row r="38" spans="1:59" x14ac:dyDescent="0.25">
      <c r="A38" s="1068"/>
      <c r="B38" s="1076">
        <v>-100</v>
      </c>
      <c r="C38" s="1077">
        <f>-100+100</f>
        <v>0</v>
      </c>
      <c r="D38" s="1077">
        <f>-100+100</f>
        <v>0</v>
      </c>
      <c r="E38" s="1078">
        <v>2</v>
      </c>
      <c r="F38" s="1671"/>
      <c r="G38" s="1070"/>
      <c r="H38" s="1076">
        <v>-100</v>
      </c>
      <c r="I38" s="1077" t="s">
        <v>201</v>
      </c>
      <c r="J38" s="1077" t="s">
        <v>201</v>
      </c>
      <c r="K38" s="1659"/>
      <c r="L38" s="1071"/>
      <c r="M38" s="1076">
        <v>-100</v>
      </c>
      <c r="N38" s="1077" t="s">
        <v>201</v>
      </c>
      <c r="O38" s="1077" t="s">
        <v>201</v>
      </c>
      <c r="P38" s="1659"/>
      <c r="Q38" s="1072"/>
      <c r="R38" s="1079">
        <f t="shared" si="26"/>
        <v>-100</v>
      </c>
      <c r="S38" s="1080">
        <f t="shared" si="27"/>
        <v>0</v>
      </c>
      <c r="T38" s="1080" t="str">
        <f t="shared" si="28"/>
        <v>-</v>
      </c>
      <c r="U38" s="1080" t="str">
        <f t="shared" si="29"/>
        <v>-</v>
      </c>
      <c r="V38" s="1081">
        <f t="shared" si="30"/>
        <v>0.66666666666666663</v>
      </c>
      <c r="W38" s="1082">
        <f t="shared" si="23"/>
        <v>2</v>
      </c>
      <c r="X38" s="1083">
        <f t="shared" si="24"/>
        <v>0</v>
      </c>
      <c r="Y38" s="1083" t="str">
        <f t="shared" si="25"/>
        <v>-</v>
      </c>
      <c r="Z38" s="1083" t="str">
        <f t="shared" si="31"/>
        <v>-</v>
      </c>
      <c r="AA38" s="1081"/>
      <c r="AB38" s="570">
        <f t="shared" si="32"/>
        <v>2</v>
      </c>
      <c r="AC38" s="1084" t="s">
        <v>436</v>
      </c>
      <c r="AE38" s="136">
        <f>ROWS(AD$10:$AD38)</f>
        <v>29</v>
      </c>
      <c r="AF38" s="136" t="str">
        <f>IF(ID!$A$91=AW38,AE38,"")</f>
        <v/>
      </c>
      <c r="AG38" s="136" t="str">
        <f>IFERROR(SMALL($AF$10:$AF$165,ROWS($AF$10:AF38)),"")</f>
        <v/>
      </c>
      <c r="AJ38"/>
      <c r="AK38"/>
      <c r="AL38"/>
      <c r="AM38"/>
      <c r="AN38"/>
      <c r="AO38"/>
      <c r="AP38"/>
      <c r="AQ38"/>
      <c r="AR38"/>
      <c r="AS38" s="362" t="s">
        <v>243</v>
      </c>
      <c r="AT38" s="363">
        <f>IFERROR(MAX(AT26:AT37),"")</f>
        <v>0.6</v>
      </c>
      <c r="AU38"/>
      <c r="AV38"/>
      <c r="AW38" s="121" t="s">
        <v>799</v>
      </c>
      <c r="BG38" s="121"/>
    </row>
    <row r="39" spans="1:59" x14ac:dyDescent="0.25">
      <c r="A39" s="1068"/>
      <c r="B39" s="1076">
        <v>-200</v>
      </c>
      <c r="C39" s="1077">
        <f>-200+200</f>
        <v>0</v>
      </c>
      <c r="D39" s="1077">
        <f>-200+200</f>
        <v>0</v>
      </c>
      <c r="E39" s="1078">
        <v>2</v>
      </c>
      <c r="F39" s="1671"/>
      <c r="G39" s="1070"/>
      <c r="H39" s="1076">
        <v>-200</v>
      </c>
      <c r="I39" s="1077" t="s">
        <v>201</v>
      </c>
      <c r="J39" s="1077" t="s">
        <v>201</v>
      </c>
      <c r="K39" s="1659"/>
      <c r="L39" s="1071"/>
      <c r="M39" s="1076">
        <v>-200</v>
      </c>
      <c r="N39" s="1077" t="s">
        <v>201</v>
      </c>
      <c r="O39" s="1077" t="s">
        <v>201</v>
      </c>
      <c r="P39" s="1659"/>
      <c r="Q39" s="1072"/>
      <c r="R39" s="1079">
        <f t="shared" si="26"/>
        <v>-200</v>
      </c>
      <c r="S39" s="1080">
        <f t="shared" si="27"/>
        <v>0</v>
      </c>
      <c r="T39" s="1080" t="str">
        <f t="shared" si="28"/>
        <v>-</v>
      </c>
      <c r="U39" s="1080" t="str">
        <f t="shared" si="29"/>
        <v>-</v>
      </c>
      <c r="V39" s="1081">
        <f t="shared" si="30"/>
        <v>0.66666666666666663</v>
      </c>
      <c r="W39" s="1082">
        <f t="shared" si="23"/>
        <v>2</v>
      </c>
      <c r="X39" s="1083">
        <f t="shared" si="24"/>
        <v>0</v>
      </c>
      <c r="Y39" s="1083" t="str">
        <f t="shared" si="25"/>
        <v>-</v>
      </c>
      <c r="Z39" s="1083" t="str">
        <f t="shared" si="31"/>
        <v>-</v>
      </c>
      <c r="AA39" s="1081"/>
      <c r="AB39" s="570">
        <f t="shared" si="32"/>
        <v>2</v>
      </c>
      <c r="AC39" s="1084" t="s">
        <v>436</v>
      </c>
      <c r="AE39" s="136">
        <f>ROWS(AD$10:$AD39)</f>
        <v>30</v>
      </c>
      <c r="AF39" s="136" t="str">
        <f>IF(ID!$A$91=AW39,AE39,"")</f>
        <v/>
      </c>
      <c r="AG39" s="136" t="str">
        <f>IFERROR(SMALL($AF$10:$AF$165,ROWS($AF$10:AF39)),"")</f>
        <v/>
      </c>
      <c r="AJ39"/>
      <c r="AK39"/>
      <c r="AL39"/>
      <c r="AM39"/>
      <c r="AN39"/>
      <c r="AO39"/>
      <c r="AP39"/>
      <c r="AQ39"/>
      <c r="AR39"/>
      <c r="AU39"/>
      <c r="AV39"/>
      <c r="AW39" s="121" t="s">
        <v>799</v>
      </c>
      <c r="BG39" s="121"/>
    </row>
    <row r="40" spans="1:59" x14ac:dyDescent="0.25">
      <c r="A40" s="1068"/>
      <c r="B40" s="1076">
        <v>-250</v>
      </c>
      <c r="C40" s="1077">
        <f>-250+250</f>
        <v>0</v>
      </c>
      <c r="D40" s="1077">
        <f>-250+250</f>
        <v>0</v>
      </c>
      <c r="E40" s="1078">
        <v>2</v>
      </c>
      <c r="F40" s="1671"/>
      <c r="G40" s="1070"/>
      <c r="H40" s="1076">
        <v>-250</v>
      </c>
      <c r="I40" s="1077" t="s">
        <v>201</v>
      </c>
      <c r="J40" s="1077" t="s">
        <v>201</v>
      </c>
      <c r="K40" s="1659"/>
      <c r="L40" s="1071"/>
      <c r="M40" s="1076">
        <v>-250</v>
      </c>
      <c r="N40" s="1077" t="s">
        <v>201</v>
      </c>
      <c r="O40" s="1077" t="s">
        <v>201</v>
      </c>
      <c r="P40" s="1659"/>
      <c r="Q40" s="1072"/>
      <c r="R40" s="1079">
        <f t="shared" si="26"/>
        <v>-250</v>
      </c>
      <c r="S40" s="1080">
        <f t="shared" si="27"/>
        <v>0</v>
      </c>
      <c r="T40" s="1080" t="str">
        <f t="shared" si="28"/>
        <v>-</v>
      </c>
      <c r="U40" s="1080" t="str">
        <f t="shared" si="29"/>
        <v>-</v>
      </c>
      <c r="V40" s="1081">
        <f t="shared" si="30"/>
        <v>0.66666666666666663</v>
      </c>
      <c r="W40" s="1082">
        <f t="shared" si="23"/>
        <v>2</v>
      </c>
      <c r="X40" s="1083">
        <f t="shared" si="24"/>
        <v>0</v>
      </c>
      <c r="Y40" s="1083" t="str">
        <f t="shared" si="25"/>
        <v>-</v>
      </c>
      <c r="Z40" s="1083" t="str">
        <f t="shared" si="31"/>
        <v>-</v>
      </c>
      <c r="AA40" s="1081"/>
      <c r="AB40" s="570">
        <f t="shared" si="32"/>
        <v>2</v>
      </c>
      <c r="AC40" s="1084" t="s">
        <v>436</v>
      </c>
      <c r="AE40" s="136">
        <f>ROWS(AD$10:$AD40)</f>
        <v>31</v>
      </c>
      <c r="AF40" s="136" t="str">
        <f>IF(ID!$A$91=AW40,AE40,"")</f>
        <v/>
      </c>
      <c r="AG40" s="136" t="str">
        <f>IFERROR(SMALL($AF$10:$AF$165,ROWS($AF$10:AF40)),"")</f>
        <v/>
      </c>
      <c r="AJ40"/>
      <c r="AK40"/>
      <c r="AL40"/>
      <c r="AM40"/>
      <c r="AN40"/>
      <c r="AO40"/>
      <c r="AP40"/>
      <c r="AQ40"/>
      <c r="AR40"/>
      <c r="AS40"/>
      <c r="AT40"/>
      <c r="AU40"/>
      <c r="AV40"/>
      <c r="AW40" s="121" t="s">
        <v>799</v>
      </c>
      <c r="BG40" s="121"/>
    </row>
    <row r="41" spans="1:59" s="149" customFormat="1" x14ac:dyDescent="0.25">
      <c r="A41" s="1085"/>
      <c r="B41" s="1076">
        <v>-300</v>
      </c>
      <c r="C41" s="1077">
        <f>-300+300</f>
        <v>0</v>
      </c>
      <c r="D41" s="1077">
        <f>-300+300</f>
        <v>0</v>
      </c>
      <c r="E41" s="1078">
        <v>2</v>
      </c>
      <c r="F41" s="1671"/>
      <c r="G41" s="1070"/>
      <c r="H41" s="1076">
        <v>-300</v>
      </c>
      <c r="I41" s="1077" t="s">
        <v>201</v>
      </c>
      <c r="J41" s="1077" t="s">
        <v>201</v>
      </c>
      <c r="K41" s="1659"/>
      <c r="L41" s="1071"/>
      <c r="M41" s="1076">
        <v>-300</v>
      </c>
      <c r="N41" s="1077" t="s">
        <v>201</v>
      </c>
      <c r="O41" s="1077" t="s">
        <v>201</v>
      </c>
      <c r="P41" s="1659"/>
      <c r="Q41" s="1072"/>
      <c r="R41" s="1079">
        <f t="shared" si="26"/>
        <v>-300</v>
      </c>
      <c r="S41" s="1080">
        <f t="shared" si="27"/>
        <v>0</v>
      </c>
      <c r="T41" s="1080" t="str">
        <f t="shared" si="28"/>
        <v>-</v>
      </c>
      <c r="U41" s="1080" t="str">
        <f t="shared" si="29"/>
        <v>-</v>
      </c>
      <c r="V41" s="1081">
        <f t="shared" si="30"/>
        <v>0.66666666666666663</v>
      </c>
      <c r="W41" s="1082">
        <f t="shared" si="23"/>
        <v>2</v>
      </c>
      <c r="X41" s="1083">
        <f t="shared" si="24"/>
        <v>0</v>
      </c>
      <c r="Y41" s="1083" t="str">
        <f t="shared" si="25"/>
        <v>-</v>
      </c>
      <c r="Z41" s="1083" t="str">
        <f t="shared" si="31"/>
        <v>-</v>
      </c>
      <c r="AA41" s="1081"/>
      <c r="AB41" s="570">
        <f t="shared" si="32"/>
        <v>2</v>
      </c>
      <c r="AC41" s="1084" t="s">
        <v>436</v>
      </c>
      <c r="AE41" s="136">
        <f>ROWS(AD$10:$AD41)</f>
        <v>32</v>
      </c>
      <c r="AF41" s="136" t="str">
        <f>IF(ID!$A$91=AW41,AE41,"")</f>
        <v/>
      </c>
      <c r="AG41" s="136" t="str">
        <f>IFERROR(SMALL($AF$10:$AF$165,ROWS($AF$10:AF41)),"")</f>
        <v/>
      </c>
      <c r="AJ41"/>
      <c r="AK41"/>
      <c r="AL41"/>
      <c r="AM41"/>
      <c r="AN41"/>
      <c r="AO41"/>
      <c r="AP41"/>
      <c r="AQ41"/>
      <c r="AR41"/>
      <c r="AS41"/>
      <c r="AT41"/>
      <c r="AU41"/>
      <c r="AV41"/>
      <c r="AW41" s="121" t="s">
        <v>799</v>
      </c>
      <c r="BG41" s="121"/>
    </row>
    <row r="42" spans="1:59" x14ac:dyDescent="0.25">
      <c r="A42" s="1068"/>
      <c r="B42" s="1076">
        <v>-350</v>
      </c>
      <c r="C42" s="1077">
        <f>-350+350</f>
        <v>0</v>
      </c>
      <c r="D42" s="1077">
        <f>-350+350</f>
        <v>0</v>
      </c>
      <c r="E42" s="1078">
        <v>2</v>
      </c>
      <c r="F42" s="1671"/>
      <c r="G42" s="1070"/>
      <c r="H42" s="1076">
        <v>-350</v>
      </c>
      <c r="I42" s="1077" t="s">
        <v>201</v>
      </c>
      <c r="J42" s="1077" t="s">
        <v>201</v>
      </c>
      <c r="K42" s="1659"/>
      <c r="L42" s="1071"/>
      <c r="M42" s="1076">
        <v>-350</v>
      </c>
      <c r="N42" s="1077" t="s">
        <v>201</v>
      </c>
      <c r="O42" s="1077" t="s">
        <v>201</v>
      </c>
      <c r="P42" s="1659"/>
      <c r="Q42" s="1072"/>
      <c r="R42" s="1079">
        <f t="shared" si="26"/>
        <v>-350</v>
      </c>
      <c r="S42" s="1080">
        <f t="shared" si="27"/>
        <v>0</v>
      </c>
      <c r="T42" s="1080" t="str">
        <f t="shared" si="28"/>
        <v>-</v>
      </c>
      <c r="U42" s="1080" t="str">
        <f t="shared" si="29"/>
        <v>-</v>
      </c>
      <c r="V42" s="1081">
        <f t="shared" si="30"/>
        <v>0.66666666666666663</v>
      </c>
      <c r="W42" s="1082">
        <f t="shared" si="23"/>
        <v>2</v>
      </c>
      <c r="X42" s="1083">
        <f t="shared" si="24"/>
        <v>0</v>
      </c>
      <c r="Y42" s="1083" t="str">
        <f t="shared" si="25"/>
        <v>-</v>
      </c>
      <c r="Z42" s="1083" t="str">
        <f t="shared" si="31"/>
        <v>-</v>
      </c>
      <c r="AA42" s="1081"/>
      <c r="AB42" s="570">
        <f t="shared" si="32"/>
        <v>2</v>
      </c>
      <c r="AC42" s="1084" t="s">
        <v>436</v>
      </c>
      <c r="AE42" s="136">
        <f>ROWS(AD$10:$AD42)</f>
        <v>33</v>
      </c>
      <c r="AF42" s="136" t="str">
        <f>IF(ID!$A$91=AW42,AE42,"")</f>
        <v/>
      </c>
      <c r="AG42" s="136" t="str">
        <f>IFERROR(SMALL($AF$10:$AF$165,ROWS($AF$10:AF42)),"")</f>
        <v/>
      </c>
      <c r="AK42"/>
      <c r="AL42"/>
      <c r="AM42"/>
      <c r="AN42"/>
      <c r="AO42"/>
      <c r="AP42"/>
      <c r="AQ42"/>
      <c r="AR42"/>
      <c r="AS42"/>
      <c r="AT42"/>
      <c r="AU42"/>
      <c r="AV42"/>
      <c r="AW42" s="121" t="s">
        <v>799</v>
      </c>
    </row>
    <row r="43" spans="1:59" x14ac:dyDescent="0.25">
      <c r="A43" s="1068"/>
      <c r="B43" s="1086">
        <v>-400</v>
      </c>
      <c r="C43" s="1087">
        <f>-400+400</f>
        <v>0</v>
      </c>
      <c r="D43" s="1087">
        <f>-400+400</f>
        <v>0</v>
      </c>
      <c r="E43" s="1078">
        <v>2</v>
      </c>
      <c r="F43" s="1671"/>
      <c r="G43" s="1070"/>
      <c r="H43" s="1086">
        <v>-400</v>
      </c>
      <c r="I43" s="1077" t="s">
        <v>201</v>
      </c>
      <c r="J43" s="1077" t="s">
        <v>201</v>
      </c>
      <c r="K43" s="1659"/>
      <c r="L43" s="1071"/>
      <c r="M43" s="1086">
        <v>-400</v>
      </c>
      <c r="N43" s="1077" t="s">
        <v>201</v>
      </c>
      <c r="O43" s="1077" t="s">
        <v>201</v>
      </c>
      <c r="P43" s="1659"/>
      <c r="Q43" s="1072"/>
      <c r="R43" s="1079">
        <f t="shared" si="26"/>
        <v>-400</v>
      </c>
      <c r="S43" s="1080">
        <f t="shared" si="27"/>
        <v>0</v>
      </c>
      <c r="T43" s="1080" t="str">
        <f t="shared" si="28"/>
        <v>-</v>
      </c>
      <c r="U43" s="1080" t="str">
        <f t="shared" si="29"/>
        <v>-</v>
      </c>
      <c r="V43" s="1081">
        <f t="shared" si="30"/>
        <v>0.66666666666666663</v>
      </c>
      <c r="W43" s="1082">
        <f t="shared" si="23"/>
        <v>2</v>
      </c>
      <c r="X43" s="1083">
        <f t="shared" si="24"/>
        <v>0</v>
      </c>
      <c r="Y43" s="1083" t="str">
        <f t="shared" si="25"/>
        <v>-</v>
      </c>
      <c r="Z43" s="1083" t="str">
        <f t="shared" si="31"/>
        <v>-</v>
      </c>
      <c r="AA43" s="1081"/>
      <c r="AB43" s="570">
        <f t="shared" si="32"/>
        <v>2</v>
      </c>
      <c r="AC43" s="1084" t="s">
        <v>436</v>
      </c>
      <c r="AE43" s="136">
        <f>ROWS(AD$10:$AD43)</f>
        <v>34</v>
      </c>
      <c r="AF43" s="136" t="str">
        <f>IF(ID!$A$91=AW43,AE43,"")</f>
        <v/>
      </c>
      <c r="AG43" s="136" t="str">
        <f>IFERROR(SMALL($AF$10:$AF$165,ROWS($AF$10:AF43)),"")</f>
        <v/>
      </c>
      <c r="AK43"/>
      <c r="AL43"/>
      <c r="AM43"/>
      <c r="AN43"/>
      <c r="AO43"/>
      <c r="AP43"/>
      <c r="AQ43"/>
      <c r="AR43"/>
      <c r="AS43"/>
      <c r="AT43"/>
      <c r="AU43"/>
      <c r="AV43"/>
      <c r="AW43" s="121" t="s">
        <v>799</v>
      </c>
    </row>
    <row r="44" spans="1:59" s="149" customFormat="1" x14ac:dyDescent="0.25">
      <c r="A44" s="1085"/>
      <c r="B44" s="1088">
        <v>-500</v>
      </c>
      <c r="C44" s="1089">
        <f>-500+500</f>
        <v>0</v>
      </c>
      <c r="D44" s="1089">
        <f>-500+500</f>
        <v>0</v>
      </c>
      <c r="E44" s="1089">
        <v>2</v>
      </c>
      <c r="F44" s="1671"/>
      <c r="G44" s="1070"/>
      <c r="H44" s="1088">
        <v>-500</v>
      </c>
      <c r="I44" s="1077" t="s">
        <v>201</v>
      </c>
      <c r="J44" s="1077" t="s">
        <v>201</v>
      </c>
      <c r="K44" s="1659"/>
      <c r="L44" s="1071"/>
      <c r="M44" s="1088">
        <v>-500</v>
      </c>
      <c r="N44" s="1077" t="s">
        <v>201</v>
      </c>
      <c r="O44" s="1077" t="s">
        <v>201</v>
      </c>
      <c r="P44" s="1659"/>
      <c r="Q44" s="1072"/>
      <c r="R44" s="1079">
        <f t="shared" si="26"/>
        <v>-500</v>
      </c>
      <c r="S44" s="1080">
        <f>C44</f>
        <v>0</v>
      </c>
      <c r="T44" s="1080" t="str">
        <f>I44</f>
        <v>-</v>
      </c>
      <c r="U44" s="1080" t="str">
        <f>N44</f>
        <v>-</v>
      </c>
      <c r="V44" s="1081">
        <f t="shared" si="30"/>
        <v>0.66666666666666663</v>
      </c>
      <c r="W44" s="1082">
        <f t="shared" si="23"/>
        <v>2</v>
      </c>
      <c r="X44" s="1083">
        <f>D44</f>
        <v>0</v>
      </c>
      <c r="Y44" s="1083" t="str">
        <f>J44</f>
        <v>-</v>
      </c>
      <c r="Z44" s="1083" t="str">
        <f>O44</f>
        <v>-</v>
      </c>
      <c r="AA44" s="1081"/>
      <c r="AB44" s="570">
        <f t="shared" si="32"/>
        <v>2</v>
      </c>
      <c r="AC44" s="1084" t="s">
        <v>436</v>
      </c>
      <c r="AE44" s="136">
        <f>ROWS(AD$10:$AD44)</f>
        <v>35</v>
      </c>
      <c r="AF44" s="136" t="str">
        <f>IF(ID!$A$91=AW44,AE44,"")</f>
        <v/>
      </c>
      <c r="AG44" s="136" t="str">
        <f>IFERROR(SMALL($AF$10:$AF$165,ROWS($AF$10:AF44)),"")</f>
        <v/>
      </c>
      <c r="AK44"/>
      <c r="AL44"/>
      <c r="AM44"/>
      <c r="AN44"/>
      <c r="AO44"/>
      <c r="AP44"/>
      <c r="AQ44"/>
      <c r="AR44"/>
      <c r="AS44"/>
      <c r="AT44"/>
      <c r="AU44"/>
      <c r="AV44"/>
      <c r="AW44" s="121" t="s">
        <v>799</v>
      </c>
      <c r="BG44" s="118"/>
    </row>
    <row r="45" spans="1:59" s="141" customFormat="1" x14ac:dyDescent="0.25">
      <c r="A45" s="1090"/>
      <c r="B45" s="1091">
        <v>-600</v>
      </c>
      <c r="C45" s="1092">
        <f>-600+600</f>
        <v>0</v>
      </c>
      <c r="D45" s="1092">
        <f>-600+600</f>
        <v>0</v>
      </c>
      <c r="E45" s="1092">
        <v>2</v>
      </c>
      <c r="F45" s="1671"/>
      <c r="G45" s="1070"/>
      <c r="H45" s="1091">
        <v>-600</v>
      </c>
      <c r="I45" s="1077" t="s">
        <v>201</v>
      </c>
      <c r="J45" s="1077" t="s">
        <v>201</v>
      </c>
      <c r="K45" s="1659"/>
      <c r="L45" s="1071"/>
      <c r="M45" s="1091">
        <v>-600</v>
      </c>
      <c r="N45" s="1077" t="s">
        <v>201</v>
      </c>
      <c r="O45" s="1077" t="s">
        <v>201</v>
      </c>
      <c r="P45" s="1659"/>
      <c r="Q45" s="1072"/>
      <c r="R45" s="1079">
        <f t="shared" si="26"/>
        <v>-600</v>
      </c>
      <c r="S45" s="1080">
        <f>C45</f>
        <v>0</v>
      </c>
      <c r="T45" s="1080" t="str">
        <f>I45</f>
        <v>-</v>
      </c>
      <c r="U45" s="1080" t="str">
        <f>N45</f>
        <v>-</v>
      </c>
      <c r="V45" s="1081">
        <f t="shared" si="30"/>
        <v>0.66666666666666663</v>
      </c>
      <c r="W45" s="1082">
        <f t="shared" si="23"/>
        <v>2</v>
      </c>
      <c r="X45" s="1083">
        <f>D45</f>
        <v>0</v>
      </c>
      <c r="Y45" s="1083" t="str">
        <f>J45</f>
        <v>-</v>
      </c>
      <c r="Z45" s="1083" t="str">
        <f>O45</f>
        <v>-</v>
      </c>
      <c r="AA45" s="1081"/>
      <c r="AB45" s="570">
        <f t="shared" si="32"/>
        <v>2</v>
      </c>
      <c r="AC45" s="1084" t="s">
        <v>436</v>
      </c>
      <c r="AE45" s="136">
        <f>ROWS(AD$10:$AD45)</f>
        <v>36</v>
      </c>
      <c r="AF45" s="136" t="str">
        <f>IF(ID!$A$91=AW45,AE45,"")</f>
        <v/>
      </c>
      <c r="AG45" s="136" t="str">
        <f>IFERROR(SMALL($AF$10:$AF$165,ROWS($AF$10:AF45)),"")</f>
        <v/>
      </c>
      <c r="AK45"/>
      <c r="AL45"/>
      <c r="AM45"/>
      <c r="AN45"/>
      <c r="AO45"/>
      <c r="AP45"/>
      <c r="AQ45"/>
      <c r="AR45"/>
      <c r="AS45"/>
      <c r="AT45"/>
      <c r="AU45"/>
      <c r="AV45"/>
      <c r="AW45" s="121" t="s">
        <v>799</v>
      </c>
      <c r="BG45" s="121"/>
    </row>
    <row r="46" spans="1:59" s="141" customFormat="1" x14ac:dyDescent="0.25">
      <c r="A46" s="1090"/>
      <c r="B46" s="1091">
        <v>-700</v>
      </c>
      <c r="C46" s="1092">
        <f>-700+700</f>
        <v>0</v>
      </c>
      <c r="D46" s="1092">
        <f>-700+700</f>
        <v>0</v>
      </c>
      <c r="E46" s="1092">
        <v>2</v>
      </c>
      <c r="F46" s="1671"/>
      <c r="G46" s="1070"/>
      <c r="H46" s="1091">
        <v>-700</v>
      </c>
      <c r="I46" s="1077" t="s">
        <v>201</v>
      </c>
      <c r="J46" s="1077" t="s">
        <v>201</v>
      </c>
      <c r="K46" s="1660"/>
      <c r="L46" s="1071"/>
      <c r="M46" s="1091">
        <v>-700</v>
      </c>
      <c r="N46" s="1077" t="s">
        <v>201</v>
      </c>
      <c r="O46" s="1077" t="s">
        <v>201</v>
      </c>
      <c r="P46" s="1660"/>
      <c r="Q46" s="1072"/>
      <c r="R46" s="1079">
        <f t="shared" si="26"/>
        <v>-700</v>
      </c>
      <c r="S46" s="1080">
        <f>C46</f>
        <v>0</v>
      </c>
      <c r="T46" s="1080" t="str">
        <f>I46</f>
        <v>-</v>
      </c>
      <c r="U46" s="1080" t="str">
        <f>N46</f>
        <v>-</v>
      </c>
      <c r="V46" s="1081">
        <f t="shared" si="30"/>
        <v>0.66666666666666663</v>
      </c>
      <c r="W46" s="1082">
        <f t="shared" si="23"/>
        <v>2</v>
      </c>
      <c r="X46" s="1083">
        <f>D46</f>
        <v>0</v>
      </c>
      <c r="Y46" s="1083" t="str">
        <f>J46</f>
        <v>-</v>
      </c>
      <c r="Z46" s="1083" t="str">
        <f>O46</f>
        <v>-</v>
      </c>
      <c r="AA46" s="1081"/>
      <c r="AB46" s="570">
        <f t="shared" si="32"/>
        <v>2</v>
      </c>
      <c r="AC46" s="1084" t="s">
        <v>436</v>
      </c>
      <c r="AE46" s="136">
        <f>ROWS(AD$10:$AD46)</f>
        <v>37</v>
      </c>
      <c r="AF46" s="136" t="str">
        <f>IF(ID!$A$91=AW46,AE46,"")</f>
        <v/>
      </c>
      <c r="AG46" s="136" t="str">
        <f>IFERROR(SMALL($AF$10:$AF$165,ROWS($AF$10:AF46)),"")</f>
        <v/>
      </c>
      <c r="AH46" s="118"/>
      <c r="AI46" s="118"/>
      <c r="AK46"/>
      <c r="AL46"/>
      <c r="AM46"/>
      <c r="AN46"/>
      <c r="AO46"/>
      <c r="AP46"/>
      <c r="AQ46"/>
      <c r="AR46"/>
      <c r="AS46"/>
      <c r="AT46"/>
      <c r="AU46"/>
      <c r="AV46"/>
      <c r="AW46" s="121" t="s">
        <v>799</v>
      </c>
      <c r="BG46" s="121"/>
    </row>
    <row r="47" spans="1:59" s="138" customFormat="1" x14ac:dyDescent="0.25">
      <c r="A47" s="1072"/>
      <c r="B47" s="1093">
        <v>-1000</v>
      </c>
      <c r="C47" s="1094">
        <f>C46</f>
        <v>0</v>
      </c>
      <c r="D47" s="1094">
        <f>D46</f>
        <v>0</v>
      </c>
      <c r="E47" s="1094">
        <f>E46</f>
        <v>2</v>
      </c>
      <c r="F47" s="1072"/>
      <c r="G47" s="1070"/>
      <c r="H47" s="1093">
        <v>-1000</v>
      </c>
      <c r="I47" s="1095" t="str">
        <f>I46</f>
        <v>-</v>
      </c>
      <c r="J47" s="1095" t="str">
        <f>J46</f>
        <v>-</v>
      </c>
      <c r="K47" s="1072"/>
      <c r="L47" s="1071"/>
      <c r="M47" s="1093">
        <v>-1000</v>
      </c>
      <c r="N47" s="1095" t="str">
        <f>N46</f>
        <v>-</v>
      </c>
      <c r="O47" s="1095" t="str">
        <f>O46</f>
        <v>-</v>
      </c>
      <c r="P47" s="1072"/>
      <c r="Q47" s="1072"/>
      <c r="R47" s="1079">
        <f t="shared" si="26"/>
        <v>-1000</v>
      </c>
      <c r="S47" s="1080">
        <f>C47</f>
        <v>0</v>
      </c>
      <c r="T47" s="1080" t="str">
        <f>I47</f>
        <v>-</v>
      </c>
      <c r="U47" s="1080" t="str">
        <f>N47</f>
        <v>-</v>
      </c>
      <c r="V47" s="1081">
        <f t="shared" si="30"/>
        <v>0.66666666666666663</v>
      </c>
      <c r="W47" s="1082">
        <f t="shared" si="23"/>
        <v>2</v>
      </c>
      <c r="X47" s="1083">
        <f>D47</f>
        <v>0</v>
      </c>
      <c r="Y47" s="1083" t="str">
        <f>J47</f>
        <v>-</v>
      </c>
      <c r="Z47" s="1083" t="str">
        <f>O47</f>
        <v>-</v>
      </c>
      <c r="AA47" s="1081"/>
      <c r="AB47" s="570">
        <f t="shared" si="32"/>
        <v>2</v>
      </c>
      <c r="AC47" s="1096" t="s">
        <v>436</v>
      </c>
      <c r="AE47" s="285">
        <f>ROWS(AD$10:$AD47)</f>
        <v>38</v>
      </c>
      <c r="AF47" s="285" t="str">
        <f>IF(ID!$A$91=AW47,AE47,"")</f>
        <v/>
      </c>
      <c r="AG47" s="285" t="str">
        <f>IFERROR(SMALL($AF$10:$AF$165,ROWS($AF$10:AF47)),"")</f>
        <v/>
      </c>
      <c r="AJ47" s="147"/>
      <c r="AK47" s="147"/>
      <c r="AL47" s="147"/>
      <c r="AM47" s="147"/>
      <c r="AN47" s="147"/>
      <c r="AO47" s="147"/>
      <c r="AP47" s="147"/>
      <c r="AQ47" s="147"/>
      <c r="AR47" s="147"/>
      <c r="AS47" s="147"/>
      <c r="AT47" s="147"/>
      <c r="AU47" s="147"/>
      <c r="AV47" s="147"/>
      <c r="AW47" s="121" t="s">
        <v>799</v>
      </c>
      <c r="BG47" s="121"/>
    </row>
    <row r="48" spans="1:59" x14ac:dyDescent="0.25">
      <c r="AE48" s="136">
        <f>ROWS(AD$10:$AD48)</f>
        <v>39</v>
      </c>
      <c r="AF48" s="136" t="str">
        <f>IF(ID!$A$91=AD48,AE48,"")</f>
        <v/>
      </c>
      <c r="AG48" s="136" t="str">
        <f>IFERROR(SMALL($AF$10:$AF$165,ROWS($AF$10:AF48)),"")</f>
        <v/>
      </c>
      <c r="AJ48"/>
      <c r="AK48"/>
      <c r="AL48"/>
      <c r="AM48"/>
      <c r="AN48"/>
      <c r="AO48"/>
      <c r="AP48"/>
      <c r="AQ48"/>
      <c r="AR48"/>
      <c r="AS48"/>
      <c r="AT48"/>
      <c r="AU48"/>
      <c r="AV48"/>
      <c r="AW48"/>
      <c r="BG48" s="121"/>
    </row>
    <row r="49" spans="2:59" ht="17.399999999999999" x14ac:dyDescent="0.3">
      <c r="B49" s="1653" t="s">
        <v>371</v>
      </c>
      <c r="C49" s="1653"/>
      <c r="D49" s="1653"/>
      <c r="E49" s="1653"/>
      <c r="F49" s="1653"/>
      <c r="G49" s="565"/>
      <c r="H49" s="1653" t="s">
        <v>455</v>
      </c>
      <c r="I49" s="1653"/>
      <c r="J49" s="1653"/>
      <c r="K49" s="1653"/>
      <c r="L49" s="566"/>
      <c r="M49" s="1653" t="s">
        <v>372</v>
      </c>
      <c r="N49" s="1653"/>
      <c r="O49" s="1653"/>
      <c r="P49" s="1653"/>
      <c r="V49" s="1066" t="s">
        <v>884</v>
      </c>
      <c r="AA49" s="1066" t="s">
        <v>884</v>
      </c>
      <c r="AE49" s="136">
        <f>ROWS(AD$10:$AD49)</f>
        <v>40</v>
      </c>
      <c r="AF49" s="136" t="str">
        <f>IF(ID!$A$91=AD49,AE49,"")</f>
        <v/>
      </c>
      <c r="AG49" s="136" t="str">
        <f>IFERROR(SMALL($AF$10:$AF$165,ROWS($AF$10:AF49)),"")</f>
        <v/>
      </c>
      <c r="AJ49"/>
      <c r="AK49"/>
      <c r="AL49"/>
      <c r="AM49"/>
      <c r="AN49"/>
      <c r="AO49"/>
      <c r="AP49"/>
      <c r="AQ49"/>
      <c r="AR49"/>
      <c r="AS49"/>
      <c r="AT49"/>
      <c r="AU49"/>
      <c r="AV49"/>
      <c r="AW49"/>
      <c r="BG49" s="121"/>
    </row>
    <row r="50" spans="2:59" ht="12.75" customHeight="1" x14ac:dyDescent="0.25">
      <c r="B50" s="110" t="s">
        <v>41</v>
      </c>
      <c r="C50" s="110" t="s">
        <v>375</v>
      </c>
      <c r="D50" s="110" t="s">
        <v>376</v>
      </c>
      <c r="E50" s="110" t="s">
        <v>211</v>
      </c>
      <c r="F50" s="1665" t="s">
        <v>476</v>
      </c>
      <c r="H50" s="110" t="s">
        <v>41</v>
      </c>
      <c r="I50" s="110" t="s">
        <v>375</v>
      </c>
      <c r="J50" s="110" t="s">
        <v>377</v>
      </c>
      <c r="K50" s="1672" t="s">
        <v>308</v>
      </c>
      <c r="M50" s="110" t="s">
        <v>41</v>
      </c>
      <c r="N50" s="110" t="s">
        <v>375</v>
      </c>
      <c r="O50" s="110" t="s">
        <v>377</v>
      </c>
      <c r="P50" s="1654" t="s">
        <v>201</v>
      </c>
      <c r="R50" s="110" t="s">
        <v>41</v>
      </c>
      <c r="S50" s="128" t="s">
        <v>228</v>
      </c>
      <c r="T50" s="128" t="s">
        <v>456</v>
      </c>
      <c r="U50" s="128" t="s">
        <v>457</v>
      </c>
      <c r="V50" s="128" t="s">
        <v>222</v>
      </c>
      <c r="W50" s="129" t="s">
        <v>223</v>
      </c>
      <c r="X50" s="130" t="s">
        <v>229</v>
      </c>
      <c r="Y50" s="130" t="s">
        <v>458</v>
      </c>
      <c r="Z50" s="130" t="s">
        <v>459</v>
      </c>
      <c r="AA50" s="130" t="s">
        <v>224</v>
      </c>
      <c r="AB50" s="131" t="s">
        <v>225</v>
      </c>
      <c r="AC50" s="132" t="s">
        <v>93</v>
      </c>
      <c r="AD50" s="120" t="s">
        <v>48</v>
      </c>
      <c r="AE50" s="136">
        <f>ROWS(AD$10:$AD50)</f>
        <v>41</v>
      </c>
      <c r="AF50" s="136" t="str">
        <f>IF(ID!$A$91=AD50,AE50,"")</f>
        <v/>
      </c>
      <c r="AG50" s="136" t="str">
        <f>IFERROR(SMALL($AF$10:$AF$165,ROWS($AF$10:AF50)),"")</f>
        <v/>
      </c>
      <c r="AJ50"/>
      <c r="AK50"/>
      <c r="AL50"/>
      <c r="AM50"/>
      <c r="AN50"/>
      <c r="AO50"/>
      <c r="AP50"/>
      <c r="AQ50"/>
      <c r="AR50"/>
      <c r="AS50"/>
      <c r="AT50"/>
      <c r="AU50"/>
      <c r="AV50"/>
      <c r="AW50"/>
      <c r="BG50" s="121"/>
    </row>
    <row r="51" spans="2:59" x14ac:dyDescent="0.25">
      <c r="B51" s="569">
        <v>0</v>
      </c>
      <c r="C51" s="570">
        <v>0</v>
      </c>
      <c r="D51" s="570">
        <v>0</v>
      </c>
      <c r="E51" s="571">
        <v>0.5</v>
      </c>
      <c r="F51" s="1666"/>
      <c r="H51" s="569">
        <v>0</v>
      </c>
      <c r="I51" s="570">
        <f>0.3-0</f>
        <v>0.3</v>
      </c>
      <c r="J51" s="570">
        <f>0-0.3</f>
        <v>-0.3</v>
      </c>
      <c r="K51" s="1673"/>
      <c r="M51" s="569">
        <v>0</v>
      </c>
      <c r="N51" s="570" t="s">
        <v>201</v>
      </c>
      <c r="O51" s="570" t="s">
        <v>201</v>
      </c>
      <c r="P51" s="1655"/>
      <c r="R51" s="586">
        <f>B51</f>
        <v>0</v>
      </c>
      <c r="S51" s="569">
        <f>C51</f>
        <v>0</v>
      </c>
      <c r="T51" s="572">
        <f>D51</f>
        <v>0</v>
      </c>
      <c r="U51" s="572">
        <f>J51</f>
        <v>-0.3</v>
      </c>
      <c r="V51" s="572" t="str">
        <f>O51</f>
        <v>-</v>
      </c>
      <c r="W51" s="573">
        <f>0.5*(MAX(T51:V51)-(MIN(T51:V51)))</f>
        <v>0.15</v>
      </c>
      <c r="X51" s="572">
        <f t="shared" ref="X51:X58" si="33">F51</f>
        <v>0</v>
      </c>
      <c r="Y51" s="574">
        <f t="shared" ref="Y51:Y58" si="34">E51</f>
        <v>0.5</v>
      </c>
      <c r="Z51" s="574">
        <f t="shared" ref="Z51:Z58" si="35">K51</f>
        <v>0</v>
      </c>
      <c r="AA51" s="574">
        <f>P51</f>
        <v>0</v>
      </c>
      <c r="AB51" s="573">
        <f>0.5*(MAX(Y51:AA51)-(MIN(Y51:AA51)))</f>
        <v>0.25</v>
      </c>
      <c r="AC51" s="570">
        <f>F51</f>
        <v>0</v>
      </c>
      <c r="AD51" s="121" t="s">
        <v>797</v>
      </c>
      <c r="AE51" s="136">
        <f>ROWS(AD$10:$AD51)</f>
        <v>42</v>
      </c>
      <c r="AF51" s="136" t="str">
        <f>IF(ID!$A$91=AD51,AE51,"")</f>
        <v/>
      </c>
      <c r="AG51" s="136" t="str">
        <f>IFERROR(SMALL($AF$10:$AF$165,ROWS($AF$10:AF51)),"")</f>
        <v/>
      </c>
      <c r="AJ51"/>
      <c r="AK51"/>
      <c r="AL51"/>
      <c r="AM51"/>
      <c r="AN51"/>
      <c r="AO51"/>
      <c r="AP51"/>
      <c r="AQ51"/>
      <c r="AR51"/>
      <c r="AS51"/>
      <c r="AT51"/>
      <c r="AU51"/>
      <c r="AV51"/>
      <c r="AW51"/>
      <c r="BG51" s="121"/>
    </row>
    <row r="52" spans="2:59" x14ac:dyDescent="0.25">
      <c r="B52" s="569">
        <v>-100</v>
      </c>
      <c r="C52" s="570">
        <v>1</v>
      </c>
      <c r="D52" s="570">
        <v>1.1000000000000001</v>
      </c>
      <c r="E52" s="571">
        <v>0.5</v>
      </c>
      <c r="F52" s="1666"/>
      <c r="H52" s="569">
        <v>-100</v>
      </c>
      <c r="I52" s="570">
        <v>0</v>
      </c>
      <c r="J52" s="570">
        <v>0</v>
      </c>
      <c r="K52" s="1673"/>
      <c r="M52" s="569">
        <v>-100</v>
      </c>
      <c r="N52" s="570" t="s">
        <v>201</v>
      </c>
      <c r="O52" s="570" t="s">
        <v>201</v>
      </c>
      <c r="P52" s="1655"/>
      <c r="R52" s="586">
        <f t="shared" ref="R52:R58" si="36">B52</f>
        <v>-100</v>
      </c>
      <c r="S52" s="569">
        <f t="shared" ref="S52:S58" si="37">C52</f>
        <v>1</v>
      </c>
      <c r="T52" s="572">
        <f t="shared" ref="T52:T58" si="38">D52</f>
        <v>1.1000000000000001</v>
      </c>
      <c r="U52" s="572">
        <f t="shared" ref="U52:U58" si="39">J52</f>
        <v>0</v>
      </c>
      <c r="V52" s="572" t="str">
        <f t="shared" ref="V52:V58" si="40">O52</f>
        <v>-</v>
      </c>
      <c r="W52" s="573">
        <f t="shared" ref="W52:W58" si="41">0.5*(MAX(T52:V52)-(MIN(T52:V52)))</f>
        <v>0.55000000000000004</v>
      </c>
      <c r="X52" s="572">
        <f t="shared" si="33"/>
        <v>0</v>
      </c>
      <c r="Y52" s="574">
        <f t="shared" si="34"/>
        <v>0.5</v>
      </c>
      <c r="Z52" s="574">
        <f t="shared" si="35"/>
        <v>0</v>
      </c>
      <c r="AA52" s="574">
        <f t="shared" ref="AA52:AA58" si="42">P52</f>
        <v>0</v>
      </c>
      <c r="AB52" s="573">
        <f t="shared" ref="AB52:AB58" si="43">0.5*(MAX(Y52:AA52)-(MIN(Y52:AA52)))</f>
        <v>0.25</v>
      </c>
      <c r="AC52" s="570">
        <f t="shared" ref="AC52:AC58" si="44">F52</f>
        <v>0</v>
      </c>
      <c r="AD52" s="121" t="s">
        <v>797</v>
      </c>
      <c r="AE52" s="136">
        <f>ROWS(AD$10:$AD52)</f>
        <v>43</v>
      </c>
      <c r="AF52" s="136" t="str">
        <f>IF(ID!$A$91=AD52,AE52,"")</f>
        <v/>
      </c>
      <c r="AG52" s="136" t="str">
        <f>IFERROR(SMALL($AF$10:$AF$165,ROWS($AF$10:AF52)),"")</f>
        <v/>
      </c>
      <c r="AJ52"/>
      <c r="AK52"/>
      <c r="AL52"/>
      <c r="AM52"/>
      <c r="AN52"/>
      <c r="AO52"/>
      <c r="AP52"/>
      <c r="AQ52"/>
      <c r="AR52"/>
      <c r="AS52"/>
      <c r="AT52"/>
      <c r="AU52"/>
      <c r="AV52"/>
      <c r="AW52"/>
      <c r="BG52" s="121"/>
    </row>
    <row r="53" spans="2:59" x14ac:dyDescent="0.25">
      <c r="B53" s="569">
        <v>-200</v>
      </c>
      <c r="C53" s="570">
        <v>0</v>
      </c>
      <c r="D53" s="570">
        <v>0.1</v>
      </c>
      <c r="E53" s="571">
        <v>0.5</v>
      </c>
      <c r="F53" s="1666"/>
      <c r="H53" s="569">
        <v>-200</v>
      </c>
      <c r="I53" s="570">
        <v>-0.4</v>
      </c>
      <c r="J53" s="570">
        <v>-0.4</v>
      </c>
      <c r="K53" s="1673"/>
      <c r="M53" s="569">
        <v>-200</v>
      </c>
      <c r="N53" s="570" t="s">
        <v>201</v>
      </c>
      <c r="O53" s="570" t="s">
        <v>201</v>
      </c>
      <c r="P53" s="1655"/>
      <c r="R53" s="586">
        <f t="shared" si="36"/>
        <v>-200</v>
      </c>
      <c r="S53" s="569">
        <f t="shared" si="37"/>
        <v>0</v>
      </c>
      <c r="T53" s="572">
        <f t="shared" si="38"/>
        <v>0.1</v>
      </c>
      <c r="U53" s="572">
        <f t="shared" si="39"/>
        <v>-0.4</v>
      </c>
      <c r="V53" s="572" t="str">
        <f t="shared" si="40"/>
        <v>-</v>
      </c>
      <c r="W53" s="573">
        <f t="shared" si="41"/>
        <v>0.25</v>
      </c>
      <c r="X53" s="572">
        <f t="shared" si="33"/>
        <v>0</v>
      </c>
      <c r="Y53" s="574">
        <f t="shared" si="34"/>
        <v>0.5</v>
      </c>
      <c r="Z53" s="574">
        <f t="shared" si="35"/>
        <v>0</v>
      </c>
      <c r="AA53" s="574">
        <f t="shared" si="42"/>
        <v>0</v>
      </c>
      <c r="AB53" s="573">
        <f t="shared" si="43"/>
        <v>0.25</v>
      </c>
      <c r="AC53" s="570">
        <f t="shared" si="44"/>
        <v>0</v>
      </c>
      <c r="AD53" s="121" t="s">
        <v>797</v>
      </c>
      <c r="AE53" s="136">
        <f>ROWS(AD$10:$AD53)</f>
        <v>44</v>
      </c>
      <c r="AF53" s="136" t="str">
        <f>IF(ID!$A$91=AD53,AE53,"")</f>
        <v/>
      </c>
      <c r="AG53" s="136" t="str">
        <f>IFERROR(SMALL($AF$10:$AF$165,ROWS($AF$10:AF53)),"")</f>
        <v/>
      </c>
      <c r="AJ53"/>
      <c r="AK53"/>
      <c r="AL53"/>
      <c r="AM53"/>
      <c r="AN53"/>
      <c r="AO53"/>
      <c r="AP53"/>
      <c r="AQ53"/>
      <c r="AR53"/>
      <c r="AS53"/>
      <c r="AT53"/>
      <c r="AU53"/>
      <c r="AV53"/>
      <c r="AW53"/>
      <c r="BG53" s="121"/>
    </row>
    <row r="54" spans="2:59" x14ac:dyDescent="0.25">
      <c r="B54" s="569">
        <v>-300</v>
      </c>
      <c r="C54" s="570">
        <v>-0.6</v>
      </c>
      <c r="D54" s="570">
        <v>-0.5</v>
      </c>
      <c r="E54" s="571">
        <v>0.5</v>
      </c>
      <c r="F54" s="1666"/>
      <c r="H54" s="569">
        <v>-300</v>
      </c>
      <c r="I54" s="570">
        <v>-1</v>
      </c>
      <c r="J54" s="570">
        <v>-1</v>
      </c>
      <c r="K54" s="1673"/>
      <c r="M54" s="569">
        <v>-300</v>
      </c>
      <c r="N54" s="570" t="s">
        <v>201</v>
      </c>
      <c r="O54" s="570" t="s">
        <v>201</v>
      </c>
      <c r="P54" s="1655"/>
      <c r="R54" s="586">
        <f t="shared" si="36"/>
        <v>-300</v>
      </c>
      <c r="S54" s="569">
        <f t="shared" si="37"/>
        <v>-0.6</v>
      </c>
      <c r="T54" s="572">
        <f t="shared" si="38"/>
        <v>-0.5</v>
      </c>
      <c r="U54" s="572">
        <f t="shared" si="39"/>
        <v>-1</v>
      </c>
      <c r="V54" s="572" t="str">
        <f t="shared" si="40"/>
        <v>-</v>
      </c>
      <c r="W54" s="573">
        <f t="shared" si="41"/>
        <v>0.25</v>
      </c>
      <c r="X54" s="572">
        <f t="shared" si="33"/>
        <v>0</v>
      </c>
      <c r="Y54" s="574">
        <f t="shared" si="34"/>
        <v>0.5</v>
      </c>
      <c r="Z54" s="574">
        <f t="shared" si="35"/>
        <v>0</v>
      </c>
      <c r="AA54" s="574">
        <f t="shared" si="42"/>
        <v>0</v>
      </c>
      <c r="AB54" s="573">
        <f t="shared" si="43"/>
        <v>0.25</v>
      </c>
      <c r="AC54" s="570">
        <f t="shared" si="44"/>
        <v>0</v>
      </c>
      <c r="AD54" s="121" t="s">
        <v>797</v>
      </c>
      <c r="AE54" s="136">
        <f>ROWS(AD$10:$AD54)</f>
        <v>45</v>
      </c>
      <c r="AF54" s="136" t="str">
        <f>IF(ID!$A$91=AD54,AE54,"")</f>
        <v/>
      </c>
      <c r="AG54" s="136" t="str">
        <f>IFERROR(SMALL($AF$10:$AF$165,ROWS($AF$10:AF54)),"")</f>
        <v/>
      </c>
      <c r="AJ54"/>
      <c r="AK54"/>
      <c r="AL54"/>
      <c r="AM54"/>
      <c r="AN54"/>
      <c r="AO54"/>
      <c r="AP54"/>
      <c r="AQ54"/>
      <c r="AR54"/>
      <c r="AS54"/>
      <c r="AT54"/>
      <c r="AU54"/>
      <c r="AV54"/>
      <c r="AW54"/>
      <c r="BG54" s="127"/>
    </row>
    <row r="55" spans="2:59" x14ac:dyDescent="0.25">
      <c r="B55" s="569">
        <v>-400</v>
      </c>
      <c r="C55" s="570">
        <v>-1.9</v>
      </c>
      <c r="D55" s="570">
        <v>-1.8</v>
      </c>
      <c r="E55" s="571">
        <v>0.5</v>
      </c>
      <c r="F55" s="1666"/>
      <c r="H55" s="569">
        <v>-400</v>
      </c>
      <c r="I55" s="570">
        <v>-1.6</v>
      </c>
      <c r="J55" s="570">
        <v>-1.6</v>
      </c>
      <c r="K55" s="1673"/>
      <c r="M55" s="569">
        <v>-400</v>
      </c>
      <c r="N55" s="570" t="s">
        <v>201</v>
      </c>
      <c r="O55" s="570" t="s">
        <v>201</v>
      </c>
      <c r="P55" s="1655"/>
      <c r="R55" s="586">
        <f t="shared" si="36"/>
        <v>-400</v>
      </c>
      <c r="S55" s="569">
        <f t="shared" si="37"/>
        <v>-1.9</v>
      </c>
      <c r="T55" s="572">
        <f t="shared" si="38"/>
        <v>-1.8</v>
      </c>
      <c r="U55" s="572">
        <f t="shared" si="39"/>
        <v>-1.6</v>
      </c>
      <c r="V55" s="572" t="str">
        <f t="shared" si="40"/>
        <v>-</v>
      </c>
      <c r="W55" s="573">
        <f t="shared" si="41"/>
        <v>9.9999999999999978E-2</v>
      </c>
      <c r="X55" s="572">
        <f t="shared" si="33"/>
        <v>0</v>
      </c>
      <c r="Y55" s="574">
        <f t="shared" si="34"/>
        <v>0.5</v>
      </c>
      <c r="Z55" s="574">
        <f t="shared" si="35"/>
        <v>0</v>
      </c>
      <c r="AA55" s="574">
        <f t="shared" si="42"/>
        <v>0</v>
      </c>
      <c r="AB55" s="573">
        <f t="shared" si="43"/>
        <v>0.25</v>
      </c>
      <c r="AC55" s="570">
        <f t="shared" si="44"/>
        <v>0</v>
      </c>
      <c r="AD55" s="121" t="s">
        <v>797</v>
      </c>
      <c r="AE55" s="136">
        <f>ROWS(AD$10:$AD55)</f>
        <v>46</v>
      </c>
      <c r="AF55" s="136" t="str">
        <f>IF(ID!$A$91=AD55,AE55,"")</f>
        <v/>
      </c>
      <c r="AG55" s="136" t="str">
        <f>IFERROR(SMALL($AF$10:$AF$165,ROWS($AF$10:AF55)),"")</f>
        <v/>
      </c>
      <c r="BG55" s="149"/>
    </row>
    <row r="56" spans="2:59" s="149" customFormat="1" x14ac:dyDescent="0.25">
      <c r="B56" s="569">
        <v>-500</v>
      </c>
      <c r="C56" s="570">
        <v>-2.5</v>
      </c>
      <c r="D56" s="570">
        <v>-2.4</v>
      </c>
      <c r="E56" s="571">
        <v>0.5</v>
      </c>
      <c r="F56" s="1666"/>
      <c r="G56" s="563"/>
      <c r="H56" s="569">
        <v>-500</v>
      </c>
      <c r="I56" s="570">
        <v>-2.4</v>
      </c>
      <c r="J56" s="570">
        <v>-2.4</v>
      </c>
      <c r="K56" s="1673"/>
      <c r="L56" s="564"/>
      <c r="M56" s="569">
        <v>-500</v>
      </c>
      <c r="N56" s="570" t="s">
        <v>201</v>
      </c>
      <c r="O56" s="570" t="s">
        <v>201</v>
      </c>
      <c r="P56" s="1655"/>
      <c r="Q56" s="138"/>
      <c r="R56" s="586">
        <f t="shared" si="36"/>
        <v>-500</v>
      </c>
      <c r="S56" s="569">
        <f t="shared" si="37"/>
        <v>-2.5</v>
      </c>
      <c r="T56" s="572">
        <f t="shared" si="38"/>
        <v>-2.4</v>
      </c>
      <c r="U56" s="572">
        <f t="shared" si="39"/>
        <v>-2.4</v>
      </c>
      <c r="V56" s="572" t="str">
        <f t="shared" si="40"/>
        <v>-</v>
      </c>
      <c r="W56" s="573">
        <f t="shared" si="41"/>
        <v>0</v>
      </c>
      <c r="X56" s="572">
        <f t="shared" si="33"/>
        <v>0</v>
      </c>
      <c r="Y56" s="574">
        <f t="shared" si="34"/>
        <v>0.5</v>
      </c>
      <c r="Z56" s="574">
        <f t="shared" si="35"/>
        <v>0</v>
      </c>
      <c r="AA56" s="574">
        <f t="shared" si="42"/>
        <v>0</v>
      </c>
      <c r="AB56" s="573">
        <f t="shared" si="43"/>
        <v>0.25</v>
      </c>
      <c r="AC56" s="570">
        <f t="shared" si="44"/>
        <v>0</v>
      </c>
      <c r="AD56" s="121" t="s">
        <v>797</v>
      </c>
      <c r="AE56" s="136">
        <f>ROWS(AD$10:$AD56)</f>
        <v>47</v>
      </c>
      <c r="AF56" s="136" t="str">
        <f>IF(ID!$A$91=AD56,AE56,"")</f>
        <v/>
      </c>
      <c r="AG56" s="136" t="str">
        <f>IFERROR(SMALL($AF$10:$AF$165,ROWS($AF$10:AF56)),"")</f>
        <v/>
      </c>
      <c r="BG56" s="141"/>
    </row>
    <row r="57" spans="2:59" x14ac:dyDescent="0.25">
      <c r="B57" s="569">
        <v>-600</v>
      </c>
      <c r="C57" s="570">
        <v>-3.4</v>
      </c>
      <c r="D57" s="570">
        <v>-3.2</v>
      </c>
      <c r="E57" s="571">
        <v>0.5</v>
      </c>
      <c r="F57" s="1666"/>
      <c r="H57" s="569">
        <v>-600</v>
      </c>
      <c r="I57" s="570">
        <v>-3.3</v>
      </c>
      <c r="J57" s="570">
        <v>-3.3</v>
      </c>
      <c r="K57" s="1673"/>
      <c r="M57" s="569">
        <v>-600</v>
      </c>
      <c r="N57" s="570" t="s">
        <v>201</v>
      </c>
      <c r="O57" s="570" t="s">
        <v>201</v>
      </c>
      <c r="P57" s="1655"/>
      <c r="R57" s="586">
        <f t="shared" si="36"/>
        <v>-600</v>
      </c>
      <c r="S57" s="569">
        <f t="shared" si="37"/>
        <v>-3.4</v>
      </c>
      <c r="T57" s="572">
        <f t="shared" si="38"/>
        <v>-3.2</v>
      </c>
      <c r="U57" s="572">
        <f t="shared" si="39"/>
        <v>-3.3</v>
      </c>
      <c r="V57" s="572" t="str">
        <f t="shared" si="40"/>
        <v>-</v>
      </c>
      <c r="W57" s="573">
        <f t="shared" si="41"/>
        <v>4.9999999999999822E-2</v>
      </c>
      <c r="X57" s="572">
        <f t="shared" si="33"/>
        <v>0</v>
      </c>
      <c r="Y57" s="574">
        <f t="shared" si="34"/>
        <v>0.5</v>
      </c>
      <c r="Z57" s="574">
        <f t="shared" si="35"/>
        <v>0</v>
      </c>
      <c r="AA57" s="574">
        <f t="shared" si="42"/>
        <v>0</v>
      </c>
      <c r="AB57" s="573">
        <f t="shared" si="43"/>
        <v>0.25</v>
      </c>
      <c r="AC57" s="570">
        <f t="shared" si="44"/>
        <v>0</v>
      </c>
      <c r="AD57" s="121" t="s">
        <v>797</v>
      </c>
      <c r="AE57" s="136">
        <f>ROWS(AD$10:$AD57)</f>
        <v>48</v>
      </c>
      <c r="AF57" s="136" t="str">
        <f>IF(ID!$A$91=AD57,AE57,"")</f>
        <v/>
      </c>
      <c r="AG57" s="136" t="str">
        <f>IFERROR(SMALL($AF$10:$AF$165,ROWS($AF$10:AF57)),"")</f>
        <v/>
      </c>
      <c r="BG57" s="141"/>
    </row>
    <row r="58" spans="2:59" x14ac:dyDescent="0.25">
      <c r="B58" s="111">
        <v>-700</v>
      </c>
      <c r="C58" s="590">
        <f>C57</f>
        <v>-3.4</v>
      </c>
      <c r="D58" s="590">
        <f>D57</f>
        <v>-3.2</v>
      </c>
      <c r="E58" s="571">
        <v>0.5</v>
      </c>
      <c r="F58" s="1666"/>
      <c r="H58" s="111">
        <v>-700</v>
      </c>
      <c r="I58" s="590">
        <v>-4.3</v>
      </c>
      <c r="J58" s="590">
        <v>-4.3</v>
      </c>
      <c r="K58" s="1673"/>
      <c r="M58" s="111">
        <v>-700</v>
      </c>
      <c r="N58" s="590" t="s">
        <v>201</v>
      </c>
      <c r="O58" s="590" t="s">
        <v>201</v>
      </c>
      <c r="P58" s="1655"/>
      <c r="R58" s="586">
        <f t="shared" si="36"/>
        <v>-700</v>
      </c>
      <c r="S58" s="569">
        <f t="shared" si="37"/>
        <v>-3.4</v>
      </c>
      <c r="T58" s="572">
        <f t="shared" si="38"/>
        <v>-3.2</v>
      </c>
      <c r="U58" s="572">
        <f t="shared" si="39"/>
        <v>-4.3</v>
      </c>
      <c r="V58" s="572" t="str">
        <f t="shared" si="40"/>
        <v>-</v>
      </c>
      <c r="W58" s="573">
        <f t="shared" si="41"/>
        <v>0.54999999999999982</v>
      </c>
      <c r="X58" s="572">
        <f t="shared" si="33"/>
        <v>0</v>
      </c>
      <c r="Y58" s="574">
        <f t="shared" si="34"/>
        <v>0.5</v>
      </c>
      <c r="Z58" s="574">
        <f t="shared" si="35"/>
        <v>0</v>
      </c>
      <c r="AA58" s="574">
        <f t="shared" si="42"/>
        <v>0</v>
      </c>
      <c r="AB58" s="573">
        <f t="shared" si="43"/>
        <v>0.25</v>
      </c>
      <c r="AC58" s="570">
        <f t="shared" si="44"/>
        <v>0</v>
      </c>
      <c r="AD58" s="121" t="s">
        <v>797</v>
      </c>
      <c r="AE58" s="136">
        <f>ROWS(AD$10:$AD58)</f>
        <v>49</v>
      </c>
      <c r="AF58" s="136" t="str">
        <f>IF(ID!$A$91=AD58,AE58,"")</f>
        <v/>
      </c>
      <c r="AG58" s="136" t="str">
        <f>IFERROR(SMALL($AF$10:$AF$165,ROWS($AF$10:AF58)),"")</f>
        <v/>
      </c>
    </row>
    <row r="59" spans="2:59" s="138" customFormat="1" x14ac:dyDescent="0.25">
      <c r="B59" s="577"/>
      <c r="C59" s="583"/>
      <c r="D59" s="583"/>
      <c r="E59" s="583"/>
      <c r="F59" s="595"/>
      <c r="G59" s="563"/>
      <c r="H59" s="577"/>
      <c r="I59" s="578"/>
      <c r="J59" s="578"/>
      <c r="K59" s="596"/>
      <c r="L59" s="564"/>
      <c r="M59" s="577"/>
      <c r="N59" s="578"/>
      <c r="O59" s="578"/>
      <c r="P59" s="596"/>
      <c r="R59" s="586"/>
      <c r="S59" s="572"/>
      <c r="T59" s="572"/>
      <c r="U59" s="572"/>
      <c r="V59" s="573"/>
      <c r="W59" s="587"/>
      <c r="X59" s="588"/>
      <c r="Y59" s="588"/>
      <c r="Z59" s="574"/>
      <c r="AA59" s="573"/>
      <c r="AB59" s="589"/>
      <c r="AC59" s="576"/>
      <c r="AD59" s="121"/>
      <c r="AE59" s="136">
        <f>ROWS(AD$10:$AD59)</f>
        <v>50</v>
      </c>
      <c r="AF59" s="136" t="str">
        <f>IF(ID!$A$91=AD59,AE59,"")</f>
        <v/>
      </c>
      <c r="AG59" s="136" t="str">
        <f>IFERROR(SMALL($AF$10:$AF$165,ROWS($AF$10:AF59)),"")</f>
        <v/>
      </c>
      <c r="BG59" s="121"/>
    </row>
    <row r="60" spans="2:59" s="141" customFormat="1" x14ac:dyDescent="0.25">
      <c r="B60" s="593"/>
      <c r="C60" s="594"/>
      <c r="D60" s="594"/>
      <c r="E60" s="594"/>
      <c r="F60" s="595"/>
      <c r="G60" s="563"/>
      <c r="H60" s="593"/>
      <c r="I60" s="597"/>
      <c r="J60" s="597"/>
      <c r="K60" s="596"/>
      <c r="L60" s="564"/>
      <c r="M60" s="593"/>
      <c r="N60" s="597"/>
      <c r="O60" s="597"/>
      <c r="P60" s="596"/>
      <c r="Q60" s="138"/>
      <c r="R60" s="111"/>
      <c r="S60" s="598"/>
      <c r="T60" s="598"/>
      <c r="U60" s="598"/>
      <c r="V60" s="598"/>
      <c r="W60" s="599"/>
      <c r="X60" s="599"/>
      <c r="Y60" s="599"/>
      <c r="Z60" s="599"/>
      <c r="AA60" s="599"/>
      <c r="AB60" s="600"/>
      <c r="AC60" s="576"/>
      <c r="AD60" s="127"/>
      <c r="AE60" s="136">
        <f>ROWS(AD$10:$AD60)</f>
        <v>51</v>
      </c>
      <c r="AF60" s="136" t="str">
        <f>IF(ID!$A$91=AD60,AE60,"")</f>
        <v/>
      </c>
      <c r="AG60" s="136" t="str">
        <f>IFERROR(SMALL($AF$10:$AF$165,ROWS($AF$10:AF60)),"")</f>
        <v/>
      </c>
      <c r="BG60" s="121"/>
    </row>
    <row r="61" spans="2:59" s="141" customFormat="1" x14ac:dyDescent="0.25">
      <c r="B61" s="593"/>
      <c r="C61" s="594"/>
      <c r="D61" s="594"/>
      <c r="E61" s="594"/>
      <c r="F61" s="595"/>
      <c r="G61" s="563"/>
      <c r="H61" s="593"/>
      <c r="I61" s="597"/>
      <c r="J61" s="597"/>
      <c r="K61" s="601"/>
      <c r="L61" s="564"/>
      <c r="M61" s="593"/>
      <c r="N61" s="597"/>
      <c r="O61" s="597"/>
      <c r="P61" s="601"/>
      <c r="Q61" s="138"/>
      <c r="R61" s="149"/>
      <c r="S61" s="149"/>
      <c r="T61" s="149"/>
      <c r="U61" s="149"/>
      <c r="V61" s="149"/>
      <c r="W61" s="149"/>
      <c r="X61" s="149"/>
      <c r="Y61" s="149"/>
      <c r="Z61" s="149"/>
      <c r="AA61" s="149"/>
      <c r="AB61" s="149"/>
      <c r="AC61" s="149"/>
      <c r="AD61" s="149"/>
      <c r="AE61" s="136">
        <f>ROWS(AD$10:$AD61)</f>
        <v>52</v>
      </c>
      <c r="AF61" s="136" t="str">
        <f>IF(ID!$A$91=AD61,AE61,"")</f>
        <v/>
      </c>
      <c r="AG61" s="136" t="str">
        <f>IFERROR(SMALL($AF$10:$AF$165,ROWS($AF$10:AF61)),"")</f>
        <v/>
      </c>
      <c r="AH61" s="118"/>
      <c r="AI61" s="118"/>
      <c r="AJ61" s="118"/>
      <c r="AK61" s="118"/>
      <c r="AL61" s="118"/>
      <c r="AM61" s="118"/>
      <c r="AN61" s="118"/>
      <c r="AO61" s="118"/>
      <c r="AP61" s="118"/>
      <c r="AQ61" s="118"/>
      <c r="AR61" s="118"/>
      <c r="AS61" s="118"/>
      <c r="BG61" s="121"/>
    </row>
    <row r="62" spans="2:59" x14ac:dyDescent="0.25">
      <c r="R62" s="141"/>
      <c r="S62" s="141"/>
      <c r="T62" s="141"/>
      <c r="U62" s="141"/>
      <c r="V62" s="141"/>
      <c r="W62" s="141"/>
      <c r="X62" s="141"/>
      <c r="Y62" s="141"/>
      <c r="Z62" s="141"/>
      <c r="AA62" s="141"/>
      <c r="AB62" s="141"/>
      <c r="AC62" s="141"/>
      <c r="AD62" s="141"/>
      <c r="AE62" s="136">
        <f>ROWS(AD$10:$AD62)</f>
        <v>53</v>
      </c>
      <c r="AF62" s="136" t="str">
        <f>IF(ID!$A$91=AD62,AE62,"")</f>
        <v/>
      </c>
      <c r="AG62" s="136" t="str">
        <f>IFERROR(SMALL($AF$10:$AF$165,ROWS($AF$10:AF62)),"")</f>
        <v/>
      </c>
      <c r="BG62" s="121"/>
    </row>
    <row r="63" spans="2:59" ht="17.399999999999999" x14ac:dyDescent="0.3">
      <c r="B63" s="1653" t="s">
        <v>371</v>
      </c>
      <c r="C63" s="1653"/>
      <c r="D63" s="1653"/>
      <c r="E63" s="1653"/>
      <c r="F63" s="1653"/>
      <c r="G63" s="565"/>
      <c r="H63" s="1653" t="s">
        <v>455</v>
      </c>
      <c r="I63" s="1653"/>
      <c r="J63" s="1653"/>
      <c r="K63" s="1653"/>
      <c r="L63" s="566"/>
      <c r="M63" s="1653" t="s">
        <v>372</v>
      </c>
      <c r="N63" s="1653"/>
      <c r="O63" s="1653"/>
      <c r="P63" s="1653"/>
      <c r="R63" s="1061"/>
      <c r="S63" s="1062"/>
      <c r="T63" s="1062"/>
      <c r="U63" s="1062"/>
      <c r="V63" s="1066" t="s">
        <v>884</v>
      </c>
      <c r="AA63" s="1066" t="s">
        <v>884</v>
      </c>
      <c r="AB63" s="1063"/>
      <c r="AC63" s="1064"/>
      <c r="AD63" s="1065"/>
      <c r="AE63" s="136">
        <f>ROWS(AD$10:$AD63)</f>
        <v>54</v>
      </c>
      <c r="AF63" s="136" t="str">
        <f>IF(ID!$A$91=AD63,AE63,"")</f>
        <v/>
      </c>
      <c r="AG63" s="136" t="str">
        <f>IFERROR(SMALL($AF$10:$AF$165,ROWS($AF$10:AF63)),"")</f>
        <v/>
      </c>
      <c r="BG63" s="121"/>
    </row>
    <row r="64" spans="2:59" ht="12.75" customHeight="1" x14ac:dyDescent="0.25">
      <c r="B64" s="110" t="s">
        <v>41</v>
      </c>
      <c r="C64" s="110" t="s">
        <v>375</v>
      </c>
      <c r="D64" s="110" t="s">
        <v>376</v>
      </c>
      <c r="E64" s="110" t="s">
        <v>211</v>
      </c>
      <c r="F64" s="1665" t="s">
        <v>417</v>
      </c>
      <c r="H64" s="110" t="s">
        <v>41</v>
      </c>
      <c r="I64" s="110" t="s">
        <v>375</v>
      </c>
      <c r="J64" s="110" t="s">
        <v>377</v>
      </c>
      <c r="K64" s="1674" t="s">
        <v>418</v>
      </c>
      <c r="M64" s="110" t="s">
        <v>41</v>
      </c>
      <c r="N64" s="110" t="s">
        <v>375</v>
      </c>
      <c r="O64" s="110" t="s">
        <v>377</v>
      </c>
      <c r="P64" s="1654" t="s">
        <v>201</v>
      </c>
      <c r="R64" s="110" t="s">
        <v>41</v>
      </c>
      <c r="S64" s="128" t="s">
        <v>228</v>
      </c>
      <c r="T64" s="128" t="s">
        <v>456</v>
      </c>
      <c r="U64" s="128" t="s">
        <v>457</v>
      </c>
      <c r="V64" s="128" t="s">
        <v>222</v>
      </c>
      <c r="W64" s="129" t="s">
        <v>223</v>
      </c>
      <c r="X64" s="130" t="s">
        <v>229</v>
      </c>
      <c r="Y64" s="130" t="s">
        <v>458</v>
      </c>
      <c r="Z64" s="130" t="s">
        <v>459</v>
      </c>
      <c r="AA64" s="130" t="s">
        <v>224</v>
      </c>
      <c r="AB64" s="131" t="s">
        <v>225</v>
      </c>
      <c r="AC64" s="132" t="s">
        <v>93</v>
      </c>
      <c r="AD64" s="120" t="s">
        <v>48</v>
      </c>
      <c r="AE64" s="136">
        <f>ROWS(AD$10:$AD64)</f>
        <v>55</v>
      </c>
      <c r="AF64" s="136" t="str">
        <f>IF(ID!$A$91=AD64,AE64,"")</f>
        <v/>
      </c>
      <c r="AG64" s="136" t="str">
        <f>IFERROR(SMALL($AF$10:$AF$165,ROWS($AF$10:AF64)),"")</f>
        <v/>
      </c>
      <c r="BG64" s="121"/>
    </row>
    <row r="65" spans="1:59" x14ac:dyDescent="0.25">
      <c r="B65" s="569">
        <v>0</v>
      </c>
      <c r="C65" s="570">
        <v>0</v>
      </c>
      <c r="D65" s="570">
        <v>0</v>
      </c>
      <c r="E65" s="571">
        <v>0.7</v>
      </c>
      <c r="F65" s="1666"/>
      <c r="H65" s="569">
        <v>0</v>
      </c>
      <c r="I65" s="570">
        <v>0</v>
      </c>
      <c r="J65" s="570">
        <v>0</v>
      </c>
      <c r="K65" s="1673"/>
      <c r="M65" s="569">
        <v>0</v>
      </c>
      <c r="N65" s="570" t="s">
        <v>201</v>
      </c>
      <c r="O65" s="570" t="s">
        <v>201</v>
      </c>
      <c r="P65" s="1655"/>
      <c r="R65" s="569">
        <f>B65</f>
        <v>0</v>
      </c>
      <c r="S65" s="572">
        <f>C65</f>
        <v>0</v>
      </c>
      <c r="T65" s="572">
        <f>I65</f>
        <v>0</v>
      </c>
      <c r="U65" s="572" t="str">
        <f>N65</f>
        <v>-</v>
      </c>
      <c r="V65" s="573">
        <f>0.5*(MAX(S65:U65)-(MIN(S65:U65)))</f>
        <v>0</v>
      </c>
      <c r="W65" s="572">
        <f t="shared" ref="W65:W72" si="45">E65</f>
        <v>0.7</v>
      </c>
      <c r="X65" s="574">
        <f t="shared" ref="X65:X72" si="46">D65</f>
        <v>0</v>
      </c>
      <c r="Y65" s="574">
        <f t="shared" ref="Y65:Y72" si="47">J65</f>
        <v>0</v>
      </c>
      <c r="Z65" s="574" t="str">
        <f>O65</f>
        <v>-</v>
      </c>
      <c r="AA65" s="573">
        <f>0.5*(MAX(X65:Z65)-(MIN(X65:Z65)))</f>
        <v>0</v>
      </c>
      <c r="AB65" s="570">
        <f>E65</f>
        <v>0.7</v>
      </c>
      <c r="AC65" s="576" t="s">
        <v>435</v>
      </c>
      <c r="AD65" s="121" t="s">
        <v>798</v>
      </c>
      <c r="AE65" s="136">
        <f>ROWS(AD$10:$AD65)</f>
        <v>56</v>
      </c>
      <c r="AF65" s="136" t="str">
        <f>IF(ID!$A$91=AD65,AE65,"")</f>
        <v/>
      </c>
      <c r="AG65" s="136" t="str">
        <f>IFERROR(SMALL($AF$10:$AF$165,ROWS($AF$10:AF65)),"")</f>
        <v/>
      </c>
      <c r="BG65" s="121"/>
    </row>
    <row r="66" spans="1:59" x14ac:dyDescent="0.25">
      <c r="B66" s="569">
        <v>-100</v>
      </c>
      <c r="C66" s="570">
        <v>-1.3</v>
      </c>
      <c r="D66" s="570">
        <v>-1</v>
      </c>
      <c r="E66" s="571">
        <v>0.7</v>
      </c>
      <c r="F66" s="1666"/>
      <c r="H66" s="569">
        <v>-100</v>
      </c>
      <c r="I66" s="570">
        <f>-100.9+100</f>
        <v>-0.90000000000000568</v>
      </c>
      <c r="J66" s="570">
        <f>-100.9+100</f>
        <v>-0.90000000000000568</v>
      </c>
      <c r="K66" s="1673"/>
      <c r="M66" s="569">
        <v>-100</v>
      </c>
      <c r="N66" s="570" t="s">
        <v>201</v>
      </c>
      <c r="O66" s="570" t="s">
        <v>201</v>
      </c>
      <c r="P66" s="1655"/>
      <c r="R66" s="569">
        <f t="shared" ref="R66:R72" si="48">B66</f>
        <v>-100</v>
      </c>
      <c r="S66" s="572">
        <f t="shared" ref="S66:S72" si="49">C66</f>
        <v>-1.3</v>
      </c>
      <c r="T66" s="572">
        <f t="shared" ref="T66:T72" si="50">I66</f>
        <v>-0.90000000000000568</v>
      </c>
      <c r="U66" s="572" t="str">
        <f t="shared" ref="U66:U72" si="51">N66</f>
        <v>-</v>
      </c>
      <c r="V66" s="573">
        <f t="shared" ref="V66:V72" si="52">0.5*(MAX(S66:U66)-(MIN(S66:U66)))</f>
        <v>0.19999999999999718</v>
      </c>
      <c r="W66" s="572">
        <f t="shared" si="45"/>
        <v>0.7</v>
      </c>
      <c r="X66" s="574">
        <f t="shared" si="46"/>
        <v>-1</v>
      </c>
      <c r="Y66" s="574">
        <f t="shared" si="47"/>
        <v>-0.90000000000000568</v>
      </c>
      <c r="Z66" s="574" t="str">
        <f t="shared" ref="Z66:Z72" si="53">O66</f>
        <v>-</v>
      </c>
      <c r="AA66" s="573">
        <f t="shared" ref="AA66:AA72" si="54">0.5*(MAX(X66:Z66)-(MIN(X66:Z66)))</f>
        <v>4.9999999999997158E-2</v>
      </c>
      <c r="AB66" s="570">
        <f t="shared" ref="AB66:AB72" si="55">E66</f>
        <v>0.7</v>
      </c>
      <c r="AC66" s="576" t="s">
        <v>435</v>
      </c>
      <c r="AD66" s="121" t="s">
        <v>798</v>
      </c>
      <c r="AE66" s="136">
        <f>ROWS(AD$10:$AD66)</f>
        <v>57</v>
      </c>
      <c r="AF66" s="136" t="str">
        <f>IF(ID!$A$91=AD66,AE66,"")</f>
        <v/>
      </c>
      <c r="AG66" s="136" t="str">
        <f>IFERROR(SMALL($AF$10:$AF$165,ROWS($AF$10:AF66)),"")</f>
        <v/>
      </c>
      <c r="BG66" s="121"/>
    </row>
    <row r="67" spans="1:59" x14ac:dyDescent="0.25">
      <c r="B67" s="569">
        <v>-200</v>
      </c>
      <c r="C67" s="570">
        <v>-1.5</v>
      </c>
      <c r="D67" s="570">
        <v>-1.2</v>
      </c>
      <c r="E67" s="571">
        <v>0.7</v>
      </c>
      <c r="F67" s="1666"/>
      <c r="H67" s="569">
        <v>-200</v>
      </c>
      <c r="I67" s="570">
        <f>-201.7+200</f>
        <v>-1.6999999999999886</v>
      </c>
      <c r="J67" s="570">
        <f>-201.7+200</f>
        <v>-1.6999999999999886</v>
      </c>
      <c r="K67" s="1673"/>
      <c r="M67" s="569">
        <v>-200</v>
      </c>
      <c r="N67" s="570" t="s">
        <v>201</v>
      </c>
      <c r="O67" s="570" t="s">
        <v>201</v>
      </c>
      <c r="P67" s="1655"/>
      <c r="R67" s="569">
        <f t="shared" si="48"/>
        <v>-200</v>
      </c>
      <c r="S67" s="572">
        <f t="shared" si="49"/>
        <v>-1.5</v>
      </c>
      <c r="T67" s="572">
        <f t="shared" si="50"/>
        <v>-1.6999999999999886</v>
      </c>
      <c r="U67" s="572" t="str">
        <f t="shared" si="51"/>
        <v>-</v>
      </c>
      <c r="V67" s="573">
        <f t="shared" si="52"/>
        <v>9.9999999999994316E-2</v>
      </c>
      <c r="W67" s="572">
        <f t="shared" si="45"/>
        <v>0.7</v>
      </c>
      <c r="X67" s="574">
        <f t="shared" si="46"/>
        <v>-1.2</v>
      </c>
      <c r="Y67" s="574">
        <f t="shared" si="47"/>
        <v>-1.6999999999999886</v>
      </c>
      <c r="Z67" s="574" t="str">
        <f t="shared" si="53"/>
        <v>-</v>
      </c>
      <c r="AA67" s="573">
        <f t="shared" si="54"/>
        <v>0.24999999999999434</v>
      </c>
      <c r="AB67" s="570">
        <f t="shared" si="55"/>
        <v>0.7</v>
      </c>
      <c r="AC67" s="576" t="s">
        <v>435</v>
      </c>
      <c r="AD67" s="121" t="s">
        <v>798</v>
      </c>
      <c r="AE67" s="136">
        <f>ROWS(AD$10:$AD67)</f>
        <v>58</v>
      </c>
      <c r="AF67" s="136" t="str">
        <f>IF(ID!$A$91=AD67,AE67,"")</f>
        <v/>
      </c>
      <c r="AG67" s="136" t="str">
        <f>IFERROR(SMALL($AF$10:$AF$165,ROWS($AF$10:AF67)),"")</f>
        <v/>
      </c>
      <c r="BG67" s="121"/>
    </row>
    <row r="68" spans="1:59" x14ac:dyDescent="0.25">
      <c r="B68" s="569">
        <v>-300</v>
      </c>
      <c r="C68" s="570">
        <v>-2</v>
      </c>
      <c r="D68" s="570">
        <v>-1.7</v>
      </c>
      <c r="E68" s="571">
        <v>0.7</v>
      </c>
      <c r="F68" s="1666"/>
      <c r="H68" s="569">
        <v>-300</v>
      </c>
      <c r="I68" s="570">
        <f>-302.4+300</f>
        <v>-2.3999999999999773</v>
      </c>
      <c r="J68" s="570">
        <f>-302.4+300</f>
        <v>-2.3999999999999773</v>
      </c>
      <c r="K68" s="1673"/>
      <c r="M68" s="569">
        <v>-300</v>
      </c>
      <c r="N68" s="570" t="s">
        <v>201</v>
      </c>
      <c r="O68" s="570" t="s">
        <v>201</v>
      </c>
      <c r="P68" s="1655"/>
      <c r="R68" s="569">
        <f t="shared" si="48"/>
        <v>-300</v>
      </c>
      <c r="S68" s="572">
        <f t="shared" si="49"/>
        <v>-2</v>
      </c>
      <c r="T68" s="572">
        <f t="shared" si="50"/>
        <v>-2.3999999999999773</v>
      </c>
      <c r="U68" s="572" t="str">
        <f t="shared" si="51"/>
        <v>-</v>
      </c>
      <c r="V68" s="573">
        <f t="shared" si="52"/>
        <v>0.19999999999998863</v>
      </c>
      <c r="W68" s="572">
        <f t="shared" si="45"/>
        <v>0.7</v>
      </c>
      <c r="X68" s="574">
        <f t="shared" si="46"/>
        <v>-1.7</v>
      </c>
      <c r="Y68" s="574">
        <f t="shared" si="47"/>
        <v>-2.3999999999999773</v>
      </c>
      <c r="Z68" s="574" t="str">
        <f t="shared" si="53"/>
        <v>-</v>
      </c>
      <c r="AA68" s="573">
        <f t="shared" si="54"/>
        <v>0.34999999999998865</v>
      </c>
      <c r="AB68" s="570">
        <f t="shared" si="55"/>
        <v>0.7</v>
      </c>
      <c r="AC68" s="576" t="s">
        <v>435</v>
      </c>
      <c r="AD68" s="121" t="s">
        <v>798</v>
      </c>
      <c r="AE68" s="136">
        <f>ROWS(AD$10:$AD68)</f>
        <v>59</v>
      </c>
      <c r="AF68" s="136" t="str">
        <f>IF(ID!$A$91=AD68,AE68,"")</f>
        <v/>
      </c>
      <c r="AG68" s="136" t="str">
        <f>IFERROR(SMALL($AF$10:$AF$165,ROWS($AF$10:AF68)),"")</f>
        <v/>
      </c>
    </row>
    <row r="69" spans="1:59" x14ac:dyDescent="0.25">
      <c r="B69" s="569">
        <v>-400</v>
      </c>
      <c r="C69" s="570">
        <v>-3</v>
      </c>
      <c r="D69" s="570">
        <v>-2.7</v>
      </c>
      <c r="E69" s="571">
        <v>0.7</v>
      </c>
      <c r="F69" s="1666"/>
      <c r="H69" s="569">
        <v>-400</v>
      </c>
      <c r="I69" s="570">
        <f>-403+400</f>
        <v>-3</v>
      </c>
      <c r="J69" s="570">
        <f>-403+400</f>
        <v>-3</v>
      </c>
      <c r="K69" s="1673"/>
      <c r="M69" s="569">
        <v>-400</v>
      </c>
      <c r="N69" s="570" t="s">
        <v>201</v>
      </c>
      <c r="O69" s="570" t="s">
        <v>201</v>
      </c>
      <c r="P69" s="1655"/>
      <c r="R69" s="569">
        <f t="shared" si="48"/>
        <v>-400</v>
      </c>
      <c r="S69" s="572">
        <f t="shared" si="49"/>
        <v>-3</v>
      </c>
      <c r="T69" s="572">
        <f t="shared" si="50"/>
        <v>-3</v>
      </c>
      <c r="U69" s="572" t="str">
        <f t="shared" si="51"/>
        <v>-</v>
      </c>
      <c r="V69" s="573">
        <f t="shared" si="52"/>
        <v>0</v>
      </c>
      <c r="W69" s="572">
        <f t="shared" si="45"/>
        <v>0.7</v>
      </c>
      <c r="X69" s="574">
        <f t="shared" si="46"/>
        <v>-2.7</v>
      </c>
      <c r="Y69" s="574">
        <f t="shared" si="47"/>
        <v>-3</v>
      </c>
      <c r="Z69" s="574" t="str">
        <f t="shared" si="53"/>
        <v>-</v>
      </c>
      <c r="AA69" s="573">
        <f t="shared" si="54"/>
        <v>0.14999999999999991</v>
      </c>
      <c r="AB69" s="570">
        <f t="shared" si="55"/>
        <v>0.7</v>
      </c>
      <c r="AC69" s="576" t="s">
        <v>435</v>
      </c>
      <c r="AD69" s="121" t="s">
        <v>798</v>
      </c>
      <c r="AE69" s="136">
        <f>ROWS(AD$10:$AD69)</f>
        <v>60</v>
      </c>
      <c r="AF69" s="136" t="str">
        <f>IF(ID!$A$91=AD69,AE69,"")</f>
        <v/>
      </c>
      <c r="AG69" s="136" t="str">
        <f>IFERROR(SMALL($AF$10:$AF$165,ROWS($AF$10:AF69)),"")</f>
        <v/>
      </c>
    </row>
    <row r="70" spans="1:59" x14ac:dyDescent="0.25">
      <c r="B70" s="569">
        <v>-500</v>
      </c>
      <c r="C70" s="570">
        <v>-3.2</v>
      </c>
      <c r="D70" s="570">
        <v>-2.9</v>
      </c>
      <c r="E70" s="571">
        <v>0.7</v>
      </c>
      <c r="F70" s="1666"/>
      <c r="H70" s="569">
        <v>-500</v>
      </c>
      <c r="I70" s="570">
        <f>-503.6+500</f>
        <v>-3.6000000000000227</v>
      </c>
      <c r="J70" s="570">
        <f>-503.6+500</f>
        <v>-3.6000000000000227</v>
      </c>
      <c r="K70" s="1673"/>
      <c r="M70" s="569">
        <v>-500</v>
      </c>
      <c r="N70" s="570" t="s">
        <v>201</v>
      </c>
      <c r="O70" s="570" t="s">
        <v>201</v>
      </c>
      <c r="P70" s="1655"/>
      <c r="R70" s="569">
        <f t="shared" si="48"/>
        <v>-500</v>
      </c>
      <c r="S70" s="572">
        <f t="shared" si="49"/>
        <v>-3.2</v>
      </c>
      <c r="T70" s="572">
        <f t="shared" si="50"/>
        <v>-3.6000000000000227</v>
      </c>
      <c r="U70" s="572" t="str">
        <f t="shared" si="51"/>
        <v>-</v>
      </c>
      <c r="V70" s="573">
        <f t="shared" si="52"/>
        <v>0.20000000000001128</v>
      </c>
      <c r="W70" s="572">
        <f t="shared" si="45"/>
        <v>0.7</v>
      </c>
      <c r="X70" s="574">
        <f t="shared" si="46"/>
        <v>-2.9</v>
      </c>
      <c r="Y70" s="574">
        <f t="shared" si="47"/>
        <v>-3.6000000000000227</v>
      </c>
      <c r="Z70" s="574" t="str">
        <f t="shared" si="53"/>
        <v>-</v>
      </c>
      <c r="AA70" s="573">
        <f t="shared" si="54"/>
        <v>0.35000000000001141</v>
      </c>
      <c r="AB70" s="570">
        <f t="shared" si="55"/>
        <v>0.7</v>
      </c>
      <c r="AC70" s="576" t="s">
        <v>435</v>
      </c>
      <c r="AD70" s="121" t="s">
        <v>798</v>
      </c>
      <c r="AE70" s="136">
        <f>ROWS(AD$10:$AD70)</f>
        <v>61</v>
      </c>
      <c r="AF70" s="136" t="str">
        <f>IF(ID!$A$91=AD70,AE70,"")</f>
        <v/>
      </c>
      <c r="AG70" s="136" t="str">
        <f>IFERROR(SMALL($AF$10:$AF$165,ROWS($AF$10:AF70)),"")</f>
        <v/>
      </c>
    </row>
    <row r="71" spans="1:59" x14ac:dyDescent="0.25">
      <c r="B71" s="569">
        <v>-600</v>
      </c>
      <c r="C71" s="570">
        <v>-3.5</v>
      </c>
      <c r="D71" s="570">
        <v>-3.2</v>
      </c>
      <c r="E71" s="571">
        <v>0.7</v>
      </c>
      <c r="F71" s="1666"/>
      <c r="H71" s="569">
        <v>-600</v>
      </c>
      <c r="I71" s="570">
        <f>-604+600</f>
        <v>-4</v>
      </c>
      <c r="J71" s="570">
        <f>-604+600</f>
        <v>-4</v>
      </c>
      <c r="K71" s="1673"/>
      <c r="M71" s="569">
        <v>-600</v>
      </c>
      <c r="N71" s="570" t="s">
        <v>201</v>
      </c>
      <c r="O71" s="570" t="s">
        <v>201</v>
      </c>
      <c r="P71" s="1655"/>
      <c r="R71" s="569">
        <f t="shared" si="48"/>
        <v>-600</v>
      </c>
      <c r="S71" s="572">
        <f t="shared" si="49"/>
        <v>-3.5</v>
      </c>
      <c r="T71" s="572">
        <f t="shared" si="50"/>
        <v>-4</v>
      </c>
      <c r="U71" s="572" t="str">
        <f t="shared" si="51"/>
        <v>-</v>
      </c>
      <c r="V71" s="573">
        <f t="shared" si="52"/>
        <v>0.25</v>
      </c>
      <c r="W71" s="572">
        <f t="shared" si="45"/>
        <v>0.7</v>
      </c>
      <c r="X71" s="574">
        <f t="shared" si="46"/>
        <v>-3.2</v>
      </c>
      <c r="Y71" s="574">
        <f t="shared" si="47"/>
        <v>-4</v>
      </c>
      <c r="Z71" s="574" t="str">
        <f t="shared" si="53"/>
        <v>-</v>
      </c>
      <c r="AA71" s="573">
        <f t="shared" si="54"/>
        <v>0.39999999999999991</v>
      </c>
      <c r="AB71" s="570">
        <f t="shared" si="55"/>
        <v>0.7</v>
      </c>
      <c r="AC71" s="576" t="s">
        <v>435</v>
      </c>
      <c r="AD71" s="121" t="s">
        <v>798</v>
      </c>
      <c r="AE71" s="136">
        <f>ROWS(AD$10:$AD71)</f>
        <v>62</v>
      </c>
      <c r="AF71" s="136" t="str">
        <f>IF(ID!$A$91=AD71,AE71,"")</f>
        <v/>
      </c>
      <c r="AG71" s="136" t="str">
        <f>IFERROR(SMALL($AF$10:$AF$165,ROWS($AF$10:AF71)),"")</f>
        <v/>
      </c>
    </row>
    <row r="72" spans="1:59" x14ac:dyDescent="0.25">
      <c r="A72" s="138"/>
      <c r="B72" s="577">
        <v>-700</v>
      </c>
      <c r="C72" s="578">
        <f>C71</f>
        <v>-3.5</v>
      </c>
      <c r="D72" s="578">
        <f>D71</f>
        <v>-3.2</v>
      </c>
      <c r="E72" s="578">
        <f>E71</f>
        <v>0.7</v>
      </c>
      <c r="F72" s="1666"/>
      <c r="H72" s="577">
        <v>-700</v>
      </c>
      <c r="I72" s="578">
        <f>-704.5+700</f>
        <v>-4.5</v>
      </c>
      <c r="J72" s="578">
        <f>-704.5+700</f>
        <v>-4.5</v>
      </c>
      <c r="K72" s="1673"/>
      <c r="M72" s="577">
        <v>-700</v>
      </c>
      <c r="N72" s="590" t="s">
        <v>201</v>
      </c>
      <c r="O72" s="590" t="s">
        <v>201</v>
      </c>
      <c r="P72" s="1655"/>
      <c r="R72" s="569">
        <f t="shared" si="48"/>
        <v>-700</v>
      </c>
      <c r="S72" s="572">
        <f t="shared" si="49"/>
        <v>-3.5</v>
      </c>
      <c r="T72" s="572">
        <f t="shared" si="50"/>
        <v>-4.5</v>
      </c>
      <c r="U72" s="572" t="str">
        <f t="shared" si="51"/>
        <v>-</v>
      </c>
      <c r="V72" s="573">
        <f t="shared" si="52"/>
        <v>0.5</v>
      </c>
      <c r="W72" s="572">
        <f t="shared" si="45"/>
        <v>0.7</v>
      </c>
      <c r="X72" s="574">
        <f t="shared" si="46"/>
        <v>-3.2</v>
      </c>
      <c r="Y72" s="574">
        <f t="shared" si="47"/>
        <v>-4.5</v>
      </c>
      <c r="Z72" s="574" t="str">
        <f t="shared" si="53"/>
        <v>-</v>
      </c>
      <c r="AA72" s="573">
        <f t="shared" si="54"/>
        <v>0.64999999999999991</v>
      </c>
      <c r="AB72" s="570">
        <f t="shared" si="55"/>
        <v>0.7</v>
      </c>
      <c r="AC72" s="576" t="s">
        <v>435</v>
      </c>
      <c r="AD72" s="121" t="s">
        <v>798</v>
      </c>
      <c r="AE72" s="136">
        <f>ROWS(AD$10:$AD72)</f>
        <v>63</v>
      </c>
      <c r="AF72" s="136" t="str">
        <f>IF(ID!$A$91=AD72,AE72,"")</f>
        <v/>
      </c>
      <c r="AG72" s="136" t="str">
        <f>IFERROR(SMALL($AF$10:$AF$165,ROWS($AF$10:AF72)),"")</f>
        <v/>
      </c>
    </row>
    <row r="73" spans="1:59" s="138" customFormat="1" x14ac:dyDescent="0.25">
      <c r="B73" s="577"/>
      <c r="C73" s="583"/>
      <c r="D73" s="583"/>
      <c r="E73" s="583"/>
      <c r="F73" s="595"/>
      <c r="G73" s="563"/>
      <c r="H73" s="577"/>
      <c r="I73" s="578"/>
      <c r="J73" s="578"/>
      <c r="K73" s="596"/>
      <c r="L73" s="564"/>
      <c r="M73" s="577"/>
      <c r="N73" s="578"/>
      <c r="O73" s="578"/>
      <c r="P73" s="596"/>
      <c r="R73" s="586"/>
      <c r="S73" s="572"/>
      <c r="T73" s="572"/>
      <c r="U73" s="572"/>
      <c r="V73" s="573"/>
      <c r="W73" s="572"/>
      <c r="X73" s="574"/>
      <c r="Y73" s="574"/>
      <c r="Z73" s="574"/>
      <c r="AA73" s="573"/>
      <c r="AB73" s="589"/>
      <c r="AC73" s="576"/>
      <c r="AD73" s="121"/>
      <c r="AE73" s="136">
        <f>ROWS(AD$10:$AD73)</f>
        <v>64</v>
      </c>
      <c r="AF73" s="136" t="str">
        <f>IF(ID!$A$91=AD73,AE73,"")</f>
        <v/>
      </c>
      <c r="AG73" s="136" t="str">
        <f>IFERROR(SMALL($AF$10:$AF$165,ROWS($AF$10:AF73)),"")</f>
        <v/>
      </c>
      <c r="BG73" s="118"/>
    </row>
    <row r="74" spans="1:59" x14ac:dyDescent="0.25">
      <c r="B74" s="593"/>
      <c r="C74" s="594"/>
      <c r="D74" s="594"/>
      <c r="E74" s="594"/>
      <c r="F74" s="595"/>
      <c r="H74" s="593"/>
      <c r="I74" s="597"/>
      <c r="J74" s="597"/>
      <c r="K74" s="596"/>
      <c r="M74" s="593"/>
      <c r="N74" s="597"/>
      <c r="O74" s="597"/>
      <c r="P74" s="596"/>
      <c r="R74" s="111"/>
      <c r="S74" s="572"/>
      <c r="T74" s="572"/>
      <c r="U74" s="572"/>
      <c r="V74" s="598"/>
      <c r="W74" s="599"/>
      <c r="X74" s="599"/>
      <c r="Y74" s="599"/>
      <c r="Z74" s="599"/>
      <c r="AA74" s="599"/>
      <c r="AB74" s="600"/>
      <c r="AE74" s="136">
        <f>ROWS(AD$10:$AD74)</f>
        <v>65</v>
      </c>
      <c r="AF74" s="136" t="str">
        <f>IF(ID!$A$91=AD74,AE74,"")</f>
        <v/>
      </c>
      <c r="AG74" s="136" t="str">
        <f>IFERROR(SMALL($AF$10:$AF$165,ROWS($AF$10:AF74)),"")</f>
        <v/>
      </c>
      <c r="BG74" s="127"/>
    </row>
    <row r="75" spans="1:59" x14ac:dyDescent="0.25">
      <c r="B75" s="593"/>
      <c r="C75" s="594"/>
      <c r="D75" s="594"/>
      <c r="E75" s="594"/>
      <c r="F75" s="595"/>
      <c r="H75" s="593"/>
      <c r="I75" s="597"/>
      <c r="J75" s="597"/>
      <c r="K75" s="601"/>
      <c r="M75" s="593"/>
      <c r="N75" s="597"/>
      <c r="O75" s="597"/>
      <c r="P75" s="601"/>
      <c r="AE75" s="136">
        <f>ROWS(AD$10:$AD75)</f>
        <v>66</v>
      </c>
      <c r="AF75" s="136" t="str">
        <f>IF(ID!$A$91=AD75,AE75,"")</f>
        <v/>
      </c>
      <c r="AG75" s="136" t="str">
        <f>IFERROR(SMALL($AF$10:$AF$165,ROWS($AF$10:AF75)),"")</f>
        <v/>
      </c>
      <c r="BG75" s="127"/>
    </row>
    <row r="76" spans="1:59" x14ac:dyDescent="0.25">
      <c r="AE76" s="136">
        <f>ROWS(AD$10:$AD76)</f>
        <v>67</v>
      </c>
      <c r="AF76" s="136" t="str">
        <f>IF(ID!$A$91=AD76,AE76,"")</f>
        <v/>
      </c>
      <c r="AG76" s="136" t="str">
        <f>IFERROR(SMALL($AF$10:$AF$165,ROWS($AF$10:AF76)),"")</f>
        <v/>
      </c>
      <c r="BG76" s="127"/>
    </row>
    <row r="77" spans="1:59" ht="17.399999999999999" x14ac:dyDescent="0.3">
      <c r="B77" s="1653" t="s">
        <v>371</v>
      </c>
      <c r="C77" s="1653"/>
      <c r="D77" s="1653"/>
      <c r="E77" s="1653"/>
      <c r="F77" s="1653"/>
      <c r="G77" s="565"/>
      <c r="H77" s="1653" t="s">
        <v>455</v>
      </c>
      <c r="I77" s="1653"/>
      <c r="J77" s="1653"/>
      <c r="K77" s="1653"/>
      <c r="L77" s="566"/>
      <c r="M77" s="1653" t="s">
        <v>372</v>
      </c>
      <c r="N77" s="1653"/>
      <c r="O77" s="1653"/>
      <c r="P77" s="1653"/>
      <c r="AE77" s="136">
        <f>ROWS(AD$10:$AD77)</f>
        <v>68</v>
      </c>
      <c r="AF77" s="136" t="str">
        <f>IF(ID!$A$91=AD77,AE77,"")</f>
        <v/>
      </c>
      <c r="AG77" s="136" t="str">
        <f>IFERROR(SMALL($AF$10:$AF$165,ROWS($AF$10:AF77)),"")</f>
        <v/>
      </c>
      <c r="BG77" s="127"/>
    </row>
    <row r="78" spans="1:59" x14ac:dyDescent="0.25">
      <c r="R78" s="1061"/>
      <c r="S78" s="1062"/>
      <c r="T78" s="1062"/>
      <c r="U78" s="1062"/>
      <c r="V78" s="1066" t="s">
        <v>884</v>
      </c>
      <c r="AA78" s="1066" t="s">
        <v>884</v>
      </c>
      <c r="AB78" s="1063"/>
      <c r="AC78" s="1064"/>
      <c r="AD78" s="1065"/>
      <c r="AE78" s="1060">
        <f>ROWS(AD$10:$AD78)</f>
        <v>69</v>
      </c>
      <c r="AF78" s="136" t="str">
        <f>IF(ID!$A$91=AD78,AE78,"")</f>
        <v/>
      </c>
      <c r="AG78" s="136" t="str">
        <f>IFERROR(SMALL($AF$10:$AF$165,ROWS($AF$10:AF78)),"")</f>
        <v/>
      </c>
      <c r="BG78" s="127"/>
    </row>
    <row r="79" spans="1:59" ht="12.75" customHeight="1" x14ac:dyDescent="0.25">
      <c r="A79" s="141"/>
      <c r="B79" s="110" t="s">
        <v>41</v>
      </c>
      <c r="C79" s="110" t="s">
        <v>375</v>
      </c>
      <c r="D79" s="110" t="s">
        <v>376</v>
      </c>
      <c r="E79" s="110" t="s">
        <v>211</v>
      </c>
      <c r="F79" s="1662" t="s">
        <v>839</v>
      </c>
      <c r="H79" s="110" t="s">
        <v>41</v>
      </c>
      <c r="I79" s="110" t="s">
        <v>375</v>
      </c>
      <c r="J79" s="110" t="s">
        <v>377</v>
      </c>
      <c r="K79" s="1667" t="s">
        <v>374</v>
      </c>
      <c r="M79" s="110" t="s">
        <v>41</v>
      </c>
      <c r="N79" s="110" t="s">
        <v>375</v>
      </c>
      <c r="O79" s="110" t="s">
        <v>377</v>
      </c>
      <c r="P79" s="1654" t="s">
        <v>201</v>
      </c>
      <c r="R79" s="110" t="s">
        <v>41</v>
      </c>
      <c r="S79" s="128" t="s">
        <v>228</v>
      </c>
      <c r="T79" s="128" t="s">
        <v>456</v>
      </c>
      <c r="U79" s="128" t="s">
        <v>457</v>
      </c>
      <c r="V79" s="128" t="s">
        <v>222</v>
      </c>
      <c r="W79" s="129" t="s">
        <v>223</v>
      </c>
      <c r="X79" s="130" t="s">
        <v>229</v>
      </c>
      <c r="Y79" s="130" t="s">
        <v>458</v>
      </c>
      <c r="Z79" s="130" t="s">
        <v>459</v>
      </c>
      <c r="AA79" s="130" t="s">
        <v>224</v>
      </c>
      <c r="AB79" s="131" t="s">
        <v>225</v>
      </c>
      <c r="AC79" s="132" t="s">
        <v>93</v>
      </c>
      <c r="AD79" s="120" t="s">
        <v>48</v>
      </c>
      <c r="AE79" s="136">
        <f>ROWS(AD$10:$AD79)</f>
        <v>70</v>
      </c>
      <c r="AF79" s="136" t="str">
        <f>IF(ID!$A$91=AD79,AE79,"")</f>
        <v/>
      </c>
      <c r="AG79" s="136" t="str">
        <f>IFERROR(SMALL($AF$10:$AF$165,ROWS($AF$10:AF79)),"")</f>
        <v/>
      </c>
      <c r="BG79" s="127"/>
    </row>
    <row r="80" spans="1:59" x14ac:dyDescent="0.25">
      <c r="B80" s="569">
        <v>0</v>
      </c>
      <c r="C80" s="602">
        <v>0</v>
      </c>
      <c r="D80" s="602">
        <v>0</v>
      </c>
      <c r="E80" s="602">
        <v>0.6</v>
      </c>
      <c r="F80" s="1662"/>
      <c r="H80" s="569">
        <v>0</v>
      </c>
      <c r="I80" s="570">
        <v>0</v>
      </c>
      <c r="J80" s="570">
        <v>0</v>
      </c>
      <c r="K80" s="1668"/>
      <c r="M80" s="569">
        <v>0</v>
      </c>
      <c r="N80" s="570" t="s">
        <v>201</v>
      </c>
      <c r="O80" s="570" t="s">
        <v>201</v>
      </c>
      <c r="P80" s="1655"/>
      <c r="R80" s="569">
        <f>B80</f>
        <v>0</v>
      </c>
      <c r="S80" s="572">
        <f>C80</f>
        <v>0</v>
      </c>
      <c r="T80" s="572">
        <f>I80</f>
        <v>0</v>
      </c>
      <c r="U80" s="572" t="str">
        <f>N80</f>
        <v>-</v>
      </c>
      <c r="V80" s="573">
        <f>0.5*(MAX(S80:U80)-(MIN(S80:U80)))</f>
        <v>0</v>
      </c>
      <c r="W80" s="572">
        <f t="shared" ref="W80:W87" si="56">E80</f>
        <v>0.6</v>
      </c>
      <c r="X80" s="574">
        <f t="shared" ref="X80:X87" si="57">D80</f>
        <v>0</v>
      </c>
      <c r="Y80" s="574">
        <f t="shared" ref="Y80:Y87" si="58">J80</f>
        <v>0</v>
      </c>
      <c r="Z80" s="574" t="str">
        <f>O80</f>
        <v>-</v>
      </c>
      <c r="AA80" s="573">
        <f>0.5*(MAX(X80:Z80)-(MIN(X80:Z80)))</f>
        <v>0</v>
      </c>
      <c r="AB80" s="570">
        <f>E80</f>
        <v>0.6</v>
      </c>
      <c r="AC80" s="127" t="s">
        <v>840</v>
      </c>
      <c r="AD80" s="127" t="s">
        <v>373</v>
      </c>
      <c r="AE80" s="136">
        <f>ROWS(AD$10:$AD80)</f>
        <v>71</v>
      </c>
      <c r="AF80" s="136" t="str">
        <f>IF(ID!$A$91=AD80,AE80,"")</f>
        <v/>
      </c>
      <c r="AG80" s="136" t="str">
        <f>IFERROR(SMALL($AF$10:$AF$165,ROWS($AF$10:AF80)),"")</f>
        <v/>
      </c>
      <c r="BG80" s="127"/>
    </row>
    <row r="81" spans="1:59" x14ac:dyDescent="0.25">
      <c r="B81" s="569">
        <v>-100</v>
      </c>
      <c r="C81" s="602">
        <v>0</v>
      </c>
      <c r="D81" s="602">
        <v>0</v>
      </c>
      <c r="E81" s="602">
        <v>0.6</v>
      </c>
      <c r="F81" s="1662"/>
      <c r="H81" s="569">
        <v>-100</v>
      </c>
      <c r="I81" s="570">
        <v>0</v>
      </c>
      <c r="J81" s="570">
        <v>0</v>
      </c>
      <c r="K81" s="1668"/>
      <c r="M81" s="569">
        <v>-100</v>
      </c>
      <c r="N81" s="570" t="s">
        <v>201</v>
      </c>
      <c r="O81" s="570" t="s">
        <v>201</v>
      </c>
      <c r="P81" s="1655"/>
      <c r="R81" s="569">
        <f t="shared" ref="R81:R87" si="59">B81</f>
        <v>-100</v>
      </c>
      <c r="S81" s="572">
        <f t="shared" ref="S81:S87" si="60">C81</f>
        <v>0</v>
      </c>
      <c r="T81" s="572">
        <f t="shared" ref="T81:T87" si="61">I81</f>
        <v>0</v>
      </c>
      <c r="U81" s="572" t="str">
        <f t="shared" ref="U81:U87" si="62">N81</f>
        <v>-</v>
      </c>
      <c r="V81" s="573">
        <f t="shared" ref="V81:V87" si="63">0.5*(MAX(S81:U81)-(MIN(S81:U81)))</f>
        <v>0</v>
      </c>
      <c r="W81" s="572">
        <f t="shared" si="56"/>
        <v>0.6</v>
      </c>
      <c r="X81" s="574">
        <f t="shared" si="57"/>
        <v>0</v>
      </c>
      <c r="Y81" s="574">
        <f t="shared" si="58"/>
        <v>0</v>
      </c>
      <c r="Z81" s="574" t="str">
        <f t="shared" ref="Z81:Z87" si="64">O81</f>
        <v>-</v>
      </c>
      <c r="AA81" s="573">
        <f t="shared" ref="AA81:AA87" si="65">0.5*(MAX(X81:Z81)-(MIN(X81:Z81)))</f>
        <v>0</v>
      </c>
      <c r="AB81" s="570">
        <f t="shared" ref="AB81:AB87" si="66">E81</f>
        <v>0.6</v>
      </c>
      <c r="AC81" s="127" t="s">
        <v>840</v>
      </c>
      <c r="AD81" s="127" t="s">
        <v>373</v>
      </c>
      <c r="AE81" s="136">
        <f>ROWS(AD$10:$AD81)</f>
        <v>72</v>
      </c>
      <c r="AF81" s="136" t="str">
        <f>IF(ID!$A$91=AD81,AE81,"")</f>
        <v/>
      </c>
      <c r="AG81" s="136" t="str">
        <f>IFERROR(SMALL($AF$10:$AF$165,ROWS($AF$10:AF81)),"")</f>
        <v/>
      </c>
      <c r="BG81" s="127"/>
    </row>
    <row r="82" spans="1:59" x14ac:dyDescent="0.25">
      <c r="B82" s="569">
        <v>-200</v>
      </c>
      <c r="C82" s="602">
        <v>0</v>
      </c>
      <c r="D82" s="602">
        <v>0</v>
      </c>
      <c r="E82" s="602">
        <v>0.6</v>
      </c>
      <c r="F82" s="1662"/>
      <c r="H82" s="569">
        <v>-200</v>
      </c>
      <c r="I82" s="570">
        <v>-0.3</v>
      </c>
      <c r="J82" s="570">
        <v>-0.1</v>
      </c>
      <c r="K82" s="1668"/>
      <c r="M82" s="569">
        <v>-200</v>
      </c>
      <c r="N82" s="570" t="s">
        <v>201</v>
      </c>
      <c r="O82" s="570" t="s">
        <v>201</v>
      </c>
      <c r="P82" s="1655"/>
      <c r="R82" s="569">
        <f t="shared" si="59"/>
        <v>-200</v>
      </c>
      <c r="S82" s="572">
        <f t="shared" si="60"/>
        <v>0</v>
      </c>
      <c r="T82" s="572">
        <f t="shared" si="61"/>
        <v>-0.3</v>
      </c>
      <c r="U82" s="572" t="str">
        <f t="shared" si="62"/>
        <v>-</v>
      </c>
      <c r="V82" s="573">
        <f t="shared" si="63"/>
        <v>0.15</v>
      </c>
      <c r="W82" s="572">
        <f t="shared" si="56"/>
        <v>0.6</v>
      </c>
      <c r="X82" s="574">
        <f t="shared" si="57"/>
        <v>0</v>
      </c>
      <c r="Y82" s="574">
        <f t="shared" si="58"/>
        <v>-0.1</v>
      </c>
      <c r="Z82" s="574" t="str">
        <f t="shared" si="64"/>
        <v>-</v>
      </c>
      <c r="AA82" s="573">
        <f t="shared" si="65"/>
        <v>0.05</v>
      </c>
      <c r="AB82" s="570">
        <f t="shared" si="66"/>
        <v>0.6</v>
      </c>
      <c r="AC82" s="127" t="s">
        <v>840</v>
      </c>
      <c r="AD82" s="127" t="s">
        <v>373</v>
      </c>
      <c r="AE82" s="136">
        <f>ROWS(AD$10:$AD82)</f>
        <v>73</v>
      </c>
      <c r="AF82" s="136" t="str">
        <f>IF(ID!$A$91=AD82,AE82,"")</f>
        <v/>
      </c>
      <c r="AG82" s="136" t="str">
        <f>IFERROR(SMALL($AF$10:$AF$165,ROWS($AF$10:AF82)),"")</f>
        <v/>
      </c>
      <c r="BG82" s="150"/>
    </row>
    <row r="83" spans="1:59" x14ac:dyDescent="0.25">
      <c r="B83" s="569">
        <v>-300</v>
      </c>
      <c r="C83" s="602">
        <v>-0.1</v>
      </c>
      <c r="D83" s="602">
        <v>-0.1</v>
      </c>
      <c r="E83" s="602">
        <v>0.6</v>
      </c>
      <c r="F83" s="1662"/>
      <c r="H83" s="569">
        <v>-300</v>
      </c>
      <c r="I83" s="570">
        <v>-0.5</v>
      </c>
      <c r="J83" s="570">
        <v>-0.5</v>
      </c>
      <c r="K83" s="1668"/>
      <c r="M83" s="569">
        <v>-300</v>
      </c>
      <c r="N83" s="570" t="s">
        <v>201</v>
      </c>
      <c r="O83" s="570" t="s">
        <v>201</v>
      </c>
      <c r="P83" s="1655"/>
      <c r="R83" s="569">
        <f t="shared" si="59"/>
        <v>-300</v>
      </c>
      <c r="S83" s="572">
        <f t="shared" si="60"/>
        <v>-0.1</v>
      </c>
      <c r="T83" s="572">
        <f t="shared" si="61"/>
        <v>-0.5</v>
      </c>
      <c r="U83" s="572" t="str">
        <f t="shared" si="62"/>
        <v>-</v>
      </c>
      <c r="V83" s="573">
        <f t="shared" si="63"/>
        <v>0.2</v>
      </c>
      <c r="W83" s="572">
        <f t="shared" si="56"/>
        <v>0.6</v>
      </c>
      <c r="X83" s="574">
        <f t="shared" si="57"/>
        <v>-0.1</v>
      </c>
      <c r="Y83" s="574">
        <f t="shared" si="58"/>
        <v>-0.5</v>
      </c>
      <c r="Z83" s="574" t="str">
        <f t="shared" si="64"/>
        <v>-</v>
      </c>
      <c r="AA83" s="573">
        <f t="shared" si="65"/>
        <v>0.2</v>
      </c>
      <c r="AB83" s="570">
        <f t="shared" si="66"/>
        <v>0.6</v>
      </c>
      <c r="AC83" s="127" t="s">
        <v>840</v>
      </c>
      <c r="AD83" s="127" t="s">
        <v>373</v>
      </c>
      <c r="AE83" s="136">
        <f>ROWS(AD$10:$AD83)</f>
        <v>74</v>
      </c>
      <c r="AF83" s="136" t="str">
        <f>IF(ID!$A$91=AD83,AE83,"")</f>
        <v/>
      </c>
      <c r="AG83" s="136" t="str">
        <f>IFERROR(SMALL($AF$10:$AF$165,ROWS($AF$10:AF83)),"")</f>
        <v/>
      </c>
    </row>
    <row r="84" spans="1:59" x14ac:dyDescent="0.25">
      <c r="B84" s="569">
        <v>-400</v>
      </c>
      <c r="C84" s="602">
        <v>-0.1</v>
      </c>
      <c r="D84" s="602">
        <v>-0.1</v>
      </c>
      <c r="E84" s="602">
        <v>0.6</v>
      </c>
      <c r="F84" s="1662"/>
      <c r="H84" s="569">
        <v>-400</v>
      </c>
      <c r="I84" s="570">
        <v>-0.5</v>
      </c>
      <c r="J84" s="570">
        <v>-0.5</v>
      </c>
      <c r="K84" s="1668"/>
      <c r="M84" s="569">
        <v>-400</v>
      </c>
      <c r="N84" s="570" t="s">
        <v>201</v>
      </c>
      <c r="O84" s="570" t="s">
        <v>201</v>
      </c>
      <c r="P84" s="1655"/>
      <c r="R84" s="569">
        <f t="shared" si="59"/>
        <v>-400</v>
      </c>
      <c r="S84" s="572">
        <f t="shared" si="60"/>
        <v>-0.1</v>
      </c>
      <c r="T84" s="572">
        <f t="shared" si="61"/>
        <v>-0.5</v>
      </c>
      <c r="U84" s="572" t="str">
        <f t="shared" si="62"/>
        <v>-</v>
      </c>
      <c r="V84" s="573">
        <f t="shared" si="63"/>
        <v>0.2</v>
      </c>
      <c r="W84" s="572">
        <f t="shared" si="56"/>
        <v>0.6</v>
      </c>
      <c r="X84" s="574">
        <f t="shared" si="57"/>
        <v>-0.1</v>
      </c>
      <c r="Y84" s="574">
        <f t="shared" si="58"/>
        <v>-0.5</v>
      </c>
      <c r="Z84" s="574" t="str">
        <f t="shared" si="64"/>
        <v>-</v>
      </c>
      <c r="AA84" s="573">
        <f t="shared" si="65"/>
        <v>0.2</v>
      </c>
      <c r="AB84" s="570">
        <f t="shared" si="66"/>
        <v>0.6</v>
      </c>
      <c r="AC84" s="127" t="s">
        <v>840</v>
      </c>
      <c r="AD84" s="127" t="s">
        <v>373</v>
      </c>
      <c r="AE84" s="136">
        <f>ROWS(AD$10:$AD84)</f>
        <v>75</v>
      </c>
      <c r="AF84" s="136" t="str">
        <f>IF(ID!$A$91=AD84,AE84,"")</f>
        <v/>
      </c>
      <c r="AG84" s="136" t="str">
        <f>IFERROR(SMALL($AF$10:$AF$165,ROWS($AF$10:AF84)),"")</f>
        <v/>
      </c>
    </row>
    <row r="85" spans="1:59" x14ac:dyDescent="0.25">
      <c r="B85" s="569">
        <v>-500</v>
      </c>
      <c r="C85" s="602">
        <v>-0.3</v>
      </c>
      <c r="D85" s="602">
        <v>-0.3</v>
      </c>
      <c r="E85" s="602">
        <v>0.6</v>
      </c>
      <c r="F85" s="1662"/>
      <c r="H85" s="569">
        <v>-500</v>
      </c>
      <c r="I85" s="570">
        <v>-0.5</v>
      </c>
      <c r="J85" s="570">
        <v>-0.5</v>
      </c>
      <c r="K85" s="1668"/>
      <c r="M85" s="569">
        <v>-500</v>
      </c>
      <c r="N85" s="570" t="s">
        <v>201</v>
      </c>
      <c r="O85" s="570" t="s">
        <v>201</v>
      </c>
      <c r="P85" s="1655"/>
      <c r="R85" s="569">
        <f t="shared" si="59"/>
        <v>-500</v>
      </c>
      <c r="S85" s="572">
        <f t="shared" si="60"/>
        <v>-0.3</v>
      </c>
      <c r="T85" s="572">
        <f t="shared" si="61"/>
        <v>-0.5</v>
      </c>
      <c r="U85" s="572" t="str">
        <f t="shared" si="62"/>
        <v>-</v>
      </c>
      <c r="V85" s="573">
        <f t="shared" si="63"/>
        <v>0.1</v>
      </c>
      <c r="W85" s="572">
        <f t="shared" si="56"/>
        <v>0.6</v>
      </c>
      <c r="X85" s="574">
        <f t="shared" si="57"/>
        <v>-0.3</v>
      </c>
      <c r="Y85" s="574">
        <f t="shared" si="58"/>
        <v>-0.5</v>
      </c>
      <c r="Z85" s="574" t="str">
        <f t="shared" si="64"/>
        <v>-</v>
      </c>
      <c r="AA85" s="573">
        <f t="shared" si="65"/>
        <v>0.1</v>
      </c>
      <c r="AB85" s="570">
        <f t="shared" si="66"/>
        <v>0.6</v>
      </c>
      <c r="AC85" s="127" t="s">
        <v>840</v>
      </c>
      <c r="AD85" s="127" t="s">
        <v>373</v>
      </c>
      <c r="AE85" s="136">
        <f>ROWS(AD$10:$AD85)</f>
        <v>76</v>
      </c>
      <c r="AF85" s="136" t="str">
        <f>IF(ID!$A$91=AD85,AE85,"")</f>
        <v/>
      </c>
      <c r="AG85" s="136" t="str">
        <f>IFERROR(SMALL($AF$10:$AF$165,ROWS($AF$10:AF85)),"")</f>
        <v/>
      </c>
    </row>
    <row r="86" spans="1:59" x14ac:dyDescent="0.25">
      <c r="A86" s="149"/>
      <c r="B86" s="586">
        <v>-600</v>
      </c>
      <c r="C86" s="603">
        <v>-0.4</v>
      </c>
      <c r="D86" s="603">
        <v>-0.4</v>
      </c>
      <c r="E86" s="602">
        <v>0.6</v>
      </c>
      <c r="F86" s="1662"/>
      <c r="H86" s="569">
        <v>-600</v>
      </c>
      <c r="I86" s="570">
        <v>-0.4</v>
      </c>
      <c r="J86" s="570">
        <v>-0.4</v>
      </c>
      <c r="K86" s="1668"/>
      <c r="M86" s="569">
        <v>-600</v>
      </c>
      <c r="N86" s="570" t="s">
        <v>201</v>
      </c>
      <c r="O86" s="570" t="s">
        <v>201</v>
      </c>
      <c r="P86" s="1655"/>
      <c r="R86" s="569">
        <f t="shared" si="59"/>
        <v>-600</v>
      </c>
      <c r="S86" s="572">
        <f t="shared" si="60"/>
        <v>-0.4</v>
      </c>
      <c r="T86" s="572">
        <f t="shared" si="61"/>
        <v>-0.4</v>
      </c>
      <c r="U86" s="572" t="str">
        <f t="shared" si="62"/>
        <v>-</v>
      </c>
      <c r="V86" s="573">
        <f t="shared" si="63"/>
        <v>0</v>
      </c>
      <c r="W86" s="572">
        <f t="shared" si="56"/>
        <v>0.6</v>
      </c>
      <c r="X86" s="574">
        <f t="shared" si="57"/>
        <v>-0.4</v>
      </c>
      <c r="Y86" s="574">
        <f t="shared" si="58"/>
        <v>-0.4</v>
      </c>
      <c r="Z86" s="574" t="str">
        <f t="shared" si="64"/>
        <v>-</v>
      </c>
      <c r="AA86" s="573">
        <f t="shared" si="65"/>
        <v>0</v>
      </c>
      <c r="AB86" s="570">
        <f t="shared" si="66"/>
        <v>0.6</v>
      </c>
      <c r="AC86" s="127" t="s">
        <v>840</v>
      </c>
      <c r="AD86" s="127" t="s">
        <v>373</v>
      </c>
      <c r="AE86" s="136">
        <f>ROWS(AD$10:$AD86)</f>
        <v>77</v>
      </c>
      <c r="AF86" s="136" t="str">
        <f>IF(ID!$A$91=AD86,AE86,"")</f>
        <v/>
      </c>
      <c r="AG86" s="136" t="str">
        <f>IFERROR(SMALL($AF$10:$AF$165,ROWS($AF$10:AF86)),"")</f>
        <v/>
      </c>
    </row>
    <row r="87" spans="1:59" s="138" customFormat="1" x14ac:dyDescent="0.25">
      <c r="A87" s="149"/>
      <c r="B87" s="591">
        <v>-700</v>
      </c>
      <c r="C87" s="604">
        <v>-0.6</v>
      </c>
      <c r="D87" s="604">
        <v>-0.6</v>
      </c>
      <c r="E87" s="602">
        <f>E86</f>
        <v>0.6</v>
      </c>
      <c r="F87" s="1662"/>
      <c r="G87" s="563"/>
      <c r="H87" s="591">
        <v>-700</v>
      </c>
      <c r="I87" s="605">
        <f>I86</f>
        <v>-0.4</v>
      </c>
      <c r="J87" s="605">
        <f>J86</f>
        <v>-0.4</v>
      </c>
      <c r="K87" s="1668"/>
      <c r="L87" s="564"/>
      <c r="M87" s="591">
        <v>-700</v>
      </c>
      <c r="N87" s="590" t="s">
        <v>201</v>
      </c>
      <c r="O87" s="590" t="s">
        <v>201</v>
      </c>
      <c r="P87" s="1655"/>
      <c r="R87" s="569">
        <f t="shared" si="59"/>
        <v>-700</v>
      </c>
      <c r="S87" s="572">
        <f t="shared" si="60"/>
        <v>-0.6</v>
      </c>
      <c r="T87" s="572">
        <f t="shared" si="61"/>
        <v>-0.4</v>
      </c>
      <c r="U87" s="572" t="str">
        <f t="shared" si="62"/>
        <v>-</v>
      </c>
      <c r="V87" s="573">
        <f t="shared" si="63"/>
        <v>9.9999999999999978E-2</v>
      </c>
      <c r="W87" s="572">
        <f t="shared" si="56"/>
        <v>0.6</v>
      </c>
      <c r="X87" s="574">
        <f t="shared" si="57"/>
        <v>-0.6</v>
      </c>
      <c r="Y87" s="574">
        <f t="shared" si="58"/>
        <v>-0.4</v>
      </c>
      <c r="Z87" s="574" t="str">
        <f t="shared" si="64"/>
        <v>-</v>
      </c>
      <c r="AA87" s="573">
        <f t="shared" si="65"/>
        <v>9.9999999999999978E-2</v>
      </c>
      <c r="AB87" s="570">
        <f t="shared" si="66"/>
        <v>0.6</v>
      </c>
      <c r="AC87" s="127" t="s">
        <v>840</v>
      </c>
      <c r="AD87" s="127" t="s">
        <v>373</v>
      </c>
      <c r="AE87" s="136">
        <f>ROWS(AD$10:$AD87)</f>
        <v>78</v>
      </c>
      <c r="AF87" s="136" t="str">
        <f>IF(ID!$A$91=AD87,AE87,"")</f>
        <v/>
      </c>
      <c r="AG87" s="136" t="str">
        <f>IFERROR(SMALL($AF$10:$AF$165,ROWS($AF$10:AF87)),"")</f>
        <v/>
      </c>
      <c r="BG87" s="118"/>
    </row>
    <row r="88" spans="1:59" s="149" customFormat="1" x14ac:dyDescent="0.25">
      <c r="B88" s="591"/>
      <c r="C88" s="592"/>
      <c r="D88" s="592"/>
      <c r="E88" s="592"/>
      <c r="F88" s="606"/>
      <c r="G88" s="563"/>
      <c r="H88" s="591"/>
      <c r="I88" s="605"/>
      <c r="J88" s="607"/>
      <c r="K88" s="608"/>
      <c r="L88" s="564"/>
      <c r="M88" s="591"/>
      <c r="N88" s="605"/>
      <c r="O88" s="607"/>
      <c r="P88" s="608"/>
      <c r="Q88" s="138"/>
      <c r="R88" s="586"/>
      <c r="S88" s="572"/>
      <c r="T88" s="572"/>
      <c r="U88" s="572"/>
      <c r="V88" s="573"/>
      <c r="W88" s="587"/>
      <c r="X88" s="588"/>
      <c r="Y88" s="588"/>
      <c r="Z88" s="574"/>
      <c r="AA88" s="573"/>
      <c r="AB88" s="589"/>
      <c r="AC88" s="609"/>
      <c r="AD88" s="150"/>
      <c r="AE88" s="136">
        <f>ROWS(AD$10:$AD88)</f>
        <v>79</v>
      </c>
      <c r="AF88" s="136" t="str">
        <f>IF(ID!$A$91=AD88,AE88,"")</f>
        <v/>
      </c>
      <c r="AG88" s="136" t="str">
        <f>IFERROR(SMALL($AF$10:$AF$165,ROWS($AF$10:AF88)),"")</f>
        <v/>
      </c>
      <c r="BG88" s="118"/>
    </row>
    <row r="89" spans="1:59" x14ac:dyDescent="0.25">
      <c r="B89" s="593"/>
      <c r="C89" s="594"/>
      <c r="D89" s="594"/>
      <c r="E89" s="594"/>
      <c r="F89" s="595"/>
      <c r="H89" s="593"/>
      <c r="I89" s="597"/>
      <c r="J89" s="610"/>
      <c r="K89" s="596"/>
      <c r="M89" s="593"/>
      <c r="N89" s="597"/>
      <c r="O89" s="610"/>
      <c r="P89" s="596"/>
      <c r="R89" s="111"/>
      <c r="S89" s="598"/>
      <c r="T89" s="598"/>
      <c r="U89" s="598"/>
      <c r="V89" s="598"/>
      <c r="W89" s="599"/>
      <c r="X89" s="599"/>
      <c r="Y89" s="599"/>
      <c r="Z89" s="599"/>
      <c r="AA89" s="599"/>
      <c r="AB89" s="600"/>
      <c r="AE89" s="136">
        <f>ROWS(AD$10:$AD89)</f>
        <v>80</v>
      </c>
      <c r="AF89" s="136" t="str">
        <f>IF(ID!$A$91=AD89,AE89,"")</f>
        <v/>
      </c>
      <c r="AG89" s="136" t="str">
        <f>IFERROR(SMALL($AF$10:$AF$165,ROWS($AF$10:AF89)),"")</f>
        <v/>
      </c>
      <c r="BG89" s="127"/>
    </row>
    <row r="90" spans="1:59" x14ac:dyDescent="0.25">
      <c r="B90" s="593"/>
      <c r="C90" s="594"/>
      <c r="D90" s="594"/>
      <c r="E90" s="594"/>
      <c r="F90" s="595"/>
      <c r="H90" s="593"/>
      <c r="I90" s="597"/>
      <c r="J90" s="611"/>
      <c r="K90" s="601"/>
      <c r="M90" s="593"/>
      <c r="N90" s="597"/>
      <c r="O90" s="611"/>
      <c r="P90" s="601"/>
      <c r="AE90" s="136">
        <f>ROWS(AD$10:$AD90)</f>
        <v>81</v>
      </c>
      <c r="AF90" s="136" t="str">
        <f>IF(ID!$A$91=AD90,AE90,"")</f>
        <v/>
      </c>
      <c r="AG90" s="136" t="str">
        <f>IFERROR(SMALL($AF$10:$AF$165,ROWS($AF$10:AF90)),"")</f>
        <v/>
      </c>
      <c r="BG90" s="127"/>
    </row>
    <row r="91" spans="1:59" x14ac:dyDescent="0.25">
      <c r="AE91" s="136">
        <f>ROWS(AD$10:$AD91)</f>
        <v>82</v>
      </c>
      <c r="AF91" s="136" t="str">
        <f>IF(ID!$A$91=AD91,AE91,"")</f>
        <v/>
      </c>
      <c r="AG91" s="136" t="str">
        <f>IFERROR(SMALL($AF$10:$AF$165,ROWS($AF$10:AF91)),"")</f>
        <v/>
      </c>
      <c r="BG91" s="127"/>
    </row>
    <row r="92" spans="1:59" ht="17.399999999999999" x14ac:dyDescent="0.3">
      <c r="B92" s="1653" t="s">
        <v>371</v>
      </c>
      <c r="C92" s="1653"/>
      <c r="D92" s="1653"/>
      <c r="E92" s="1653"/>
      <c r="F92" s="1653"/>
      <c r="G92" s="565"/>
      <c r="H92" s="1653" t="s">
        <v>455</v>
      </c>
      <c r="I92" s="1653"/>
      <c r="J92" s="1653"/>
      <c r="K92" s="1653"/>
      <c r="L92" s="566"/>
      <c r="M92" s="1653" t="s">
        <v>372</v>
      </c>
      <c r="N92" s="1653"/>
      <c r="O92" s="1653"/>
      <c r="P92" s="1653"/>
      <c r="AE92" s="136">
        <f>ROWS(AD$10:$AD92)</f>
        <v>83</v>
      </c>
      <c r="AF92" s="136" t="str">
        <f>IF(ID!$A$91=AD92,AE92,"")</f>
        <v/>
      </c>
      <c r="AG92" s="136" t="str">
        <f>IFERROR(SMALL($AF$10:$AF$165,ROWS($AF$10:AF92)),"")</f>
        <v/>
      </c>
      <c r="BG92" s="127"/>
    </row>
    <row r="93" spans="1:59" x14ac:dyDescent="0.25">
      <c r="V93" s="1066" t="s">
        <v>884</v>
      </c>
      <c r="AA93" s="1066" t="s">
        <v>884</v>
      </c>
      <c r="AE93" s="136">
        <f>ROWS(AD$10:$AD93)</f>
        <v>84</v>
      </c>
      <c r="AF93" s="136" t="str">
        <f>IF(ID!$A$91=AD93,AE93,"")</f>
        <v/>
      </c>
      <c r="AG93" s="136" t="str">
        <f>IFERROR(SMALL($AF$10:$AF$165,ROWS($AF$10:AF93)),"")</f>
        <v/>
      </c>
      <c r="BG93" s="127"/>
    </row>
    <row r="94" spans="1:59" ht="12.75" customHeight="1" x14ac:dyDescent="0.25">
      <c r="B94" s="110" t="s">
        <v>41</v>
      </c>
      <c r="C94" s="110" t="s">
        <v>375</v>
      </c>
      <c r="D94" s="110" t="s">
        <v>376</v>
      </c>
      <c r="E94" s="110" t="s">
        <v>211</v>
      </c>
      <c r="F94" s="1662" t="s">
        <v>839</v>
      </c>
      <c r="H94" s="110" t="s">
        <v>41</v>
      </c>
      <c r="I94" s="110" t="s">
        <v>375</v>
      </c>
      <c r="J94" s="110" t="s">
        <v>377</v>
      </c>
      <c r="K94" s="1669" t="s">
        <v>374</v>
      </c>
      <c r="M94" s="110" t="s">
        <v>41</v>
      </c>
      <c r="N94" s="110" t="s">
        <v>375</v>
      </c>
      <c r="O94" s="110" t="s">
        <v>377</v>
      </c>
      <c r="P94" s="1654" t="s">
        <v>201</v>
      </c>
      <c r="R94" s="110" t="s">
        <v>41</v>
      </c>
      <c r="S94" s="128" t="s">
        <v>228</v>
      </c>
      <c r="T94" s="128" t="s">
        <v>456</v>
      </c>
      <c r="U94" s="128" t="s">
        <v>457</v>
      </c>
      <c r="V94" s="128" t="s">
        <v>222</v>
      </c>
      <c r="W94" s="129" t="s">
        <v>223</v>
      </c>
      <c r="X94" s="130" t="s">
        <v>229</v>
      </c>
      <c r="Y94" s="130" t="s">
        <v>458</v>
      </c>
      <c r="Z94" s="130" t="s">
        <v>459</v>
      </c>
      <c r="AA94" s="130" t="s">
        <v>224</v>
      </c>
      <c r="AB94" s="131" t="s">
        <v>225</v>
      </c>
      <c r="AC94" s="132" t="s">
        <v>93</v>
      </c>
      <c r="AD94" s="120" t="s">
        <v>48</v>
      </c>
      <c r="AE94" s="136">
        <f>ROWS(AD$10:$AD94)</f>
        <v>85</v>
      </c>
      <c r="AF94" s="136" t="str">
        <f>IF(ID!$A$91=AD94,AE94,"")</f>
        <v/>
      </c>
      <c r="AG94" s="136" t="str">
        <f>IFERROR(SMALL($AF$10:$AF$165,ROWS($AF$10:AF94)),"")</f>
        <v/>
      </c>
      <c r="BG94" s="127"/>
    </row>
    <row r="95" spans="1:59" x14ac:dyDescent="0.25">
      <c r="B95" s="569">
        <v>0</v>
      </c>
      <c r="C95" s="602">
        <v>0.1</v>
      </c>
      <c r="D95" s="602">
        <v>0.1</v>
      </c>
      <c r="E95" s="602">
        <v>0.6</v>
      </c>
      <c r="F95" s="1662"/>
      <c r="H95" s="569">
        <v>0</v>
      </c>
      <c r="I95" s="602">
        <v>0</v>
      </c>
      <c r="J95" s="602">
        <v>0</v>
      </c>
      <c r="K95" s="1669"/>
      <c r="M95" s="569">
        <v>0</v>
      </c>
      <c r="N95" s="570" t="s">
        <v>201</v>
      </c>
      <c r="O95" s="570" t="s">
        <v>201</v>
      </c>
      <c r="P95" s="1655"/>
      <c r="R95" s="569">
        <f>B95</f>
        <v>0</v>
      </c>
      <c r="S95" s="572">
        <f>C95</f>
        <v>0.1</v>
      </c>
      <c r="T95" s="572">
        <f>I95</f>
        <v>0</v>
      </c>
      <c r="U95" s="572" t="str">
        <f>N95</f>
        <v>-</v>
      </c>
      <c r="V95" s="573">
        <f>0.5*(MAX(S95:U95)-(MIN(S95:U95)))</f>
        <v>0.05</v>
      </c>
      <c r="W95" s="572">
        <f t="shared" ref="W95:W102" si="67">E95</f>
        <v>0.6</v>
      </c>
      <c r="X95" s="574">
        <f t="shared" ref="X95:X102" si="68">D95</f>
        <v>0.1</v>
      </c>
      <c r="Y95" s="574">
        <f t="shared" ref="Y95:Y102" si="69">J95</f>
        <v>0</v>
      </c>
      <c r="Z95" s="574" t="str">
        <f>O95</f>
        <v>-</v>
      </c>
      <c r="AA95" s="573">
        <f>0.5*(MAX(X95:Z95)-(MIN(X95:Z95)))</f>
        <v>0.05</v>
      </c>
      <c r="AB95" s="570">
        <f>E95</f>
        <v>0.6</v>
      </c>
      <c r="AC95" s="127" t="s">
        <v>840</v>
      </c>
      <c r="AD95" s="127" t="s">
        <v>378</v>
      </c>
      <c r="AE95" s="136">
        <f>ROWS(AD$10:$AD95)</f>
        <v>86</v>
      </c>
      <c r="AF95" s="136" t="str">
        <f>IF(ID!$A$91=AD95,AE95,"")</f>
        <v/>
      </c>
      <c r="AG95" s="136" t="str">
        <f>IFERROR(SMALL($AF$10:$AF$165,ROWS($AF$10:AF95)),"")</f>
        <v/>
      </c>
      <c r="BG95" s="127"/>
    </row>
    <row r="96" spans="1:59" x14ac:dyDescent="0.25">
      <c r="B96" s="569">
        <v>-100</v>
      </c>
      <c r="C96" s="602">
        <v>0</v>
      </c>
      <c r="D96" s="602">
        <v>0</v>
      </c>
      <c r="E96" s="602">
        <v>0.6</v>
      </c>
      <c r="F96" s="1662"/>
      <c r="H96" s="569">
        <v>-100</v>
      </c>
      <c r="I96" s="602">
        <v>-0.3</v>
      </c>
      <c r="J96" s="602">
        <v>-0.3</v>
      </c>
      <c r="K96" s="1669"/>
      <c r="M96" s="569">
        <v>-100</v>
      </c>
      <c r="N96" s="570" t="s">
        <v>201</v>
      </c>
      <c r="O96" s="570" t="s">
        <v>201</v>
      </c>
      <c r="P96" s="1655"/>
      <c r="R96" s="569">
        <f t="shared" ref="R96:R102" si="70">B96</f>
        <v>-100</v>
      </c>
      <c r="S96" s="572">
        <f t="shared" ref="S96:S102" si="71">C96</f>
        <v>0</v>
      </c>
      <c r="T96" s="572">
        <f t="shared" ref="T96:T102" si="72">I96</f>
        <v>-0.3</v>
      </c>
      <c r="U96" s="572" t="str">
        <f t="shared" ref="U96:U102" si="73">N96</f>
        <v>-</v>
      </c>
      <c r="V96" s="573">
        <f t="shared" ref="V96:V102" si="74">0.5*(MAX(S96:U96)-(MIN(S96:U96)))</f>
        <v>0.15</v>
      </c>
      <c r="W96" s="572">
        <f t="shared" si="67"/>
        <v>0.6</v>
      </c>
      <c r="X96" s="574">
        <f t="shared" si="68"/>
        <v>0</v>
      </c>
      <c r="Y96" s="574">
        <f t="shared" si="69"/>
        <v>-0.3</v>
      </c>
      <c r="Z96" s="574" t="str">
        <f t="shared" ref="Z96:Z102" si="75">O96</f>
        <v>-</v>
      </c>
      <c r="AA96" s="573">
        <f t="shared" ref="AA96:AA102" si="76">0.5*(MAX(X96:Z96)-(MIN(X96:Z96)))</f>
        <v>0.15</v>
      </c>
      <c r="AB96" s="570">
        <f t="shared" ref="AB96:AB102" si="77">E96</f>
        <v>0.6</v>
      </c>
      <c r="AC96" s="127" t="s">
        <v>840</v>
      </c>
      <c r="AD96" s="127" t="s">
        <v>378</v>
      </c>
      <c r="AE96" s="136">
        <f>ROWS(AD$10:$AD96)</f>
        <v>87</v>
      </c>
      <c r="AF96" s="136" t="str">
        <f>IF(ID!$A$91=AD96,AE96,"")</f>
        <v/>
      </c>
      <c r="AG96" s="136" t="str">
        <f>IFERROR(SMALL($AF$10:$AF$165,ROWS($AF$10:AF96)),"")</f>
        <v/>
      </c>
      <c r="BG96" s="127"/>
    </row>
    <row r="97" spans="1:59" x14ac:dyDescent="0.25">
      <c r="B97" s="569">
        <v>-200</v>
      </c>
      <c r="C97" s="602">
        <v>-0.2</v>
      </c>
      <c r="D97" s="602">
        <v>-0.2</v>
      </c>
      <c r="E97" s="602">
        <v>0.6</v>
      </c>
      <c r="F97" s="1662"/>
      <c r="H97" s="569">
        <v>-200</v>
      </c>
      <c r="I97" s="602">
        <v>0</v>
      </c>
      <c r="J97" s="602">
        <v>-0.5</v>
      </c>
      <c r="K97" s="1669"/>
      <c r="M97" s="569">
        <v>-200</v>
      </c>
      <c r="N97" s="570" t="s">
        <v>201</v>
      </c>
      <c r="O97" s="570" t="s">
        <v>201</v>
      </c>
      <c r="P97" s="1655"/>
      <c r="R97" s="569">
        <f t="shared" si="70"/>
        <v>-200</v>
      </c>
      <c r="S97" s="572">
        <f t="shared" si="71"/>
        <v>-0.2</v>
      </c>
      <c r="T97" s="572">
        <f t="shared" si="72"/>
        <v>0</v>
      </c>
      <c r="U97" s="572" t="str">
        <f t="shared" si="73"/>
        <v>-</v>
      </c>
      <c r="V97" s="573">
        <f t="shared" si="74"/>
        <v>0.1</v>
      </c>
      <c r="W97" s="572">
        <f t="shared" si="67"/>
        <v>0.6</v>
      </c>
      <c r="X97" s="574">
        <f t="shared" si="68"/>
        <v>-0.2</v>
      </c>
      <c r="Y97" s="574">
        <f t="shared" si="69"/>
        <v>-0.5</v>
      </c>
      <c r="Z97" s="574" t="str">
        <f t="shared" si="75"/>
        <v>-</v>
      </c>
      <c r="AA97" s="573">
        <f t="shared" si="76"/>
        <v>0.15</v>
      </c>
      <c r="AB97" s="570">
        <f t="shared" si="77"/>
        <v>0.6</v>
      </c>
      <c r="AC97" s="127" t="s">
        <v>840</v>
      </c>
      <c r="AD97" s="127" t="s">
        <v>378</v>
      </c>
      <c r="AE97" s="136">
        <f>ROWS(AD$10:$AD97)</f>
        <v>88</v>
      </c>
      <c r="AF97" s="136" t="str">
        <f>IF(ID!$A$91=AD97,AE97,"")</f>
        <v/>
      </c>
      <c r="AG97" s="136" t="str">
        <f>IFERROR(SMALL($AF$10:$AF$165,ROWS($AF$10:AF97)),"")</f>
        <v/>
      </c>
      <c r="BG97" s="150"/>
    </row>
    <row r="98" spans="1:59" x14ac:dyDescent="0.25">
      <c r="B98" s="569">
        <v>-300</v>
      </c>
      <c r="C98" s="602">
        <v>-0.3</v>
      </c>
      <c r="D98" s="602">
        <v>-0.3</v>
      </c>
      <c r="E98" s="602">
        <v>0.6</v>
      </c>
      <c r="F98" s="1662"/>
      <c r="H98" s="569">
        <v>-300</v>
      </c>
      <c r="I98" s="602">
        <v>-0.5</v>
      </c>
      <c r="J98" s="602">
        <v>-0.5</v>
      </c>
      <c r="K98" s="1669"/>
      <c r="M98" s="569">
        <v>-300</v>
      </c>
      <c r="N98" s="570" t="s">
        <v>201</v>
      </c>
      <c r="O98" s="570" t="s">
        <v>201</v>
      </c>
      <c r="P98" s="1655"/>
      <c r="R98" s="569">
        <f t="shared" si="70"/>
        <v>-300</v>
      </c>
      <c r="S98" s="572">
        <f t="shared" si="71"/>
        <v>-0.3</v>
      </c>
      <c r="T98" s="572">
        <f t="shared" si="72"/>
        <v>-0.5</v>
      </c>
      <c r="U98" s="572" t="str">
        <f t="shared" si="73"/>
        <v>-</v>
      </c>
      <c r="V98" s="573">
        <f t="shared" si="74"/>
        <v>0.1</v>
      </c>
      <c r="W98" s="572">
        <f t="shared" si="67"/>
        <v>0.6</v>
      </c>
      <c r="X98" s="574">
        <f t="shared" si="68"/>
        <v>-0.3</v>
      </c>
      <c r="Y98" s="574">
        <f t="shared" si="69"/>
        <v>-0.5</v>
      </c>
      <c r="Z98" s="574" t="str">
        <f t="shared" si="75"/>
        <v>-</v>
      </c>
      <c r="AA98" s="573">
        <f t="shared" si="76"/>
        <v>0.1</v>
      </c>
      <c r="AB98" s="570">
        <f t="shared" si="77"/>
        <v>0.6</v>
      </c>
      <c r="AC98" s="127" t="s">
        <v>840</v>
      </c>
      <c r="AD98" s="127" t="s">
        <v>378</v>
      </c>
      <c r="AE98" s="136">
        <f>ROWS(AD$10:$AD98)</f>
        <v>89</v>
      </c>
      <c r="AF98" s="136" t="str">
        <f>IF(ID!$A$91=AD98,AE98,"")</f>
        <v/>
      </c>
      <c r="AG98" s="136" t="str">
        <f>IFERROR(SMALL($AF$10:$AF$165,ROWS($AF$10:AF98)),"")</f>
        <v/>
      </c>
      <c r="BG98" s="136"/>
    </row>
    <row r="99" spans="1:59" x14ac:dyDescent="0.25">
      <c r="B99" s="569">
        <v>-400</v>
      </c>
      <c r="C99" s="602">
        <v>-0.5</v>
      </c>
      <c r="D99" s="602">
        <v>-0.5</v>
      </c>
      <c r="E99" s="602">
        <v>0.6</v>
      </c>
      <c r="F99" s="1662"/>
      <c r="H99" s="569">
        <v>-400</v>
      </c>
      <c r="I99" s="602">
        <v>-1.5</v>
      </c>
      <c r="J99" s="602">
        <v>-1.5</v>
      </c>
      <c r="K99" s="1669"/>
      <c r="M99" s="569">
        <v>-400</v>
      </c>
      <c r="N99" s="570" t="s">
        <v>201</v>
      </c>
      <c r="O99" s="570" t="s">
        <v>201</v>
      </c>
      <c r="P99" s="1655"/>
      <c r="R99" s="569">
        <f t="shared" si="70"/>
        <v>-400</v>
      </c>
      <c r="S99" s="572">
        <f t="shared" si="71"/>
        <v>-0.5</v>
      </c>
      <c r="T99" s="572">
        <f t="shared" si="72"/>
        <v>-1.5</v>
      </c>
      <c r="U99" s="572" t="str">
        <f t="shared" si="73"/>
        <v>-</v>
      </c>
      <c r="V99" s="573">
        <f t="shared" si="74"/>
        <v>0.5</v>
      </c>
      <c r="W99" s="572">
        <f t="shared" si="67"/>
        <v>0.6</v>
      </c>
      <c r="X99" s="574">
        <f t="shared" si="68"/>
        <v>-0.5</v>
      </c>
      <c r="Y99" s="574">
        <f t="shared" si="69"/>
        <v>-1.5</v>
      </c>
      <c r="Z99" s="574" t="str">
        <f t="shared" si="75"/>
        <v>-</v>
      </c>
      <c r="AA99" s="573">
        <f t="shared" si="76"/>
        <v>0.5</v>
      </c>
      <c r="AB99" s="570">
        <f t="shared" si="77"/>
        <v>0.6</v>
      </c>
      <c r="AC99" s="127" t="s">
        <v>840</v>
      </c>
      <c r="AD99" s="127" t="s">
        <v>378</v>
      </c>
      <c r="AE99" s="136">
        <f>ROWS(AD$10:$AD99)</f>
        <v>90</v>
      </c>
      <c r="AF99" s="136" t="str">
        <f>IF(ID!$A$91=AD99,AE99,"")</f>
        <v/>
      </c>
      <c r="AG99" s="136" t="str">
        <f>IFERROR(SMALL($AF$10:$AF$165,ROWS($AF$10:AF99)),"")</f>
        <v/>
      </c>
    </row>
    <row r="100" spans="1:59" x14ac:dyDescent="0.25">
      <c r="B100" s="569">
        <v>-500</v>
      </c>
      <c r="C100" s="602">
        <v>-0.6</v>
      </c>
      <c r="D100" s="602">
        <v>-0.6</v>
      </c>
      <c r="E100" s="602">
        <v>0.6</v>
      </c>
      <c r="F100" s="1662"/>
      <c r="H100" s="569">
        <v>-500</v>
      </c>
      <c r="I100" s="602">
        <v>-1.5</v>
      </c>
      <c r="J100" s="602">
        <v>-1.5</v>
      </c>
      <c r="K100" s="1669"/>
      <c r="M100" s="569">
        <v>-500</v>
      </c>
      <c r="N100" s="570" t="s">
        <v>201</v>
      </c>
      <c r="O100" s="570" t="s">
        <v>201</v>
      </c>
      <c r="P100" s="1655"/>
      <c r="R100" s="569">
        <f t="shared" si="70"/>
        <v>-500</v>
      </c>
      <c r="S100" s="572">
        <f t="shared" si="71"/>
        <v>-0.6</v>
      </c>
      <c r="T100" s="572">
        <f t="shared" si="72"/>
        <v>-1.5</v>
      </c>
      <c r="U100" s="572" t="str">
        <f t="shared" si="73"/>
        <v>-</v>
      </c>
      <c r="V100" s="573">
        <f t="shared" si="74"/>
        <v>0.45</v>
      </c>
      <c r="W100" s="572">
        <f t="shared" si="67"/>
        <v>0.6</v>
      </c>
      <c r="X100" s="574">
        <f t="shared" si="68"/>
        <v>-0.6</v>
      </c>
      <c r="Y100" s="574">
        <f t="shared" si="69"/>
        <v>-1.5</v>
      </c>
      <c r="Z100" s="574" t="str">
        <f t="shared" si="75"/>
        <v>-</v>
      </c>
      <c r="AA100" s="573">
        <f t="shared" si="76"/>
        <v>0.45</v>
      </c>
      <c r="AB100" s="570">
        <f t="shared" si="77"/>
        <v>0.6</v>
      </c>
      <c r="AC100" s="127" t="s">
        <v>840</v>
      </c>
      <c r="AD100" s="127" t="s">
        <v>378</v>
      </c>
      <c r="AE100" s="136">
        <f>ROWS(AD$10:$AD100)</f>
        <v>91</v>
      </c>
      <c r="AF100" s="136" t="str">
        <f>IF(ID!$A$91=AD100,AE100,"")</f>
        <v/>
      </c>
      <c r="AG100" s="136" t="str">
        <f>IFERROR(SMALL($AF$10:$AF$165,ROWS($AF$10:AF100)),"")</f>
        <v/>
      </c>
    </row>
    <row r="101" spans="1:59" x14ac:dyDescent="0.25">
      <c r="A101" s="149"/>
      <c r="B101" s="586">
        <v>-600</v>
      </c>
      <c r="C101" s="603">
        <v>-0.8</v>
      </c>
      <c r="D101" s="603">
        <v>-0.8</v>
      </c>
      <c r="E101" s="602">
        <v>0.6</v>
      </c>
      <c r="F101" s="1662"/>
      <c r="H101" s="569">
        <v>-600</v>
      </c>
      <c r="I101" s="602">
        <v>-1.9</v>
      </c>
      <c r="J101" s="602">
        <v>-1.9</v>
      </c>
      <c r="K101" s="1669"/>
      <c r="M101" s="569">
        <v>-600</v>
      </c>
      <c r="N101" s="570" t="s">
        <v>201</v>
      </c>
      <c r="O101" s="570" t="s">
        <v>201</v>
      </c>
      <c r="P101" s="1655"/>
      <c r="R101" s="569">
        <f t="shared" si="70"/>
        <v>-600</v>
      </c>
      <c r="S101" s="572">
        <f t="shared" si="71"/>
        <v>-0.8</v>
      </c>
      <c r="T101" s="572">
        <f t="shared" si="72"/>
        <v>-1.9</v>
      </c>
      <c r="U101" s="572" t="str">
        <f t="shared" si="73"/>
        <v>-</v>
      </c>
      <c r="V101" s="573">
        <f t="shared" si="74"/>
        <v>0.54999999999999993</v>
      </c>
      <c r="W101" s="572">
        <f t="shared" si="67"/>
        <v>0.6</v>
      </c>
      <c r="X101" s="574">
        <f t="shared" si="68"/>
        <v>-0.8</v>
      </c>
      <c r="Y101" s="574">
        <f t="shared" si="69"/>
        <v>-1.9</v>
      </c>
      <c r="Z101" s="574" t="str">
        <f t="shared" si="75"/>
        <v>-</v>
      </c>
      <c r="AA101" s="573">
        <f t="shared" si="76"/>
        <v>0.54999999999999993</v>
      </c>
      <c r="AB101" s="570">
        <f t="shared" si="77"/>
        <v>0.6</v>
      </c>
      <c r="AC101" s="127" t="s">
        <v>840</v>
      </c>
      <c r="AD101" s="127" t="s">
        <v>378</v>
      </c>
      <c r="AE101" s="136">
        <f>ROWS(AD$10:$AD101)</f>
        <v>92</v>
      </c>
      <c r="AF101" s="136" t="str">
        <f>IF(ID!$A$91=AD101,AE101,"")</f>
        <v/>
      </c>
      <c r="AG101" s="136" t="str">
        <f>IFERROR(SMALL($AF$10:$AF$165,ROWS($AF$10:AF101)),"")</f>
        <v/>
      </c>
    </row>
    <row r="102" spans="1:59" x14ac:dyDescent="0.25">
      <c r="A102" s="149"/>
      <c r="B102" s="591">
        <v>-700</v>
      </c>
      <c r="C102" s="604">
        <v>-1.1000000000000001</v>
      </c>
      <c r="D102" s="604">
        <v>-1.1000000000000001</v>
      </c>
      <c r="E102" s="602">
        <f>E101</f>
        <v>0.6</v>
      </c>
      <c r="F102" s="1662"/>
      <c r="H102" s="591">
        <v>-700</v>
      </c>
      <c r="I102" s="604">
        <f>I101</f>
        <v>-1.9</v>
      </c>
      <c r="J102" s="604">
        <f>J101</f>
        <v>-1.9</v>
      </c>
      <c r="K102" s="1669"/>
      <c r="M102" s="591">
        <v>-700</v>
      </c>
      <c r="N102" s="590" t="s">
        <v>201</v>
      </c>
      <c r="O102" s="590" t="s">
        <v>201</v>
      </c>
      <c r="P102" s="1655"/>
      <c r="R102" s="569">
        <f t="shared" si="70"/>
        <v>-700</v>
      </c>
      <c r="S102" s="572">
        <f t="shared" si="71"/>
        <v>-1.1000000000000001</v>
      </c>
      <c r="T102" s="572">
        <f t="shared" si="72"/>
        <v>-1.9</v>
      </c>
      <c r="U102" s="572" t="str">
        <f t="shared" si="73"/>
        <v>-</v>
      </c>
      <c r="V102" s="573">
        <f t="shared" si="74"/>
        <v>0.39999999999999991</v>
      </c>
      <c r="W102" s="572">
        <f t="shared" si="67"/>
        <v>0.6</v>
      </c>
      <c r="X102" s="574">
        <f t="shared" si="68"/>
        <v>-1.1000000000000001</v>
      </c>
      <c r="Y102" s="574">
        <f t="shared" si="69"/>
        <v>-1.9</v>
      </c>
      <c r="Z102" s="574" t="str">
        <f t="shared" si="75"/>
        <v>-</v>
      </c>
      <c r="AA102" s="573">
        <f t="shared" si="76"/>
        <v>0.39999999999999991</v>
      </c>
      <c r="AB102" s="570">
        <f t="shared" si="77"/>
        <v>0.6</v>
      </c>
      <c r="AC102" s="127" t="s">
        <v>840</v>
      </c>
      <c r="AD102" s="127" t="s">
        <v>378</v>
      </c>
      <c r="AE102" s="136">
        <f>ROWS(AD$10:$AD102)</f>
        <v>93</v>
      </c>
      <c r="AF102" s="136" t="str">
        <f>IF(ID!$A$91=AD102,AE102,"")</f>
        <v/>
      </c>
      <c r="AG102" s="136" t="str">
        <f>IFERROR(SMALL($AF$10:$AF$165,ROWS($AF$10:AF102)),"")</f>
        <v/>
      </c>
    </row>
    <row r="103" spans="1:59" x14ac:dyDescent="0.25">
      <c r="A103" s="149"/>
      <c r="B103" s="591"/>
      <c r="C103" s="592"/>
      <c r="D103" s="592"/>
      <c r="E103" s="592"/>
      <c r="F103" s="606"/>
      <c r="H103" s="591"/>
      <c r="I103" s="605"/>
      <c r="J103" s="607"/>
      <c r="K103" s="608"/>
      <c r="M103" s="591"/>
      <c r="N103" s="605"/>
      <c r="O103" s="607"/>
      <c r="P103" s="608"/>
      <c r="R103" s="586"/>
      <c r="S103" s="587"/>
      <c r="T103" s="587"/>
      <c r="U103" s="587"/>
      <c r="V103" s="573"/>
      <c r="W103" s="587"/>
      <c r="X103" s="588"/>
      <c r="Y103" s="588"/>
      <c r="Z103" s="588"/>
      <c r="AA103" s="573"/>
      <c r="AB103" s="589"/>
      <c r="AC103" s="150"/>
      <c r="AD103" s="150"/>
      <c r="AE103" s="136">
        <f>ROWS(AD$10:$AD103)</f>
        <v>94</v>
      </c>
      <c r="AF103" s="136" t="str">
        <f>IF(ID!$A$91=AD103,AE103,"")</f>
        <v/>
      </c>
      <c r="AG103" s="136" t="str">
        <f>IFERROR(SMALL($AF$10:$AF$165,ROWS($AF$10:AF103)),"")</f>
        <v/>
      </c>
    </row>
    <row r="104" spans="1:59" x14ac:dyDescent="0.25">
      <c r="B104" s="593"/>
      <c r="C104" s="594"/>
      <c r="D104" s="594"/>
      <c r="E104" s="594"/>
      <c r="F104" s="595"/>
      <c r="H104" s="593"/>
      <c r="I104" s="597"/>
      <c r="J104" s="610"/>
      <c r="K104" s="596"/>
      <c r="M104" s="593"/>
      <c r="N104" s="597"/>
      <c r="O104" s="610"/>
      <c r="P104" s="596"/>
      <c r="R104" s="111"/>
      <c r="S104" s="598"/>
      <c r="T104" s="598"/>
      <c r="U104" s="598"/>
      <c r="V104" s="598"/>
      <c r="W104" s="598"/>
      <c r="X104" s="598"/>
      <c r="Y104" s="598"/>
      <c r="Z104" s="598"/>
      <c r="AA104" s="598"/>
      <c r="AB104" s="612"/>
      <c r="AC104" s="136"/>
      <c r="AD104" s="136"/>
      <c r="AE104" s="136">
        <f>ROWS(AD$10:$AD104)</f>
        <v>95</v>
      </c>
      <c r="AF104" s="136" t="str">
        <f>IF(ID!$A$91=AD104,AE104,"")</f>
        <v/>
      </c>
      <c r="AG104" s="136" t="str">
        <f>IFERROR(SMALL($AF$10:$AF$165,ROWS($AF$10:AF104)),"")</f>
        <v/>
      </c>
      <c r="BG104" s="127"/>
    </row>
    <row r="105" spans="1:59" x14ac:dyDescent="0.25">
      <c r="B105" s="593"/>
      <c r="C105" s="594"/>
      <c r="D105" s="594"/>
      <c r="E105" s="594"/>
      <c r="F105" s="595"/>
      <c r="H105" s="593"/>
      <c r="I105" s="597"/>
      <c r="J105" s="611"/>
      <c r="K105" s="601"/>
      <c r="M105" s="593"/>
      <c r="N105" s="597"/>
      <c r="O105" s="611"/>
      <c r="P105" s="601"/>
      <c r="AE105" s="136">
        <f>ROWS(AD$10:$AD105)</f>
        <v>96</v>
      </c>
      <c r="AF105" s="136" t="str">
        <f>IF(ID!$A$91=AD105,AE105,"")</f>
        <v/>
      </c>
      <c r="AG105" s="136" t="str">
        <f>IFERROR(SMALL($AF$10:$AF$165,ROWS($AF$10:AF105)),"")</f>
        <v/>
      </c>
      <c r="BG105" s="127"/>
    </row>
    <row r="106" spans="1:59" x14ac:dyDescent="0.25">
      <c r="AE106" s="136">
        <f>ROWS(AD$10:$AD106)</f>
        <v>97</v>
      </c>
      <c r="AF106" s="136" t="str">
        <f>IF(ID!$A$91=AD106,AE106,"")</f>
        <v/>
      </c>
      <c r="AG106" s="136" t="str">
        <f>IFERROR(SMALL($AF$10:$AF$165,ROWS($AF$10:AF106)),"")</f>
        <v/>
      </c>
      <c r="BG106" s="127"/>
    </row>
    <row r="107" spans="1:59" ht="17.399999999999999" x14ac:dyDescent="0.3">
      <c r="B107" s="1653" t="s">
        <v>371</v>
      </c>
      <c r="C107" s="1653"/>
      <c r="D107" s="1653"/>
      <c r="E107" s="1653"/>
      <c r="F107" s="1653"/>
      <c r="G107" s="565"/>
      <c r="H107" s="1653" t="s">
        <v>455</v>
      </c>
      <c r="I107" s="1653"/>
      <c r="J107" s="1653"/>
      <c r="K107" s="1653"/>
      <c r="L107" s="566"/>
      <c r="M107" s="1653" t="s">
        <v>372</v>
      </c>
      <c r="N107" s="1653"/>
      <c r="O107" s="1653"/>
      <c r="P107" s="1653"/>
      <c r="AE107" s="136">
        <f>ROWS(AD$10:$AD107)</f>
        <v>98</v>
      </c>
      <c r="AF107" s="136" t="str">
        <f>IF(ID!$A$91=AD107,AE107,"")</f>
        <v/>
      </c>
      <c r="AG107" s="136" t="str">
        <f>IFERROR(SMALL($AF$10:$AF$165,ROWS($AF$10:AF107)),"")</f>
        <v/>
      </c>
      <c r="BG107" s="127"/>
    </row>
    <row r="108" spans="1:59" x14ac:dyDescent="0.25">
      <c r="V108" s="1066" t="s">
        <v>884</v>
      </c>
      <c r="AA108" s="1066" t="s">
        <v>884</v>
      </c>
      <c r="AE108" s="136">
        <f>ROWS(AD$10:$AD108)</f>
        <v>99</v>
      </c>
      <c r="AF108" s="136" t="str">
        <f>IF(ID!$A$91=AD108,AE108,"")</f>
        <v/>
      </c>
      <c r="AG108" s="136" t="str">
        <f>IFERROR(SMALL($AF$10:$AF$165,ROWS($AF$10:AF108)),"")</f>
        <v/>
      </c>
      <c r="BG108" s="127"/>
    </row>
    <row r="109" spans="1:59" ht="12.75" customHeight="1" x14ac:dyDescent="0.25">
      <c r="B109" s="110" t="s">
        <v>41</v>
      </c>
      <c r="C109" s="110" t="s">
        <v>375</v>
      </c>
      <c r="D109" s="110" t="s">
        <v>376</v>
      </c>
      <c r="E109" s="110" t="s">
        <v>211</v>
      </c>
      <c r="F109" s="1662" t="s">
        <v>839</v>
      </c>
      <c r="H109" s="110" t="s">
        <v>41</v>
      </c>
      <c r="I109" s="110" t="s">
        <v>375</v>
      </c>
      <c r="J109" s="110" t="s">
        <v>377</v>
      </c>
      <c r="K109" s="1669" t="s">
        <v>396</v>
      </c>
      <c r="M109" s="110" t="s">
        <v>41</v>
      </c>
      <c r="N109" s="110" t="s">
        <v>375</v>
      </c>
      <c r="O109" s="110" t="s">
        <v>377</v>
      </c>
      <c r="P109" s="1654" t="s">
        <v>201</v>
      </c>
      <c r="R109" s="1054" t="s">
        <v>41</v>
      </c>
      <c r="S109" s="1055" t="s">
        <v>228</v>
      </c>
      <c r="T109" s="1055" t="s">
        <v>456</v>
      </c>
      <c r="U109" s="1055" t="s">
        <v>457</v>
      </c>
      <c r="V109" s="1055" t="s">
        <v>222</v>
      </c>
      <c r="W109" s="1056" t="s">
        <v>223</v>
      </c>
      <c r="X109" s="1057" t="s">
        <v>229</v>
      </c>
      <c r="Y109" s="1057" t="s">
        <v>458</v>
      </c>
      <c r="Z109" s="1057" t="s">
        <v>459</v>
      </c>
      <c r="AA109" s="1057" t="s">
        <v>224</v>
      </c>
      <c r="AB109" s="1058" t="s">
        <v>225</v>
      </c>
      <c r="AC109" s="1059" t="s">
        <v>93</v>
      </c>
      <c r="AD109" s="133" t="s">
        <v>48</v>
      </c>
      <c r="AE109" s="136">
        <f>ROWS(AD$10:$AD109)</f>
        <v>100</v>
      </c>
      <c r="AF109" s="136" t="str">
        <f>IF(ID!$A$91=AD109,AE109,"")</f>
        <v/>
      </c>
      <c r="AG109" s="136" t="str">
        <f>IFERROR(SMALL($AF$10:$AF$165,ROWS($AF$10:AF109)),"")</f>
        <v/>
      </c>
      <c r="BG109" s="127"/>
    </row>
    <row r="110" spans="1:59" x14ac:dyDescent="0.25">
      <c r="B110" s="569">
        <v>0</v>
      </c>
      <c r="C110" s="602">
        <v>0</v>
      </c>
      <c r="D110" s="602">
        <v>0</v>
      </c>
      <c r="E110" s="602">
        <v>0.6</v>
      </c>
      <c r="F110" s="1662"/>
      <c r="H110" s="569">
        <v>0</v>
      </c>
      <c r="I110" s="602">
        <v>0</v>
      </c>
      <c r="J110" s="602">
        <v>0</v>
      </c>
      <c r="K110" s="1669"/>
      <c r="M110" s="569">
        <v>0</v>
      </c>
      <c r="N110" s="570" t="s">
        <v>201</v>
      </c>
      <c r="O110" s="570" t="s">
        <v>201</v>
      </c>
      <c r="P110" s="1655"/>
      <c r="R110" s="569">
        <f>B110</f>
        <v>0</v>
      </c>
      <c r="S110" s="572">
        <f>C110</f>
        <v>0</v>
      </c>
      <c r="T110" s="572">
        <f>I110</f>
        <v>0</v>
      </c>
      <c r="U110" s="572" t="str">
        <f>N110</f>
        <v>-</v>
      </c>
      <c r="V110" s="573">
        <f>0.5*(MAX(S110:U110)-(MIN(S110:U110)))</f>
        <v>0</v>
      </c>
      <c r="W110" s="572">
        <f t="shared" ref="W110:W117" si="78">E110</f>
        <v>0.6</v>
      </c>
      <c r="X110" s="574">
        <f t="shared" ref="X110:X117" si="79">D110</f>
        <v>0</v>
      </c>
      <c r="Y110" s="574">
        <f t="shared" ref="Y110:Y117" si="80">J110</f>
        <v>0</v>
      </c>
      <c r="Z110" s="574" t="str">
        <f>O110</f>
        <v>-</v>
      </c>
      <c r="AA110" s="573">
        <f>0.5*(MAX(X110:Z110)-(MIN(X110:Z110)))</f>
        <v>0</v>
      </c>
      <c r="AB110" s="570">
        <f>E110</f>
        <v>0.6</v>
      </c>
      <c r="AC110" s="127" t="s">
        <v>840</v>
      </c>
      <c r="AD110" s="127" t="s">
        <v>379</v>
      </c>
      <c r="AE110" s="136">
        <f>ROWS(AD$10:$AD110)</f>
        <v>101</v>
      </c>
      <c r="AF110" s="136">
        <f>IF(ID!$A$91=AD110,AE110,"")</f>
        <v>101</v>
      </c>
      <c r="AG110" s="136" t="str">
        <f>IFERROR(SMALL($AF$10:$AF$165,ROWS($AF$10:AF110)),"")</f>
        <v/>
      </c>
      <c r="BG110" s="127"/>
    </row>
    <row r="111" spans="1:59" x14ac:dyDescent="0.25">
      <c r="B111" s="569">
        <v>-100</v>
      </c>
      <c r="C111" s="602">
        <v>-0.2</v>
      </c>
      <c r="D111" s="602">
        <v>-0.2</v>
      </c>
      <c r="E111" s="602">
        <v>0.6</v>
      </c>
      <c r="F111" s="1662"/>
      <c r="H111" s="569">
        <v>-100</v>
      </c>
      <c r="I111" s="602">
        <v>-0.2</v>
      </c>
      <c r="J111" s="602">
        <v>0</v>
      </c>
      <c r="K111" s="1669"/>
      <c r="M111" s="569">
        <v>-100</v>
      </c>
      <c r="N111" s="570" t="s">
        <v>201</v>
      </c>
      <c r="O111" s="570" t="s">
        <v>201</v>
      </c>
      <c r="P111" s="1655"/>
      <c r="R111" s="569">
        <f t="shared" ref="R111:R117" si="81">B111</f>
        <v>-100</v>
      </c>
      <c r="S111" s="572">
        <f t="shared" ref="S111:S117" si="82">C111</f>
        <v>-0.2</v>
      </c>
      <c r="T111" s="572">
        <f t="shared" ref="T111:T117" si="83">I111</f>
        <v>-0.2</v>
      </c>
      <c r="U111" s="572" t="str">
        <f t="shared" ref="U111:U117" si="84">N111</f>
        <v>-</v>
      </c>
      <c r="V111" s="573">
        <f t="shared" ref="V111:V117" si="85">0.5*(MAX(S111:U111)-(MIN(S111:U111)))</f>
        <v>0</v>
      </c>
      <c r="W111" s="572">
        <f t="shared" si="78"/>
        <v>0.6</v>
      </c>
      <c r="X111" s="574">
        <f t="shared" si="79"/>
        <v>-0.2</v>
      </c>
      <c r="Y111" s="574">
        <f t="shared" si="80"/>
        <v>0</v>
      </c>
      <c r="Z111" s="574" t="str">
        <f t="shared" ref="Z111:Z117" si="86">O111</f>
        <v>-</v>
      </c>
      <c r="AA111" s="573">
        <f t="shared" ref="AA111:AA117" si="87">0.5*(MAX(X111:Z111)-(MIN(X111:Z111)))</f>
        <v>0.1</v>
      </c>
      <c r="AB111" s="570">
        <f t="shared" ref="AB111:AB117" si="88">E111</f>
        <v>0.6</v>
      </c>
      <c r="AC111" s="127" t="s">
        <v>840</v>
      </c>
      <c r="AD111" s="127" t="s">
        <v>379</v>
      </c>
      <c r="AE111" s="136">
        <f>ROWS(AD$10:$AD111)</f>
        <v>102</v>
      </c>
      <c r="AF111" s="136">
        <f>IF(ID!$A$91=AD111,AE111,"")</f>
        <v>102</v>
      </c>
      <c r="AG111" s="136" t="str">
        <f>IFERROR(SMALL($AF$10:$AF$165,ROWS($AF$10:AF111)),"")</f>
        <v/>
      </c>
      <c r="BG111" s="127"/>
    </row>
    <row r="112" spans="1:59" x14ac:dyDescent="0.25">
      <c r="B112" s="569">
        <v>-200</v>
      </c>
      <c r="C112" s="602">
        <v>-0.5</v>
      </c>
      <c r="D112" s="602">
        <v>-0.5</v>
      </c>
      <c r="E112" s="602">
        <v>0.6</v>
      </c>
      <c r="F112" s="1662"/>
      <c r="H112" s="569">
        <v>-200</v>
      </c>
      <c r="I112" s="602">
        <v>-0.8</v>
      </c>
      <c r="J112" s="602">
        <v>-0.5</v>
      </c>
      <c r="K112" s="1669"/>
      <c r="M112" s="569">
        <v>-200</v>
      </c>
      <c r="N112" s="570" t="s">
        <v>201</v>
      </c>
      <c r="O112" s="570" t="s">
        <v>201</v>
      </c>
      <c r="P112" s="1655"/>
      <c r="R112" s="569">
        <f t="shared" si="81"/>
        <v>-200</v>
      </c>
      <c r="S112" s="572">
        <f t="shared" si="82"/>
        <v>-0.5</v>
      </c>
      <c r="T112" s="572">
        <f t="shared" si="83"/>
        <v>-0.8</v>
      </c>
      <c r="U112" s="572" t="str">
        <f t="shared" si="84"/>
        <v>-</v>
      </c>
      <c r="V112" s="573">
        <f t="shared" si="85"/>
        <v>0.15000000000000002</v>
      </c>
      <c r="W112" s="572">
        <f t="shared" si="78"/>
        <v>0.6</v>
      </c>
      <c r="X112" s="574">
        <f t="shared" si="79"/>
        <v>-0.5</v>
      </c>
      <c r="Y112" s="574">
        <f t="shared" si="80"/>
        <v>-0.5</v>
      </c>
      <c r="Z112" s="574" t="str">
        <f t="shared" si="86"/>
        <v>-</v>
      </c>
      <c r="AA112" s="573">
        <f t="shared" si="87"/>
        <v>0</v>
      </c>
      <c r="AB112" s="570">
        <f t="shared" si="88"/>
        <v>0.6</v>
      </c>
      <c r="AC112" s="127" t="s">
        <v>840</v>
      </c>
      <c r="AD112" s="127" t="s">
        <v>379</v>
      </c>
      <c r="AE112" s="136">
        <f>ROWS(AD$10:$AD112)</f>
        <v>103</v>
      </c>
      <c r="AF112" s="136">
        <f>IF(ID!$A$91=AD112,AE112,"")</f>
        <v>103</v>
      </c>
      <c r="AG112" s="136" t="str">
        <f>IFERROR(SMALL($AF$10:$AF$165,ROWS($AF$10:AF112)),"")</f>
        <v/>
      </c>
      <c r="BG112" s="150"/>
    </row>
    <row r="113" spans="1:59" x14ac:dyDescent="0.25">
      <c r="B113" s="569">
        <v>-300</v>
      </c>
      <c r="C113" s="602">
        <v>-0.7</v>
      </c>
      <c r="D113" s="602">
        <v>-0.7</v>
      </c>
      <c r="E113" s="602">
        <v>0.6</v>
      </c>
      <c r="F113" s="1662"/>
      <c r="H113" s="569">
        <v>-300</v>
      </c>
      <c r="I113" s="602">
        <v>-1.2</v>
      </c>
      <c r="J113" s="602">
        <v>-0.9</v>
      </c>
      <c r="K113" s="1669"/>
      <c r="M113" s="569">
        <v>-300</v>
      </c>
      <c r="N113" s="570" t="s">
        <v>201</v>
      </c>
      <c r="O113" s="570" t="s">
        <v>201</v>
      </c>
      <c r="P113" s="1655"/>
      <c r="R113" s="569">
        <f t="shared" si="81"/>
        <v>-300</v>
      </c>
      <c r="S113" s="572">
        <f t="shared" si="82"/>
        <v>-0.7</v>
      </c>
      <c r="T113" s="572">
        <f t="shared" si="83"/>
        <v>-1.2</v>
      </c>
      <c r="U113" s="572" t="str">
        <f t="shared" si="84"/>
        <v>-</v>
      </c>
      <c r="V113" s="573">
        <f t="shared" si="85"/>
        <v>0.25</v>
      </c>
      <c r="W113" s="572">
        <f t="shared" si="78"/>
        <v>0.6</v>
      </c>
      <c r="X113" s="574">
        <f t="shared" si="79"/>
        <v>-0.7</v>
      </c>
      <c r="Y113" s="574">
        <f t="shared" si="80"/>
        <v>-0.9</v>
      </c>
      <c r="Z113" s="574" t="str">
        <f t="shared" si="86"/>
        <v>-</v>
      </c>
      <c r="AA113" s="573">
        <f t="shared" si="87"/>
        <v>0.10000000000000003</v>
      </c>
      <c r="AB113" s="570">
        <f t="shared" si="88"/>
        <v>0.6</v>
      </c>
      <c r="AC113" s="127" t="s">
        <v>840</v>
      </c>
      <c r="AD113" s="127" t="s">
        <v>379</v>
      </c>
      <c r="AE113" s="136">
        <f>ROWS(AD$10:$AD113)</f>
        <v>104</v>
      </c>
      <c r="AF113" s="136">
        <f>IF(ID!$A$91=AD113,AE113,"")</f>
        <v>104</v>
      </c>
      <c r="AG113" s="136" t="str">
        <f>IFERROR(SMALL($AF$10:$AF$165,ROWS($AF$10:AF113)),"")</f>
        <v/>
      </c>
      <c r="BG113" s="136"/>
    </row>
    <row r="114" spans="1:59" x14ac:dyDescent="0.25">
      <c r="B114" s="569">
        <v>-400</v>
      </c>
      <c r="C114" s="602">
        <v>-0.9</v>
      </c>
      <c r="D114" s="602">
        <v>-0.9</v>
      </c>
      <c r="E114" s="602">
        <v>0.6</v>
      </c>
      <c r="F114" s="1662"/>
      <c r="H114" s="569">
        <v>-400</v>
      </c>
      <c r="I114" s="602">
        <v>-1.3</v>
      </c>
      <c r="J114" s="602">
        <v>-1</v>
      </c>
      <c r="K114" s="1669"/>
      <c r="M114" s="569">
        <v>-400</v>
      </c>
      <c r="N114" s="570" t="s">
        <v>201</v>
      </c>
      <c r="O114" s="570" t="s">
        <v>201</v>
      </c>
      <c r="P114" s="1655"/>
      <c r="R114" s="569">
        <f t="shared" si="81"/>
        <v>-400</v>
      </c>
      <c r="S114" s="572">
        <f t="shared" si="82"/>
        <v>-0.9</v>
      </c>
      <c r="T114" s="572">
        <f t="shared" si="83"/>
        <v>-1.3</v>
      </c>
      <c r="U114" s="572" t="str">
        <f t="shared" si="84"/>
        <v>-</v>
      </c>
      <c r="V114" s="573">
        <f t="shared" si="85"/>
        <v>0.2</v>
      </c>
      <c r="W114" s="572">
        <f t="shared" si="78"/>
        <v>0.6</v>
      </c>
      <c r="X114" s="574">
        <f t="shared" si="79"/>
        <v>-0.9</v>
      </c>
      <c r="Y114" s="574">
        <f t="shared" si="80"/>
        <v>-1</v>
      </c>
      <c r="Z114" s="574" t="str">
        <f t="shared" si="86"/>
        <v>-</v>
      </c>
      <c r="AA114" s="573">
        <f t="shared" si="87"/>
        <v>4.9999999999999989E-2</v>
      </c>
      <c r="AB114" s="570">
        <f t="shared" si="88"/>
        <v>0.6</v>
      </c>
      <c r="AC114" s="127" t="s">
        <v>840</v>
      </c>
      <c r="AD114" s="127" t="s">
        <v>379</v>
      </c>
      <c r="AE114" s="136">
        <f>ROWS(AD$10:$AD114)</f>
        <v>105</v>
      </c>
      <c r="AF114" s="136">
        <f>IF(ID!$A$91=AD114,AE114,"")</f>
        <v>105</v>
      </c>
      <c r="AG114" s="136" t="str">
        <f>IFERROR(SMALL($AF$10:$AF$165,ROWS($AF$10:AF114)),"")</f>
        <v/>
      </c>
      <c r="BG114" s="136"/>
    </row>
    <row r="115" spans="1:59" x14ac:dyDescent="0.25">
      <c r="B115" s="569">
        <v>-500</v>
      </c>
      <c r="C115" s="602">
        <v>-1.1000000000000001</v>
      </c>
      <c r="D115" s="602">
        <v>-1.1000000000000001</v>
      </c>
      <c r="E115" s="602">
        <v>0.6</v>
      </c>
      <c r="F115" s="1662"/>
      <c r="H115" s="569">
        <v>-500</v>
      </c>
      <c r="I115" s="602">
        <v>-1.6</v>
      </c>
      <c r="J115" s="602">
        <v>-1.4</v>
      </c>
      <c r="K115" s="1669"/>
      <c r="M115" s="569">
        <v>-500</v>
      </c>
      <c r="N115" s="570" t="s">
        <v>201</v>
      </c>
      <c r="O115" s="570" t="s">
        <v>201</v>
      </c>
      <c r="P115" s="1655"/>
      <c r="R115" s="569">
        <f t="shared" si="81"/>
        <v>-500</v>
      </c>
      <c r="S115" s="572">
        <f t="shared" si="82"/>
        <v>-1.1000000000000001</v>
      </c>
      <c r="T115" s="572">
        <f t="shared" si="83"/>
        <v>-1.6</v>
      </c>
      <c r="U115" s="572" t="str">
        <f t="shared" si="84"/>
        <v>-</v>
      </c>
      <c r="V115" s="573">
        <f t="shared" si="85"/>
        <v>0.25</v>
      </c>
      <c r="W115" s="572">
        <f t="shared" si="78"/>
        <v>0.6</v>
      </c>
      <c r="X115" s="574">
        <f t="shared" si="79"/>
        <v>-1.1000000000000001</v>
      </c>
      <c r="Y115" s="574">
        <f t="shared" si="80"/>
        <v>-1.4</v>
      </c>
      <c r="Z115" s="574" t="str">
        <f t="shared" si="86"/>
        <v>-</v>
      </c>
      <c r="AA115" s="573">
        <f t="shared" si="87"/>
        <v>0.14999999999999991</v>
      </c>
      <c r="AB115" s="570">
        <f t="shared" si="88"/>
        <v>0.6</v>
      </c>
      <c r="AC115" s="127" t="s">
        <v>840</v>
      </c>
      <c r="AD115" s="127" t="s">
        <v>379</v>
      </c>
      <c r="AE115" s="136">
        <f>ROWS(AD$10:$AD115)</f>
        <v>106</v>
      </c>
      <c r="AF115" s="136">
        <f>IF(ID!$A$91=AD115,AE115,"")</f>
        <v>106</v>
      </c>
      <c r="AG115" s="136" t="str">
        <f>IFERROR(SMALL($AF$10:$AF$165,ROWS($AF$10:AF115)),"")</f>
        <v/>
      </c>
    </row>
    <row r="116" spans="1:59" x14ac:dyDescent="0.25">
      <c r="B116" s="569">
        <v>-600</v>
      </c>
      <c r="C116" s="602">
        <v>-1.2</v>
      </c>
      <c r="D116" s="602">
        <v>-1.2</v>
      </c>
      <c r="E116" s="602">
        <v>0.6</v>
      </c>
      <c r="F116" s="1662"/>
      <c r="H116" s="569">
        <v>-600</v>
      </c>
      <c r="I116" s="602">
        <v>-1.8</v>
      </c>
      <c r="J116" s="602">
        <v>-1.5</v>
      </c>
      <c r="K116" s="1669"/>
      <c r="M116" s="569">
        <v>-600</v>
      </c>
      <c r="N116" s="570" t="s">
        <v>201</v>
      </c>
      <c r="O116" s="570" t="s">
        <v>201</v>
      </c>
      <c r="P116" s="1655"/>
      <c r="R116" s="569">
        <f t="shared" si="81"/>
        <v>-600</v>
      </c>
      <c r="S116" s="572">
        <f t="shared" si="82"/>
        <v>-1.2</v>
      </c>
      <c r="T116" s="572">
        <f t="shared" si="83"/>
        <v>-1.8</v>
      </c>
      <c r="U116" s="572" t="str">
        <f t="shared" si="84"/>
        <v>-</v>
      </c>
      <c r="V116" s="573">
        <f t="shared" si="85"/>
        <v>0.30000000000000004</v>
      </c>
      <c r="W116" s="572">
        <f t="shared" si="78"/>
        <v>0.6</v>
      </c>
      <c r="X116" s="574">
        <f t="shared" si="79"/>
        <v>-1.2</v>
      </c>
      <c r="Y116" s="574">
        <f t="shared" si="80"/>
        <v>-1.5</v>
      </c>
      <c r="Z116" s="574" t="str">
        <f t="shared" si="86"/>
        <v>-</v>
      </c>
      <c r="AA116" s="573">
        <f t="shared" si="87"/>
        <v>0.15000000000000002</v>
      </c>
      <c r="AB116" s="570">
        <f t="shared" si="88"/>
        <v>0.6</v>
      </c>
      <c r="AC116" s="127" t="s">
        <v>840</v>
      </c>
      <c r="AD116" s="127" t="s">
        <v>379</v>
      </c>
      <c r="AE116" s="136">
        <f>ROWS(AD$10:$AD116)</f>
        <v>107</v>
      </c>
      <c r="AF116" s="136">
        <f>IF(ID!$A$91=AD116,AE116,"")</f>
        <v>107</v>
      </c>
      <c r="AG116" s="136" t="str">
        <f>IFERROR(SMALL($AF$10:$AF$165,ROWS($AF$10:AF116)),"")</f>
        <v/>
      </c>
    </row>
    <row r="117" spans="1:59" x14ac:dyDescent="0.25">
      <c r="A117" s="149"/>
      <c r="B117" s="591">
        <v>-700</v>
      </c>
      <c r="C117" s="604">
        <v>-1.3</v>
      </c>
      <c r="D117" s="604">
        <v>-1.3</v>
      </c>
      <c r="E117" s="602">
        <f>E116</f>
        <v>0.6</v>
      </c>
      <c r="F117" s="1662"/>
      <c r="H117" s="591">
        <v>-700</v>
      </c>
      <c r="I117" s="604">
        <f>I116</f>
        <v>-1.8</v>
      </c>
      <c r="J117" s="604">
        <f>J116</f>
        <v>-1.5</v>
      </c>
      <c r="K117" s="1669"/>
      <c r="M117" s="591">
        <v>-700</v>
      </c>
      <c r="N117" s="590" t="s">
        <v>201</v>
      </c>
      <c r="O117" s="590" t="s">
        <v>201</v>
      </c>
      <c r="P117" s="1655"/>
      <c r="R117" s="569">
        <f t="shared" si="81"/>
        <v>-700</v>
      </c>
      <c r="S117" s="572">
        <f t="shared" si="82"/>
        <v>-1.3</v>
      </c>
      <c r="T117" s="572">
        <f t="shared" si="83"/>
        <v>-1.8</v>
      </c>
      <c r="U117" s="572" t="str">
        <f t="shared" si="84"/>
        <v>-</v>
      </c>
      <c r="V117" s="573">
        <f t="shared" si="85"/>
        <v>0.25</v>
      </c>
      <c r="W117" s="572">
        <f t="shared" si="78"/>
        <v>0.6</v>
      </c>
      <c r="X117" s="574">
        <f t="shared" si="79"/>
        <v>-1.3</v>
      </c>
      <c r="Y117" s="574">
        <f t="shared" si="80"/>
        <v>-1.5</v>
      </c>
      <c r="Z117" s="574" t="str">
        <f t="shared" si="86"/>
        <v>-</v>
      </c>
      <c r="AA117" s="573">
        <f t="shared" si="87"/>
        <v>9.9999999999999978E-2</v>
      </c>
      <c r="AB117" s="570">
        <f t="shared" si="88"/>
        <v>0.6</v>
      </c>
      <c r="AC117" s="127" t="s">
        <v>840</v>
      </c>
      <c r="AD117" s="127" t="s">
        <v>379</v>
      </c>
      <c r="AE117" s="136">
        <f>ROWS(AD$10:$AD117)</f>
        <v>108</v>
      </c>
      <c r="AF117" s="136">
        <f>IF(ID!$A$91=AD117,AE117,"")</f>
        <v>108</v>
      </c>
      <c r="AG117" s="136" t="str">
        <f>IFERROR(SMALL($AF$10:$AF$165,ROWS($AF$10:AF117)),"")</f>
        <v/>
      </c>
    </row>
    <row r="118" spans="1:59" x14ac:dyDescent="0.25">
      <c r="A118" s="149"/>
      <c r="B118" s="591"/>
      <c r="C118" s="592"/>
      <c r="D118" s="592"/>
      <c r="E118" s="604"/>
      <c r="F118" s="606"/>
      <c r="H118" s="591"/>
      <c r="I118" s="605"/>
      <c r="J118" s="607"/>
      <c r="K118" s="608"/>
      <c r="M118" s="591"/>
      <c r="N118" s="605"/>
      <c r="O118" s="607"/>
      <c r="P118" s="608"/>
      <c r="R118" s="586"/>
      <c r="S118" s="587"/>
      <c r="T118" s="587"/>
      <c r="U118" s="587"/>
      <c r="V118" s="573"/>
      <c r="W118" s="587"/>
      <c r="X118" s="588"/>
      <c r="Y118" s="588"/>
      <c r="Z118" s="588"/>
      <c r="AA118" s="573"/>
      <c r="AB118" s="589"/>
      <c r="AC118" s="150"/>
      <c r="AD118" s="150"/>
      <c r="AE118" s="136">
        <f>ROWS(AD$10:$AD118)</f>
        <v>109</v>
      </c>
      <c r="AF118" s="136" t="str">
        <f>IF(ID!$A$91=AD118,AE118,"")</f>
        <v/>
      </c>
      <c r="AG118" s="136" t="str">
        <f>IFERROR(SMALL($AF$10:$AF$165,ROWS($AF$10:AF118)),"")</f>
        <v/>
      </c>
    </row>
    <row r="119" spans="1:59" x14ac:dyDescent="0.25">
      <c r="B119" s="593"/>
      <c r="C119" s="594"/>
      <c r="D119" s="594"/>
      <c r="E119" s="594"/>
      <c r="F119" s="595"/>
      <c r="H119" s="593"/>
      <c r="I119" s="597"/>
      <c r="J119" s="610"/>
      <c r="K119" s="596"/>
      <c r="M119" s="593"/>
      <c r="N119" s="597"/>
      <c r="O119" s="610"/>
      <c r="P119" s="596"/>
      <c r="R119" s="111"/>
      <c r="S119" s="598"/>
      <c r="T119" s="598"/>
      <c r="U119" s="598"/>
      <c r="V119" s="598"/>
      <c r="W119" s="598"/>
      <c r="X119" s="598"/>
      <c r="Y119" s="598"/>
      <c r="Z119" s="598"/>
      <c r="AA119" s="598"/>
      <c r="AB119" s="612"/>
      <c r="AC119" s="136"/>
      <c r="AD119" s="136"/>
      <c r="AE119" s="136">
        <f>ROWS(AD$10:$AD119)</f>
        <v>110</v>
      </c>
      <c r="AF119" s="136" t="str">
        <f>IF(ID!$A$91=AD119,AE119,"")</f>
        <v/>
      </c>
      <c r="AG119" s="136" t="str">
        <f>IFERROR(SMALL($AF$10:$AF$165,ROWS($AF$10:AF119)),"")</f>
        <v/>
      </c>
      <c r="BG119" s="127"/>
    </row>
    <row r="120" spans="1:59" x14ac:dyDescent="0.25">
      <c r="B120" s="593"/>
      <c r="C120" s="594"/>
      <c r="D120" s="594"/>
      <c r="E120" s="594"/>
      <c r="F120" s="595"/>
      <c r="H120" s="593"/>
      <c r="I120" s="597"/>
      <c r="J120" s="611"/>
      <c r="K120" s="601"/>
      <c r="M120" s="593"/>
      <c r="N120" s="597"/>
      <c r="O120" s="611"/>
      <c r="P120" s="601"/>
      <c r="R120" s="136"/>
      <c r="S120" s="136"/>
      <c r="T120" s="136"/>
      <c r="U120" s="136"/>
      <c r="V120" s="136"/>
      <c r="W120" s="136"/>
      <c r="X120" s="136"/>
      <c r="Y120" s="136"/>
      <c r="Z120" s="136"/>
      <c r="AA120" s="136"/>
      <c r="AB120" s="136"/>
      <c r="AC120" s="136"/>
      <c r="AD120" s="136"/>
      <c r="AE120" s="136">
        <f>ROWS(AD$10:$AD120)</f>
        <v>111</v>
      </c>
      <c r="AF120" s="136" t="str">
        <f>IF(ID!$A$91=AD120,AE120,"")</f>
        <v/>
      </c>
      <c r="AG120" s="136" t="str">
        <f>IFERROR(SMALL($AF$10:$AF$165,ROWS($AF$10:AF120)),"")</f>
        <v/>
      </c>
      <c r="BG120" s="127"/>
    </row>
    <row r="121" spans="1:59" x14ac:dyDescent="0.25">
      <c r="AE121" s="136">
        <f>ROWS(AD$10:$AD121)</f>
        <v>112</v>
      </c>
      <c r="AF121" s="136" t="str">
        <f>IF(ID!$A$91=AD121,AE121,"")</f>
        <v/>
      </c>
      <c r="AG121" s="136" t="str">
        <f>IFERROR(SMALL($AF$10:$AF$165,ROWS($AF$10:AF121)),"")</f>
        <v/>
      </c>
      <c r="BG121" s="127"/>
    </row>
    <row r="122" spans="1:59" ht="17.399999999999999" x14ac:dyDescent="0.3">
      <c r="B122" s="1653" t="s">
        <v>371</v>
      </c>
      <c r="C122" s="1653"/>
      <c r="D122" s="1653"/>
      <c r="E122" s="1653"/>
      <c r="F122" s="1653"/>
      <c r="G122" s="565"/>
      <c r="H122" s="1653" t="s">
        <v>455</v>
      </c>
      <c r="I122" s="1653"/>
      <c r="J122" s="1653"/>
      <c r="K122" s="1653"/>
      <c r="L122" s="566"/>
      <c r="M122" s="1653" t="s">
        <v>372</v>
      </c>
      <c r="N122" s="1653"/>
      <c r="O122" s="1653"/>
      <c r="P122" s="1653"/>
      <c r="U122" s="613"/>
      <c r="AE122" s="136">
        <f>ROWS(AD$10:$AD122)</f>
        <v>113</v>
      </c>
      <c r="AF122" s="136" t="str">
        <f>IF(ID!$A$91=AD122,AE122,"")</f>
        <v/>
      </c>
      <c r="AG122" s="136" t="str">
        <f>IFERROR(SMALL($AF$10:$AF$165,ROWS($AF$10:AF122)),"")</f>
        <v/>
      </c>
      <c r="BG122" s="127"/>
    </row>
    <row r="123" spans="1:59" x14ac:dyDescent="0.25">
      <c r="V123" s="1066" t="s">
        <v>884</v>
      </c>
      <c r="AA123" s="1066" t="s">
        <v>884</v>
      </c>
      <c r="AE123" s="136">
        <f>ROWS(AD$10:$AD123)</f>
        <v>114</v>
      </c>
      <c r="AF123" s="136" t="str">
        <f>IF(ID!$A$91=AD123,AE123,"")</f>
        <v/>
      </c>
      <c r="AG123" s="136" t="str">
        <f>IFERROR(SMALL($AF$10:$AF$165,ROWS($AF$10:AF123)),"")</f>
        <v/>
      </c>
      <c r="BG123" s="127"/>
    </row>
    <row r="124" spans="1:59" ht="12.75" customHeight="1" x14ac:dyDescent="0.25">
      <c r="B124" s="110" t="s">
        <v>41</v>
      </c>
      <c r="C124" s="110" t="s">
        <v>375</v>
      </c>
      <c r="D124" s="110" t="s">
        <v>376</v>
      </c>
      <c r="E124" s="110" t="s">
        <v>211</v>
      </c>
      <c r="F124" s="1665" t="s">
        <v>839</v>
      </c>
      <c r="H124" s="110" t="s">
        <v>41</v>
      </c>
      <c r="I124" s="110" t="s">
        <v>375</v>
      </c>
      <c r="J124" s="110" t="s">
        <v>377</v>
      </c>
      <c r="K124" s="1667" t="s">
        <v>396</v>
      </c>
      <c r="M124" s="110" t="s">
        <v>41</v>
      </c>
      <c r="N124" s="110" t="s">
        <v>375</v>
      </c>
      <c r="O124" s="110" t="s">
        <v>377</v>
      </c>
      <c r="P124" s="1654" t="s">
        <v>201</v>
      </c>
      <c r="R124" s="1054" t="s">
        <v>41</v>
      </c>
      <c r="S124" s="1055" t="s">
        <v>228</v>
      </c>
      <c r="T124" s="1055" t="s">
        <v>456</v>
      </c>
      <c r="U124" s="1055" t="s">
        <v>457</v>
      </c>
      <c r="V124" s="1055" t="s">
        <v>222</v>
      </c>
      <c r="W124" s="1056" t="s">
        <v>223</v>
      </c>
      <c r="X124" s="1057" t="s">
        <v>229</v>
      </c>
      <c r="Y124" s="1057" t="s">
        <v>458</v>
      </c>
      <c r="Z124" s="1057" t="s">
        <v>459</v>
      </c>
      <c r="AA124" s="1057" t="s">
        <v>224</v>
      </c>
      <c r="AB124" s="1058" t="s">
        <v>225</v>
      </c>
      <c r="AC124" s="1059" t="s">
        <v>93</v>
      </c>
      <c r="AD124" s="133" t="s">
        <v>48</v>
      </c>
      <c r="AE124" s="136">
        <f>ROWS(AD$10:$AD124)</f>
        <v>115</v>
      </c>
      <c r="AF124" s="136" t="str">
        <f>IF(ID!$A$91=AD124,AE124,"")</f>
        <v/>
      </c>
      <c r="AG124" s="136" t="str">
        <f>IFERROR(SMALL($AF$10:$AF$165,ROWS($AF$10:AF124)),"")</f>
        <v/>
      </c>
      <c r="BG124" s="127"/>
    </row>
    <row r="125" spans="1:59" x14ac:dyDescent="0.25">
      <c r="B125" s="569">
        <v>0</v>
      </c>
      <c r="C125" s="602">
        <v>-0.1</v>
      </c>
      <c r="D125" s="602">
        <v>-0.1</v>
      </c>
      <c r="E125" s="602">
        <v>0.6</v>
      </c>
      <c r="F125" s="1666"/>
      <c r="H125" s="569">
        <v>0</v>
      </c>
      <c r="I125" s="602">
        <v>0</v>
      </c>
      <c r="J125" s="602">
        <v>0</v>
      </c>
      <c r="K125" s="1668"/>
      <c r="M125" s="569">
        <v>0</v>
      </c>
      <c r="N125" s="570" t="s">
        <v>201</v>
      </c>
      <c r="O125" s="570" t="s">
        <v>201</v>
      </c>
      <c r="P125" s="1655"/>
      <c r="R125" s="569">
        <f>B125</f>
        <v>0</v>
      </c>
      <c r="S125" s="572">
        <f>C125</f>
        <v>-0.1</v>
      </c>
      <c r="T125" s="572">
        <f>I125</f>
        <v>0</v>
      </c>
      <c r="U125" s="572" t="str">
        <f>N125</f>
        <v>-</v>
      </c>
      <c r="V125" s="573">
        <f>0.5*(MAX(S125:U125)-(MIN(S125:U125)))</f>
        <v>0.05</v>
      </c>
      <c r="W125" s="572">
        <f t="shared" ref="W125:W132" si="89">E125</f>
        <v>0.6</v>
      </c>
      <c r="X125" s="574">
        <f t="shared" ref="X125:X132" si="90">D125</f>
        <v>-0.1</v>
      </c>
      <c r="Y125" s="574">
        <f t="shared" ref="Y125:Y132" si="91">J125</f>
        <v>0</v>
      </c>
      <c r="Z125" s="574" t="str">
        <f>O125</f>
        <v>-</v>
      </c>
      <c r="AA125" s="573">
        <f>0.5*(MAX(X125:Z125)-(MIN(X125:Z125)))</f>
        <v>0.05</v>
      </c>
      <c r="AB125" s="570">
        <f>E125</f>
        <v>0.6</v>
      </c>
      <c r="AC125" s="127" t="s">
        <v>840</v>
      </c>
      <c r="AD125" s="127" t="s">
        <v>380</v>
      </c>
      <c r="AE125" s="136">
        <f>ROWS(AD$10:$AD125)</f>
        <v>116</v>
      </c>
      <c r="AF125" s="136" t="str">
        <f>IF(ID!$A$91=AD125,AE125,"")</f>
        <v/>
      </c>
      <c r="AG125" s="136" t="str">
        <f>IFERROR(SMALL($AF$10:$AF$165,ROWS($AF$10:AF125)),"")</f>
        <v/>
      </c>
      <c r="BG125" s="127"/>
    </row>
    <row r="126" spans="1:59" x14ac:dyDescent="0.25">
      <c r="B126" s="569">
        <v>-100</v>
      </c>
      <c r="C126" s="602">
        <v>-0.3</v>
      </c>
      <c r="D126" s="602">
        <v>-0.3</v>
      </c>
      <c r="E126" s="602">
        <v>0.6</v>
      </c>
      <c r="F126" s="1666"/>
      <c r="H126" s="569">
        <v>-100</v>
      </c>
      <c r="I126" s="602">
        <v>-0.8</v>
      </c>
      <c r="J126" s="602">
        <v>-0.5</v>
      </c>
      <c r="K126" s="1668"/>
      <c r="M126" s="569">
        <v>-100</v>
      </c>
      <c r="N126" s="570" t="s">
        <v>201</v>
      </c>
      <c r="O126" s="570" t="s">
        <v>201</v>
      </c>
      <c r="P126" s="1655"/>
      <c r="R126" s="569">
        <f t="shared" ref="R126:R132" si="92">B126</f>
        <v>-100</v>
      </c>
      <c r="S126" s="572">
        <f t="shared" ref="S126:S132" si="93">C126</f>
        <v>-0.3</v>
      </c>
      <c r="T126" s="572">
        <f t="shared" ref="T126:T132" si="94">I126</f>
        <v>-0.8</v>
      </c>
      <c r="U126" s="572" t="str">
        <f t="shared" ref="U126:U132" si="95">N126</f>
        <v>-</v>
      </c>
      <c r="V126" s="573">
        <f t="shared" ref="V126:V132" si="96">0.5*(MAX(S126:U126)-(MIN(S126:U126)))</f>
        <v>0.25</v>
      </c>
      <c r="W126" s="572">
        <f t="shared" si="89"/>
        <v>0.6</v>
      </c>
      <c r="X126" s="574">
        <f t="shared" si="90"/>
        <v>-0.3</v>
      </c>
      <c r="Y126" s="574">
        <f t="shared" si="91"/>
        <v>-0.5</v>
      </c>
      <c r="Z126" s="574" t="str">
        <f t="shared" ref="Z126:Z132" si="97">O126</f>
        <v>-</v>
      </c>
      <c r="AA126" s="573">
        <f t="shared" ref="AA126:AA132" si="98">0.5*(MAX(X126:Z126)-(MIN(X126:Z126)))</f>
        <v>0.1</v>
      </c>
      <c r="AB126" s="570">
        <f t="shared" ref="AB126:AB132" si="99">E126</f>
        <v>0.6</v>
      </c>
      <c r="AC126" s="127" t="s">
        <v>840</v>
      </c>
      <c r="AD126" s="127" t="s">
        <v>380</v>
      </c>
      <c r="AE126" s="136">
        <f>ROWS(AD$10:$AD126)</f>
        <v>117</v>
      </c>
      <c r="AF126" s="136" t="str">
        <f>IF(ID!$A$91=AD126,AE126,"")</f>
        <v/>
      </c>
      <c r="AG126" s="136" t="str">
        <f>IFERROR(SMALL($AF$10:$AF$165,ROWS($AF$10:AF126)),"")</f>
        <v/>
      </c>
      <c r="BG126" s="127"/>
    </row>
    <row r="127" spans="1:59" x14ac:dyDescent="0.25">
      <c r="B127" s="569">
        <v>-200</v>
      </c>
      <c r="C127" s="602">
        <v>-0.4</v>
      </c>
      <c r="D127" s="602">
        <v>-0.4</v>
      </c>
      <c r="E127" s="602">
        <v>0.6</v>
      </c>
      <c r="F127" s="1666"/>
      <c r="H127" s="569">
        <v>-200</v>
      </c>
      <c r="I127" s="602">
        <v>-0.4</v>
      </c>
      <c r="J127" s="602">
        <v>-0.3</v>
      </c>
      <c r="K127" s="1668"/>
      <c r="M127" s="569">
        <v>-200</v>
      </c>
      <c r="N127" s="570" t="s">
        <v>201</v>
      </c>
      <c r="O127" s="570" t="s">
        <v>201</v>
      </c>
      <c r="P127" s="1655"/>
      <c r="R127" s="569">
        <f t="shared" si="92"/>
        <v>-200</v>
      </c>
      <c r="S127" s="572">
        <f t="shared" si="93"/>
        <v>-0.4</v>
      </c>
      <c r="T127" s="572">
        <f t="shared" si="94"/>
        <v>-0.4</v>
      </c>
      <c r="U127" s="572" t="str">
        <f t="shared" si="95"/>
        <v>-</v>
      </c>
      <c r="V127" s="573">
        <f t="shared" si="96"/>
        <v>0</v>
      </c>
      <c r="W127" s="572">
        <f t="shared" si="89"/>
        <v>0.6</v>
      </c>
      <c r="X127" s="574">
        <f t="shared" si="90"/>
        <v>-0.4</v>
      </c>
      <c r="Y127" s="574">
        <f t="shared" si="91"/>
        <v>-0.3</v>
      </c>
      <c r="Z127" s="574" t="str">
        <f t="shared" si="97"/>
        <v>-</v>
      </c>
      <c r="AA127" s="573">
        <f t="shared" si="98"/>
        <v>5.0000000000000017E-2</v>
      </c>
      <c r="AB127" s="570">
        <f t="shared" si="99"/>
        <v>0.6</v>
      </c>
      <c r="AC127" s="127" t="s">
        <v>840</v>
      </c>
      <c r="AD127" s="127" t="s">
        <v>380</v>
      </c>
      <c r="AE127" s="136">
        <f>ROWS(AD$10:$AD127)</f>
        <v>118</v>
      </c>
      <c r="AF127" s="136" t="str">
        <f>IF(ID!$A$91=AD127,AE127,"")</f>
        <v/>
      </c>
      <c r="AG127" s="136" t="str">
        <f>IFERROR(SMALL($AF$10:$AF$165,ROWS($AF$10:AF127)),"")</f>
        <v/>
      </c>
      <c r="BG127" s="150"/>
    </row>
    <row r="128" spans="1:59" x14ac:dyDescent="0.25">
      <c r="B128" s="569">
        <v>-300</v>
      </c>
      <c r="C128" s="602">
        <v>-0.5</v>
      </c>
      <c r="D128" s="602">
        <v>-0.5</v>
      </c>
      <c r="E128" s="602">
        <v>0.6</v>
      </c>
      <c r="F128" s="1666"/>
      <c r="H128" s="569">
        <v>-300</v>
      </c>
      <c r="I128" s="602">
        <v>-0.3</v>
      </c>
      <c r="J128" s="602">
        <v>-0.1</v>
      </c>
      <c r="K128" s="1668"/>
      <c r="M128" s="569">
        <v>-300</v>
      </c>
      <c r="N128" s="570" t="s">
        <v>201</v>
      </c>
      <c r="O128" s="570" t="s">
        <v>201</v>
      </c>
      <c r="P128" s="1655"/>
      <c r="R128" s="569">
        <f t="shared" si="92"/>
        <v>-300</v>
      </c>
      <c r="S128" s="572">
        <f t="shared" si="93"/>
        <v>-0.5</v>
      </c>
      <c r="T128" s="572">
        <f t="shared" si="94"/>
        <v>-0.3</v>
      </c>
      <c r="U128" s="572" t="str">
        <f t="shared" si="95"/>
        <v>-</v>
      </c>
      <c r="V128" s="573">
        <f t="shared" si="96"/>
        <v>0.1</v>
      </c>
      <c r="W128" s="572">
        <f t="shared" si="89"/>
        <v>0.6</v>
      </c>
      <c r="X128" s="574">
        <f t="shared" si="90"/>
        <v>-0.5</v>
      </c>
      <c r="Y128" s="574">
        <f t="shared" si="91"/>
        <v>-0.1</v>
      </c>
      <c r="Z128" s="574" t="str">
        <f t="shared" si="97"/>
        <v>-</v>
      </c>
      <c r="AA128" s="573">
        <f t="shared" si="98"/>
        <v>0.2</v>
      </c>
      <c r="AB128" s="570">
        <f t="shared" si="99"/>
        <v>0.6</v>
      </c>
      <c r="AC128" s="127" t="s">
        <v>840</v>
      </c>
      <c r="AD128" s="127" t="s">
        <v>380</v>
      </c>
      <c r="AE128" s="136">
        <f>ROWS(AD$10:$AD128)</f>
        <v>119</v>
      </c>
      <c r="AF128" s="136" t="str">
        <f>IF(ID!$A$91=AD128,AE128,"")</f>
        <v/>
      </c>
      <c r="AG128" s="136" t="str">
        <f>IFERROR(SMALL($AF$10:$AF$165,ROWS($AF$10:AF128)),"")</f>
        <v/>
      </c>
      <c r="BG128" s="136"/>
    </row>
    <row r="129" spans="2:59" x14ac:dyDescent="0.25">
      <c r="B129" s="569">
        <v>-400</v>
      </c>
      <c r="C129" s="602">
        <v>-0.5</v>
      </c>
      <c r="D129" s="602">
        <v>-0.5</v>
      </c>
      <c r="E129" s="602">
        <v>0.6</v>
      </c>
      <c r="F129" s="1666"/>
      <c r="H129" s="569">
        <v>-400</v>
      </c>
      <c r="I129" s="602">
        <v>-0.4</v>
      </c>
      <c r="J129" s="602">
        <v>-0.3</v>
      </c>
      <c r="K129" s="1668"/>
      <c r="M129" s="569">
        <v>-400</v>
      </c>
      <c r="N129" s="570" t="s">
        <v>201</v>
      </c>
      <c r="O129" s="570" t="s">
        <v>201</v>
      </c>
      <c r="P129" s="1655"/>
      <c r="R129" s="569">
        <f t="shared" si="92"/>
        <v>-400</v>
      </c>
      <c r="S129" s="572">
        <f t="shared" si="93"/>
        <v>-0.5</v>
      </c>
      <c r="T129" s="572">
        <f t="shared" si="94"/>
        <v>-0.4</v>
      </c>
      <c r="U129" s="572" t="str">
        <f t="shared" si="95"/>
        <v>-</v>
      </c>
      <c r="V129" s="573">
        <f t="shared" si="96"/>
        <v>4.9999999999999989E-2</v>
      </c>
      <c r="W129" s="572">
        <f t="shared" si="89"/>
        <v>0.6</v>
      </c>
      <c r="X129" s="574">
        <f t="shared" si="90"/>
        <v>-0.5</v>
      </c>
      <c r="Y129" s="574">
        <f t="shared" si="91"/>
        <v>-0.3</v>
      </c>
      <c r="Z129" s="574" t="str">
        <f t="shared" si="97"/>
        <v>-</v>
      </c>
      <c r="AA129" s="573">
        <f t="shared" si="98"/>
        <v>0.1</v>
      </c>
      <c r="AB129" s="570">
        <f t="shared" si="99"/>
        <v>0.6</v>
      </c>
      <c r="AC129" s="127" t="s">
        <v>840</v>
      </c>
      <c r="AD129" s="127" t="s">
        <v>380</v>
      </c>
      <c r="AE129" s="136">
        <f>ROWS(AD$10:$AD129)</f>
        <v>120</v>
      </c>
      <c r="AF129" s="136" t="str">
        <f>IF(ID!$A$91=AD129,AE129,"")</f>
        <v/>
      </c>
      <c r="AG129" s="136" t="str">
        <f>IFERROR(SMALL($AF$10:$AF$165,ROWS($AF$10:AF129)),"")</f>
        <v/>
      </c>
      <c r="BG129" s="136"/>
    </row>
    <row r="130" spans="2:59" x14ac:dyDescent="0.25">
      <c r="B130" s="569">
        <v>-500</v>
      </c>
      <c r="C130" s="602">
        <v>-0.5</v>
      </c>
      <c r="D130" s="602">
        <v>-0.5</v>
      </c>
      <c r="E130" s="602">
        <v>0.6</v>
      </c>
      <c r="F130" s="1666"/>
      <c r="H130" s="569">
        <v>-500</v>
      </c>
      <c r="I130" s="602">
        <v>-0.3</v>
      </c>
      <c r="J130" s="602">
        <v>-0.1</v>
      </c>
      <c r="K130" s="1668"/>
      <c r="M130" s="569">
        <v>-500</v>
      </c>
      <c r="N130" s="570" t="s">
        <v>201</v>
      </c>
      <c r="O130" s="570" t="s">
        <v>201</v>
      </c>
      <c r="P130" s="1655"/>
      <c r="R130" s="569">
        <f t="shared" si="92"/>
        <v>-500</v>
      </c>
      <c r="S130" s="572">
        <f t="shared" si="93"/>
        <v>-0.5</v>
      </c>
      <c r="T130" s="572">
        <f t="shared" si="94"/>
        <v>-0.3</v>
      </c>
      <c r="U130" s="572" t="str">
        <f t="shared" si="95"/>
        <v>-</v>
      </c>
      <c r="V130" s="573">
        <f t="shared" si="96"/>
        <v>0.1</v>
      </c>
      <c r="W130" s="572">
        <f t="shared" si="89"/>
        <v>0.6</v>
      </c>
      <c r="X130" s="574">
        <f t="shared" si="90"/>
        <v>-0.5</v>
      </c>
      <c r="Y130" s="574">
        <f t="shared" si="91"/>
        <v>-0.1</v>
      </c>
      <c r="Z130" s="574" t="str">
        <f t="shared" si="97"/>
        <v>-</v>
      </c>
      <c r="AA130" s="573">
        <f t="shared" si="98"/>
        <v>0.2</v>
      </c>
      <c r="AB130" s="570">
        <f t="shared" si="99"/>
        <v>0.6</v>
      </c>
      <c r="AC130" s="127" t="s">
        <v>840</v>
      </c>
      <c r="AD130" s="127" t="s">
        <v>380</v>
      </c>
      <c r="AE130" s="136">
        <f>ROWS(AD$10:$AD130)</f>
        <v>121</v>
      </c>
      <c r="AF130" s="136" t="str">
        <f>IF(ID!$A$91=AD130,AE130,"")</f>
        <v/>
      </c>
      <c r="AG130" s="136" t="str">
        <f>IFERROR(SMALL($AF$10:$AF$165,ROWS($AF$10:AF130)),"")</f>
        <v/>
      </c>
    </row>
    <row r="131" spans="2:59" x14ac:dyDescent="0.25">
      <c r="B131" s="569">
        <v>-600</v>
      </c>
      <c r="C131" s="602">
        <v>-0.5</v>
      </c>
      <c r="D131" s="602">
        <v>-0.5</v>
      </c>
      <c r="E131" s="602">
        <v>0.6</v>
      </c>
      <c r="F131" s="1666"/>
      <c r="H131" s="569">
        <v>-600</v>
      </c>
      <c r="I131" s="602">
        <v>-0.3</v>
      </c>
      <c r="J131" s="602">
        <v>0</v>
      </c>
      <c r="K131" s="1668"/>
      <c r="M131" s="569">
        <v>-600</v>
      </c>
      <c r="N131" s="570" t="s">
        <v>201</v>
      </c>
      <c r="O131" s="570" t="s">
        <v>201</v>
      </c>
      <c r="P131" s="1655"/>
      <c r="R131" s="569">
        <f t="shared" si="92"/>
        <v>-600</v>
      </c>
      <c r="S131" s="572">
        <f t="shared" si="93"/>
        <v>-0.5</v>
      </c>
      <c r="T131" s="572">
        <f t="shared" si="94"/>
        <v>-0.3</v>
      </c>
      <c r="U131" s="572" t="str">
        <f t="shared" si="95"/>
        <v>-</v>
      </c>
      <c r="V131" s="573">
        <f t="shared" si="96"/>
        <v>0.1</v>
      </c>
      <c r="W131" s="572">
        <f t="shared" si="89"/>
        <v>0.6</v>
      </c>
      <c r="X131" s="574">
        <f t="shared" si="90"/>
        <v>-0.5</v>
      </c>
      <c r="Y131" s="574">
        <f t="shared" si="91"/>
        <v>0</v>
      </c>
      <c r="Z131" s="574" t="str">
        <f t="shared" si="97"/>
        <v>-</v>
      </c>
      <c r="AA131" s="573">
        <f t="shared" si="98"/>
        <v>0.25</v>
      </c>
      <c r="AB131" s="570">
        <f t="shared" si="99"/>
        <v>0.6</v>
      </c>
      <c r="AC131" s="127" t="s">
        <v>840</v>
      </c>
      <c r="AD131" s="127" t="s">
        <v>380</v>
      </c>
      <c r="AE131" s="136">
        <f>ROWS(AD$10:$AD131)</f>
        <v>122</v>
      </c>
      <c r="AF131" s="136" t="str">
        <f>IF(ID!$A$91=AD131,AE131,"")</f>
        <v/>
      </c>
      <c r="AG131" s="136" t="str">
        <f>IFERROR(SMALL($AF$10:$AF$165,ROWS($AF$10:AF131)),"")</f>
        <v/>
      </c>
    </row>
    <row r="132" spans="2:59" x14ac:dyDescent="0.25">
      <c r="B132" s="591">
        <v>-700</v>
      </c>
      <c r="C132" s="604">
        <v>-0.5</v>
      </c>
      <c r="D132" s="604">
        <v>-0.5</v>
      </c>
      <c r="E132" s="602">
        <f>E131</f>
        <v>0.6</v>
      </c>
      <c r="F132" s="1666"/>
      <c r="H132" s="591">
        <v>-700</v>
      </c>
      <c r="I132" s="604">
        <f>I131</f>
        <v>-0.3</v>
      </c>
      <c r="J132" s="604">
        <f>J131</f>
        <v>0</v>
      </c>
      <c r="K132" s="1668"/>
      <c r="M132" s="591">
        <v>-700</v>
      </c>
      <c r="N132" s="605" t="str">
        <f>N131</f>
        <v>-</v>
      </c>
      <c r="O132" s="605" t="str">
        <f>O131</f>
        <v>-</v>
      </c>
      <c r="P132" s="1655"/>
      <c r="R132" s="569">
        <f t="shared" si="92"/>
        <v>-700</v>
      </c>
      <c r="S132" s="572">
        <f t="shared" si="93"/>
        <v>-0.5</v>
      </c>
      <c r="T132" s="572">
        <f t="shared" si="94"/>
        <v>-0.3</v>
      </c>
      <c r="U132" s="572" t="str">
        <f t="shared" si="95"/>
        <v>-</v>
      </c>
      <c r="V132" s="573">
        <f t="shared" si="96"/>
        <v>0.1</v>
      </c>
      <c r="W132" s="572">
        <f t="shared" si="89"/>
        <v>0.6</v>
      </c>
      <c r="X132" s="574">
        <f t="shared" si="90"/>
        <v>-0.5</v>
      </c>
      <c r="Y132" s="574">
        <f t="shared" si="91"/>
        <v>0</v>
      </c>
      <c r="Z132" s="574" t="str">
        <f t="shared" si="97"/>
        <v>-</v>
      </c>
      <c r="AA132" s="573">
        <f t="shared" si="98"/>
        <v>0.25</v>
      </c>
      <c r="AB132" s="570">
        <f t="shared" si="99"/>
        <v>0.6</v>
      </c>
      <c r="AC132" s="127" t="s">
        <v>840</v>
      </c>
      <c r="AD132" s="127" t="s">
        <v>380</v>
      </c>
      <c r="AE132" s="136">
        <f>ROWS(AD$10:$AD132)</f>
        <v>123</v>
      </c>
      <c r="AF132" s="136" t="str">
        <f>IF(ID!$A$91=AD132,AE132,"")</f>
        <v/>
      </c>
      <c r="AG132" s="136" t="str">
        <f>IFERROR(SMALL($AF$10:$AF$165,ROWS($AF$10:AF132)),"")</f>
        <v/>
      </c>
    </row>
    <row r="133" spans="2:59" x14ac:dyDescent="0.25">
      <c r="B133" s="591"/>
      <c r="C133" s="592"/>
      <c r="D133" s="592"/>
      <c r="E133" s="592"/>
      <c r="F133" s="606"/>
      <c r="H133" s="591"/>
      <c r="I133" s="605"/>
      <c r="J133" s="607"/>
      <c r="K133" s="608"/>
      <c r="M133" s="591"/>
      <c r="N133" s="605"/>
      <c r="O133" s="607"/>
      <c r="P133" s="608"/>
      <c r="R133" s="586"/>
      <c r="S133" s="587"/>
      <c r="T133" s="587"/>
      <c r="U133" s="587"/>
      <c r="V133" s="573"/>
      <c r="W133" s="587"/>
      <c r="X133" s="588"/>
      <c r="Y133" s="588"/>
      <c r="Z133" s="588"/>
      <c r="AA133" s="573"/>
      <c r="AB133" s="589"/>
      <c r="AC133" s="150"/>
      <c r="AD133" s="150"/>
      <c r="AE133" s="136">
        <f>ROWS(AD$10:$AD133)</f>
        <v>124</v>
      </c>
      <c r="AF133" s="136" t="str">
        <f>IF(ID!$A$91=AD133,AE133,"")</f>
        <v/>
      </c>
      <c r="AG133" s="136" t="str">
        <f>IFERROR(SMALL($AF$10:$AF$165,ROWS($AF$10:AF133)),"")</f>
        <v/>
      </c>
    </row>
    <row r="134" spans="2:59" x14ac:dyDescent="0.25">
      <c r="B134" s="593"/>
      <c r="C134" s="594"/>
      <c r="D134" s="594"/>
      <c r="E134" s="594"/>
      <c r="F134" s="595"/>
      <c r="H134" s="593"/>
      <c r="I134" s="597"/>
      <c r="J134" s="610"/>
      <c r="K134" s="596"/>
      <c r="M134" s="593"/>
      <c r="N134" s="597"/>
      <c r="O134" s="610"/>
      <c r="P134" s="596"/>
      <c r="R134" s="111"/>
      <c r="S134" s="598"/>
      <c r="T134" s="598"/>
      <c r="U134" s="598"/>
      <c r="V134" s="598"/>
      <c r="W134" s="598"/>
      <c r="X134" s="598"/>
      <c r="Y134" s="598"/>
      <c r="Z134" s="598"/>
      <c r="AA134" s="598"/>
      <c r="AB134" s="612"/>
      <c r="AC134" s="136"/>
      <c r="AD134" s="136"/>
      <c r="AE134" s="136">
        <f>ROWS(AD$10:$AD134)</f>
        <v>125</v>
      </c>
      <c r="AF134" s="136" t="str">
        <f>IF(ID!$A$91=AD134,AE134,"")</f>
        <v/>
      </c>
      <c r="AG134" s="136" t="str">
        <f>IFERROR(SMALL($AF$10:$AF$165,ROWS($AF$10:AF134)),"")</f>
        <v/>
      </c>
      <c r="BG134" s="127"/>
    </row>
    <row r="135" spans="2:59" x14ac:dyDescent="0.25">
      <c r="B135" s="593"/>
      <c r="C135" s="594"/>
      <c r="D135" s="594"/>
      <c r="E135" s="594"/>
      <c r="F135" s="595"/>
      <c r="H135" s="593"/>
      <c r="I135" s="597"/>
      <c r="J135" s="611"/>
      <c r="K135" s="601"/>
      <c r="M135" s="593"/>
      <c r="N135" s="597"/>
      <c r="O135" s="611"/>
      <c r="P135" s="601"/>
      <c r="R135" s="136"/>
      <c r="S135" s="136"/>
      <c r="T135" s="136"/>
      <c r="U135" s="136"/>
      <c r="V135" s="136"/>
      <c r="W135" s="136"/>
      <c r="X135" s="136"/>
      <c r="Y135" s="136"/>
      <c r="Z135" s="136"/>
      <c r="AA135" s="136"/>
      <c r="AB135" s="136"/>
      <c r="AC135" s="136"/>
      <c r="AD135" s="136"/>
      <c r="AE135" s="136">
        <f>ROWS(AD$10:$AD135)</f>
        <v>126</v>
      </c>
      <c r="AF135" s="136" t="str">
        <f>IF(ID!$A$91=AD135,AE135,"")</f>
        <v/>
      </c>
      <c r="AG135" s="136" t="str">
        <f>IFERROR(SMALL($AF$10:$AF$165,ROWS($AF$10:AF135)),"")</f>
        <v/>
      </c>
      <c r="BG135" s="127"/>
    </row>
    <row r="136" spans="2:59" x14ac:dyDescent="0.25">
      <c r="AE136" s="136">
        <f>ROWS(AD$10:$AD136)</f>
        <v>127</v>
      </c>
      <c r="AF136" s="136" t="str">
        <f>IF(ID!$A$91=AD136,AE136,"")</f>
        <v/>
      </c>
      <c r="AG136" s="136" t="str">
        <f>IFERROR(SMALL($AF$10:$AF$165,ROWS($AF$10:AF136)),"")</f>
        <v/>
      </c>
      <c r="BG136" s="127"/>
    </row>
    <row r="137" spans="2:59" ht="17.399999999999999" x14ac:dyDescent="0.3">
      <c r="B137" s="1653" t="s">
        <v>371</v>
      </c>
      <c r="C137" s="1653"/>
      <c r="D137" s="1653"/>
      <c r="E137" s="1653"/>
      <c r="F137" s="1653"/>
      <c r="G137" s="565"/>
      <c r="H137" s="1653" t="s">
        <v>455</v>
      </c>
      <c r="I137" s="1653"/>
      <c r="J137" s="1653"/>
      <c r="K137" s="1653"/>
      <c r="L137" s="566"/>
      <c r="M137" s="1653" t="s">
        <v>372</v>
      </c>
      <c r="N137" s="1653"/>
      <c r="O137" s="1653"/>
      <c r="P137" s="1653"/>
      <c r="AE137" s="136">
        <f>ROWS(AD$10:$AD137)</f>
        <v>128</v>
      </c>
      <c r="AF137" s="136" t="str">
        <f>IF(ID!$A$91=AD137,AE137,"")</f>
        <v/>
      </c>
      <c r="AG137" s="136" t="str">
        <f>IFERROR(SMALL($AF$10:$AF$165,ROWS($AF$10:AF137)),"")</f>
        <v/>
      </c>
      <c r="BG137" s="127"/>
    </row>
    <row r="138" spans="2:59" x14ac:dyDescent="0.25">
      <c r="V138" s="1066" t="s">
        <v>884</v>
      </c>
      <c r="AA138" s="1066" t="s">
        <v>884</v>
      </c>
      <c r="AE138" s="136">
        <f>ROWS(AD$10:$AD138)</f>
        <v>129</v>
      </c>
      <c r="AF138" s="136" t="str">
        <f>IF(ID!$A$91=AD138,AE138,"")</f>
        <v/>
      </c>
      <c r="AG138" s="136" t="str">
        <f>IFERROR(SMALL($AF$10:$AF$165,ROWS($AF$10:AF138)),"")</f>
        <v/>
      </c>
      <c r="BG138" s="127"/>
    </row>
    <row r="139" spans="2:59" ht="12.75" customHeight="1" x14ac:dyDescent="0.25">
      <c r="B139" s="110" t="s">
        <v>41</v>
      </c>
      <c r="C139" s="110" t="s">
        <v>375</v>
      </c>
      <c r="D139" s="110" t="s">
        <v>376</v>
      </c>
      <c r="E139" s="110" t="s">
        <v>211</v>
      </c>
      <c r="F139" s="1665" t="s">
        <v>839</v>
      </c>
      <c r="H139" s="110" t="s">
        <v>41</v>
      </c>
      <c r="I139" s="110" t="s">
        <v>375</v>
      </c>
      <c r="J139" s="110" t="s">
        <v>377</v>
      </c>
      <c r="K139" s="1667" t="s">
        <v>396</v>
      </c>
      <c r="M139" s="110" t="s">
        <v>41</v>
      </c>
      <c r="N139" s="110" t="s">
        <v>375</v>
      </c>
      <c r="O139" s="110" t="s">
        <v>377</v>
      </c>
      <c r="P139" s="1654" t="s">
        <v>201</v>
      </c>
      <c r="R139" s="1054" t="s">
        <v>41</v>
      </c>
      <c r="S139" s="1055" t="s">
        <v>228</v>
      </c>
      <c r="T139" s="1055" t="s">
        <v>456</v>
      </c>
      <c r="U139" s="1055" t="s">
        <v>457</v>
      </c>
      <c r="V139" s="1055" t="s">
        <v>222</v>
      </c>
      <c r="W139" s="1056" t="s">
        <v>223</v>
      </c>
      <c r="X139" s="1057" t="s">
        <v>229</v>
      </c>
      <c r="Y139" s="1057" t="s">
        <v>458</v>
      </c>
      <c r="Z139" s="1057" t="s">
        <v>459</v>
      </c>
      <c r="AA139" s="1057" t="s">
        <v>224</v>
      </c>
      <c r="AB139" s="1058" t="s">
        <v>225</v>
      </c>
      <c r="AC139" s="1059" t="s">
        <v>93</v>
      </c>
      <c r="AD139" s="133" t="s">
        <v>48</v>
      </c>
      <c r="AE139" s="136">
        <f>ROWS(AD$10:$AD139)</f>
        <v>130</v>
      </c>
      <c r="AF139" s="136" t="str">
        <f>IF(ID!$A$91=AD139,AE139,"")</f>
        <v/>
      </c>
      <c r="AG139" s="136" t="str">
        <f>IFERROR(SMALL($AF$10:$AF$165,ROWS($AF$10:AF139)),"")</f>
        <v/>
      </c>
      <c r="BG139" s="127"/>
    </row>
    <row r="140" spans="2:59" x14ac:dyDescent="0.25">
      <c r="B140" s="569">
        <v>0</v>
      </c>
      <c r="C140" s="602">
        <v>0.1</v>
      </c>
      <c r="D140" s="602">
        <v>0.1</v>
      </c>
      <c r="E140" s="602">
        <v>0.6</v>
      </c>
      <c r="F140" s="1666"/>
      <c r="H140" s="569">
        <v>0</v>
      </c>
      <c r="I140" s="570">
        <v>0</v>
      </c>
      <c r="J140" s="570">
        <v>0</v>
      </c>
      <c r="K140" s="1668"/>
      <c r="M140" s="569">
        <v>0</v>
      </c>
      <c r="N140" s="570" t="s">
        <v>201</v>
      </c>
      <c r="O140" s="570" t="s">
        <v>201</v>
      </c>
      <c r="P140" s="1655"/>
      <c r="R140" s="569">
        <f>B140</f>
        <v>0</v>
      </c>
      <c r="S140" s="572">
        <f>C140</f>
        <v>0.1</v>
      </c>
      <c r="T140" s="572">
        <f>I140</f>
        <v>0</v>
      </c>
      <c r="U140" s="572" t="str">
        <f>N140</f>
        <v>-</v>
      </c>
      <c r="V140" s="573">
        <f>0.5*(MAX(S140:U140)-(MIN(S140:U140)))</f>
        <v>0.05</v>
      </c>
      <c r="W140" s="572">
        <f t="shared" ref="W140:W147" si="100">E140</f>
        <v>0.6</v>
      </c>
      <c r="X140" s="574">
        <f t="shared" ref="X140:X147" si="101">D140</f>
        <v>0.1</v>
      </c>
      <c r="Y140" s="574">
        <f t="shared" ref="Y140:Y147" si="102">J140</f>
        <v>0</v>
      </c>
      <c r="Z140" s="574" t="str">
        <f>O140</f>
        <v>-</v>
      </c>
      <c r="AA140" s="573">
        <f>0.5*(MAX(X140:Z140)-(MIN(X140:Z140)))</f>
        <v>0.05</v>
      </c>
      <c r="AB140" s="570">
        <f>E140</f>
        <v>0.6</v>
      </c>
      <c r="AC140" s="127" t="s">
        <v>840</v>
      </c>
      <c r="AD140" s="127" t="s">
        <v>381</v>
      </c>
      <c r="AE140" s="136">
        <f>ROWS(AD$10:$AD140)</f>
        <v>131</v>
      </c>
      <c r="AF140" s="136" t="str">
        <f>IF(ID!$A$91=AD140,AE140,"")</f>
        <v/>
      </c>
      <c r="AG140" s="136" t="str">
        <f>IFERROR(SMALL($AF$10:$AF$165,ROWS($AF$10:AF140)),"")</f>
        <v/>
      </c>
      <c r="BG140" s="127"/>
    </row>
    <row r="141" spans="2:59" x14ac:dyDescent="0.25">
      <c r="B141" s="569">
        <v>-100</v>
      </c>
      <c r="C141" s="602">
        <v>0</v>
      </c>
      <c r="D141" s="602">
        <v>0</v>
      </c>
      <c r="E141" s="602">
        <v>0.6</v>
      </c>
      <c r="F141" s="1666"/>
      <c r="H141" s="569">
        <v>-100</v>
      </c>
      <c r="I141" s="570">
        <v>0.4</v>
      </c>
      <c r="J141" s="570">
        <v>0.7</v>
      </c>
      <c r="K141" s="1668"/>
      <c r="M141" s="569">
        <v>-100</v>
      </c>
      <c r="N141" s="570" t="s">
        <v>201</v>
      </c>
      <c r="O141" s="570" t="s">
        <v>201</v>
      </c>
      <c r="P141" s="1655"/>
      <c r="R141" s="569">
        <f t="shared" ref="R141:R147" si="103">B141</f>
        <v>-100</v>
      </c>
      <c r="S141" s="572">
        <f t="shared" ref="S141:S147" si="104">C141</f>
        <v>0</v>
      </c>
      <c r="T141" s="572">
        <f t="shared" ref="T141:T147" si="105">I141</f>
        <v>0.4</v>
      </c>
      <c r="U141" s="572" t="str">
        <f t="shared" ref="U141:U147" si="106">N141</f>
        <v>-</v>
      </c>
      <c r="V141" s="573">
        <f t="shared" ref="V141:V147" si="107">0.5*(MAX(S141:U141)-(MIN(S141:U141)))</f>
        <v>0.2</v>
      </c>
      <c r="W141" s="572">
        <f t="shared" si="100"/>
        <v>0.6</v>
      </c>
      <c r="X141" s="574">
        <f t="shared" si="101"/>
        <v>0</v>
      </c>
      <c r="Y141" s="574">
        <f t="shared" si="102"/>
        <v>0.7</v>
      </c>
      <c r="Z141" s="574" t="str">
        <f t="shared" ref="Z141:Z147" si="108">O141</f>
        <v>-</v>
      </c>
      <c r="AA141" s="573">
        <f t="shared" ref="AA141:AA147" si="109">0.5*(MAX(X141:Z141)-(MIN(X141:Z141)))</f>
        <v>0.35</v>
      </c>
      <c r="AB141" s="570">
        <f t="shared" ref="AB141:AB147" si="110">E141</f>
        <v>0.6</v>
      </c>
      <c r="AC141" s="127" t="s">
        <v>840</v>
      </c>
      <c r="AD141" s="127" t="s">
        <v>381</v>
      </c>
      <c r="AE141" s="136">
        <f>ROWS(AD$10:$AD141)</f>
        <v>132</v>
      </c>
      <c r="AF141" s="136" t="str">
        <f>IF(ID!$A$91=AD141,AE141,"")</f>
        <v/>
      </c>
      <c r="AG141" s="136" t="str">
        <f>IFERROR(SMALL($AF$10:$AF$165,ROWS($AF$10:AF141)),"")</f>
        <v/>
      </c>
      <c r="BG141" s="127"/>
    </row>
    <row r="142" spans="2:59" x14ac:dyDescent="0.25">
      <c r="B142" s="569">
        <v>-200</v>
      </c>
      <c r="C142" s="602">
        <v>-0.2</v>
      </c>
      <c r="D142" s="602">
        <v>-0.2</v>
      </c>
      <c r="E142" s="602">
        <v>0.6</v>
      </c>
      <c r="F142" s="1666"/>
      <c r="H142" s="569">
        <v>-200</v>
      </c>
      <c r="I142" s="570">
        <v>0.8</v>
      </c>
      <c r="J142" s="570">
        <v>1</v>
      </c>
      <c r="K142" s="1668"/>
      <c r="M142" s="569">
        <v>-200</v>
      </c>
      <c r="N142" s="570" t="s">
        <v>201</v>
      </c>
      <c r="O142" s="570" t="s">
        <v>201</v>
      </c>
      <c r="P142" s="1655"/>
      <c r="R142" s="569">
        <f t="shared" si="103"/>
        <v>-200</v>
      </c>
      <c r="S142" s="572">
        <f t="shared" si="104"/>
        <v>-0.2</v>
      </c>
      <c r="T142" s="572">
        <f t="shared" si="105"/>
        <v>0.8</v>
      </c>
      <c r="U142" s="572" t="str">
        <f t="shared" si="106"/>
        <v>-</v>
      </c>
      <c r="V142" s="573">
        <f t="shared" si="107"/>
        <v>0.5</v>
      </c>
      <c r="W142" s="572">
        <f t="shared" si="100"/>
        <v>0.6</v>
      </c>
      <c r="X142" s="574">
        <f t="shared" si="101"/>
        <v>-0.2</v>
      </c>
      <c r="Y142" s="574">
        <f t="shared" si="102"/>
        <v>1</v>
      </c>
      <c r="Z142" s="574" t="str">
        <f t="shared" si="108"/>
        <v>-</v>
      </c>
      <c r="AA142" s="573">
        <f t="shared" si="109"/>
        <v>0.6</v>
      </c>
      <c r="AB142" s="570">
        <f t="shared" si="110"/>
        <v>0.6</v>
      </c>
      <c r="AC142" s="127" t="s">
        <v>840</v>
      </c>
      <c r="AD142" s="127" t="s">
        <v>381</v>
      </c>
      <c r="AE142" s="136">
        <f>ROWS(AD$10:$AD142)</f>
        <v>133</v>
      </c>
      <c r="AF142" s="136" t="str">
        <f>IF(ID!$A$91=AD142,AE142,"")</f>
        <v/>
      </c>
      <c r="AG142" s="136" t="str">
        <f>IFERROR(SMALL($AF$10:$AF$165,ROWS($AF$10:AF142)),"")</f>
        <v/>
      </c>
      <c r="BG142" s="150"/>
    </row>
    <row r="143" spans="2:59" x14ac:dyDescent="0.25">
      <c r="B143" s="569">
        <v>-300</v>
      </c>
      <c r="C143" s="602">
        <v>-0.3</v>
      </c>
      <c r="D143" s="602">
        <v>-0.3</v>
      </c>
      <c r="E143" s="602">
        <v>0.6</v>
      </c>
      <c r="F143" s="1666"/>
      <c r="H143" s="569">
        <v>-300</v>
      </c>
      <c r="I143" s="570">
        <v>0.1</v>
      </c>
      <c r="J143" s="570">
        <v>0.3</v>
      </c>
      <c r="K143" s="1668"/>
      <c r="M143" s="569">
        <v>-300</v>
      </c>
      <c r="N143" s="570" t="s">
        <v>201</v>
      </c>
      <c r="O143" s="570" t="s">
        <v>201</v>
      </c>
      <c r="P143" s="1655"/>
      <c r="R143" s="569">
        <f t="shared" si="103"/>
        <v>-300</v>
      </c>
      <c r="S143" s="572">
        <f t="shared" si="104"/>
        <v>-0.3</v>
      </c>
      <c r="T143" s="572">
        <f t="shared" si="105"/>
        <v>0.1</v>
      </c>
      <c r="U143" s="572" t="str">
        <f t="shared" si="106"/>
        <v>-</v>
      </c>
      <c r="V143" s="573">
        <f t="shared" si="107"/>
        <v>0.2</v>
      </c>
      <c r="W143" s="572">
        <f t="shared" si="100"/>
        <v>0.6</v>
      </c>
      <c r="X143" s="574">
        <f t="shared" si="101"/>
        <v>-0.3</v>
      </c>
      <c r="Y143" s="574">
        <f t="shared" si="102"/>
        <v>0.3</v>
      </c>
      <c r="Z143" s="574" t="str">
        <f t="shared" si="108"/>
        <v>-</v>
      </c>
      <c r="AA143" s="573">
        <f t="shared" si="109"/>
        <v>0.3</v>
      </c>
      <c r="AB143" s="570">
        <f t="shared" si="110"/>
        <v>0.6</v>
      </c>
      <c r="AC143" s="127" t="s">
        <v>840</v>
      </c>
      <c r="AD143" s="127" t="s">
        <v>381</v>
      </c>
      <c r="AE143" s="136">
        <f>ROWS(AD$10:$AD143)</f>
        <v>134</v>
      </c>
      <c r="AF143" s="136" t="str">
        <f>IF(ID!$A$91=AD143,AE143,"")</f>
        <v/>
      </c>
      <c r="AG143" s="136" t="str">
        <f>IFERROR(SMALL($AF$10:$AF$165,ROWS($AF$10:AF143)),"")</f>
        <v/>
      </c>
      <c r="BG143" s="136"/>
    </row>
    <row r="144" spans="2:59" x14ac:dyDescent="0.25">
      <c r="B144" s="569">
        <v>-400</v>
      </c>
      <c r="C144" s="602">
        <v>-0.5</v>
      </c>
      <c r="D144" s="602">
        <v>-0.5</v>
      </c>
      <c r="E144" s="602">
        <v>0.6</v>
      </c>
      <c r="F144" s="1666"/>
      <c r="H144" s="569">
        <v>-400</v>
      </c>
      <c r="I144" s="570">
        <v>-0.2</v>
      </c>
      <c r="J144" s="570">
        <v>0</v>
      </c>
      <c r="K144" s="1668"/>
      <c r="M144" s="569">
        <v>-400</v>
      </c>
      <c r="N144" s="570" t="s">
        <v>201</v>
      </c>
      <c r="O144" s="570" t="s">
        <v>201</v>
      </c>
      <c r="P144" s="1655"/>
      <c r="R144" s="569">
        <f t="shared" si="103"/>
        <v>-400</v>
      </c>
      <c r="S144" s="572">
        <f t="shared" si="104"/>
        <v>-0.5</v>
      </c>
      <c r="T144" s="572">
        <f t="shared" si="105"/>
        <v>-0.2</v>
      </c>
      <c r="U144" s="572" t="str">
        <f t="shared" si="106"/>
        <v>-</v>
      </c>
      <c r="V144" s="573">
        <f t="shared" si="107"/>
        <v>0.15</v>
      </c>
      <c r="W144" s="572">
        <f t="shared" si="100"/>
        <v>0.6</v>
      </c>
      <c r="X144" s="574">
        <f t="shared" si="101"/>
        <v>-0.5</v>
      </c>
      <c r="Y144" s="574">
        <f t="shared" si="102"/>
        <v>0</v>
      </c>
      <c r="Z144" s="574" t="str">
        <f t="shared" si="108"/>
        <v>-</v>
      </c>
      <c r="AA144" s="573">
        <f t="shared" si="109"/>
        <v>0.25</v>
      </c>
      <c r="AB144" s="570">
        <f t="shared" si="110"/>
        <v>0.6</v>
      </c>
      <c r="AC144" s="127" t="s">
        <v>840</v>
      </c>
      <c r="AD144" s="127" t="s">
        <v>381</v>
      </c>
      <c r="AE144" s="136">
        <f>ROWS(AD$10:$AD144)</f>
        <v>135</v>
      </c>
      <c r="AF144" s="136" t="str">
        <f>IF(ID!$A$91=AD144,AE144,"")</f>
        <v/>
      </c>
      <c r="AG144" s="136" t="str">
        <f>IFERROR(SMALL($AF$10:$AF$165,ROWS($AF$10:AF144)),"")</f>
        <v/>
      </c>
      <c r="BG144" s="136"/>
    </row>
    <row r="145" spans="2:59" x14ac:dyDescent="0.25">
      <c r="B145" s="569">
        <v>-500</v>
      </c>
      <c r="C145" s="602">
        <v>-0.6</v>
      </c>
      <c r="D145" s="602">
        <v>-0.6</v>
      </c>
      <c r="E145" s="602">
        <v>0.6</v>
      </c>
      <c r="F145" s="1666"/>
      <c r="H145" s="569">
        <v>-500</v>
      </c>
      <c r="I145" s="570">
        <v>-0.2</v>
      </c>
      <c r="J145" s="570">
        <v>0</v>
      </c>
      <c r="K145" s="1668"/>
      <c r="M145" s="569">
        <v>-500</v>
      </c>
      <c r="N145" s="570" t="s">
        <v>201</v>
      </c>
      <c r="O145" s="570" t="s">
        <v>201</v>
      </c>
      <c r="P145" s="1655"/>
      <c r="R145" s="569">
        <f t="shared" si="103"/>
        <v>-500</v>
      </c>
      <c r="S145" s="572">
        <f t="shared" si="104"/>
        <v>-0.6</v>
      </c>
      <c r="T145" s="572">
        <f t="shared" si="105"/>
        <v>-0.2</v>
      </c>
      <c r="U145" s="572" t="str">
        <f t="shared" si="106"/>
        <v>-</v>
      </c>
      <c r="V145" s="573">
        <f t="shared" si="107"/>
        <v>0.19999999999999998</v>
      </c>
      <c r="W145" s="572">
        <f t="shared" si="100"/>
        <v>0.6</v>
      </c>
      <c r="X145" s="574">
        <f t="shared" si="101"/>
        <v>-0.6</v>
      </c>
      <c r="Y145" s="574">
        <f t="shared" si="102"/>
        <v>0</v>
      </c>
      <c r="Z145" s="574" t="str">
        <f t="shared" si="108"/>
        <v>-</v>
      </c>
      <c r="AA145" s="573">
        <f t="shared" si="109"/>
        <v>0.3</v>
      </c>
      <c r="AB145" s="570">
        <f t="shared" si="110"/>
        <v>0.6</v>
      </c>
      <c r="AC145" s="127" t="s">
        <v>840</v>
      </c>
      <c r="AD145" s="127" t="s">
        <v>381</v>
      </c>
      <c r="AE145" s="136">
        <f>ROWS(AD$10:$AD145)</f>
        <v>136</v>
      </c>
      <c r="AF145" s="136" t="str">
        <f>IF(ID!$A$91=AD145,AE145,"")</f>
        <v/>
      </c>
      <c r="AG145" s="136" t="str">
        <f>IFERROR(SMALL($AF$10:$AF$165,ROWS($AF$10:AF145)),"")</f>
        <v/>
      </c>
    </row>
    <row r="146" spans="2:59" x14ac:dyDescent="0.25">
      <c r="B146" s="569">
        <v>-600</v>
      </c>
      <c r="C146" s="602">
        <v>-0.8</v>
      </c>
      <c r="D146" s="602">
        <v>-0.8</v>
      </c>
      <c r="E146" s="602">
        <v>0.6</v>
      </c>
      <c r="F146" s="1666"/>
      <c r="H146" s="569">
        <v>-600</v>
      </c>
      <c r="I146" s="570">
        <v>-0.3</v>
      </c>
      <c r="J146" s="570">
        <v>-0.1</v>
      </c>
      <c r="K146" s="1668"/>
      <c r="M146" s="569">
        <v>-600</v>
      </c>
      <c r="N146" s="570" t="s">
        <v>201</v>
      </c>
      <c r="O146" s="570" t="s">
        <v>201</v>
      </c>
      <c r="P146" s="1655"/>
      <c r="R146" s="569">
        <f t="shared" si="103"/>
        <v>-600</v>
      </c>
      <c r="S146" s="572">
        <f t="shared" si="104"/>
        <v>-0.8</v>
      </c>
      <c r="T146" s="572">
        <f t="shared" si="105"/>
        <v>-0.3</v>
      </c>
      <c r="U146" s="572" t="str">
        <f t="shared" si="106"/>
        <v>-</v>
      </c>
      <c r="V146" s="573">
        <f t="shared" si="107"/>
        <v>0.25</v>
      </c>
      <c r="W146" s="572">
        <f t="shared" si="100"/>
        <v>0.6</v>
      </c>
      <c r="X146" s="574">
        <f t="shared" si="101"/>
        <v>-0.8</v>
      </c>
      <c r="Y146" s="574">
        <f t="shared" si="102"/>
        <v>-0.1</v>
      </c>
      <c r="Z146" s="574" t="str">
        <f t="shared" si="108"/>
        <v>-</v>
      </c>
      <c r="AA146" s="573">
        <f t="shared" si="109"/>
        <v>0.35000000000000003</v>
      </c>
      <c r="AB146" s="570">
        <f t="shared" si="110"/>
        <v>0.6</v>
      </c>
      <c r="AC146" s="127" t="s">
        <v>840</v>
      </c>
      <c r="AD146" s="127" t="s">
        <v>381</v>
      </c>
      <c r="AE146" s="136">
        <f>ROWS(AD$10:$AD146)</f>
        <v>137</v>
      </c>
      <c r="AF146" s="136" t="str">
        <f>IF(ID!$A$91=AD146,AE146,"")</f>
        <v/>
      </c>
      <c r="AG146" s="136" t="str">
        <f>IFERROR(SMALL($AF$10:$AF$165,ROWS($AF$10:AF146)),"")</f>
        <v/>
      </c>
    </row>
    <row r="147" spans="2:59" x14ac:dyDescent="0.25">
      <c r="B147" s="614">
        <v>-700</v>
      </c>
      <c r="C147" s="615">
        <v>-1.1000000000000001</v>
      </c>
      <c r="D147" s="615">
        <v>-1.1000000000000001</v>
      </c>
      <c r="E147" s="602">
        <f>E146</f>
        <v>0.6</v>
      </c>
      <c r="F147" s="1666"/>
      <c r="H147" s="614">
        <v>-700</v>
      </c>
      <c r="I147" s="616">
        <f>I146</f>
        <v>-0.3</v>
      </c>
      <c r="J147" s="616">
        <f>J146</f>
        <v>-0.1</v>
      </c>
      <c r="K147" s="1668"/>
      <c r="M147" s="614">
        <v>-700</v>
      </c>
      <c r="N147" s="616" t="str">
        <f>N146</f>
        <v>-</v>
      </c>
      <c r="O147" s="616" t="str">
        <f>O146</f>
        <v>-</v>
      </c>
      <c r="P147" s="1655"/>
      <c r="R147" s="569">
        <f t="shared" si="103"/>
        <v>-700</v>
      </c>
      <c r="S147" s="572">
        <f t="shared" si="104"/>
        <v>-1.1000000000000001</v>
      </c>
      <c r="T147" s="572">
        <f t="shared" si="105"/>
        <v>-0.3</v>
      </c>
      <c r="U147" s="572" t="str">
        <f t="shared" si="106"/>
        <v>-</v>
      </c>
      <c r="V147" s="573">
        <f t="shared" si="107"/>
        <v>0.4</v>
      </c>
      <c r="W147" s="572">
        <f t="shared" si="100"/>
        <v>0.6</v>
      </c>
      <c r="X147" s="574">
        <f t="shared" si="101"/>
        <v>-1.1000000000000001</v>
      </c>
      <c r="Y147" s="574">
        <f t="shared" si="102"/>
        <v>-0.1</v>
      </c>
      <c r="Z147" s="574" t="str">
        <f t="shared" si="108"/>
        <v>-</v>
      </c>
      <c r="AA147" s="573">
        <f t="shared" si="109"/>
        <v>0.5</v>
      </c>
      <c r="AB147" s="570">
        <f t="shared" si="110"/>
        <v>0.6</v>
      </c>
      <c r="AC147" s="127" t="s">
        <v>840</v>
      </c>
      <c r="AD147" s="127" t="s">
        <v>381</v>
      </c>
      <c r="AE147" s="136">
        <f>ROWS(AD$10:$AD147)</f>
        <v>138</v>
      </c>
      <c r="AF147" s="136" t="str">
        <f>IF(ID!$A$91=AD147,AE147,"")</f>
        <v/>
      </c>
      <c r="AG147" s="136" t="str">
        <f>IFERROR(SMALL($AF$10:$AF$165,ROWS($AF$10:AF147)),"")</f>
        <v/>
      </c>
    </row>
    <row r="148" spans="2:59" x14ac:dyDescent="0.25">
      <c r="B148" s="591"/>
      <c r="C148" s="592"/>
      <c r="D148" s="592"/>
      <c r="E148" s="592"/>
      <c r="F148" s="606"/>
      <c r="H148" s="591"/>
      <c r="I148" s="605"/>
      <c r="J148" s="607"/>
      <c r="K148" s="608"/>
      <c r="M148" s="591"/>
      <c r="N148" s="605"/>
      <c r="O148" s="607"/>
      <c r="P148" s="608"/>
      <c r="R148" s="586"/>
      <c r="S148" s="587"/>
      <c r="T148" s="587"/>
      <c r="U148" s="587"/>
      <c r="V148" s="573"/>
      <c r="W148" s="587"/>
      <c r="X148" s="588"/>
      <c r="Y148" s="588"/>
      <c r="Z148" s="588"/>
      <c r="AA148" s="573"/>
      <c r="AB148" s="589"/>
      <c r="AC148" s="150"/>
      <c r="AD148" s="150"/>
      <c r="AE148" s="136">
        <f>ROWS(AD$10:$AD148)</f>
        <v>139</v>
      </c>
      <c r="AF148" s="136" t="str">
        <f>IF(ID!$A$91=AD148,AE148,"")</f>
        <v/>
      </c>
      <c r="AG148" s="136" t="str">
        <f>IFERROR(SMALL($AF$10:$AF$165,ROWS($AF$10:AF148)),"")</f>
        <v/>
      </c>
    </row>
    <row r="149" spans="2:59" x14ac:dyDescent="0.25">
      <c r="B149" s="593"/>
      <c r="C149" s="594"/>
      <c r="D149" s="594"/>
      <c r="E149" s="594"/>
      <c r="F149" s="595"/>
      <c r="H149" s="593"/>
      <c r="I149" s="597"/>
      <c r="J149" s="610"/>
      <c r="K149" s="596"/>
      <c r="M149" s="593"/>
      <c r="N149" s="597"/>
      <c r="O149" s="610"/>
      <c r="P149" s="596"/>
      <c r="R149" s="111"/>
      <c r="S149" s="598"/>
      <c r="T149" s="598"/>
      <c r="U149" s="598"/>
      <c r="V149" s="598"/>
      <c r="W149" s="598"/>
      <c r="X149" s="598"/>
      <c r="Y149" s="598"/>
      <c r="Z149" s="598"/>
      <c r="AA149" s="598"/>
      <c r="AB149" s="612"/>
      <c r="AC149" s="136"/>
      <c r="AD149" s="136"/>
      <c r="AE149" s="136">
        <f>ROWS(AD$10:$AD149)</f>
        <v>140</v>
      </c>
      <c r="AF149" s="136" t="str">
        <f>IF(ID!$A$91=AD149,AE149,"")</f>
        <v/>
      </c>
      <c r="AG149" s="136" t="str">
        <f>IFERROR(SMALL($AF$10:$AF$165,ROWS($AF$10:AF149)),"")</f>
        <v/>
      </c>
      <c r="BG149" s="127"/>
    </row>
    <row r="150" spans="2:59" x14ac:dyDescent="0.25">
      <c r="B150" s="593"/>
      <c r="C150" s="594"/>
      <c r="D150" s="594"/>
      <c r="E150" s="594"/>
      <c r="F150" s="595"/>
      <c r="H150" s="593"/>
      <c r="I150" s="597"/>
      <c r="J150" s="611"/>
      <c r="K150" s="601"/>
      <c r="M150" s="593"/>
      <c r="N150" s="597"/>
      <c r="O150" s="611"/>
      <c r="P150" s="601"/>
      <c r="R150" s="136"/>
      <c r="S150" s="136"/>
      <c r="T150" s="136"/>
      <c r="U150" s="136"/>
      <c r="V150" s="136"/>
      <c r="W150" s="136"/>
      <c r="X150" s="136"/>
      <c r="Y150" s="136"/>
      <c r="Z150" s="136"/>
      <c r="AA150" s="136"/>
      <c r="AB150" s="136"/>
      <c r="AC150" s="136"/>
      <c r="AD150" s="136"/>
      <c r="AE150" s="136">
        <f>ROWS(AD$10:$AD150)</f>
        <v>141</v>
      </c>
      <c r="AF150" s="136" t="str">
        <f>IF(ID!$A$91=AD150,AE150,"")</f>
        <v/>
      </c>
      <c r="AG150" s="136" t="str">
        <f>IFERROR(SMALL($AF$10:$AF$165,ROWS($AF$10:AF150)),"")</f>
        <v/>
      </c>
      <c r="BG150" s="127"/>
    </row>
    <row r="151" spans="2:59" x14ac:dyDescent="0.25">
      <c r="AE151" s="136">
        <f>ROWS(AD$10:$AD151)</f>
        <v>142</v>
      </c>
      <c r="AF151" s="136" t="str">
        <f>IF(ID!$A$91=AD151,AE151,"")</f>
        <v/>
      </c>
      <c r="AG151" s="136" t="str">
        <f>IFERROR(SMALL($AF$10:$AF$165,ROWS($AF$10:AF151)),"")</f>
        <v/>
      </c>
      <c r="BG151" s="127"/>
    </row>
    <row r="152" spans="2:59" ht="17.399999999999999" x14ac:dyDescent="0.3">
      <c r="B152" s="1653" t="s">
        <v>371</v>
      </c>
      <c r="C152" s="1653"/>
      <c r="D152" s="1653"/>
      <c r="E152" s="1653"/>
      <c r="F152" s="1653"/>
      <c r="G152" s="565"/>
      <c r="H152" s="1653" t="s">
        <v>455</v>
      </c>
      <c r="I152" s="1653"/>
      <c r="J152" s="1653"/>
      <c r="K152" s="1653"/>
      <c r="L152" s="566"/>
      <c r="M152" s="1653" t="s">
        <v>372</v>
      </c>
      <c r="N152" s="1653"/>
      <c r="O152" s="1653"/>
      <c r="P152" s="1653"/>
      <c r="AE152" s="136">
        <f>ROWS(AD$10:$AD152)</f>
        <v>143</v>
      </c>
      <c r="AF152" s="136" t="str">
        <f>IF(ID!$A$91=AD152,AE152,"")</f>
        <v/>
      </c>
      <c r="AG152" s="136" t="str">
        <f>IFERROR(SMALL($AF$10:$AF$165,ROWS($AF$10:AF152)),"")</f>
        <v/>
      </c>
      <c r="BG152" s="127"/>
    </row>
    <row r="153" spans="2:59" x14ac:dyDescent="0.25">
      <c r="V153" s="1066" t="s">
        <v>884</v>
      </c>
      <c r="AA153" s="1066" t="s">
        <v>884</v>
      </c>
      <c r="AE153" s="136">
        <f>ROWS(AD$10:$AD153)</f>
        <v>144</v>
      </c>
      <c r="AF153" s="136" t="str">
        <f>IF(ID!$A$91=AD153,AE153,"")</f>
        <v/>
      </c>
      <c r="AG153" s="136" t="str">
        <f>IFERROR(SMALL($AF$10:$AF$165,ROWS($AF$10:AF153)),"")</f>
        <v/>
      </c>
      <c r="BG153" s="127"/>
    </row>
    <row r="154" spans="2:59" ht="12.75" customHeight="1" x14ac:dyDescent="0.25">
      <c r="B154" s="110" t="s">
        <v>41</v>
      </c>
      <c r="C154" s="110" t="s">
        <v>375</v>
      </c>
      <c r="D154" s="110" t="s">
        <v>376</v>
      </c>
      <c r="E154" s="110" t="s">
        <v>211</v>
      </c>
      <c r="F154" s="1665" t="s">
        <v>839</v>
      </c>
      <c r="H154" s="110" t="s">
        <v>41</v>
      </c>
      <c r="I154" s="110" t="s">
        <v>375</v>
      </c>
      <c r="J154" s="110" t="s">
        <v>377</v>
      </c>
      <c r="K154" s="1667" t="s">
        <v>396</v>
      </c>
      <c r="M154" s="110" t="s">
        <v>41</v>
      </c>
      <c r="N154" s="110" t="s">
        <v>375</v>
      </c>
      <c r="O154" s="110" t="s">
        <v>377</v>
      </c>
      <c r="P154" s="1654" t="s">
        <v>201</v>
      </c>
      <c r="R154" s="1054" t="s">
        <v>41</v>
      </c>
      <c r="S154" s="1055" t="s">
        <v>228</v>
      </c>
      <c r="T154" s="1055" t="s">
        <v>456</v>
      </c>
      <c r="U154" s="1055" t="s">
        <v>457</v>
      </c>
      <c r="V154" s="1055" t="s">
        <v>222</v>
      </c>
      <c r="W154" s="1056" t="s">
        <v>223</v>
      </c>
      <c r="X154" s="1057" t="s">
        <v>229</v>
      </c>
      <c r="Y154" s="1057" t="s">
        <v>458</v>
      </c>
      <c r="Z154" s="1057" t="s">
        <v>459</v>
      </c>
      <c r="AA154" s="1057" t="s">
        <v>224</v>
      </c>
      <c r="AB154" s="1058" t="s">
        <v>225</v>
      </c>
      <c r="AC154" s="1059" t="s">
        <v>93</v>
      </c>
      <c r="AD154" s="133" t="s">
        <v>48</v>
      </c>
      <c r="AE154" s="136">
        <f>ROWS(AD$10:$AD154)</f>
        <v>145</v>
      </c>
      <c r="AF154" s="136" t="str">
        <f>IF(ID!$A$91=AD154,AE154,"")</f>
        <v/>
      </c>
      <c r="AG154" s="136" t="str">
        <f>IFERROR(SMALL($AF$10:$AF$165,ROWS($AF$10:AF154)),"")</f>
        <v/>
      </c>
      <c r="BG154" s="127"/>
    </row>
    <row r="155" spans="2:59" x14ac:dyDescent="0.25">
      <c r="B155" s="569">
        <v>0</v>
      </c>
      <c r="C155" s="570">
        <v>-0.3</v>
      </c>
      <c r="D155" s="570">
        <v>-0.3</v>
      </c>
      <c r="E155" s="602">
        <v>0.6</v>
      </c>
      <c r="F155" s="1666"/>
      <c r="H155" s="569">
        <v>0</v>
      </c>
      <c r="I155" s="570">
        <v>0</v>
      </c>
      <c r="J155" s="570">
        <v>0</v>
      </c>
      <c r="K155" s="1668"/>
      <c r="M155" s="569">
        <v>0</v>
      </c>
      <c r="N155" s="570" t="s">
        <v>201</v>
      </c>
      <c r="O155" s="570" t="s">
        <v>201</v>
      </c>
      <c r="P155" s="1655"/>
      <c r="R155" s="569">
        <f>B155</f>
        <v>0</v>
      </c>
      <c r="S155" s="572">
        <f>C155</f>
        <v>-0.3</v>
      </c>
      <c r="T155" s="572">
        <f>I155</f>
        <v>0</v>
      </c>
      <c r="U155" s="572" t="str">
        <f>N155</f>
        <v>-</v>
      </c>
      <c r="V155" s="573">
        <f>0.5*(MAX(S155:U155)-(MIN(S155:U155)))</f>
        <v>0.15</v>
      </c>
      <c r="W155" s="572">
        <f t="shared" ref="W155:W162" si="111">E155</f>
        <v>0.6</v>
      </c>
      <c r="X155" s="574">
        <f t="shared" ref="X155:X162" si="112">D155</f>
        <v>-0.3</v>
      </c>
      <c r="Y155" s="574">
        <f t="shared" ref="Y155:Y162" si="113">J155</f>
        <v>0</v>
      </c>
      <c r="Z155" s="574" t="str">
        <f>O155</f>
        <v>-</v>
      </c>
      <c r="AA155" s="573">
        <f>0.5*(MAX(X155:Z155)-(MIN(X155:Z155)))</f>
        <v>0.15</v>
      </c>
      <c r="AB155" s="570">
        <f>E155</f>
        <v>0.6</v>
      </c>
      <c r="AC155" s="127" t="s">
        <v>840</v>
      </c>
      <c r="AD155" s="127" t="s">
        <v>382</v>
      </c>
      <c r="AE155" s="136">
        <f>ROWS(AD$10:$AD155)</f>
        <v>146</v>
      </c>
      <c r="AF155" s="136" t="str">
        <f>IF(ID!$A$91=AD155,AE155,"")</f>
        <v/>
      </c>
      <c r="AG155" s="136" t="str">
        <f>IFERROR(SMALL($AF$10:$AF$165,ROWS($AF$10:AF155)),"")</f>
        <v/>
      </c>
      <c r="BG155" s="127"/>
    </row>
    <row r="156" spans="2:59" x14ac:dyDescent="0.25">
      <c r="B156" s="569">
        <v>-100</v>
      </c>
      <c r="C156" s="570">
        <v>-0.5</v>
      </c>
      <c r="D156" s="570">
        <v>-0.5</v>
      </c>
      <c r="E156" s="602">
        <v>0.6</v>
      </c>
      <c r="F156" s="1666"/>
      <c r="H156" s="569">
        <v>-100</v>
      </c>
      <c r="I156" s="570">
        <v>0.8</v>
      </c>
      <c r="J156" s="570">
        <v>0.9</v>
      </c>
      <c r="K156" s="1668"/>
      <c r="M156" s="569">
        <v>-100</v>
      </c>
      <c r="N156" s="570" t="s">
        <v>201</v>
      </c>
      <c r="O156" s="570" t="s">
        <v>201</v>
      </c>
      <c r="P156" s="1655"/>
      <c r="R156" s="569">
        <f t="shared" ref="R156:R162" si="114">B156</f>
        <v>-100</v>
      </c>
      <c r="S156" s="572">
        <f t="shared" ref="S156:S162" si="115">C156</f>
        <v>-0.5</v>
      </c>
      <c r="T156" s="572">
        <f t="shared" ref="T156:T162" si="116">I156</f>
        <v>0.8</v>
      </c>
      <c r="U156" s="572" t="str">
        <f t="shared" ref="U156:U162" si="117">N156</f>
        <v>-</v>
      </c>
      <c r="V156" s="573">
        <f t="shared" ref="V156:V162" si="118">0.5*(MAX(S156:U156)-(MIN(S156:U156)))</f>
        <v>0.65</v>
      </c>
      <c r="W156" s="572">
        <f t="shared" si="111"/>
        <v>0.6</v>
      </c>
      <c r="X156" s="574">
        <f t="shared" si="112"/>
        <v>-0.5</v>
      </c>
      <c r="Y156" s="574">
        <f t="shared" si="113"/>
        <v>0.9</v>
      </c>
      <c r="Z156" s="574" t="str">
        <f t="shared" ref="Z156:Z162" si="119">O156</f>
        <v>-</v>
      </c>
      <c r="AA156" s="573">
        <f t="shared" ref="AA156:AA162" si="120">0.5*(MAX(X156:Z156)-(MIN(X156:Z156)))</f>
        <v>0.7</v>
      </c>
      <c r="AB156" s="570">
        <f t="shared" ref="AB156:AB162" si="121">E156</f>
        <v>0.6</v>
      </c>
      <c r="AC156" s="127" t="s">
        <v>840</v>
      </c>
      <c r="AD156" s="127" t="s">
        <v>382</v>
      </c>
      <c r="AE156" s="136">
        <f>ROWS(AD$10:$AD156)</f>
        <v>147</v>
      </c>
      <c r="AF156" s="136" t="str">
        <f>IF(ID!$A$91=AD156,AE156,"")</f>
        <v/>
      </c>
      <c r="AG156" s="136" t="str">
        <f>IFERROR(SMALL($AF$10:$AF$165,ROWS($AF$10:AF156)),"")</f>
        <v/>
      </c>
      <c r="BG156" s="127"/>
    </row>
    <row r="157" spans="2:59" x14ac:dyDescent="0.25">
      <c r="B157" s="569">
        <v>-200</v>
      </c>
      <c r="C157" s="570">
        <v>0</v>
      </c>
      <c r="D157" s="570">
        <v>0</v>
      </c>
      <c r="E157" s="602">
        <v>0.6</v>
      </c>
      <c r="F157" s="1666"/>
      <c r="H157" s="569">
        <v>-200</v>
      </c>
      <c r="I157" s="570">
        <v>0.7</v>
      </c>
      <c r="J157" s="570">
        <v>0.8</v>
      </c>
      <c r="K157" s="1668"/>
      <c r="M157" s="569">
        <v>-200</v>
      </c>
      <c r="N157" s="570" t="s">
        <v>201</v>
      </c>
      <c r="O157" s="570" t="s">
        <v>201</v>
      </c>
      <c r="P157" s="1655"/>
      <c r="R157" s="569">
        <f t="shared" si="114"/>
        <v>-200</v>
      </c>
      <c r="S157" s="572">
        <f t="shared" si="115"/>
        <v>0</v>
      </c>
      <c r="T157" s="572">
        <f t="shared" si="116"/>
        <v>0.7</v>
      </c>
      <c r="U157" s="572" t="str">
        <f t="shared" si="117"/>
        <v>-</v>
      </c>
      <c r="V157" s="573">
        <f t="shared" si="118"/>
        <v>0.35</v>
      </c>
      <c r="W157" s="572">
        <f t="shared" si="111"/>
        <v>0.6</v>
      </c>
      <c r="X157" s="574">
        <f t="shared" si="112"/>
        <v>0</v>
      </c>
      <c r="Y157" s="574">
        <f t="shared" si="113"/>
        <v>0.8</v>
      </c>
      <c r="Z157" s="574" t="str">
        <f t="shared" si="119"/>
        <v>-</v>
      </c>
      <c r="AA157" s="573">
        <f t="shared" si="120"/>
        <v>0.4</v>
      </c>
      <c r="AB157" s="570">
        <f t="shared" si="121"/>
        <v>0.6</v>
      </c>
      <c r="AC157" s="127" t="s">
        <v>840</v>
      </c>
      <c r="AD157" s="127" t="s">
        <v>382</v>
      </c>
      <c r="AE157" s="136">
        <f>ROWS(AD$10:$AD157)</f>
        <v>148</v>
      </c>
      <c r="AF157" s="136" t="str">
        <f>IF(ID!$A$91=AD157,AE157,"")</f>
        <v/>
      </c>
      <c r="AG157" s="136" t="str">
        <f>IFERROR(SMALL($AF$10:$AF$165,ROWS($AF$10:AF157)),"")</f>
        <v/>
      </c>
      <c r="BG157" s="150"/>
    </row>
    <row r="158" spans="2:59" x14ac:dyDescent="0.25">
      <c r="B158" s="569">
        <v>-300</v>
      </c>
      <c r="C158" s="570">
        <v>1.1000000000000001</v>
      </c>
      <c r="D158" s="570">
        <v>1.1000000000000001</v>
      </c>
      <c r="E158" s="602">
        <v>0.6</v>
      </c>
      <c r="F158" s="1666"/>
      <c r="H158" s="569">
        <v>-300</v>
      </c>
      <c r="I158" s="570">
        <v>0.8</v>
      </c>
      <c r="J158" s="570">
        <v>0.9</v>
      </c>
      <c r="K158" s="1668"/>
      <c r="M158" s="569">
        <v>-300</v>
      </c>
      <c r="N158" s="570" t="s">
        <v>201</v>
      </c>
      <c r="O158" s="570" t="s">
        <v>201</v>
      </c>
      <c r="P158" s="1655"/>
      <c r="R158" s="569">
        <f t="shared" si="114"/>
        <v>-300</v>
      </c>
      <c r="S158" s="572">
        <f t="shared" si="115"/>
        <v>1.1000000000000001</v>
      </c>
      <c r="T158" s="572">
        <f t="shared" si="116"/>
        <v>0.8</v>
      </c>
      <c r="U158" s="572" t="str">
        <f t="shared" si="117"/>
        <v>-</v>
      </c>
      <c r="V158" s="573">
        <f t="shared" si="118"/>
        <v>0.15000000000000002</v>
      </c>
      <c r="W158" s="572">
        <f t="shared" si="111"/>
        <v>0.6</v>
      </c>
      <c r="X158" s="574">
        <f t="shared" si="112"/>
        <v>1.1000000000000001</v>
      </c>
      <c r="Y158" s="574">
        <f t="shared" si="113"/>
        <v>0.9</v>
      </c>
      <c r="Z158" s="574" t="str">
        <f t="shared" si="119"/>
        <v>-</v>
      </c>
      <c r="AA158" s="573">
        <f t="shared" si="120"/>
        <v>0.10000000000000003</v>
      </c>
      <c r="AB158" s="570">
        <f t="shared" si="121"/>
        <v>0.6</v>
      </c>
      <c r="AC158" s="127" t="s">
        <v>840</v>
      </c>
      <c r="AD158" s="127" t="s">
        <v>382</v>
      </c>
      <c r="AE158" s="136">
        <f>ROWS(AD$10:$AD158)</f>
        <v>149</v>
      </c>
      <c r="AF158" s="136" t="str">
        <f>IF(ID!$A$91=AD158,AE158,"")</f>
        <v/>
      </c>
      <c r="AG158" s="136" t="str">
        <f>IFERROR(SMALL($AF$10:$AF$165,ROWS($AF$10:AF158)),"")</f>
        <v/>
      </c>
      <c r="BG158" s="136"/>
    </row>
    <row r="159" spans="2:59" x14ac:dyDescent="0.25">
      <c r="B159" s="569">
        <v>-400</v>
      </c>
      <c r="C159" s="570">
        <v>2.9</v>
      </c>
      <c r="D159" s="570">
        <v>2.9</v>
      </c>
      <c r="E159" s="602">
        <v>0.6</v>
      </c>
      <c r="F159" s="1666"/>
      <c r="H159" s="569">
        <v>-400</v>
      </c>
      <c r="I159" s="570">
        <v>0.9</v>
      </c>
      <c r="J159" s="570">
        <v>1</v>
      </c>
      <c r="K159" s="1668"/>
      <c r="M159" s="569">
        <v>-400</v>
      </c>
      <c r="N159" s="570" t="s">
        <v>201</v>
      </c>
      <c r="O159" s="570" t="s">
        <v>201</v>
      </c>
      <c r="P159" s="1655"/>
      <c r="R159" s="569">
        <f t="shared" si="114"/>
        <v>-400</v>
      </c>
      <c r="S159" s="572">
        <f t="shared" si="115"/>
        <v>2.9</v>
      </c>
      <c r="T159" s="572">
        <f t="shared" si="116"/>
        <v>0.9</v>
      </c>
      <c r="U159" s="572" t="str">
        <f t="shared" si="117"/>
        <v>-</v>
      </c>
      <c r="V159" s="573">
        <f t="shared" si="118"/>
        <v>1</v>
      </c>
      <c r="W159" s="572">
        <f t="shared" si="111"/>
        <v>0.6</v>
      </c>
      <c r="X159" s="574">
        <f t="shared" si="112"/>
        <v>2.9</v>
      </c>
      <c r="Y159" s="574">
        <f t="shared" si="113"/>
        <v>1</v>
      </c>
      <c r="Z159" s="574" t="str">
        <f t="shared" si="119"/>
        <v>-</v>
      </c>
      <c r="AA159" s="573">
        <f t="shared" si="120"/>
        <v>0.95</v>
      </c>
      <c r="AB159" s="570">
        <f t="shared" si="121"/>
        <v>0.6</v>
      </c>
      <c r="AC159" s="127" t="s">
        <v>840</v>
      </c>
      <c r="AD159" s="127" t="s">
        <v>382</v>
      </c>
      <c r="AE159" s="136">
        <f>ROWS(AD$10:$AD159)</f>
        <v>150</v>
      </c>
      <c r="AF159" s="136" t="str">
        <f>IF(ID!$A$91=AD159,AE159,"")</f>
        <v/>
      </c>
      <c r="AG159" s="136" t="str">
        <f>IFERROR(SMALL($AF$10:$AF$165,ROWS($AF$10:AF159)),"")</f>
        <v/>
      </c>
      <c r="BG159" s="136"/>
    </row>
    <row r="160" spans="2:59" x14ac:dyDescent="0.25">
      <c r="B160" s="569">
        <v>-500</v>
      </c>
      <c r="C160" s="570">
        <v>5.2</v>
      </c>
      <c r="D160" s="570">
        <v>5.2</v>
      </c>
      <c r="E160" s="602">
        <v>0.6</v>
      </c>
      <c r="F160" s="1666"/>
      <c r="H160" s="569">
        <v>-500</v>
      </c>
      <c r="I160" s="570">
        <v>1</v>
      </c>
      <c r="J160" s="570">
        <v>1.2</v>
      </c>
      <c r="K160" s="1668"/>
      <c r="M160" s="569">
        <v>-500</v>
      </c>
      <c r="N160" s="570" t="s">
        <v>201</v>
      </c>
      <c r="O160" s="570" t="s">
        <v>201</v>
      </c>
      <c r="P160" s="1655"/>
      <c r="R160" s="569">
        <f t="shared" si="114"/>
        <v>-500</v>
      </c>
      <c r="S160" s="572">
        <f t="shared" si="115"/>
        <v>5.2</v>
      </c>
      <c r="T160" s="572">
        <f t="shared" si="116"/>
        <v>1</v>
      </c>
      <c r="U160" s="572" t="str">
        <f t="shared" si="117"/>
        <v>-</v>
      </c>
      <c r="V160" s="573">
        <f t="shared" si="118"/>
        <v>2.1</v>
      </c>
      <c r="W160" s="572">
        <f t="shared" si="111"/>
        <v>0.6</v>
      </c>
      <c r="X160" s="574">
        <f t="shared" si="112"/>
        <v>5.2</v>
      </c>
      <c r="Y160" s="574">
        <f t="shared" si="113"/>
        <v>1.2</v>
      </c>
      <c r="Z160" s="574" t="str">
        <f t="shared" si="119"/>
        <v>-</v>
      </c>
      <c r="AA160" s="573">
        <f t="shared" si="120"/>
        <v>2</v>
      </c>
      <c r="AB160" s="570">
        <f t="shared" si="121"/>
        <v>0.6</v>
      </c>
      <c r="AC160" s="127" t="s">
        <v>840</v>
      </c>
      <c r="AD160" s="127" t="s">
        <v>382</v>
      </c>
      <c r="AE160" s="136">
        <f>ROWS(AD$10:$AD160)</f>
        <v>151</v>
      </c>
      <c r="AF160" s="136" t="str">
        <f>IF(ID!$A$91=AD160,AE160,"")</f>
        <v/>
      </c>
      <c r="AG160" s="136" t="str">
        <f>IFERROR(SMALL($AF$10:$AF$165,ROWS($AF$10:AF160)),"")</f>
        <v/>
      </c>
    </row>
    <row r="161" spans="2:33" x14ac:dyDescent="0.25">
      <c r="B161" s="569">
        <v>-600</v>
      </c>
      <c r="C161" s="570">
        <v>8.1999999999999993</v>
      </c>
      <c r="D161" s="570">
        <v>8.1999999999999993</v>
      </c>
      <c r="E161" s="602">
        <v>0.6</v>
      </c>
      <c r="F161" s="1666"/>
      <c r="H161" s="569">
        <v>-600</v>
      </c>
      <c r="I161" s="570">
        <v>1</v>
      </c>
      <c r="J161" s="570">
        <v>1.2</v>
      </c>
      <c r="K161" s="1668"/>
      <c r="M161" s="569">
        <v>-600</v>
      </c>
      <c r="N161" s="570" t="s">
        <v>201</v>
      </c>
      <c r="O161" s="570" t="s">
        <v>201</v>
      </c>
      <c r="P161" s="1655"/>
      <c r="R161" s="569">
        <f t="shared" si="114"/>
        <v>-600</v>
      </c>
      <c r="S161" s="572">
        <f t="shared" si="115"/>
        <v>8.1999999999999993</v>
      </c>
      <c r="T161" s="572">
        <f t="shared" si="116"/>
        <v>1</v>
      </c>
      <c r="U161" s="572" t="str">
        <f t="shared" si="117"/>
        <v>-</v>
      </c>
      <c r="V161" s="573">
        <f t="shared" si="118"/>
        <v>3.5999999999999996</v>
      </c>
      <c r="W161" s="572">
        <f t="shared" si="111"/>
        <v>0.6</v>
      </c>
      <c r="X161" s="574">
        <f t="shared" si="112"/>
        <v>8.1999999999999993</v>
      </c>
      <c r="Y161" s="574">
        <f t="shared" si="113"/>
        <v>1.2</v>
      </c>
      <c r="Z161" s="574" t="str">
        <f t="shared" si="119"/>
        <v>-</v>
      </c>
      <c r="AA161" s="573">
        <f t="shared" si="120"/>
        <v>3.4999999999999996</v>
      </c>
      <c r="AB161" s="570">
        <f t="shared" si="121"/>
        <v>0.6</v>
      </c>
      <c r="AC161" s="127" t="s">
        <v>840</v>
      </c>
      <c r="AD161" s="127" t="s">
        <v>382</v>
      </c>
      <c r="AE161" s="136">
        <f>ROWS(AD$10:$AD161)</f>
        <v>152</v>
      </c>
      <c r="AF161" s="136" t="str">
        <f>IF(ID!$A$91=AD161,AE161,"")</f>
        <v/>
      </c>
      <c r="AG161" s="136" t="str">
        <f>IFERROR(SMALL($AF$10:$AF$165,ROWS($AF$10:AF161)),"")</f>
        <v/>
      </c>
    </row>
    <row r="162" spans="2:33" x14ac:dyDescent="0.25">
      <c r="B162" s="591">
        <v>-700</v>
      </c>
      <c r="C162" s="605">
        <v>11.7</v>
      </c>
      <c r="D162" s="605">
        <v>11.7</v>
      </c>
      <c r="E162" s="602">
        <f>E161</f>
        <v>0.6</v>
      </c>
      <c r="F162" s="1666"/>
      <c r="H162" s="591">
        <v>-700</v>
      </c>
      <c r="I162" s="605">
        <f>I161</f>
        <v>1</v>
      </c>
      <c r="J162" s="605">
        <f>J161</f>
        <v>1.2</v>
      </c>
      <c r="K162" s="1668"/>
      <c r="M162" s="591">
        <v>-700</v>
      </c>
      <c r="N162" s="605" t="str">
        <f>N161</f>
        <v>-</v>
      </c>
      <c r="O162" s="605" t="str">
        <f>O161</f>
        <v>-</v>
      </c>
      <c r="P162" s="1655"/>
      <c r="R162" s="569">
        <f t="shared" si="114"/>
        <v>-700</v>
      </c>
      <c r="S162" s="572">
        <f t="shared" si="115"/>
        <v>11.7</v>
      </c>
      <c r="T162" s="572">
        <f t="shared" si="116"/>
        <v>1</v>
      </c>
      <c r="U162" s="572" t="str">
        <f t="shared" si="117"/>
        <v>-</v>
      </c>
      <c r="V162" s="573">
        <f t="shared" si="118"/>
        <v>5.35</v>
      </c>
      <c r="W162" s="572">
        <f t="shared" si="111"/>
        <v>0.6</v>
      </c>
      <c r="X162" s="574">
        <f t="shared" si="112"/>
        <v>11.7</v>
      </c>
      <c r="Y162" s="574">
        <f t="shared" si="113"/>
        <v>1.2</v>
      </c>
      <c r="Z162" s="574" t="str">
        <f t="shared" si="119"/>
        <v>-</v>
      </c>
      <c r="AA162" s="573">
        <f t="shared" si="120"/>
        <v>5.25</v>
      </c>
      <c r="AB162" s="570">
        <f t="shared" si="121"/>
        <v>0.6</v>
      </c>
      <c r="AC162" s="127" t="s">
        <v>840</v>
      </c>
      <c r="AD162" s="127" t="s">
        <v>382</v>
      </c>
      <c r="AE162" s="136">
        <f>ROWS(AD$10:$AD162)</f>
        <v>153</v>
      </c>
      <c r="AF162" s="136" t="str">
        <f>IF(ID!$A$91=AD162,AE162,"")</f>
        <v/>
      </c>
      <c r="AG162" s="136" t="str">
        <f>IFERROR(SMALL($AF$10:$AF$165,ROWS($AF$10:AF162)),"")</f>
        <v/>
      </c>
    </row>
    <row r="163" spans="2:33" x14ac:dyDescent="0.25">
      <c r="B163" s="591"/>
      <c r="C163" s="592"/>
      <c r="D163" s="592"/>
      <c r="E163" s="592"/>
      <c r="F163" s="606"/>
      <c r="H163" s="591"/>
      <c r="I163" s="605"/>
      <c r="J163" s="607"/>
      <c r="K163" s="608"/>
      <c r="M163" s="591"/>
      <c r="N163" s="605"/>
      <c r="O163" s="607"/>
      <c r="P163" s="608"/>
      <c r="R163" s="586"/>
      <c r="S163" s="587"/>
      <c r="T163" s="587"/>
      <c r="U163" s="587"/>
      <c r="V163" s="573"/>
      <c r="W163" s="587"/>
      <c r="X163" s="588"/>
      <c r="Y163" s="588"/>
      <c r="Z163" s="588"/>
      <c r="AA163" s="573"/>
      <c r="AB163" s="589"/>
      <c r="AC163" s="150"/>
      <c r="AD163" s="150"/>
      <c r="AE163" s="136">
        <f>ROWS(AD$10:$AD163)</f>
        <v>154</v>
      </c>
      <c r="AF163" s="136" t="str">
        <f>IF(ID!$A$91=AD163,AE163,"")</f>
        <v/>
      </c>
      <c r="AG163" s="136" t="str">
        <f>IFERROR(SMALL($AF$10:$AF$165,ROWS($AF$10:AF163)),"")</f>
        <v/>
      </c>
    </row>
    <row r="164" spans="2:33" x14ac:dyDescent="0.25">
      <c r="B164" s="593"/>
      <c r="C164" s="594"/>
      <c r="D164" s="594"/>
      <c r="E164" s="594"/>
      <c r="F164" s="595"/>
      <c r="H164" s="593"/>
      <c r="I164" s="597"/>
      <c r="J164" s="610"/>
      <c r="K164" s="596"/>
      <c r="M164" s="593"/>
      <c r="N164" s="597"/>
      <c r="O164" s="610"/>
      <c r="P164" s="596"/>
      <c r="R164" s="111"/>
      <c r="S164" s="598"/>
      <c r="T164" s="598"/>
      <c r="U164" s="598"/>
      <c r="V164" s="598"/>
      <c r="W164" s="598"/>
      <c r="X164" s="598"/>
      <c r="Y164" s="598"/>
      <c r="Z164" s="598"/>
      <c r="AA164" s="598"/>
      <c r="AB164" s="612"/>
      <c r="AC164" s="136"/>
      <c r="AD164" s="136"/>
      <c r="AE164" s="136">
        <f>ROWS(AD$10:$AD164)</f>
        <v>155</v>
      </c>
      <c r="AF164" s="136" t="str">
        <f>IF(ID!$A$91=AD164,AE164,"")</f>
        <v/>
      </c>
      <c r="AG164" s="136" t="str">
        <f>IFERROR(SMALL($AF$10:$AF$165,ROWS($AF$10:AF164)),"")</f>
        <v/>
      </c>
    </row>
    <row r="165" spans="2:33" x14ac:dyDescent="0.25">
      <c r="B165" s="593"/>
      <c r="C165" s="594"/>
      <c r="D165" s="594"/>
      <c r="E165" s="594"/>
      <c r="F165" s="595"/>
      <c r="H165" s="593"/>
      <c r="I165" s="597"/>
      <c r="J165" s="611"/>
      <c r="K165" s="601"/>
      <c r="M165" s="593"/>
      <c r="N165" s="597"/>
      <c r="O165" s="611"/>
      <c r="P165" s="601"/>
      <c r="R165" s="136"/>
      <c r="S165" s="136"/>
      <c r="T165" s="136"/>
      <c r="U165" s="136"/>
      <c r="V165" s="136"/>
      <c r="W165" s="136"/>
      <c r="X165" s="136"/>
      <c r="Y165" s="136"/>
      <c r="Z165" s="136"/>
      <c r="AA165" s="136"/>
      <c r="AB165" s="136"/>
      <c r="AC165" s="136"/>
      <c r="AD165" s="136"/>
      <c r="AE165" s="136">
        <f>ROWS(AD$10:$AD165)</f>
        <v>156</v>
      </c>
      <c r="AF165" s="136" t="str">
        <f>IF(ID!$A$91=AD165,AE165,"")</f>
        <v/>
      </c>
      <c r="AG165" s="136" t="str">
        <f>IFERROR(SMALL($AF$10:$AF$165,ROWS($AF$10:AF165)),"")</f>
        <v/>
      </c>
    </row>
  </sheetData>
  <mergeCells count="67">
    <mergeCell ref="B137:F137"/>
    <mergeCell ref="H137:K137"/>
    <mergeCell ref="M137:P137"/>
    <mergeCell ref="B152:F152"/>
    <mergeCell ref="H152:K152"/>
    <mergeCell ref="M152:P152"/>
    <mergeCell ref="B107:F107"/>
    <mergeCell ref="H107:K107"/>
    <mergeCell ref="M107:P107"/>
    <mergeCell ref="B122:F122"/>
    <mergeCell ref="H122:K122"/>
    <mergeCell ref="M122:P122"/>
    <mergeCell ref="H77:K77"/>
    <mergeCell ref="M77:P77"/>
    <mergeCell ref="B92:F92"/>
    <mergeCell ref="H92:K92"/>
    <mergeCell ref="M92:P92"/>
    <mergeCell ref="F154:F162"/>
    <mergeCell ref="K154:K162"/>
    <mergeCell ref="B8:F8"/>
    <mergeCell ref="H8:K8"/>
    <mergeCell ref="F79:F87"/>
    <mergeCell ref="K79:K87"/>
    <mergeCell ref="F35:F46"/>
    <mergeCell ref="K35:K46"/>
    <mergeCell ref="F50:F58"/>
    <mergeCell ref="K50:K58"/>
    <mergeCell ref="F64:F72"/>
    <mergeCell ref="K64:K72"/>
    <mergeCell ref="K94:K102"/>
    <mergeCell ref="F94:F102"/>
    <mergeCell ref="F9:F17"/>
    <mergeCell ref="K9:K17"/>
    <mergeCell ref="AJ24:AT24"/>
    <mergeCell ref="F21:F29"/>
    <mergeCell ref="K21:K29"/>
    <mergeCell ref="F139:F147"/>
    <mergeCell ref="K139:K147"/>
    <mergeCell ref="F109:F117"/>
    <mergeCell ref="K109:K117"/>
    <mergeCell ref="F124:F132"/>
    <mergeCell ref="K124:K132"/>
    <mergeCell ref="P64:P72"/>
    <mergeCell ref="P79:P87"/>
    <mergeCell ref="P94:P102"/>
    <mergeCell ref="P109:P117"/>
    <mergeCell ref="P124:P132"/>
    <mergeCell ref="P139:P147"/>
    <mergeCell ref="B77:F77"/>
    <mergeCell ref="P154:P162"/>
    <mergeCell ref="M8:P8"/>
    <mergeCell ref="P9:P17"/>
    <mergeCell ref="P21:P29"/>
    <mergeCell ref="P35:P46"/>
    <mergeCell ref="P50:P58"/>
    <mergeCell ref="B20:F20"/>
    <mergeCell ref="H20:K20"/>
    <mergeCell ref="M20:P20"/>
    <mergeCell ref="B34:F34"/>
    <mergeCell ref="H34:K34"/>
    <mergeCell ref="M34:P34"/>
    <mergeCell ref="B49:F49"/>
    <mergeCell ref="H49:K49"/>
    <mergeCell ref="M49:P49"/>
    <mergeCell ref="B63:F63"/>
    <mergeCell ref="H63:K63"/>
    <mergeCell ref="M63:P63"/>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S212"/>
  <sheetViews>
    <sheetView tabSelected="1" view="pageBreakPreview" zoomScale="60" zoomScaleNormal="100" workbookViewId="0">
      <selection activeCell="R11" sqref="R11"/>
    </sheetView>
  </sheetViews>
  <sheetFormatPr defaultColWidth="9.21875" defaultRowHeight="15" x14ac:dyDescent="0.25"/>
  <cols>
    <col min="1" max="1" width="5.33203125" style="157" customWidth="1"/>
    <col min="2" max="2" width="4" style="281" customWidth="1"/>
    <col min="3" max="3" width="18.88671875" style="281" customWidth="1"/>
    <col min="4" max="4" width="0.5546875" style="281" customWidth="1"/>
    <col min="5" max="5" width="1.44140625" style="281" customWidth="1"/>
    <col min="6" max="8" width="7.88671875" style="281" customWidth="1"/>
    <col min="9" max="9" width="9.5546875" style="281" customWidth="1"/>
    <col min="10" max="10" width="10.6640625" style="281" customWidth="1"/>
    <col min="11" max="11" width="12.5546875" style="281" customWidth="1"/>
    <col min="12" max="12" width="9.77734375" style="281" customWidth="1"/>
    <col min="13" max="13" width="10.33203125" style="281" customWidth="1"/>
    <col min="14" max="15" width="11.77734375" style="281" customWidth="1"/>
    <col min="16" max="202" width="9.21875" style="281" customWidth="1"/>
    <col min="203" max="226" width="10.21875" style="281" customWidth="1"/>
    <col min="227" max="227" width="7.5546875" style="281" customWidth="1"/>
    <col min="228" max="228" width="8.77734375" style="281" customWidth="1"/>
    <col min="229" max="234" width="8.88671875" style="281" customWidth="1"/>
    <col min="235" max="16384" width="9.21875" style="281"/>
  </cols>
  <sheetData>
    <row r="1" spans="1:227" ht="18.75" customHeight="1" x14ac:dyDescent="0.25">
      <c r="A1" s="1685" t="s">
        <v>910</v>
      </c>
      <c r="B1" s="1685"/>
      <c r="C1" s="1685"/>
      <c r="D1" s="1685"/>
      <c r="E1" s="1685"/>
      <c r="F1" s="1685"/>
      <c r="G1" s="1685"/>
      <c r="H1" s="1685"/>
      <c r="I1" s="1685"/>
      <c r="J1" s="1685"/>
      <c r="K1" s="1685"/>
      <c r="L1" s="1685"/>
      <c r="M1" s="1685"/>
      <c r="N1" s="1685"/>
      <c r="O1" s="1685"/>
      <c r="P1" s="1685"/>
      <c r="Q1" s="1043"/>
      <c r="R1" s="1043"/>
    </row>
    <row r="2" spans="1:227" ht="17.25" customHeight="1" x14ac:dyDescent="0.25">
      <c r="A2" s="1688" t="str">
        <f ca="1">PENYELIA!A2</f>
        <v>Nomor Sertifikat : 59 / 6 / II - 21 / E - 012.12 DL</v>
      </c>
      <c r="B2" s="1688"/>
      <c r="C2" s="1688"/>
      <c r="D2" s="1688"/>
      <c r="E2" s="1688"/>
      <c r="F2" s="1688"/>
      <c r="G2" s="1688"/>
      <c r="H2" s="1688"/>
      <c r="I2" s="1688"/>
      <c r="J2" s="1688"/>
      <c r="K2" s="1688"/>
      <c r="L2" s="1688"/>
      <c r="M2" s="1688"/>
      <c r="N2" s="1688"/>
      <c r="O2" s="1688"/>
      <c r="P2" s="1688"/>
      <c r="Q2" s="1042"/>
      <c r="R2" s="1042"/>
      <c r="HS2" s="281" t="s">
        <v>26</v>
      </c>
    </row>
    <row r="3" spans="1:227" x14ac:dyDescent="0.25">
      <c r="B3" s="162" t="str">
        <f>ID!A4</f>
        <v xml:space="preserve">Merek                </v>
      </c>
      <c r="C3" s="162"/>
      <c r="D3" s="158" t="s">
        <v>0</v>
      </c>
      <c r="E3" s="158" t="s">
        <v>0</v>
      </c>
      <c r="F3" s="162" t="str">
        <f>ID!C4</f>
        <v>SMAF</v>
      </c>
      <c r="G3" s="162"/>
      <c r="H3" s="158"/>
      <c r="K3" s="162"/>
      <c r="L3" s="159"/>
      <c r="M3" s="159"/>
      <c r="N3" s="159"/>
      <c r="O3" s="159"/>
      <c r="P3" s="160"/>
    </row>
    <row r="4" spans="1:227" x14ac:dyDescent="0.25">
      <c r="B4" s="162" t="str">
        <f>ID!A5</f>
        <v>Model</v>
      </c>
      <c r="C4" s="162"/>
      <c r="D4" s="158" t="s">
        <v>0</v>
      </c>
      <c r="E4" s="158" t="s">
        <v>0</v>
      </c>
      <c r="F4" s="162" t="str">
        <f>ID!C5</f>
        <v>YX980D</v>
      </c>
      <c r="G4" s="162"/>
      <c r="H4" s="158"/>
      <c r="K4" s="162"/>
      <c r="L4" s="162"/>
      <c r="M4" s="162"/>
      <c r="N4" s="160"/>
      <c r="O4" s="160"/>
      <c r="P4" s="160"/>
      <c r="HS4" s="281" t="s">
        <v>27</v>
      </c>
    </row>
    <row r="5" spans="1:227" x14ac:dyDescent="0.25">
      <c r="B5" s="162" t="str">
        <f>ID!A6</f>
        <v xml:space="preserve">No. Seri         </v>
      </c>
      <c r="C5" s="162"/>
      <c r="D5" s="158" t="s">
        <v>0</v>
      </c>
      <c r="E5" s="158" t="s">
        <v>0</v>
      </c>
      <c r="F5" s="162" t="str">
        <f>ID!C6</f>
        <v>D11-18-047</v>
      </c>
      <c r="G5" s="162"/>
      <c r="H5" s="158"/>
      <c r="K5" s="162"/>
      <c r="L5" s="162"/>
      <c r="M5" s="162"/>
      <c r="N5" s="160"/>
      <c r="O5" s="160"/>
      <c r="P5" s="160"/>
    </row>
    <row r="6" spans="1:227" x14ac:dyDescent="0.25">
      <c r="B6" s="162" t="str">
        <f>ID!A7</f>
        <v>Resolusi</v>
      </c>
      <c r="C6" s="162"/>
      <c r="D6" s="158"/>
      <c r="E6" s="158" t="s">
        <v>0</v>
      </c>
      <c r="F6" s="1402">
        <f>ID!C7</f>
        <v>-5.0000000000000001E-3</v>
      </c>
      <c r="G6" s="158" t="str">
        <f>ID!D7</f>
        <v>(mmHg)</v>
      </c>
      <c r="H6" s="158"/>
      <c r="L6" s="158"/>
      <c r="M6" s="158"/>
      <c r="N6" s="160"/>
      <c r="O6" s="160"/>
      <c r="P6" s="160"/>
    </row>
    <row r="7" spans="1:227" x14ac:dyDescent="0.25">
      <c r="B7" s="162" t="str">
        <f>ID!A8</f>
        <v>Tanggal Penerimaan Alat</v>
      </c>
      <c r="C7" s="160"/>
      <c r="D7" s="160"/>
      <c r="E7" s="160" t="s">
        <v>0</v>
      </c>
      <c r="F7" s="1689">
        <f>PENYELIA!F7</f>
        <v>44631</v>
      </c>
      <c r="G7" s="1689"/>
      <c r="H7" s="160"/>
      <c r="K7" s="160"/>
      <c r="L7" s="158"/>
      <c r="M7" s="158"/>
      <c r="N7" s="160"/>
      <c r="O7" s="160"/>
      <c r="P7" s="160"/>
    </row>
    <row r="8" spans="1:227" x14ac:dyDescent="0.25">
      <c r="B8" s="162" t="str">
        <f>ID!A9</f>
        <v>Tanggal Kalibrasi</v>
      </c>
      <c r="C8" s="158"/>
      <c r="D8" s="158" t="s">
        <v>0</v>
      </c>
      <c r="E8" s="158" t="s">
        <v>0</v>
      </c>
      <c r="F8" s="1689" t="str">
        <f>ID!C9</f>
        <v>11 Maret 2022</v>
      </c>
      <c r="G8" s="1689"/>
      <c r="H8" s="158"/>
      <c r="K8" s="162"/>
      <c r="L8" s="162"/>
      <c r="M8" s="162"/>
      <c r="N8" s="160"/>
      <c r="O8" s="160"/>
      <c r="P8" s="160"/>
    </row>
    <row r="9" spans="1:227" x14ac:dyDescent="0.25">
      <c r="B9" s="162" t="str">
        <f>ID!A10</f>
        <v>Tempat Kalibrasi</v>
      </c>
      <c r="C9" s="158"/>
      <c r="D9" s="158" t="s">
        <v>0</v>
      </c>
      <c r="E9" s="158" t="s">
        <v>0</v>
      </c>
      <c r="F9" s="162" t="str">
        <f>ID!C10</f>
        <v>Ruang Bersalin</v>
      </c>
      <c r="G9" s="162"/>
      <c r="H9" s="158"/>
      <c r="K9" s="158"/>
      <c r="L9" s="158"/>
      <c r="M9" s="158"/>
      <c r="N9" s="160"/>
      <c r="O9" s="160"/>
      <c r="P9" s="160"/>
    </row>
    <row r="10" spans="1:227" x14ac:dyDescent="0.25">
      <c r="B10" s="162" t="str">
        <f>ID!A11</f>
        <v>Nama Ruang</v>
      </c>
      <c r="C10" s="162"/>
      <c r="D10" s="158"/>
      <c r="E10" s="158" t="s">
        <v>0</v>
      </c>
      <c r="F10" s="162" t="str">
        <f>ID!C11</f>
        <v>Ruang Bersalin</v>
      </c>
      <c r="G10" s="162"/>
      <c r="H10" s="158"/>
      <c r="K10" s="158"/>
      <c r="L10" s="162"/>
      <c r="M10" s="158"/>
      <c r="N10" s="160"/>
      <c r="O10" s="160"/>
      <c r="P10" s="160"/>
    </row>
    <row r="11" spans="1:227" x14ac:dyDescent="0.25">
      <c r="B11" s="162" t="s">
        <v>18</v>
      </c>
      <c r="C11" s="162"/>
      <c r="D11" s="158"/>
      <c r="E11" s="158" t="s">
        <v>0</v>
      </c>
      <c r="F11" s="163" t="s">
        <v>914</v>
      </c>
      <c r="G11" s="163"/>
      <c r="H11" s="158"/>
      <c r="K11" s="158"/>
      <c r="L11" s="158"/>
      <c r="M11" s="158"/>
      <c r="N11" s="160"/>
      <c r="O11" s="160"/>
      <c r="P11" s="160"/>
    </row>
    <row r="12" spans="1:227" hidden="1" x14ac:dyDescent="0.25">
      <c r="A12" s="162"/>
      <c r="B12" s="162"/>
      <c r="C12" s="162"/>
      <c r="D12" s="158"/>
      <c r="E12" s="158"/>
      <c r="F12" s="158"/>
      <c r="G12" s="158"/>
      <c r="H12" s="158"/>
      <c r="I12" s="163"/>
      <c r="J12" s="163"/>
      <c r="K12" s="158"/>
      <c r="L12" s="158"/>
      <c r="M12" s="158"/>
      <c r="N12" s="160"/>
      <c r="O12" s="160"/>
      <c r="P12" s="160"/>
    </row>
    <row r="13" spans="1:227" ht="20.25" customHeight="1" x14ac:dyDescent="0.25">
      <c r="A13" s="164" t="s">
        <v>1</v>
      </c>
      <c r="B13" s="165" t="s">
        <v>14</v>
      </c>
      <c r="C13" s="165"/>
      <c r="D13" s="165"/>
      <c r="E13" s="165"/>
      <c r="F13" s="165"/>
      <c r="G13" s="165"/>
      <c r="H13" s="165"/>
      <c r="I13" s="165"/>
      <c r="J13" s="165"/>
      <c r="K13" s="165"/>
      <c r="L13" s="158"/>
      <c r="M13" s="158"/>
      <c r="N13" s="160"/>
      <c r="O13" s="160"/>
      <c r="P13" s="160"/>
    </row>
    <row r="14" spans="1:227" x14ac:dyDescent="0.25">
      <c r="A14" s="162"/>
      <c r="B14" s="1736" t="s">
        <v>15</v>
      </c>
      <c r="C14" s="1736"/>
      <c r="D14" s="158" t="s">
        <v>0</v>
      </c>
      <c r="E14" s="158" t="s">
        <v>0</v>
      </c>
      <c r="F14" s="1403">
        <f>PENYELIA!F14</f>
        <v>24.700001</v>
      </c>
      <c r="G14" s="756" t="str">
        <f>PENYELIA!G14</f>
        <v>±</v>
      </c>
      <c r="H14" s="1404">
        <f>PENYELIA!H14</f>
        <v>0.3</v>
      </c>
      <c r="I14" s="755" t="str">
        <f>PENYELIA!I14</f>
        <v xml:space="preserve"> ˚C</v>
      </c>
      <c r="N14" s="446"/>
      <c r="O14" s="160"/>
      <c r="P14" s="160"/>
    </row>
    <row r="15" spans="1:227" x14ac:dyDescent="0.25">
      <c r="A15" s="162"/>
      <c r="B15" s="1736" t="s">
        <v>23</v>
      </c>
      <c r="C15" s="1736"/>
      <c r="D15" s="158" t="s">
        <v>0</v>
      </c>
      <c r="E15" s="158" t="s">
        <v>0</v>
      </c>
      <c r="F15" s="1403">
        <f>PENYELIA!F15</f>
        <v>81.455999999999989</v>
      </c>
      <c r="G15" s="756" t="str">
        <f>PENYELIA!G15</f>
        <v>±</v>
      </c>
      <c r="H15" s="1404">
        <f>PENYELIA!H15</f>
        <v>2.8</v>
      </c>
      <c r="I15" s="755" t="str">
        <f>PENYELIA!I15</f>
        <v xml:space="preserve"> % RH</v>
      </c>
      <c r="N15" s="160"/>
      <c r="O15" s="160"/>
      <c r="P15" s="160"/>
    </row>
    <row r="16" spans="1:227" x14ac:dyDescent="0.25">
      <c r="A16" s="162"/>
      <c r="B16" s="162" t="s">
        <v>245</v>
      </c>
      <c r="C16" s="162"/>
      <c r="D16" s="158"/>
      <c r="E16" s="158" t="s">
        <v>0</v>
      </c>
      <c r="F16" s="1403">
        <f>PENYELIA!F16</f>
        <v>1006.9</v>
      </c>
      <c r="G16" s="756" t="str">
        <f>PENYELIA!G16</f>
        <v>±</v>
      </c>
      <c r="H16" s="1404">
        <f>PENYELIA!H16</f>
        <v>2.1</v>
      </c>
      <c r="I16" s="755" t="str">
        <f>PENYELIA!I16</f>
        <v xml:space="preserve"> hPa</v>
      </c>
      <c r="N16" s="160"/>
      <c r="O16" s="160"/>
      <c r="P16" s="160"/>
    </row>
    <row r="17" spans="1:20" x14ac:dyDescent="0.25">
      <c r="A17" s="162"/>
      <c r="B17" s="166" t="s">
        <v>246</v>
      </c>
      <c r="C17" s="166"/>
      <c r="D17" s="166"/>
      <c r="E17" s="166" t="s">
        <v>0</v>
      </c>
      <c r="F17" s="1403">
        <f>PENYELIA!F17</f>
        <v>199.75</v>
      </c>
      <c r="G17" s="756" t="str">
        <f>PENYELIA!G17</f>
        <v>±</v>
      </c>
      <c r="H17" s="1404">
        <f>'ESA VOLT'!O17</f>
        <v>2.88</v>
      </c>
      <c r="I17" s="755" t="str">
        <f>PENYELIA!I17</f>
        <v xml:space="preserve"> Volt</v>
      </c>
      <c r="N17" s="160"/>
      <c r="O17" s="160"/>
      <c r="P17" s="160"/>
    </row>
    <row r="18" spans="1:20" ht="18" customHeight="1" x14ac:dyDescent="0.25">
      <c r="A18" s="167" t="s">
        <v>305</v>
      </c>
      <c r="B18" s="168" t="s">
        <v>333</v>
      </c>
      <c r="C18" s="168"/>
      <c r="D18" s="168"/>
      <c r="E18" s="168"/>
      <c r="F18" s="168"/>
      <c r="G18" s="168"/>
      <c r="H18" s="168"/>
      <c r="I18" s="168"/>
      <c r="J18" s="168"/>
      <c r="K18" s="168"/>
      <c r="M18" s="160"/>
      <c r="N18" s="160"/>
      <c r="O18" s="160"/>
      <c r="P18" s="160"/>
    </row>
    <row r="19" spans="1:20" x14ac:dyDescent="0.25">
      <c r="A19" s="169"/>
      <c r="B19" s="160" t="s">
        <v>28</v>
      </c>
      <c r="C19" s="160"/>
      <c r="D19" s="160" t="s">
        <v>29</v>
      </c>
      <c r="E19" s="160" t="s">
        <v>0</v>
      </c>
      <c r="F19" s="169" t="str">
        <f>ID!C30</f>
        <v>Baik</v>
      </c>
      <c r="G19" s="160"/>
      <c r="H19" s="160"/>
      <c r="J19" s="169"/>
      <c r="K19" s="160"/>
      <c r="L19" s="160"/>
      <c r="M19" s="160"/>
      <c r="N19" s="160"/>
      <c r="O19" s="160"/>
      <c r="P19" s="160"/>
    </row>
    <row r="20" spans="1:20" x14ac:dyDescent="0.25">
      <c r="A20" s="169"/>
      <c r="B20" s="160" t="s">
        <v>30</v>
      </c>
      <c r="C20" s="160"/>
      <c r="D20" s="160" t="s">
        <v>29</v>
      </c>
      <c r="E20" s="160" t="s">
        <v>0</v>
      </c>
      <c r="F20" s="169" t="str">
        <f>ID!C31</f>
        <v>Baik</v>
      </c>
      <c r="G20" s="160"/>
      <c r="H20" s="160"/>
      <c r="J20" s="169"/>
      <c r="K20" s="160"/>
      <c r="L20" s="160"/>
      <c r="M20" s="160"/>
      <c r="N20" s="160"/>
      <c r="O20" s="160"/>
      <c r="P20" s="160"/>
    </row>
    <row r="21" spans="1:20" hidden="1" x14ac:dyDescent="0.25">
      <c r="A21" s="169"/>
      <c r="B21" s="160"/>
      <c r="C21" s="160"/>
      <c r="D21" s="160"/>
      <c r="E21" s="160"/>
      <c r="F21" s="160"/>
      <c r="G21" s="160"/>
      <c r="H21" s="160"/>
      <c r="I21" s="169"/>
      <c r="J21" s="169"/>
      <c r="K21" s="160"/>
      <c r="L21" s="160"/>
      <c r="M21" s="160"/>
      <c r="N21" s="160"/>
      <c r="O21" s="160"/>
      <c r="P21" s="160"/>
    </row>
    <row r="22" spans="1:20" s="282" customFormat="1" x14ac:dyDescent="0.25">
      <c r="A22" s="170" t="s">
        <v>2</v>
      </c>
      <c r="B22" s="171" t="s">
        <v>304</v>
      </c>
      <c r="C22" s="172"/>
      <c r="D22" s="172"/>
      <c r="E22" s="172"/>
      <c r="F22" s="172"/>
      <c r="G22" s="172"/>
      <c r="H22" s="172"/>
      <c r="I22" s="172"/>
      <c r="J22" s="172"/>
      <c r="K22" s="172"/>
      <c r="L22" s="166"/>
      <c r="M22" s="166"/>
      <c r="N22" s="166"/>
      <c r="O22" s="166"/>
      <c r="P22" s="166"/>
    </row>
    <row r="23" spans="1:20" s="102" customFormat="1" ht="45.75" customHeight="1" x14ac:dyDescent="0.25">
      <c r="B23" s="1484" t="s">
        <v>46</v>
      </c>
      <c r="C23" s="1485"/>
      <c r="D23" s="1485"/>
      <c r="E23" s="1485"/>
      <c r="F23" s="1485"/>
      <c r="G23" s="1485"/>
      <c r="H23" s="1485"/>
      <c r="I23" s="1485"/>
      <c r="J23" s="1484" t="s">
        <v>157</v>
      </c>
      <c r="K23" s="1486"/>
      <c r="L23" s="1687" t="s">
        <v>205</v>
      </c>
      <c r="M23" s="1687"/>
      <c r="P23" s="103"/>
    </row>
    <row r="24" spans="1:20" s="102" customFormat="1" ht="15.75" customHeight="1" x14ac:dyDescent="0.25">
      <c r="B24" s="175" t="str">
        <f>PENYELIA!B24</f>
        <v>Resistansi isolasi (MΩ)</v>
      </c>
      <c r="C24" s="176"/>
      <c r="D24" s="176"/>
      <c r="E24" s="176"/>
      <c r="F24" s="176"/>
      <c r="G24" s="176"/>
      <c r="H24" s="176"/>
      <c r="I24" s="176"/>
      <c r="J24" s="1743" t="str">
        <f>PENYELIA!I24</f>
        <v>OL</v>
      </c>
      <c r="K24" s="1744"/>
      <c r="L24" s="1686" t="str">
        <f>ID!N35</f>
        <v>&gt; 2 MΩ</v>
      </c>
      <c r="M24" s="1686"/>
      <c r="P24" s="437"/>
      <c r="T24" s="441" t="str">
        <f>PENYELIA!I24</f>
        <v>OL</v>
      </c>
    </row>
    <row r="25" spans="1:20" s="102" customFormat="1" ht="15.75" customHeight="1" x14ac:dyDescent="0.25">
      <c r="B25" s="1405" t="str">
        <f>PENYELIA!B25</f>
        <v>Resistansi pembumian protektif (kabel dapat dilepas) (Ω)</v>
      </c>
      <c r="C25" s="176"/>
      <c r="D25" s="176"/>
      <c r="E25" s="176"/>
      <c r="F25" s="176"/>
      <c r="G25" s="176"/>
      <c r="H25" s="176"/>
      <c r="I25" s="176"/>
      <c r="J25" s="1745">
        <f>PENYELIA!I25</f>
        <v>0.1</v>
      </c>
      <c r="K25" s="1746"/>
      <c r="L25" s="1686" t="str">
        <f ca="1">PENYELIA!J25</f>
        <v>≤ 0.2 Ω</v>
      </c>
      <c r="M25" s="1686"/>
      <c r="P25" s="438"/>
      <c r="T25" s="442">
        <f>PENYELIA!I25</f>
        <v>0.1</v>
      </c>
    </row>
    <row r="26" spans="1:20" s="102" customFormat="1" ht="15.75" customHeight="1" x14ac:dyDescent="0.25">
      <c r="B26" s="1405" t="str">
        <f>ID!A37</f>
        <v>Arus bocor peralatan untuk peralatan elektromedik kelas I (µA)</v>
      </c>
      <c r="C26" s="176"/>
      <c r="D26" s="176"/>
      <c r="E26" s="176"/>
      <c r="F26" s="176"/>
      <c r="G26" s="176"/>
      <c r="H26" s="176"/>
      <c r="I26" s="176"/>
      <c r="J26" s="1743">
        <f>PENYELIA!I26</f>
        <v>120</v>
      </c>
      <c r="K26" s="1744"/>
      <c r="L26" s="1686" t="str">
        <f>ID!N37</f>
        <v>≤ 500 µA</v>
      </c>
      <c r="M26" s="1686"/>
      <c r="P26" s="439"/>
      <c r="T26" s="442">
        <f>PENYELIA!I26</f>
        <v>120</v>
      </c>
    </row>
    <row r="27" spans="1:20" s="282" customFormat="1" hidden="1" x14ac:dyDescent="0.25">
      <c r="A27" s="178"/>
      <c r="B27" s="172"/>
      <c r="C27" s="172"/>
      <c r="D27" s="172"/>
      <c r="E27" s="172"/>
      <c r="F27" s="172"/>
      <c r="G27" s="172"/>
      <c r="H27" s="172"/>
      <c r="I27" s="172"/>
      <c r="J27" s="172"/>
      <c r="K27" s="172"/>
      <c r="L27" s="166"/>
      <c r="M27" s="166"/>
      <c r="N27" s="166"/>
      <c r="O27" s="166"/>
      <c r="P27" s="166"/>
    </row>
    <row r="28" spans="1:20" s="282" customFormat="1" hidden="1" x14ac:dyDescent="0.25">
      <c r="A28" s="178"/>
      <c r="B28" s="172"/>
      <c r="C28" s="172"/>
      <c r="D28" s="172"/>
      <c r="E28" s="172"/>
      <c r="F28" s="172"/>
      <c r="G28" s="172"/>
      <c r="H28" s="172"/>
      <c r="I28" s="172"/>
      <c r="J28" s="172"/>
      <c r="K28" s="172"/>
      <c r="L28" s="166"/>
      <c r="M28" s="166"/>
      <c r="N28" s="166"/>
      <c r="O28" s="166"/>
      <c r="P28" s="166"/>
    </row>
    <row r="29" spans="1:20" s="282" customFormat="1" hidden="1" x14ac:dyDescent="0.25">
      <c r="A29" s="178"/>
      <c r="B29" s="172"/>
      <c r="C29" s="172"/>
      <c r="D29" s="172"/>
      <c r="E29" s="172"/>
      <c r="F29" s="172"/>
      <c r="G29" s="172"/>
      <c r="H29" s="172"/>
      <c r="I29" s="172"/>
      <c r="J29" s="172"/>
      <c r="K29" s="172"/>
      <c r="L29" s="166"/>
      <c r="M29" s="166"/>
      <c r="N29" s="166"/>
      <c r="O29" s="166"/>
      <c r="P29" s="166"/>
    </row>
    <row r="30" spans="1:20" s="282" customFormat="1" hidden="1" x14ac:dyDescent="0.25">
      <c r="A30" s="178"/>
      <c r="B30" s="172"/>
      <c r="C30" s="172"/>
      <c r="D30" s="172"/>
      <c r="E30" s="172"/>
      <c r="F30" s="172"/>
      <c r="G30" s="172"/>
      <c r="H30" s="172"/>
      <c r="I30" s="172"/>
      <c r="J30" s="172"/>
      <c r="K30" s="172"/>
      <c r="L30" s="166"/>
      <c r="M30" s="166"/>
      <c r="N30" s="166"/>
      <c r="O30" s="166"/>
      <c r="P30" s="166"/>
    </row>
    <row r="31" spans="1:20" s="282" customFormat="1" hidden="1" x14ac:dyDescent="0.25">
      <c r="A31" s="178"/>
      <c r="B31" s="172"/>
      <c r="C31" s="172"/>
      <c r="D31" s="172"/>
      <c r="E31" s="172"/>
      <c r="F31" s="172"/>
      <c r="G31" s="172"/>
      <c r="H31" s="172"/>
      <c r="I31" s="172"/>
      <c r="J31" s="172"/>
      <c r="K31" s="172"/>
      <c r="L31" s="166"/>
      <c r="M31" s="166"/>
      <c r="N31" s="166"/>
      <c r="O31" s="166"/>
      <c r="P31" s="166"/>
    </row>
    <row r="32" spans="1:20" s="282" customFormat="1" hidden="1" x14ac:dyDescent="0.25">
      <c r="A32" s="1747"/>
      <c r="B32" s="1748" t="s">
        <v>193</v>
      </c>
      <c r="C32" s="1750" t="s">
        <v>46</v>
      </c>
      <c r="D32" s="1751"/>
      <c r="E32" s="1751"/>
      <c r="F32" s="1751"/>
      <c r="G32" s="1751"/>
      <c r="H32" s="1751"/>
      <c r="I32" s="1751"/>
      <c r="J32" s="1751"/>
      <c r="K32" s="1751"/>
      <c r="L32" s="1752"/>
      <c r="M32" s="1675" t="s">
        <v>157</v>
      </c>
      <c r="N32" s="1675" t="s">
        <v>158</v>
      </c>
      <c r="O32" s="179"/>
      <c r="P32" s="166"/>
    </row>
    <row r="33" spans="1:16" s="282" customFormat="1" hidden="1" x14ac:dyDescent="0.25">
      <c r="A33" s="1747"/>
      <c r="B33" s="1749"/>
      <c r="C33" s="1753"/>
      <c r="D33" s="1754"/>
      <c r="E33" s="1754"/>
      <c r="F33" s="1754"/>
      <c r="G33" s="1754"/>
      <c r="H33" s="1754"/>
      <c r="I33" s="1754"/>
      <c r="J33" s="1754"/>
      <c r="K33" s="1754"/>
      <c r="L33" s="1755"/>
      <c r="M33" s="1676"/>
      <c r="N33" s="1676"/>
      <c r="O33" s="179"/>
      <c r="P33" s="166"/>
    </row>
    <row r="34" spans="1:16" s="282" customFormat="1" hidden="1" x14ac:dyDescent="0.25">
      <c r="A34" s="180"/>
      <c r="B34" s="181">
        <v>1</v>
      </c>
      <c r="C34" s="182" t="s">
        <v>194</v>
      </c>
      <c r="D34" s="182"/>
      <c r="E34" s="182"/>
      <c r="F34" s="182"/>
      <c r="G34" s="182"/>
      <c r="H34" s="182"/>
      <c r="I34" s="182"/>
      <c r="J34" s="182"/>
      <c r="K34" s="182"/>
      <c r="L34" s="183"/>
      <c r="M34" s="184">
        <f ca="1">ID!L47</f>
        <v>0.10102040816326531</v>
      </c>
      <c r="N34" s="185" t="s">
        <v>169</v>
      </c>
      <c r="O34" s="186"/>
      <c r="P34" s="166"/>
    </row>
    <row r="35" spans="1:16" s="282" customFormat="1" hidden="1" x14ac:dyDescent="0.25">
      <c r="A35" s="180"/>
      <c r="B35" s="181">
        <v>2</v>
      </c>
      <c r="C35" s="182" t="s">
        <v>195</v>
      </c>
      <c r="D35" s="182"/>
      <c r="E35" s="182"/>
      <c r="F35" s="182"/>
      <c r="G35" s="182"/>
      <c r="H35" s="182"/>
      <c r="I35" s="182"/>
      <c r="J35" s="182"/>
      <c r="K35" s="182"/>
      <c r="L35" s="183"/>
      <c r="M35" s="187" t="e">
        <f>IF(#REF!=0,"-",ID!P53)</f>
        <v>#REF!</v>
      </c>
      <c r="N35" s="188" t="s">
        <v>170</v>
      </c>
      <c r="O35" s="189"/>
      <c r="P35" s="166"/>
    </row>
    <row r="36" spans="1:16" hidden="1" x14ac:dyDescent="0.25">
      <c r="A36" s="1725"/>
      <c r="B36" s="1725"/>
      <c r="C36" s="1725"/>
      <c r="D36" s="1725"/>
      <c r="E36" s="1725"/>
      <c r="F36" s="1725"/>
      <c r="G36" s="1725"/>
      <c r="H36" s="1725"/>
      <c r="I36" s="1725"/>
      <c r="J36" s="1725"/>
      <c r="K36" s="1725"/>
      <c r="L36" s="158"/>
      <c r="M36" s="158"/>
      <c r="N36" s="160"/>
      <c r="O36" s="160"/>
      <c r="P36" s="160"/>
    </row>
    <row r="37" spans="1:16" hidden="1" x14ac:dyDescent="0.25">
      <c r="A37" s="190" t="s">
        <v>2</v>
      </c>
      <c r="B37" s="190" t="s">
        <v>81</v>
      </c>
      <c r="C37" s="159"/>
      <c r="D37" s="159"/>
      <c r="E37" s="159"/>
      <c r="F37" s="159"/>
      <c r="G37" s="159"/>
      <c r="H37" s="159"/>
      <c r="I37" s="159"/>
      <c r="J37" s="159"/>
      <c r="K37" s="777"/>
      <c r="L37" s="158"/>
      <c r="M37" s="158"/>
      <c r="N37" s="160"/>
      <c r="O37" s="160"/>
      <c r="P37" s="160"/>
    </row>
    <row r="38" spans="1:16" hidden="1" x14ac:dyDescent="0.25">
      <c r="A38" s="162"/>
      <c r="B38" s="1677" t="s">
        <v>46</v>
      </c>
      <c r="C38" s="1678"/>
      <c r="D38" s="1678"/>
      <c r="E38" s="1679"/>
      <c r="F38" s="780"/>
      <c r="G38" s="780"/>
      <c r="H38" s="780"/>
      <c r="I38" s="1695" t="s">
        <v>71</v>
      </c>
      <c r="J38" s="1696"/>
      <c r="K38" s="1697"/>
      <c r="L38" s="1683" t="s">
        <v>32</v>
      </c>
      <c r="M38" s="160"/>
      <c r="N38" s="160"/>
      <c r="O38" s="160"/>
      <c r="P38" s="160"/>
    </row>
    <row r="39" spans="1:16" hidden="1" x14ac:dyDescent="0.25">
      <c r="A39" s="162"/>
      <c r="B39" s="1680"/>
      <c r="C39" s="1681"/>
      <c r="D39" s="1681"/>
      <c r="E39" s="1682"/>
      <c r="F39" s="1041"/>
      <c r="G39" s="1041"/>
      <c r="H39" s="1041"/>
      <c r="I39" s="1698"/>
      <c r="J39" s="1699"/>
      <c r="K39" s="1700"/>
      <c r="L39" s="1684"/>
      <c r="M39" s="160"/>
      <c r="N39" s="160"/>
      <c r="O39" s="160"/>
      <c r="P39" s="160"/>
    </row>
    <row r="40" spans="1:16" hidden="1" x14ac:dyDescent="0.25">
      <c r="A40" s="162"/>
      <c r="B40" s="1692" t="s">
        <v>6</v>
      </c>
      <c r="C40" s="1693"/>
      <c r="D40" s="1693"/>
      <c r="E40" s="1694"/>
      <c r="F40" s="781"/>
      <c r="G40" s="781"/>
      <c r="H40" s="781"/>
      <c r="I40" s="1692" t="s">
        <v>6</v>
      </c>
      <c r="J40" s="1693"/>
      <c r="K40" s="1694"/>
      <c r="L40" s="779" t="s">
        <v>6</v>
      </c>
      <c r="M40" s="160"/>
      <c r="N40" s="160"/>
      <c r="O40" s="160"/>
      <c r="P40" s="160"/>
    </row>
    <row r="41" spans="1:16" hidden="1" x14ac:dyDescent="0.25">
      <c r="A41" s="162"/>
      <c r="B41" s="1701" t="s">
        <v>47</v>
      </c>
      <c r="C41" s="1702"/>
      <c r="D41" s="1702"/>
      <c r="E41" s="1703"/>
      <c r="F41" s="782"/>
      <c r="G41" s="782"/>
      <c r="H41" s="782"/>
      <c r="I41" s="1704" t="e">
        <f>ID!#REF!</f>
        <v>#REF!</v>
      </c>
      <c r="J41" s="1705"/>
      <c r="K41" s="1706"/>
      <c r="L41" s="191" t="s">
        <v>279</v>
      </c>
      <c r="M41" s="160"/>
      <c r="N41" s="160"/>
      <c r="O41" s="160"/>
      <c r="P41" s="160"/>
    </row>
    <row r="42" spans="1:16" hidden="1" x14ac:dyDescent="0.25">
      <c r="A42" s="162"/>
      <c r="B42" s="162"/>
      <c r="C42" s="777"/>
      <c r="D42" s="777"/>
      <c r="E42" s="777"/>
      <c r="F42" s="777"/>
      <c r="G42" s="777"/>
      <c r="H42" s="777"/>
      <c r="I42" s="777"/>
      <c r="J42" s="777"/>
      <c r="K42" s="777"/>
      <c r="L42" s="158"/>
      <c r="M42" s="158"/>
      <c r="N42" s="160"/>
      <c r="O42" s="160"/>
      <c r="P42" s="160"/>
    </row>
    <row r="43" spans="1:16" ht="24.75" customHeight="1" x14ac:dyDescent="0.25">
      <c r="A43" s="192" t="s">
        <v>10</v>
      </c>
      <c r="B43" s="193" t="s">
        <v>329</v>
      </c>
      <c r="C43" s="165"/>
      <c r="D43" s="165"/>
      <c r="E43" s="165"/>
      <c r="F43" s="165"/>
      <c r="G43" s="165"/>
      <c r="H43" s="165"/>
      <c r="I43" s="165"/>
      <c r="J43" s="165"/>
      <c r="K43" s="165"/>
      <c r="L43" s="158"/>
      <c r="M43" s="158"/>
      <c r="N43" s="160"/>
      <c r="O43" s="160"/>
      <c r="P43" s="160"/>
    </row>
    <row r="44" spans="1:16" ht="24.75" customHeight="1" x14ac:dyDescent="0.25">
      <c r="A44" s="192"/>
      <c r="B44" s="194" t="s">
        <v>327</v>
      </c>
      <c r="C44" s="195"/>
      <c r="D44" s="195"/>
      <c r="E44" s="195"/>
      <c r="F44" s="195"/>
      <c r="G44" s="195"/>
      <c r="H44" s="195"/>
      <c r="I44" s="195"/>
      <c r="J44" s="195"/>
      <c r="K44" s="195"/>
      <c r="L44" s="158"/>
      <c r="M44" s="158"/>
      <c r="N44" s="160"/>
      <c r="O44" s="160"/>
      <c r="P44" s="160"/>
    </row>
    <row r="45" spans="1:16" ht="20.25" customHeight="1" x14ac:dyDescent="0.25">
      <c r="A45" s="162"/>
      <c r="B45" s="1707" t="s">
        <v>5</v>
      </c>
      <c r="C45" s="1710" t="s">
        <v>450</v>
      </c>
      <c r="D45" s="1711"/>
      <c r="E45" s="1712"/>
      <c r="F45" s="1710" t="s">
        <v>20</v>
      </c>
      <c r="G45" s="1711"/>
      <c r="H45" s="1711"/>
      <c r="I45" s="1712"/>
      <c r="J45" s="1710" t="s">
        <v>42</v>
      </c>
      <c r="K45" s="1712"/>
      <c r="L45" s="1710" t="s">
        <v>309</v>
      </c>
      <c r="M45" s="1712"/>
      <c r="N45" s="1717" t="s">
        <v>32</v>
      </c>
      <c r="O45" s="1719" t="s">
        <v>287</v>
      </c>
      <c r="P45" s="1719"/>
    </row>
    <row r="46" spans="1:16" ht="8.25" customHeight="1" x14ac:dyDescent="0.25">
      <c r="A46" s="162"/>
      <c r="B46" s="1708"/>
      <c r="C46" s="1713"/>
      <c r="D46" s="1714"/>
      <c r="E46" s="1715"/>
      <c r="F46" s="1713"/>
      <c r="G46" s="1714"/>
      <c r="H46" s="1714"/>
      <c r="I46" s="1715"/>
      <c r="J46" s="1713"/>
      <c r="K46" s="1715"/>
      <c r="L46" s="1713"/>
      <c r="M46" s="1715"/>
      <c r="N46" s="1718"/>
      <c r="O46" s="1720"/>
      <c r="P46" s="1720"/>
    </row>
    <row r="47" spans="1:16" x14ac:dyDescent="0.25">
      <c r="A47" s="162"/>
      <c r="B47" s="1708"/>
      <c r="C47" s="1680"/>
      <c r="D47" s="1681"/>
      <c r="E47" s="1682"/>
      <c r="F47" s="1684" t="s">
        <v>247</v>
      </c>
      <c r="G47" s="1684"/>
      <c r="H47" s="1684" t="s">
        <v>248</v>
      </c>
      <c r="I47" s="1684"/>
      <c r="J47" s="1044" t="s">
        <v>247</v>
      </c>
      <c r="K47" s="1044" t="s">
        <v>248</v>
      </c>
      <c r="L47" s="1044" t="str">
        <f>F47</f>
        <v>Naik</v>
      </c>
      <c r="M47" s="1044" t="str">
        <f>H47</f>
        <v>Turun</v>
      </c>
      <c r="N47" s="1690" t="s">
        <v>142</v>
      </c>
      <c r="O47" s="776" t="str">
        <f>L47</f>
        <v>Naik</v>
      </c>
      <c r="P47" s="196" t="str">
        <f>M47</f>
        <v>Turun</v>
      </c>
    </row>
    <row r="48" spans="1:16" x14ac:dyDescent="0.25">
      <c r="A48" s="162"/>
      <c r="B48" s="1709"/>
      <c r="C48" s="1716" t="str">
        <f>ID!O60</f>
        <v>(mmHg)</v>
      </c>
      <c r="D48" s="1716"/>
      <c r="E48" s="1716"/>
      <c r="F48" s="1716" t="str">
        <f>C48</f>
        <v>(mmHg)</v>
      </c>
      <c r="G48" s="1716"/>
      <c r="H48" s="1716" t="str">
        <f>F48</f>
        <v>(mmHg)</v>
      </c>
      <c r="I48" s="1716"/>
      <c r="J48" s="1045" t="str">
        <f>H48</f>
        <v>(mmHg)</v>
      </c>
      <c r="K48" s="1045" t="str">
        <f>J48</f>
        <v>(mmHg)</v>
      </c>
      <c r="L48" s="197" t="str">
        <f>O48</f>
        <v>(%)</v>
      </c>
      <c r="M48" s="1045" t="str">
        <f>L48</f>
        <v>(%)</v>
      </c>
      <c r="N48" s="1691"/>
      <c r="O48" s="198" t="str">
        <f>ID!O61</f>
        <v>(%)</v>
      </c>
      <c r="P48" s="199" t="str">
        <f>O48</f>
        <v>(%)</v>
      </c>
    </row>
    <row r="49" spans="1:18" x14ac:dyDescent="0.25">
      <c r="A49" s="162"/>
      <c r="B49" s="200">
        <v>1</v>
      </c>
      <c r="C49" s="1722" t="str">
        <f>PENYELIA!C48</f>
        <v>-200.00</v>
      </c>
      <c r="D49" s="1722"/>
      <c r="E49" s="1723"/>
      <c r="F49" s="1724" t="str">
        <f>PENYELIA!F48</f>
        <v>-200.50</v>
      </c>
      <c r="G49" s="1724"/>
      <c r="H49" s="1724" t="str">
        <f>PENYELIA!G48</f>
        <v>-200.50</v>
      </c>
      <c r="I49" s="1724"/>
      <c r="J49" s="1419" t="str">
        <f>PENYELIA!H48</f>
        <v>0.00</v>
      </c>
      <c r="K49" s="1419" t="str">
        <f>PENYELIA!I48</f>
        <v>0.00</v>
      </c>
      <c r="L49" s="1419" t="str">
        <f>PENYELIA!J48</f>
        <v>0.00</v>
      </c>
      <c r="M49" s="1419" t="str">
        <f>PENYELIA!K48</f>
        <v>0.00</v>
      </c>
      <c r="N49" s="1740" t="s">
        <v>280</v>
      </c>
      <c r="O49" s="1420" t="str">
        <f>PENYELIA!M48</f>
        <v>0.48</v>
      </c>
      <c r="P49" s="1420" t="str">
        <f>PENYELIA!N48</f>
        <v>0.48</v>
      </c>
    </row>
    <row r="50" spans="1:18" x14ac:dyDescent="0.25">
      <c r="A50" s="162"/>
      <c r="B50" s="200">
        <v>2</v>
      </c>
      <c r="C50" s="1722" t="str">
        <f>PENYELIA!C49</f>
        <v>-300.00</v>
      </c>
      <c r="D50" s="1722"/>
      <c r="E50" s="1723"/>
      <c r="F50" s="1724" t="str">
        <f>PENYELIA!F49</f>
        <v>-304.71</v>
      </c>
      <c r="G50" s="1724"/>
      <c r="H50" s="1724" t="str">
        <f>PENYELIA!G49</f>
        <v>-304.71</v>
      </c>
      <c r="I50" s="1724"/>
      <c r="J50" s="1419" t="str">
        <f>PENYELIA!H49</f>
        <v>-4.00</v>
      </c>
      <c r="K50" s="1419" t="str">
        <f>PENYELIA!I49</f>
        <v>-4.00</v>
      </c>
      <c r="L50" s="1419" t="str">
        <f>PENYELIA!J49</f>
        <v>1.32</v>
      </c>
      <c r="M50" s="1419" t="str">
        <f>PENYELIA!K49</f>
        <v>1.31</v>
      </c>
      <c r="N50" s="1741"/>
      <c r="O50" s="1420" t="str">
        <f>PENYELIA!M49</f>
        <v>0.48</v>
      </c>
      <c r="P50" s="1420" t="str">
        <f>PENYELIA!N49</f>
        <v>0.48</v>
      </c>
    </row>
    <row r="51" spans="1:18" x14ac:dyDescent="0.25">
      <c r="A51" s="162"/>
      <c r="B51" s="200">
        <v>3</v>
      </c>
      <c r="C51" s="1722" t="str">
        <f>PENYELIA!C50</f>
        <v>-400.00</v>
      </c>
      <c r="D51" s="1722"/>
      <c r="E51" s="1723"/>
      <c r="F51" s="1724" t="str">
        <f>PENYELIA!F50</f>
        <v>-400.90</v>
      </c>
      <c r="G51" s="1724"/>
      <c r="H51" s="1724" t="str">
        <f>PENYELIA!G50</f>
        <v>-400.90</v>
      </c>
      <c r="I51" s="1724"/>
      <c r="J51" s="1419" t="str">
        <f>PENYELIA!H50</f>
        <v>0.00</v>
      </c>
      <c r="K51" s="1419" t="str">
        <f>PENYELIA!I50</f>
        <v>0.00</v>
      </c>
      <c r="L51" s="1419" t="str">
        <f>PENYELIA!J50</f>
        <v>0.00</v>
      </c>
      <c r="M51" s="1419" t="str">
        <f>PENYELIA!K50</f>
        <v>0.00</v>
      </c>
      <c r="N51" s="1741"/>
      <c r="O51" s="1420" t="str">
        <f>PENYELIA!M50</f>
        <v>0.48</v>
      </c>
      <c r="P51" s="1420" t="str">
        <f>PENYELIA!N50</f>
        <v>0.48</v>
      </c>
    </row>
    <row r="52" spans="1:18" x14ac:dyDescent="0.25">
      <c r="A52" s="162"/>
      <c r="B52" s="200">
        <v>4</v>
      </c>
      <c r="C52" s="1722" t="str">
        <f>PENYELIA!C51</f>
        <v>-500.00</v>
      </c>
      <c r="D52" s="1722"/>
      <c r="E52" s="1723"/>
      <c r="F52" s="1724" t="str">
        <f>PENYELIA!F51</f>
        <v>-505.10</v>
      </c>
      <c r="G52" s="1724"/>
      <c r="H52" s="1724" t="str">
        <f>PENYELIA!G51</f>
        <v>-505.10</v>
      </c>
      <c r="I52" s="1724"/>
      <c r="J52" s="1419" t="str">
        <f>PENYELIA!H51</f>
        <v>-4.00</v>
      </c>
      <c r="K52" s="1419" t="str">
        <f>PENYELIA!I51</f>
        <v>-4.00</v>
      </c>
      <c r="L52" s="1419" t="str">
        <f>PENYELIA!J51</f>
        <v>0.79</v>
      </c>
      <c r="M52" s="1419" t="str">
        <f>PENYELIA!K51</f>
        <v>0.79</v>
      </c>
      <c r="N52" s="1741"/>
      <c r="O52" s="1420" t="str">
        <f>PENYELIA!M51</f>
        <v>0.48</v>
      </c>
      <c r="P52" s="1420" t="str">
        <f>PENYELIA!N51</f>
        <v>0.48</v>
      </c>
    </row>
    <row r="53" spans="1:18" x14ac:dyDescent="0.25">
      <c r="A53" s="162"/>
      <c r="B53" s="200">
        <v>5</v>
      </c>
      <c r="C53" s="1722" t="str">
        <f>PENYELIA!C52</f>
        <v>-600.00</v>
      </c>
      <c r="D53" s="1722"/>
      <c r="E53" s="1723"/>
      <c r="F53" s="1724" t="str">
        <f>PENYELIA!F52</f>
        <v>-609.21</v>
      </c>
      <c r="G53" s="1724"/>
      <c r="H53" s="1724" t="str">
        <f>PENYELIA!G52</f>
        <v>-609.21</v>
      </c>
      <c r="I53" s="1724"/>
      <c r="J53" s="1419" t="str">
        <f>PENYELIA!H52</f>
        <v>-8.00</v>
      </c>
      <c r="K53" s="1419" t="str">
        <f>PENYELIA!I52</f>
        <v>-8.00</v>
      </c>
      <c r="L53" s="1419" t="str">
        <f>PENYELIA!J52</f>
        <v>1.32</v>
      </c>
      <c r="M53" s="1419" t="str">
        <f>PENYELIA!K52</f>
        <v>1.31</v>
      </c>
      <c r="N53" s="1742"/>
      <c r="O53" s="1420" t="str">
        <f>PENYELIA!M52</f>
        <v>0.48</v>
      </c>
      <c r="P53" s="1420" t="str">
        <f>PENYELIA!N52</f>
        <v>0.48</v>
      </c>
    </row>
    <row r="54" spans="1:18" hidden="1" x14ac:dyDescent="0.25">
      <c r="A54" s="1725"/>
      <c r="B54" s="1725"/>
      <c r="C54" s="1725"/>
      <c r="D54" s="1725"/>
      <c r="E54" s="1725"/>
      <c r="F54" s="1725"/>
      <c r="G54" s="1725"/>
      <c r="H54" s="1725"/>
      <c r="I54" s="1725"/>
      <c r="J54" s="1725"/>
      <c r="K54" s="1725"/>
      <c r="L54" s="201"/>
      <c r="M54" s="201"/>
      <c r="N54" s="160"/>
      <c r="O54" s="160"/>
      <c r="P54" s="160"/>
    </row>
    <row r="55" spans="1:18" ht="24.75" customHeight="1" x14ac:dyDescent="0.25">
      <c r="A55" s="283"/>
      <c r="B55" s="202" t="s">
        <v>330</v>
      </c>
      <c r="C55" s="203"/>
      <c r="D55" s="203"/>
      <c r="E55" s="203"/>
      <c r="F55" s="203"/>
      <c r="G55" s="203"/>
      <c r="H55" s="203"/>
      <c r="I55" s="203"/>
      <c r="J55" s="203"/>
      <c r="K55" s="203"/>
      <c r="L55" s="201"/>
      <c r="M55" s="201"/>
      <c r="N55" s="160"/>
      <c r="O55" s="160"/>
      <c r="P55" s="160"/>
    </row>
    <row r="56" spans="1:18" hidden="1" x14ac:dyDescent="0.25">
      <c r="A56" s="1499"/>
      <c r="B56" s="1487"/>
      <c r="C56" s="1487"/>
      <c r="D56" s="1487"/>
      <c r="E56" s="1487"/>
      <c r="F56" s="1487"/>
      <c r="G56" s="1487"/>
      <c r="H56" s="1487"/>
      <c r="I56" s="1487"/>
      <c r="J56" s="1487"/>
      <c r="K56" s="1487"/>
      <c r="L56" s="201"/>
      <c r="M56" s="201"/>
      <c r="N56" s="160"/>
      <c r="O56" s="160"/>
      <c r="P56" s="160"/>
    </row>
    <row r="57" spans="1:18" ht="15" customHeight="1" x14ac:dyDescent="0.25">
      <c r="A57" s="160"/>
      <c r="B57" s="1721" t="s">
        <v>46</v>
      </c>
      <c r="C57" s="1721"/>
      <c r="D57" s="1721"/>
      <c r="E57" s="1721"/>
      <c r="F57" s="1443" t="s">
        <v>157</v>
      </c>
      <c r="G57" s="1445"/>
      <c r="H57" s="1501" t="s">
        <v>217</v>
      </c>
      <c r="I57" s="1501"/>
      <c r="J57" s="1501"/>
      <c r="K57" s="1501"/>
      <c r="N57" s="205"/>
      <c r="O57" s="160"/>
      <c r="P57" s="160"/>
    </row>
    <row r="58" spans="1:18" ht="18" customHeight="1" x14ac:dyDescent="0.25">
      <c r="A58" s="160"/>
      <c r="B58" s="1726" t="s">
        <v>218</v>
      </c>
      <c r="C58" s="1726"/>
      <c r="D58" s="1726"/>
      <c r="E58" s="1726"/>
      <c r="F58" s="1728">
        <f>PENYELIA!F57</f>
        <v>-621.22</v>
      </c>
      <c r="G58" s="1728"/>
      <c r="H58" s="1730" t="str">
        <f>PENYELIA!G57</f>
        <v xml:space="preserve">≥ -300 </v>
      </c>
      <c r="I58" s="1731"/>
      <c r="J58" s="1731"/>
      <c r="K58" s="1732"/>
      <c r="N58" s="1183"/>
      <c r="O58" s="160"/>
      <c r="P58" s="160"/>
    </row>
    <row r="59" spans="1:18" ht="20.25" customHeight="1" x14ac:dyDescent="0.25">
      <c r="A59" s="777"/>
      <c r="B59" s="1727"/>
      <c r="C59" s="1727"/>
      <c r="D59" s="1727"/>
      <c r="E59" s="1727"/>
      <c r="F59" s="1729"/>
      <c r="G59" s="1729"/>
      <c r="H59" s="1733"/>
      <c r="I59" s="1734"/>
      <c r="J59" s="1734"/>
      <c r="K59" s="1735"/>
      <c r="N59" s="1421"/>
      <c r="O59" s="160"/>
      <c r="P59" s="160"/>
    </row>
    <row r="60" spans="1:18" x14ac:dyDescent="0.25">
      <c r="A60" s="164" t="s">
        <v>12</v>
      </c>
      <c r="B60" s="190" t="s">
        <v>16</v>
      </c>
      <c r="C60" s="159"/>
      <c r="D60" s="777"/>
      <c r="E60" s="777"/>
      <c r="F60" s="777"/>
      <c r="G60" s="777"/>
      <c r="H60" s="777"/>
      <c r="I60" s="777"/>
      <c r="J60" s="777"/>
      <c r="K60" s="777"/>
      <c r="L60" s="201"/>
      <c r="M60" s="201"/>
      <c r="N60" s="160"/>
      <c r="O60" s="160"/>
      <c r="P60" s="160"/>
    </row>
    <row r="61" spans="1:18" x14ac:dyDescent="0.25">
      <c r="A61" s="162"/>
      <c r="B61" s="760" t="str">
        <f>PENYELIA!B61</f>
        <v>Hasil pengujian keselamatan listrik tertelusur ke Satuan SI melalui PT. Kaliman</v>
      </c>
      <c r="C61" s="777"/>
      <c r="D61" s="777"/>
      <c r="E61" s="777"/>
      <c r="F61" s="777"/>
      <c r="G61" s="777"/>
      <c r="H61" s="777"/>
      <c r="I61" s="777"/>
      <c r="J61" s="777"/>
      <c r="K61" s="777"/>
      <c r="L61" s="201"/>
      <c r="M61" s="201"/>
      <c r="N61" s="160"/>
      <c r="O61" s="160"/>
      <c r="P61" s="160"/>
    </row>
    <row r="62" spans="1:18" s="894" customFormat="1" x14ac:dyDescent="0.25">
      <c r="A62" s="891"/>
      <c r="B62" s="158" t="s">
        <v>230</v>
      </c>
      <c r="C62" s="892"/>
      <c r="D62" s="892"/>
      <c r="E62" s="892"/>
      <c r="F62" s="892"/>
      <c r="G62" s="892"/>
      <c r="H62" s="892"/>
      <c r="I62" s="892"/>
      <c r="J62" s="892"/>
      <c r="K62" s="892"/>
      <c r="L62" s="893"/>
      <c r="M62" s="893"/>
      <c r="N62" s="163"/>
      <c r="O62" s="163"/>
      <c r="P62" s="163"/>
    </row>
    <row r="63" spans="1:18" s="894" customFormat="1" x14ac:dyDescent="0.25">
      <c r="A63" s="891"/>
      <c r="B63" s="895" t="str">
        <f>'SERTIFIKAT DPM'!AU10</f>
        <v>Hasil pengukuran akurasi vacuum gauge dan tekanan hisap maksimum tertelusur ke Satuan SI melalui  Laboratorium SNSU-BSN</v>
      </c>
      <c r="C63" s="895"/>
      <c r="D63" s="895"/>
      <c r="E63" s="895"/>
      <c r="F63" s="895"/>
      <c r="G63" s="895"/>
      <c r="H63" s="895"/>
      <c r="I63" s="895"/>
      <c r="J63" s="895"/>
      <c r="K63" s="895"/>
      <c r="L63" s="895"/>
      <c r="M63" s="895"/>
      <c r="N63" s="895"/>
      <c r="O63" s="895"/>
      <c r="P63" s="895"/>
      <c r="Q63" s="895"/>
      <c r="R63" s="895"/>
    </row>
    <row r="64" spans="1:18" s="894" customFormat="1" ht="14.25" customHeight="1" x14ac:dyDescent="0.25">
      <c r="A64" s="891"/>
      <c r="B64" s="759" t="str">
        <f>PENYELIA!B63</f>
        <v/>
      </c>
      <c r="C64" s="896"/>
      <c r="D64" s="896"/>
      <c r="E64" s="896"/>
      <c r="F64" s="896"/>
      <c r="G64" s="896"/>
      <c r="H64" s="896"/>
      <c r="I64" s="896"/>
      <c r="J64" s="896"/>
      <c r="K64" s="896"/>
      <c r="L64" s="896"/>
      <c r="M64" s="897"/>
      <c r="N64" s="897"/>
      <c r="O64" s="897"/>
      <c r="P64" s="897"/>
    </row>
    <row r="65" spans="1:17" s="894" customFormat="1" ht="15" customHeight="1" x14ac:dyDescent="0.25">
      <c r="A65" s="891"/>
      <c r="B65" s="284"/>
    </row>
    <row r="66" spans="1:17" s="894" customFormat="1" ht="15.75" customHeight="1" x14ac:dyDescent="0.25">
      <c r="A66" s="891"/>
      <c r="B66" s="284"/>
      <c r="C66" s="898"/>
      <c r="D66" s="898"/>
      <c r="E66" s="898"/>
      <c r="F66" s="898"/>
      <c r="G66" s="898"/>
      <c r="H66" s="898"/>
      <c r="I66" s="898"/>
      <c r="J66" s="898"/>
      <c r="K66" s="898"/>
      <c r="L66" s="898"/>
      <c r="M66" s="898"/>
      <c r="N66" s="898"/>
      <c r="O66" s="898"/>
      <c r="P66" s="163"/>
    </row>
    <row r="67" spans="1:17" s="894" customFormat="1" ht="15" customHeight="1" x14ac:dyDescent="0.25">
      <c r="A67" s="891"/>
      <c r="B67" s="77"/>
      <c r="C67" s="892"/>
      <c r="D67" s="892"/>
      <c r="E67" s="892"/>
      <c r="F67" s="892"/>
      <c r="G67" s="892"/>
      <c r="H67" s="892"/>
      <c r="I67" s="892"/>
      <c r="J67" s="892"/>
      <c r="K67" s="892"/>
      <c r="L67" s="893"/>
      <c r="M67" s="893"/>
      <c r="N67" s="163"/>
      <c r="O67" s="163"/>
      <c r="P67" s="163"/>
    </row>
    <row r="68" spans="1:17" x14ac:dyDescent="0.25">
      <c r="A68" s="164" t="s">
        <v>139</v>
      </c>
      <c r="B68" s="1737" t="s">
        <v>332</v>
      </c>
      <c r="C68" s="1737"/>
      <c r="D68" s="1737"/>
      <c r="E68" s="1737"/>
      <c r="F68" s="1737"/>
      <c r="G68" s="1737"/>
      <c r="H68" s="1737"/>
      <c r="I68" s="1737"/>
      <c r="J68" s="1737"/>
      <c r="K68" s="1737"/>
      <c r="L68" s="158"/>
      <c r="M68" s="158"/>
      <c r="N68" s="160"/>
      <c r="O68" s="160"/>
      <c r="P68" s="160"/>
    </row>
    <row r="69" spans="1:17" x14ac:dyDescent="0.25">
      <c r="A69" s="899"/>
      <c r="B69" s="1406" t="str">
        <f>ID!A91</f>
        <v>Digital Pressure Meter, Merek : Fluke Biomedical, Model : DPM 4-2G, SN : 4600002</v>
      </c>
      <c r="C69" s="158"/>
      <c r="D69" s="158"/>
      <c r="E69" s="158"/>
      <c r="F69" s="158"/>
      <c r="G69" s="158"/>
      <c r="H69" s="158"/>
      <c r="I69" s="777"/>
      <c r="J69" s="777"/>
      <c r="K69" s="777"/>
      <c r="L69" s="201"/>
      <c r="M69" s="201"/>
      <c r="N69" s="160"/>
      <c r="O69" s="160"/>
      <c r="P69" s="160"/>
    </row>
    <row r="70" spans="1:17" x14ac:dyDescent="0.25">
      <c r="A70" s="899"/>
      <c r="B70" s="1406" t="str">
        <f>ID!A92</f>
        <v>Electrical Safety Analyzer, Merek : FLUKE, Model : ESA615, SN : 4670010</v>
      </c>
      <c r="C70" s="158"/>
      <c r="D70" s="158"/>
      <c r="E70" s="158"/>
      <c r="F70" s="158"/>
      <c r="G70" s="158"/>
      <c r="H70" s="158"/>
      <c r="I70" s="777"/>
      <c r="J70" s="777"/>
      <c r="K70" s="777"/>
      <c r="L70" s="201"/>
      <c r="M70" s="201"/>
      <c r="N70" s="160"/>
      <c r="O70" s="160"/>
      <c r="P70" s="160"/>
    </row>
    <row r="71" spans="1:17" ht="7.5" customHeight="1" x14ac:dyDescent="0.25">
      <c r="A71" s="899"/>
      <c r="B71" s="158"/>
      <c r="C71" s="158"/>
      <c r="D71" s="158"/>
      <c r="E71" s="158"/>
      <c r="F71" s="158"/>
      <c r="G71" s="158"/>
      <c r="H71" s="158"/>
      <c r="I71" s="158"/>
      <c r="J71" s="158"/>
      <c r="K71" s="158"/>
      <c r="L71" s="158"/>
      <c r="M71" s="158"/>
      <c r="N71" s="160"/>
      <c r="O71" s="160"/>
      <c r="P71" s="160"/>
    </row>
    <row r="72" spans="1:17" x14ac:dyDescent="0.25">
      <c r="A72" s="164" t="s">
        <v>140</v>
      </c>
      <c r="B72" s="165" t="s">
        <v>31</v>
      </c>
      <c r="C72" s="165"/>
      <c r="D72" s="158"/>
      <c r="E72" s="158"/>
      <c r="F72" s="158"/>
      <c r="G72" s="158"/>
      <c r="H72" s="158"/>
      <c r="I72" s="158"/>
      <c r="J72" s="158"/>
      <c r="K72" s="158"/>
      <c r="L72" s="158"/>
      <c r="M72" s="158"/>
      <c r="N72" s="160"/>
      <c r="O72" s="160"/>
      <c r="P72" s="160"/>
    </row>
    <row r="73" spans="1:17" ht="33.75" customHeight="1" x14ac:dyDescent="0.25">
      <c r="A73" s="162"/>
      <c r="B73" s="1739" t="str">
        <f ca="1">PENYELIA!B72</f>
        <v>Alat yang dikalibrasi dalam batas toleransi dan dinyatakan LAIK PAKAI, dimana hasil atau skor akhir sama dengan atau melampaui 70% berdasarkan Keputusan Direktur Jenderal Pelayanan Kesehatan No : HK.02.02/V/0412/2020</v>
      </c>
      <c r="C73" s="1739"/>
      <c r="D73" s="1739"/>
      <c r="E73" s="1739"/>
      <c r="F73" s="1739"/>
      <c r="G73" s="1739"/>
      <c r="H73" s="1739"/>
      <c r="I73" s="1739"/>
      <c r="J73" s="1739"/>
      <c r="K73" s="1739"/>
      <c r="L73" s="1739"/>
      <c r="M73" s="1739"/>
      <c r="N73" s="1739"/>
      <c r="O73" s="1739"/>
      <c r="P73" s="1739"/>
      <c r="Q73" s="1046"/>
    </row>
    <row r="74" spans="1:17" hidden="1" x14ac:dyDescent="0.25">
      <c r="A74" s="1725"/>
      <c r="B74" s="1725"/>
      <c r="C74" s="1725"/>
      <c r="D74" s="1725"/>
      <c r="E74" s="1725"/>
      <c r="F74" s="1725"/>
      <c r="G74" s="1725"/>
      <c r="H74" s="1725"/>
      <c r="I74" s="1725"/>
      <c r="J74" s="1725"/>
      <c r="K74" s="1725"/>
      <c r="L74" s="158"/>
      <c r="M74" s="158"/>
      <c r="N74" s="160"/>
      <c r="O74" s="160"/>
      <c r="P74" s="160"/>
    </row>
    <row r="75" spans="1:17" x14ac:dyDescent="0.25">
      <c r="A75" s="164" t="s">
        <v>171</v>
      </c>
      <c r="B75" s="1737" t="s">
        <v>11</v>
      </c>
      <c r="C75" s="1737"/>
      <c r="D75" s="1737"/>
      <c r="E75" s="1737"/>
      <c r="F75" s="1737"/>
      <c r="G75" s="1737"/>
      <c r="H75" s="1737"/>
      <c r="I75" s="1737"/>
      <c r="J75" s="1737"/>
      <c r="K75" s="1737"/>
      <c r="L75" s="158"/>
      <c r="M75" s="158"/>
      <c r="N75" s="160"/>
      <c r="O75" s="160"/>
      <c r="P75" s="160"/>
    </row>
    <row r="76" spans="1:17" x14ac:dyDescent="0.25">
      <c r="A76" s="162"/>
      <c r="B76" s="1738" t="str">
        <f>ID!C80</f>
        <v>Hamdan Syarif</v>
      </c>
      <c r="C76" s="1738"/>
      <c r="D76" s="1738"/>
      <c r="E76" s="1738"/>
      <c r="F76" s="1738"/>
      <c r="G76" s="1738"/>
      <c r="H76" s="1738"/>
      <c r="I76" s="1738"/>
      <c r="J76" s="1738"/>
      <c r="K76" s="1738"/>
      <c r="L76" s="158"/>
      <c r="M76" s="158"/>
      <c r="N76" s="160"/>
      <c r="O76" s="160"/>
      <c r="P76" s="160"/>
    </row>
    <row r="77" spans="1:17" x14ac:dyDescent="0.25">
      <c r="A77" s="1725"/>
      <c r="B77" s="1725"/>
      <c r="C77" s="1725"/>
      <c r="D77" s="1725"/>
      <c r="E77" s="1725"/>
      <c r="F77" s="1725"/>
      <c r="G77" s="1725"/>
      <c r="H77" s="1725"/>
      <c r="I77" s="1725"/>
      <c r="J77" s="1725"/>
      <c r="K77" s="1725"/>
      <c r="L77" s="160"/>
      <c r="M77" s="158"/>
      <c r="P77" s="160"/>
    </row>
    <row r="78" spans="1:17" x14ac:dyDescent="0.25">
      <c r="A78" s="162"/>
      <c r="B78" s="158"/>
      <c r="C78" s="158"/>
      <c r="D78" s="158"/>
      <c r="E78" s="158"/>
      <c r="F78" s="158"/>
      <c r="G78" s="158"/>
      <c r="H78" s="158"/>
      <c r="I78" s="158"/>
      <c r="J78" s="158"/>
      <c r="K78" s="158"/>
      <c r="L78" s="160"/>
      <c r="M78" s="900"/>
      <c r="P78" s="160"/>
    </row>
    <row r="79" spans="1:17" x14ac:dyDescent="0.25">
      <c r="A79" s="169"/>
      <c r="B79" s="160"/>
      <c r="C79" s="160"/>
      <c r="D79" s="160"/>
      <c r="E79" s="160"/>
      <c r="F79" s="160"/>
      <c r="G79" s="160"/>
      <c r="H79" s="160"/>
      <c r="I79" s="160"/>
      <c r="J79" s="160"/>
      <c r="K79" s="160"/>
      <c r="L79" s="160"/>
      <c r="M79" s="160"/>
      <c r="N79" s="102" t="s">
        <v>17</v>
      </c>
      <c r="O79" s="102"/>
      <c r="P79" s="160"/>
    </row>
    <row r="80" spans="1:17" x14ac:dyDescent="0.25">
      <c r="A80" s="169"/>
      <c r="B80" s="160"/>
      <c r="C80" s="160"/>
      <c r="D80" s="160"/>
      <c r="E80" s="160"/>
      <c r="F80" s="160"/>
      <c r="G80" s="160"/>
      <c r="H80" s="160"/>
      <c r="I80" s="160"/>
      <c r="J80" s="160"/>
      <c r="K80" s="160"/>
      <c r="L80" s="160"/>
      <c r="M80" s="160"/>
      <c r="N80" s="102" t="s">
        <v>86</v>
      </c>
      <c r="O80" s="102"/>
      <c r="P80" s="160"/>
    </row>
    <row r="81" spans="1:16" x14ac:dyDescent="0.25">
      <c r="A81" s="169"/>
      <c r="B81" s="160"/>
      <c r="C81" s="160"/>
      <c r="D81" s="160"/>
      <c r="E81" s="160"/>
      <c r="F81" s="160"/>
      <c r="G81" s="160"/>
      <c r="H81" s="160"/>
      <c r="I81" s="160"/>
      <c r="J81" s="160"/>
      <c r="K81" s="160"/>
      <c r="L81" s="160"/>
      <c r="M81" s="160"/>
      <c r="N81" s="102" t="s">
        <v>87</v>
      </c>
      <c r="O81" s="102"/>
      <c r="P81" s="160"/>
    </row>
    <row r="82" spans="1:16" x14ac:dyDescent="0.25">
      <c r="A82" s="169"/>
      <c r="B82" s="160"/>
      <c r="C82" s="160"/>
      <c r="D82" s="160"/>
      <c r="E82" s="160"/>
      <c r="F82" s="160"/>
      <c r="G82" s="160"/>
      <c r="H82" s="160"/>
      <c r="I82" s="160"/>
      <c r="J82" s="160"/>
      <c r="K82" s="160"/>
      <c r="L82" s="160"/>
      <c r="M82" s="160"/>
      <c r="N82" s="102"/>
      <c r="O82" s="102"/>
      <c r="P82" s="160"/>
    </row>
    <row r="83" spans="1:16" x14ac:dyDescent="0.25">
      <c r="A83" s="169"/>
      <c r="B83" s="160"/>
      <c r="C83" s="160"/>
      <c r="D83" s="160"/>
      <c r="E83" s="160"/>
      <c r="F83" s="160"/>
      <c r="G83" s="160"/>
      <c r="H83" s="160"/>
      <c r="I83" s="160"/>
      <c r="J83" s="160"/>
      <c r="K83" s="160"/>
      <c r="L83" s="160"/>
      <c r="M83" s="160"/>
      <c r="N83" s="102"/>
      <c r="O83" s="102"/>
      <c r="P83" s="160"/>
    </row>
    <row r="84" spans="1:16" x14ac:dyDescent="0.25">
      <c r="A84" s="169"/>
      <c r="B84" s="160"/>
      <c r="C84" s="160"/>
      <c r="D84" s="160"/>
      <c r="E84" s="160"/>
      <c r="F84" s="160"/>
      <c r="G84" s="160"/>
      <c r="H84" s="160"/>
      <c r="I84" s="160"/>
      <c r="J84" s="160"/>
      <c r="K84" s="160"/>
      <c r="L84" s="160"/>
      <c r="M84" s="160"/>
      <c r="N84" s="102"/>
      <c r="O84" s="102"/>
      <c r="P84" s="160"/>
    </row>
    <row r="85" spans="1:16" x14ac:dyDescent="0.25">
      <c r="A85" s="169"/>
      <c r="B85" s="160"/>
      <c r="C85" s="160"/>
      <c r="D85" s="160"/>
      <c r="E85" s="160"/>
      <c r="F85" s="160"/>
      <c r="G85" s="160"/>
      <c r="H85" s="160"/>
      <c r="I85" s="160"/>
      <c r="J85" s="160"/>
      <c r="K85" s="160"/>
      <c r="L85" s="160"/>
      <c r="M85" s="160"/>
      <c r="N85" s="901"/>
      <c r="O85" s="102"/>
      <c r="P85" s="160"/>
    </row>
    <row r="86" spans="1:16" x14ac:dyDescent="0.25">
      <c r="A86" s="169"/>
      <c r="B86" s="160"/>
      <c r="C86" s="160"/>
      <c r="D86" s="160"/>
      <c r="E86" s="160"/>
      <c r="F86" s="160"/>
      <c r="G86" s="160"/>
      <c r="H86" s="160"/>
      <c r="I86" s="160"/>
      <c r="J86" s="160"/>
      <c r="K86" s="160"/>
      <c r="L86" s="160"/>
      <c r="M86" s="160"/>
      <c r="N86" s="902" t="s">
        <v>454</v>
      </c>
      <c r="O86" s="903"/>
      <c r="P86" s="160"/>
    </row>
    <row r="87" spans="1:16" x14ac:dyDescent="0.25">
      <c r="A87" s="169"/>
      <c r="B87" s="160"/>
      <c r="C87" s="160"/>
      <c r="D87" s="160"/>
      <c r="E87" s="160"/>
      <c r="F87" s="160"/>
      <c r="G87" s="160"/>
      <c r="H87" s="160"/>
      <c r="I87" s="160"/>
      <c r="J87" s="160"/>
      <c r="K87" s="160"/>
      <c r="L87" s="160"/>
      <c r="M87" s="160"/>
      <c r="N87" s="904" t="s">
        <v>350</v>
      </c>
      <c r="O87" s="903"/>
      <c r="P87" s="160"/>
    </row>
    <row r="88" spans="1:16" x14ac:dyDescent="0.25">
      <c r="A88" s="169"/>
      <c r="B88" s="160"/>
      <c r="C88" s="160"/>
      <c r="D88" s="160"/>
      <c r="E88" s="160"/>
      <c r="F88" s="160"/>
      <c r="G88" s="160"/>
      <c r="H88" s="160"/>
      <c r="I88" s="160"/>
      <c r="J88" s="160"/>
      <c r="K88" s="160"/>
      <c r="L88" s="160"/>
      <c r="M88" s="160"/>
      <c r="N88" s="904"/>
      <c r="O88" s="903"/>
      <c r="P88" s="160"/>
    </row>
    <row r="89" spans="1:16" x14ac:dyDescent="0.25">
      <c r="A89" s="169"/>
      <c r="B89" s="160"/>
      <c r="C89" s="160"/>
      <c r="D89" s="160"/>
      <c r="E89" s="160"/>
      <c r="F89" s="160"/>
      <c r="G89" s="160"/>
      <c r="H89" s="160"/>
      <c r="I89" s="160"/>
      <c r="J89" s="160"/>
      <c r="K89" s="160"/>
      <c r="L89" s="160"/>
      <c r="M89" s="160"/>
      <c r="N89" s="904"/>
      <c r="O89" s="903"/>
      <c r="P89" s="160"/>
    </row>
    <row r="90" spans="1:16" x14ac:dyDescent="0.25">
      <c r="A90" s="905" t="s">
        <v>286</v>
      </c>
      <c r="P90" s="906" t="s">
        <v>85</v>
      </c>
    </row>
    <row r="212" spans="1:10" x14ac:dyDescent="0.25">
      <c r="A212" s="281"/>
      <c r="I212" s="907"/>
      <c r="J212" s="907"/>
    </row>
  </sheetData>
  <sheetProtection formatCells="0" formatColumns="0" formatRows="0" insertRows="0" deleteRows="0"/>
  <mergeCells count="72">
    <mergeCell ref="F49:G49"/>
    <mergeCell ref="J24:K24"/>
    <mergeCell ref="J25:K25"/>
    <mergeCell ref="J26:K26"/>
    <mergeCell ref="F8:G8"/>
    <mergeCell ref="A36:K36"/>
    <mergeCell ref="A32:A33"/>
    <mergeCell ref="B32:B33"/>
    <mergeCell ref="C32:L33"/>
    <mergeCell ref="H50:I50"/>
    <mergeCell ref="B14:C14"/>
    <mergeCell ref="B15:C15"/>
    <mergeCell ref="B23:I23"/>
    <mergeCell ref="A77:K77"/>
    <mergeCell ref="B68:K68"/>
    <mergeCell ref="A74:K74"/>
    <mergeCell ref="B75:K75"/>
    <mergeCell ref="B76:K76"/>
    <mergeCell ref="B73:P73"/>
    <mergeCell ref="N49:N53"/>
    <mergeCell ref="C50:E50"/>
    <mergeCell ref="C51:E51"/>
    <mergeCell ref="C52:E52"/>
    <mergeCell ref="C53:E53"/>
    <mergeCell ref="F53:G53"/>
    <mergeCell ref="B58:E59"/>
    <mergeCell ref="F58:G59"/>
    <mergeCell ref="F57:G57"/>
    <mergeCell ref="H57:K57"/>
    <mergeCell ref="H58:K59"/>
    <mergeCell ref="O45:P46"/>
    <mergeCell ref="F45:I46"/>
    <mergeCell ref="J45:K46"/>
    <mergeCell ref="A56:K56"/>
    <mergeCell ref="B57:E57"/>
    <mergeCell ref="C49:E49"/>
    <mergeCell ref="C47:E47"/>
    <mergeCell ref="H47:I47"/>
    <mergeCell ref="H49:I49"/>
    <mergeCell ref="A54:K54"/>
    <mergeCell ref="F50:G50"/>
    <mergeCell ref="F51:G51"/>
    <mergeCell ref="F52:G52"/>
    <mergeCell ref="H53:I53"/>
    <mergeCell ref="H52:I52"/>
    <mergeCell ref="H51:I51"/>
    <mergeCell ref="N47:N48"/>
    <mergeCell ref="B40:E40"/>
    <mergeCell ref="I40:K40"/>
    <mergeCell ref="I38:K39"/>
    <mergeCell ref="B41:E41"/>
    <mergeCell ref="I41:K41"/>
    <mergeCell ref="B45:B48"/>
    <mergeCell ref="C45:E46"/>
    <mergeCell ref="C48:E48"/>
    <mergeCell ref="F47:G47"/>
    <mergeCell ref="F48:G48"/>
    <mergeCell ref="H48:I48"/>
    <mergeCell ref="L45:M46"/>
    <mergeCell ref="N45:N46"/>
    <mergeCell ref="M32:M33"/>
    <mergeCell ref="B38:E39"/>
    <mergeCell ref="L38:L39"/>
    <mergeCell ref="N32:N33"/>
    <mergeCell ref="A1:P1"/>
    <mergeCell ref="L26:M26"/>
    <mergeCell ref="L25:M25"/>
    <mergeCell ref="L24:M24"/>
    <mergeCell ref="L23:M23"/>
    <mergeCell ref="A2:P2"/>
    <mergeCell ref="F7:G7"/>
    <mergeCell ref="J23:K23"/>
  </mergeCells>
  <printOptions horizontalCentered="1"/>
  <pageMargins left="0.511811023622047" right="0.23622047244094499" top="0.55118110236220497" bottom="0.39370078740157499" header="0.23622047244094499" footer="0.23599999999999999"/>
  <pageSetup paperSize="9" scale="68" orientation="portrait" r:id="rId1"/>
  <headerFooter>
    <oddHeader>&amp;R&amp;8T.LHK 046-18/Rev:1</oddHeader>
    <oddFooter>&amp;C&amp;8Dilarang keras mengutip/memperbanyak dan atau mempublikasikan sebagian isi sertifikat ini tanpa seijin LPFK Banjarbaru
Sertifikat ini sah apabila dibubuhi cap LPFK Banjarbaru dan ditandatangani oleh pejabat yang berwenang</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IR212"/>
  <sheetViews>
    <sheetView showGridLines="0" view="pageBreakPreview" topLeftCell="E20" zoomScale="60" zoomScaleNormal="85" workbookViewId="0">
      <selection activeCell="F57" sqref="F57"/>
    </sheetView>
  </sheetViews>
  <sheetFormatPr defaultColWidth="9.21875" defaultRowHeight="15.6" x14ac:dyDescent="0.3"/>
  <cols>
    <col min="1" max="1" width="4" style="219" customWidth="1"/>
    <col min="2" max="2" width="4" style="161" customWidth="1"/>
    <col min="3" max="3" width="15.6640625" style="161" customWidth="1"/>
    <col min="4" max="4" width="0.5546875" style="161" customWidth="1"/>
    <col min="5" max="5" width="1.44140625" style="161" customWidth="1"/>
    <col min="6" max="6" width="13.44140625" style="161" customWidth="1"/>
    <col min="7" max="7" width="12.5546875" style="161" customWidth="1"/>
    <col min="8" max="8" width="13.88671875" style="161" customWidth="1"/>
    <col min="9" max="9" width="12.109375" style="161" customWidth="1"/>
    <col min="10" max="10" width="16.21875" style="161" customWidth="1"/>
    <col min="11" max="11" width="10.33203125" style="161" customWidth="1"/>
    <col min="12" max="14" width="9.21875" style="161" customWidth="1"/>
    <col min="15" max="15" width="0.5546875" style="161" customWidth="1"/>
    <col min="16" max="16" width="7.5546875" style="161" customWidth="1"/>
    <col min="17" max="17" width="9.21875" style="161" customWidth="1"/>
    <col min="18" max="19" width="10.109375" style="161" customWidth="1"/>
    <col min="20" max="20" width="7.44140625" style="161" customWidth="1"/>
    <col min="21" max="22" width="16.21875" style="161" customWidth="1"/>
    <col min="23" max="23" width="9.21875" style="161" customWidth="1"/>
    <col min="24" max="24" width="11.44140625" style="161" customWidth="1"/>
    <col min="25" max="29" width="9.21875" style="161" customWidth="1"/>
    <col min="30" max="30" width="11.109375" style="161" customWidth="1"/>
    <col min="31" max="227" width="9.21875" style="161" customWidth="1"/>
    <col min="228" max="251" width="10.21875" style="161" customWidth="1"/>
    <col min="252" max="252" width="7.5546875" style="161" customWidth="1"/>
    <col min="253" max="253" width="8.77734375" style="161" customWidth="1"/>
    <col min="254" max="259" width="8.88671875" style="161" customWidth="1"/>
    <col min="260" max="16384" width="9.21875" style="161"/>
  </cols>
  <sheetData>
    <row r="1" spans="1:252" ht="18" x14ac:dyDescent="0.3">
      <c r="A1" s="1762" t="s">
        <v>910</v>
      </c>
      <c r="B1" s="1762"/>
      <c r="C1" s="1762"/>
      <c r="D1" s="1762"/>
      <c r="E1" s="1762"/>
      <c r="F1" s="1762"/>
      <c r="G1" s="1762"/>
      <c r="H1" s="1762"/>
      <c r="I1" s="1762"/>
      <c r="J1" s="1762"/>
      <c r="K1" s="1762"/>
      <c r="L1" s="1762"/>
      <c r="M1" s="1762"/>
      <c r="N1" s="1762"/>
      <c r="O1" s="1762"/>
      <c r="P1" s="1762"/>
      <c r="Q1" s="764"/>
      <c r="R1" s="838"/>
      <c r="S1" s="838"/>
    </row>
    <row r="2" spans="1:252" ht="17.399999999999999" x14ac:dyDescent="0.3">
      <c r="A2" s="1769" t="str">
        <f ca="1">ID!F2&amp;" "&amp;ID!L2</f>
        <v>Nomor Sertifikat : 59 / 6 / II - 21 / E - 012.12 DL</v>
      </c>
      <c r="B2" s="1769"/>
      <c r="C2" s="1769"/>
      <c r="D2" s="1769"/>
      <c r="E2" s="1769"/>
      <c r="F2" s="1769"/>
      <c r="G2" s="1769"/>
      <c r="H2" s="1769"/>
      <c r="I2" s="1769"/>
      <c r="J2" s="1769"/>
      <c r="K2" s="1769"/>
      <c r="L2" s="1769"/>
      <c r="M2" s="1769"/>
      <c r="N2" s="1769"/>
      <c r="O2" s="1769"/>
      <c r="P2" s="1769"/>
      <c r="Q2" s="774"/>
      <c r="IR2" s="161" t="s">
        <v>26</v>
      </c>
    </row>
    <row r="3" spans="1:252" ht="15" customHeight="1" x14ac:dyDescent="0.35">
      <c r="A3" s="210" t="str">
        <f>ID!A4</f>
        <v xml:space="preserve">Merek                </v>
      </c>
      <c r="B3" s="210"/>
      <c r="C3" s="210"/>
      <c r="D3" s="208" t="s">
        <v>0</v>
      </c>
      <c r="E3" s="208" t="s">
        <v>0</v>
      </c>
      <c r="F3" s="210" t="str">
        <f>ID!C4</f>
        <v>SMAF</v>
      </c>
      <c r="G3" s="210"/>
      <c r="H3" s="209"/>
      <c r="I3" s="209"/>
      <c r="J3" s="209"/>
      <c r="K3" s="209"/>
    </row>
    <row r="4" spans="1:252" x14ac:dyDescent="0.3">
      <c r="A4" s="210" t="str">
        <f>ID!A5</f>
        <v>Model</v>
      </c>
      <c r="B4" s="210"/>
      <c r="C4" s="210"/>
      <c r="D4" s="208" t="s">
        <v>0</v>
      </c>
      <c r="E4" s="208" t="s">
        <v>0</v>
      </c>
      <c r="F4" s="210" t="str">
        <f>ID!C5</f>
        <v>YX980D</v>
      </c>
      <c r="G4" s="210"/>
      <c r="H4" s="210"/>
      <c r="I4" s="210"/>
      <c r="IR4" s="161" t="s">
        <v>27</v>
      </c>
    </row>
    <row r="5" spans="1:252" x14ac:dyDescent="0.3">
      <c r="A5" s="210" t="str">
        <f>ID!A6</f>
        <v xml:space="preserve">No. Seri         </v>
      </c>
      <c r="B5" s="210"/>
      <c r="C5" s="210"/>
      <c r="D5" s="208" t="s">
        <v>0</v>
      </c>
      <c r="E5" s="208" t="s">
        <v>0</v>
      </c>
      <c r="F5" s="210" t="str">
        <f>ID!C6</f>
        <v>D11-18-047</v>
      </c>
      <c r="G5" s="210"/>
      <c r="H5" s="210"/>
      <c r="I5" s="210"/>
    </row>
    <row r="6" spans="1:252" x14ac:dyDescent="0.3">
      <c r="A6" s="210" t="str">
        <f>ID!A7</f>
        <v>Resolusi</v>
      </c>
      <c r="B6" s="210"/>
      <c r="C6" s="210"/>
      <c r="D6" s="208"/>
      <c r="E6" s="208" t="s">
        <v>0</v>
      </c>
      <c r="F6" s="210">
        <f>ID!C7</f>
        <v>-5.0000000000000001E-3</v>
      </c>
      <c r="G6" s="208" t="str">
        <f>ID!D7</f>
        <v>(mmHg)</v>
      </c>
      <c r="H6" s="208"/>
      <c r="I6" s="208"/>
    </row>
    <row r="7" spans="1:252" x14ac:dyDescent="0.3">
      <c r="A7" s="210" t="str">
        <f>ID!A8</f>
        <v>Tanggal Penerimaan Alat</v>
      </c>
      <c r="D7" s="204"/>
      <c r="E7" s="204" t="s">
        <v>0</v>
      </c>
      <c r="F7" s="1772">
        <f>ID!C8</f>
        <v>44631</v>
      </c>
      <c r="G7" s="1772"/>
      <c r="H7" s="208"/>
      <c r="I7" s="208"/>
    </row>
    <row r="8" spans="1:252" x14ac:dyDescent="0.3">
      <c r="A8" s="210" t="str">
        <f>ID!A9</f>
        <v>Tanggal Kalibrasi</v>
      </c>
      <c r="B8" s="208"/>
      <c r="C8" s="208"/>
      <c r="D8" s="208" t="s">
        <v>0</v>
      </c>
      <c r="E8" s="208" t="s">
        <v>0</v>
      </c>
      <c r="F8" s="1772" t="str">
        <f>ID!C9</f>
        <v>11 Maret 2022</v>
      </c>
      <c r="G8" s="1772"/>
      <c r="H8" s="210"/>
      <c r="I8" s="210"/>
    </row>
    <row r="9" spans="1:252" x14ac:dyDescent="0.3">
      <c r="A9" s="210" t="str">
        <f>ID!A10</f>
        <v>Tempat Kalibrasi</v>
      </c>
      <c r="B9" s="208"/>
      <c r="C9" s="208"/>
      <c r="D9" s="208" t="s">
        <v>0</v>
      </c>
      <c r="E9" s="208" t="s">
        <v>0</v>
      </c>
      <c r="F9" s="210" t="str">
        <f>ID!C10</f>
        <v>Ruang Bersalin</v>
      </c>
      <c r="G9" s="208"/>
      <c r="H9" s="208"/>
      <c r="I9" s="208"/>
    </row>
    <row r="10" spans="1:252" x14ac:dyDescent="0.3">
      <c r="A10" s="210" t="str">
        <f>ID!A11</f>
        <v>Nama Ruang</v>
      </c>
      <c r="B10" s="210"/>
      <c r="C10" s="210"/>
      <c r="D10" s="208"/>
      <c r="E10" s="208" t="s">
        <v>0</v>
      </c>
      <c r="F10" s="210" t="str">
        <f>ID!C11</f>
        <v>Ruang Bersalin</v>
      </c>
      <c r="G10" s="208"/>
      <c r="H10" s="208"/>
      <c r="I10" s="208"/>
    </row>
    <row r="11" spans="1:252" x14ac:dyDescent="0.3">
      <c r="A11" s="210" t="s">
        <v>18</v>
      </c>
      <c r="B11" s="210"/>
      <c r="C11" s="210"/>
      <c r="D11" s="208"/>
      <c r="E11" s="208" t="s">
        <v>0</v>
      </c>
      <c r="F11" s="211" t="s">
        <v>244</v>
      </c>
      <c r="G11" s="208"/>
      <c r="H11" s="208"/>
      <c r="I11" s="208"/>
    </row>
    <row r="12" spans="1:252" ht="5.25" customHeight="1" x14ac:dyDescent="0.3">
      <c r="A12" s="210"/>
      <c r="B12" s="210"/>
      <c r="C12" s="210"/>
      <c r="D12" s="208"/>
      <c r="E12" s="208"/>
      <c r="F12" s="207"/>
      <c r="G12" s="208"/>
      <c r="H12" s="208"/>
      <c r="I12" s="208"/>
    </row>
    <row r="13" spans="1:252" x14ac:dyDescent="0.3">
      <c r="A13" s="212" t="str">
        <f>LH!A13</f>
        <v>I.</v>
      </c>
      <c r="B13" s="213" t="str">
        <f>LH!B13</f>
        <v>Kondisi Ruang</v>
      </c>
      <c r="C13" s="214"/>
      <c r="D13" s="214"/>
      <c r="E13" s="214"/>
      <c r="F13" s="214"/>
      <c r="G13" s="214"/>
      <c r="H13" s="208"/>
      <c r="I13" s="208"/>
    </row>
    <row r="14" spans="1:252" x14ac:dyDescent="0.3">
      <c r="A14" s="210"/>
      <c r="B14" s="1824" t="s">
        <v>15</v>
      </c>
      <c r="C14" s="1824"/>
      <c r="D14" s="208" t="s">
        <v>0</v>
      </c>
      <c r="E14" s="208" t="s">
        <v>0</v>
      </c>
      <c r="F14" s="758">
        <f>ID!F24</f>
        <v>24.700001</v>
      </c>
      <c r="G14" s="839" t="s">
        <v>771</v>
      </c>
      <c r="H14" s="444">
        <f>'SERTIFIKAT THERMOHYGROMETER'!V22</f>
        <v>0.3</v>
      </c>
      <c r="I14" s="210" t="str">
        <f>ID!G24</f>
        <v xml:space="preserve"> ˚C</v>
      </c>
      <c r="R14" s="840"/>
      <c r="S14" s="841"/>
      <c r="U14" s="103"/>
      <c r="V14" s="102"/>
      <c r="W14" s="102"/>
      <c r="X14" s="102"/>
      <c r="Y14" s="102"/>
    </row>
    <row r="15" spans="1:252" x14ac:dyDescent="0.3">
      <c r="A15" s="210"/>
      <c r="B15" s="1824" t="s">
        <v>23</v>
      </c>
      <c r="C15" s="1824"/>
      <c r="D15" s="208" t="s">
        <v>0</v>
      </c>
      <c r="E15" s="208" t="s">
        <v>0</v>
      </c>
      <c r="F15" s="758">
        <f>ID!F25</f>
        <v>81.455999999999989</v>
      </c>
      <c r="G15" s="839" t="s">
        <v>771</v>
      </c>
      <c r="H15" s="444">
        <f>'SERTIFIKAT THERMOHYGROMETER'!Y22</f>
        <v>2.8</v>
      </c>
      <c r="I15" s="210" t="str">
        <f>ID!G25</f>
        <v xml:space="preserve"> % RH</v>
      </c>
      <c r="R15" s="840"/>
      <c r="S15" s="842"/>
      <c r="U15" s="843"/>
      <c r="V15" s="844"/>
      <c r="Y15" s="845"/>
    </row>
    <row r="16" spans="1:252" x14ac:dyDescent="0.3">
      <c r="A16" s="210"/>
      <c r="B16" s="215" t="s">
        <v>245</v>
      </c>
      <c r="C16" s="210"/>
      <c r="D16" s="208"/>
      <c r="E16" s="216" t="s">
        <v>0</v>
      </c>
      <c r="F16" s="758">
        <f>ID!F27</f>
        <v>1006.9</v>
      </c>
      <c r="G16" s="839" t="s">
        <v>771</v>
      </c>
      <c r="H16" s="445">
        <f>'SERTIFIKAT THERMOHYGROMETER'!AD22</f>
        <v>2.1</v>
      </c>
      <c r="I16" s="210" t="str">
        <f>ID!G27</f>
        <v xml:space="preserve"> hPa</v>
      </c>
      <c r="R16" s="846"/>
      <c r="S16" s="847"/>
      <c r="V16" s="848"/>
      <c r="W16" s="849"/>
    </row>
    <row r="17" spans="1:38" ht="16.5" customHeight="1" x14ac:dyDescent="0.3">
      <c r="A17" s="210"/>
      <c r="B17" s="173" t="s">
        <v>246</v>
      </c>
      <c r="C17" s="173"/>
      <c r="D17" s="173"/>
      <c r="E17" s="173" t="s">
        <v>0</v>
      </c>
      <c r="F17" s="758">
        <f>ID!F26</f>
        <v>199.75</v>
      </c>
      <c r="G17" s="839" t="s">
        <v>771</v>
      </c>
      <c r="H17" s="850">
        <f>'ESA VOLT'!O17</f>
        <v>2.88</v>
      </c>
      <c r="I17" s="210" t="str">
        <f>ID!G26</f>
        <v xml:space="preserve"> Volt</v>
      </c>
    </row>
    <row r="18" spans="1:38" x14ac:dyDescent="0.3">
      <c r="A18" s="217" t="str">
        <f>LH!A18</f>
        <v>II.</v>
      </c>
      <c r="B18" s="109" t="str">
        <f>LH!B18</f>
        <v>Pemeriksaan Kondisi Fisik dan Fungsi Alat</v>
      </c>
      <c r="C18" s="218"/>
      <c r="D18" s="218"/>
      <c r="E18" s="218"/>
      <c r="F18" s="218"/>
      <c r="G18" s="218"/>
      <c r="H18" s="218"/>
    </row>
    <row r="19" spans="1:38" x14ac:dyDescent="0.3">
      <c r="B19" s="161" t="s">
        <v>28</v>
      </c>
      <c r="D19" s="161" t="s">
        <v>29</v>
      </c>
      <c r="E19" s="161" t="s">
        <v>0</v>
      </c>
      <c r="F19" s="219" t="str">
        <f>ID!C30</f>
        <v>Baik</v>
      </c>
      <c r="P19" s="220">
        <f>IF(F19="Baik",5,IF(F19="Tidak Baik",0))</f>
        <v>5</v>
      </c>
      <c r="Q19" s="851"/>
    </row>
    <row r="20" spans="1:38" x14ac:dyDescent="0.3">
      <c r="B20" s="161" t="s">
        <v>30</v>
      </c>
      <c r="D20" s="161" t="s">
        <v>29</v>
      </c>
      <c r="E20" s="161" t="s">
        <v>0</v>
      </c>
      <c r="F20" s="219" t="str">
        <f>ID!C31</f>
        <v>Baik</v>
      </c>
      <c r="P20" s="220">
        <f>IF(F20="Baik",5,IF(F20="Tidak Baik",0))</f>
        <v>5</v>
      </c>
      <c r="Q20" s="851"/>
      <c r="AD20" s="1773"/>
      <c r="AE20" s="1773"/>
      <c r="AF20" s="1773"/>
      <c r="AG20" s="1773"/>
      <c r="AH20" s="1773"/>
      <c r="AI20" s="1773"/>
      <c r="AJ20" s="1773"/>
      <c r="AK20" s="1773"/>
      <c r="AL20" s="1773"/>
    </row>
    <row r="21" spans="1:38" ht="6.75" customHeight="1" x14ac:dyDescent="0.3">
      <c r="F21" s="219"/>
      <c r="P21" s="221"/>
    </row>
    <row r="22" spans="1:38" s="173" customFormat="1" x14ac:dyDescent="0.2">
      <c r="A22" s="222" t="str">
        <f>LH!A22</f>
        <v>III.</v>
      </c>
      <c r="B22" s="101" t="str">
        <f>LH!B22</f>
        <v>Pengujian Keselamatan Listrik</v>
      </c>
      <c r="C22" s="223"/>
      <c r="D22" s="223"/>
      <c r="E22" s="223"/>
      <c r="F22" s="223"/>
      <c r="G22" s="223"/>
      <c r="P22" s="224"/>
      <c r="R22" s="249"/>
    </row>
    <row r="23" spans="1:38" s="102" customFormat="1" ht="30" customHeight="1" x14ac:dyDescent="0.25">
      <c r="B23" s="1763" t="s">
        <v>46</v>
      </c>
      <c r="C23" s="1764"/>
      <c r="D23" s="1764"/>
      <c r="E23" s="1764"/>
      <c r="F23" s="1764"/>
      <c r="G23" s="1764"/>
      <c r="H23" s="1765"/>
      <c r="I23" s="766" t="s">
        <v>157</v>
      </c>
      <c r="J23" s="763" t="s">
        <v>205</v>
      </c>
      <c r="K23" s="1770"/>
      <c r="L23" s="1771"/>
      <c r="P23" s="225"/>
      <c r="S23" s="103"/>
      <c r="T23" s="103" t="s">
        <v>781</v>
      </c>
      <c r="U23" s="1775"/>
      <c r="V23" s="1775"/>
      <c r="W23" s="1775"/>
      <c r="X23" s="1775"/>
      <c r="Y23" s="1775"/>
    </row>
    <row r="24" spans="1:38" s="102" customFormat="1" ht="18" customHeight="1" x14ac:dyDescent="0.3">
      <c r="B24" s="226" t="str">
        <f>ID!A35</f>
        <v>Resistansi isolasi (MΩ)</v>
      </c>
      <c r="C24" s="227"/>
      <c r="D24" s="227"/>
      <c r="E24" s="227"/>
      <c r="F24" s="227"/>
      <c r="G24" s="228"/>
      <c r="H24" s="104"/>
      <c r="I24" s="751" t="str">
        <f>ID!L35</f>
        <v>OL</v>
      </c>
      <c r="J24" s="762" t="s">
        <v>276</v>
      </c>
      <c r="K24" s="1849"/>
      <c r="L24" s="1850"/>
      <c r="P24" s="1846">
        <f ca="1">IF(ID!A87="Catu daya menggunakan baterai",40,Z26)</f>
        <v>40</v>
      </c>
      <c r="Q24" s="58"/>
      <c r="R24" s="852">
        <f>IF(J24="&gt; 2 MΩ",2,1.99999)</f>
        <v>2</v>
      </c>
      <c r="S24" s="58"/>
      <c r="T24" s="220">
        <f>IF(I24="OL",10,IF(I24="-",10,IF(I24&gt;R24,10,0)))</f>
        <v>10</v>
      </c>
      <c r="U24" s="1842" t="s">
        <v>851</v>
      </c>
      <c r="V24" s="1843"/>
      <c r="W24" s="1843"/>
      <c r="X24" s="1843"/>
      <c r="Y24" s="1844"/>
      <c r="Z24" s="853">
        <f ca="1">IF(OR(I26&lt;=R26,I26="-",T26=20),SUM(T24:T26),0)</f>
        <v>40</v>
      </c>
      <c r="AA24" s="58"/>
      <c r="AB24" s="58"/>
      <c r="AC24" s="854"/>
      <c r="AD24" s="72"/>
      <c r="AE24" s="72"/>
      <c r="AF24" s="72"/>
      <c r="AG24" s="72"/>
      <c r="AI24" s="72"/>
      <c r="AJ24" s="58"/>
    </row>
    <row r="25" spans="1:38" s="102" customFormat="1" x14ac:dyDescent="0.3">
      <c r="B25" s="226" t="str">
        <f>ID!A36</f>
        <v>Resistansi pembumian protektif (kabel dapat dilepas) (Ω)</v>
      </c>
      <c r="C25" s="227"/>
      <c r="D25" s="227"/>
      <c r="E25" s="227"/>
      <c r="F25" s="227"/>
      <c r="G25" s="229"/>
      <c r="H25" s="104"/>
      <c r="I25" s="752">
        <f>ID!L36</f>
        <v>0.1</v>
      </c>
      <c r="J25" s="762" t="str">
        <f ca="1">ID!N36</f>
        <v>≤ 0.2 Ω</v>
      </c>
      <c r="K25" s="1766"/>
      <c r="L25" s="1767"/>
      <c r="P25" s="1847"/>
      <c r="Q25" s="58"/>
      <c r="R25" s="852">
        <f ca="1">IF(J25="≤ 0.3 Ω",0.3,0.2)</f>
        <v>0.2</v>
      </c>
      <c r="S25" s="58"/>
      <c r="T25" s="220">
        <f ca="1">IF(I25="OL",10,IF(I25="-",10,IF(I25&lt;=R25,10,0)))</f>
        <v>10</v>
      </c>
      <c r="U25" s="1842" t="s">
        <v>852</v>
      </c>
      <c r="V25" s="1843"/>
      <c r="W25" s="1843"/>
      <c r="X25" s="1843"/>
      <c r="Y25" s="1844"/>
      <c r="Z25" s="853">
        <f ca="1">IF(AND(I26&gt;R26,T26=20),0,IF(I26="-",20,SUM(T24:T26)))</f>
        <v>40</v>
      </c>
      <c r="AA25" s="58"/>
      <c r="AB25" s="58"/>
      <c r="AC25" s="854"/>
      <c r="AD25" s="58"/>
      <c r="AE25" s="58"/>
      <c r="AF25" s="58"/>
      <c r="AG25" s="58"/>
      <c r="AI25" s="58"/>
      <c r="AJ25" s="58"/>
    </row>
    <row r="26" spans="1:38" s="102" customFormat="1" ht="15.75" customHeight="1" x14ac:dyDescent="0.3">
      <c r="B26" s="226" t="str">
        <f>ID!A37</f>
        <v>Arus bocor peralatan untuk peralatan elektromedik kelas I (µA)</v>
      </c>
      <c r="C26" s="227"/>
      <c r="D26" s="227"/>
      <c r="E26" s="227"/>
      <c r="F26" s="227"/>
      <c r="G26" s="228"/>
      <c r="H26" s="765"/>
      <c r="I26" s="751">
        <f>ID!L37</f>
        <v>120</v>
      </c>
      <c r="J26" s="762" t="str">
        <f>ID!N37</f>
        <v>≤ 500 µA</v>
      </c>
      <c r="K26" s="1851"/>
      <c r="L26" s="1852"/>
      <c r="P26" s="1848"/>
      <c r="Q26" s="58"/>
      <c r="R26" s="852">
        <f>IF(J26="≤ 500 μA",100,500)</f>
        <v>500</v>
      </c>
      <c r="S26" s="58"/>
      <c r="T26" s="220">
        <f>IF(I26="OL",20,IF(I26="-",0,IF(I26&lt;=R26,20,IF(ID!V36&lt;=100,20,0))))</f>
        <v>20</v>
      </c>
      <c r="U26" s="1845"/>
      <c r="V26" s="1845"/>
      <c r="W26" s="1845"/>
      <c r="X26" s="1845"/>
      <c r="Y26" s="1845"/>
      <c r="Z26" s="1776">
        <f ca="1">IF(B26=U24,Z24,IF(U25=B26,Z25,"PERBAIKI Z2425"))</f>
        <v>40</v>
      </c>
      <c r="AA26" s="58"/>
      <c r="AB26" s="58"/>
      <c r="AC26" s="854"/>
      <c r="AD26" s="58"/>
      <c r="AE26" s="58"/>
      <c r="AF26" s="58"/>
      <c r="AG26" s="58"/>
      <c r="AI26" s="58"/>
      <c r="AJ26" s="58"/>
    </row>
    <row r="27" spans="1:38" s="173" customFormat="1" ht="15.75" hidden="1" customHeight="1" x14ac:dyDescent="0.2">
      <c r="A27" s="101"/>
      <c r="B27" s="223"/>
      <c r="C27" s="223"/>
      <c r="D27" s="223"/>
      <c r="E27" s="223"/>
      <c r="F27" s="223"/>
      <c r="G27" s="223"/>
      <c r="N27" s="230">
        <f>IF(ID!G38="OL",10,IF(ID!G38="-",10,IF(I27&gt;2,10,0)))</f>
        <v>0</v>
      </c>
      <c r="O27" s="231"/>
      <c r="P27" s="232"/>
      <c r="Z27" s="1776"/>
    </row>
    <row r="28" spans="1:38" s="173" customFormat="1" ht="15.75" hidden="1" customHeight="1" x14ac:dyDescent="0.2">
      <c r="A28" s="101"/>
      <c r="B28" s="223"/>
      <c r="C28" s="223"/>
      <c r="D28" s="223"/>
      <c r="E28" s="223"/>
      <c r="F28" s="223"/>
      <c r="G28" s="223"/>
      <c r="N28" s="230">
        <f>IF(ID!G39="OL",10,IF(ID!G39="-",10,IF(I28&gt;2,10,0)))</f>
        <v>0</v>
      </c>
      <c r="O28" s="231"/>
      <c r="P28" s="232"/>
      <c r="Z28" s="1776"/>
    </row>
    <row r="29" spans="1:38" s="173" customFormat="1" ht="15.75" hidden="1" customHeight="1" x14ac:dyDescent="0.2">
      <c r="A29" s="101"/>
      <c r="B29" s="223"/>
      <c r="C29" s="223"/>
      <c r="D29" s="223"/>
      <c r="E29" s="223"/>
      <c r="F29" s="223"/>
      <c r="G29" s="223"/>
      <c r="N29" s="230">
        <f>IF(ID!G40="OL",10,IF(ID!G40="-",10,IF(I29&gt;2,10,0)))</f>
        <v>0</v>
      </c>
      <c r="O29" s="231"/>
      <c r="P29" s="232"/>
      <c r="Z29" s="855"/>
    </row>
    <row r="30" spans="1:38" s="173" customFormat="1" ht="15.75" hidden="1" customHeight="1" x14ac:dyDescent="0.2">
      <c r="A30" s="101"/>
      <c r="B30" s="223"/>
      <c r="C30" s="223"/>
      <c r="D30" s="223"/>
      <c r="E30" s="223"/>
      <c r="F30" s="223"/>
      <c r="G30" s="223"/>
      <c r="N30" s="230">
        <f>IF(ID!G41="OL",10,IF(ID!G41="-",10,IF(I30&gt;2,10,0)))</f>
        <v>0</v>
      </c>
      <c r="O30" s="231"/>
      <c r="P30" s="232"/>
      <c r="Z30" s="855"/>
    </row>
    <row r="31" spans="1:38" s="173" customFormat="1" ht="15.75" hidden="1" customHeight="1" x14ac:dyDescent="0.2">
      <c r="A31" s="101"/>
      <c r="B31" s="223"/>
      <c r="C31" s="223"/>
      <c r="D31" s="223"/>
      <c r="E31" s="223"/>
      <c r="F31" s="223"/>
      <c r="G31" s="223"/>
      <c r="N31" s="230">
        <f>IF(ID!G42="OL",10,IF(ID!G42="-",10,IF(I31&gt;2,10,0)))</f>
        <v>0</v>
      </c>
      <c r="O31" s="231"/>
      <c r="P31" s="232"/>
      <c r="Z31" s="855"/>
    </row>
    <row r="32" spans="1:38" s="173" customFormat="1" ht="19.5" hidden="1" customHeight="1" x14ac:dyDescent="0.2">
      <c r="A32" s="1768"/>
      <c r="B32" s="1853" t="s">
        <v>193</v>
      </c>
      <c r="C32" s="1787" t="s">
        <v>46</v>
      </c>
      <c r="D32" s="1788"/>
      <c r="E32" s="1788"/>
      <c r="F32" s="1788"/>
      <c r="G32" s="1788"/>
      <c r="H32" s="1789"/>
      <c r="I32" s="1799" t="s">
        <v>157</v>
      </c>
      <c r="J32" s="1799" t="s">
        <v>158</v>
      </c>
      <c r="K32" s="233"/>
      <c r="N32" s="230">
        <f>IF(ID!G43="OL",10,IF(ID!G43="-",10,IF(I32&gt;2,10,0)))</f>
        <v>10</v>
      </c>
      <c r="O32" s="231"/>
      <c r="P32" s="232"/>
      <c r="T32" s="856"/>
      <c r="Z32" s="855"/>
    </row>
    <row r="33" spans="1:29" s="173" customFormat="1" ht="15.75" hidden="1" customHeight="1" x14ac:dyDescent="0.2">
      <c r="A33" s="1768"/>
      <c r="B33" s="1854"/>
      <c r="C33" s="1790"/>
      <c r="D33" s="1791"/>
      <c r="E33" s="1791"/>
      <c r="F33" s="1791"/>
      <c r="G33" s="1791"/>
      <c r="H33" s="1792"/>
      <c r="I33" s="1800"/>
      <c r="J33" s="1800"/>
      <c r="K33" s="233"/>
      <c r="N33" s="230">
        <f>IF(ID!G44="OL",10,IF(ID!G44="-",10,IF(I33&gt;2,10,0)))</f>
        <v>0</v>
      </c>
      <c r="O33" s="231"/>
      <c r="P33" s="232"/>
      <c r="T33" s="856"/>
      <c r="U33" s="855" t="s">
        <v>199</v>
      </c>
      <c r="Z33" s="855"/>
    </row>
    <row r="34" spans="1:29" s="173" customFormat="1" ht="15.75" hidden="1" customHeight="1" x14ac:dyDescent="0.2">
      <c r="A34" s="234"/>
      <c r="B34" s="235">
        <v>1</v>
      </c>
      <c r="C34" s="236" t="s">
        <v>194</v>
      </c>
      <c r="D34" s="236"/>
      <c r="E34" s="236"/>
      <c r="F34" s="236"/>
      <c r="G34" s="236"/>
      <c r="H34" s="237"/>
      <c r="I34" s="238">
        <f ca="1">ID!L47</f>
        <v>0.10102040816326531</v>
      </c>
      <c r="J34" s="239" t="s">
        <v>169</v>
      </c>
      <c r="K34" s="240"/>
      <c r="N34" s="230">
        <f ca="1">IF(ID!G45="OL",10,IF(ID!G45="-",10,IF(I34&gt;2,10,0)))</f>
        <v>0</v>
      </c>
      <c r="O34" s="231"/>
      <c r="P34" s="232"/>
      <c r="R34" s="173" t="s">
        <v>200</v>
      </c>
      <c r="T34" s="855"/>
      <c r="U34" s="857">
        <f ca="1">IF(R35&gt;=0,PENYELIA!R35,"-")</f>
        <v>7.96</v>
      </c>
      <c r="Z34" s="855"/>
    </row>
    <row r="35" spans="1:29" s="173" customFormat="1" ht="15.75" hidden="1" customHeight="1" x14ac:dyDescent="0.3">
      <c r="A35" s="234"/>
      <c r="B35" s="235">
        <v>2</v>
      </c>
      <c r="C35" s="236" t="s">
        <v>195</v>
      </c>
      <c r="D35" s="236"/>
      <c r="E35" s="236"/>
      <c r="F35" s="236"/>
      <c r="G35" s="236"/>
      <c r="H35" s="237"/>
      <c r="I35" s="241">
        <f ca="1">IF(U34=0,"-",ID!P53)</f>
        <v>7.96</v>
      </c>
      <c r="J35" s="242" t="s">
        <v>170</v>
      </c>
      <c r="K35" s="243"/>
      <c r="N35" s="230">
        <f ca="1">IF(ID!G46="OL",10,IF(ID!G46="-",10,IF(I35&gt;2,10,0)))</f>
        <v>10</v>
      </c>
      <c r="O35" s="231"/>
      <c r="P35" s="232"/>
      <c r="R35" s="858">
        <f ca="1">MAX(ID!L47:L53)</f>
        <v>7.96</v>
      </c>
      <c r="T35" s="855"/>
      <c r="U35" s="161"/>
      <c r="V35" s="161"/>
      <c r="W35" s="161"/>
      <c r="X35" s="161"/>
      <c r="Y35" s="161"/>
      <c r="Z35" s="219"/>
    </row>
    <row r="36" spans="1:29" ht="9" hidden="1" customHeight="1" x14ac:dyDescent="0.3">
      <c r="A36" s="1794"/>
      <c r="B36" s="1794"/>
      <c r="C36" s="1794"/>
      <c r="D36" s="1794"/>
      <c r="E36" s="1794"/>
      <c r="F36" s="1794"/>
      <c r="G36" s="1794"/>
      <c r="H36" s="208"/>
      <c r="I36" s="208"/>
      <c r="N36" s="230">
        <f>IF(ID!G47="OL",10,IF(ID!G47="-",10,IF(I36&gt;2,10,0)))</f>
        <v>0</v>
      </c>
      <c r="O36" s="231"/>
      <c r="P36" s="232"/>
      <c r="Z36" s="219"/>
    </row>
    <row r="37" spans="1:29" ht="15.75" hidden="1" customHeight="1" x14ac:dyDescent="0.3">
      <c r="A37" s="213" t="s">
        <v>2</v>
      </c>
      <c r="B37" s="213" t="s">
        <v>81</v>
      </c>
      <c r="C37" s="244"/>
      <c r="D37" s="244"/>
      <c r="E37" s="244"/>
      <c r="F37" s="244"/>
      <c r="G37" s="771"/>
      <c r="H37" s="208"/>
      <c r="I37" s="208"/>
      <c r="N37" s="230">
        <f>IF(ID!G48="OL",10,IF(ID!G48="-",10,IF(I37&gt;2,10,0)))</f>
        <v>0</v>
      </c>
      <c r="O37" s="231"/>
      <c r="P37" s="232"/>
      <c r="Z37" s="219"/>
    </row>
    <row r="38" spans="1:29" ht="15.75" hidden="1" customHeight="1" x14ac:dyDescent="0.3">
      <c r="A38" s="210"/>
      <c r="B38" s="1813" t="s">
        <v>46</v>
      </c>
      <c r="C38" s="1814"/>
      <c r="D38" s="1814"/>
      <c r="E38" s="1815"/>
      <c r="F38" s="1777" t="s">
        <v>71</v>
      </c>
      <c r="G38" s="1778"/>
      <c r="H38" s="1786" t="s">
        <v>32</v>
      </c>
      <c r="N38" s="230">
        <f>IF(ID!G49="OL",10,IF(ID!G49="-",10,IF(I38&gt;2,10,0)))</f>
        <v>0</v>
      </c>
      <c r="O38" s="231"/>
      <c r="P38" s="232"/>
      <c r="Z38" s="219"/>
    </row>
    <row r="39" spans="1:29" ht="15.75" hidden="1" customHeight="1" x14ac:dyDescent="0.3">
      <c r="A39" s="210"/>
      <c r="B39" s="1816"/>
      <c r="C39" s="1817"/>
      <c r="D39" s="1817"/>
      <c r="E39" s="1818"/>
      <c r="F39" s="1805"/>
      <c r="G39" s="1806"/>
      <c r="H39" s="1837"/>
      <c r="N39" s="230">
        <f>IF(ID!G50="OL",10,IF(ID!G50="-",10,IF(I39&gt;2,10,0)))</f>
        <v>0</v>
      </c>
      <c r="O39" s="231"/>
      <c r="P39" s="232"/>
      <c r="Z39" s="219"/>
    </row>
    <row r="40" spans="1:29" ht="15.75" hidden="1" customHeight="1" x14ac:dyDescent="0.3">
      <c r="A40" s="210"/>
      <c r="B40" s="1793" t="s">
        <v>6</v>
      </c>
      <c r="C40" s="1794"/>
      <c r="D40" s="1794"/>
      <c r="E40" s="1795"/>
      <c r="F40" s="1793" t="s">
        <v>6</v>
      </c>
      <c r="G40" s="1795"/>
      <c r="H40" s="245" t="s">
        <v>6</v>
      </c>
      <c r="N40" s="230">
        <f>IF(ID!G51="OL",10,IF(ID!G51="-",10,IF(I40&gt;2,10,0)))</f>
        <v>0</v>
      </c>
      <c r="O40" s="231"/>
      <c r="P40" s="232"/>
      <c r="Z40" s="219"/>
    </row>
    <row r="41" spans="1:29" ht="19.5" hidden="1" customHeight="1" x14ac:dyDescent="0.3">
      <c r="A41" s="210"/>
      <c r="B41" s="1794"/>
      <c r="C41" s="1794"/>
      <c r="D41" s="1794"/>
      <c r="E41" s="1794"/>
      <c r="F41" s="1812"/>
      <c r="G41" s="1812"/>
      <c r="H41" s="246"/>
      <c r="N41" s="247">
        <f>IF(ID!G52="OL",10,IF(ID!G52="-",10,IF(I41&gt;2,10,0)))</f>
        <v>0</v>
      </c>
      <c r="O41" s="231"/>
      <c r="P41" s="232"/>
      <c r="U41" s="1774" t="s">
        <v>322</v>
      </c>
      <c r="V41" s="1774"/>
      <c r="W41" s="1774"/>
      <c r="X41" s="1774"/>
      <c r="Y41" s="1774"/>
      <c r="Z41" s="219">
        <v>2</v>
      </c>
    </row>
    <row r="42" spans="1:29" ht="18" customHeight="1" x14ac:dyDescent="0.3">
      <c r="A42" s="95" t="str">
        <f>LH!A43</f>
        <v>IV.</v>
      </c>
      <c r="B42" s="98" t="str">
        <f>LH!B43</f>
        <v>Pengujian Kinerja</v>
      </c>
      <c r="C42" s="214"/>
      <c r="D42" s="771"/>
      <c r="E42" s="771"/>
      <c r="F42" s="771"/>
      <c r="G42" s="771"/>
      <c r="H42" s="208"/>
      <c r="I42" s="208"/>
      <c r="N42" s="248"/>
      <c r="O42" s="248"/>
      <c r="P42" s="249"/>
      <c r="Z42" s="859"/>
    </row>
    <row r="43" spans="1:29" ht="22.5" customHeight="1" x14ac:dyDescent="0.3">
      <c r="A43" s="250"/>
      <c r="B43" s="251" t="str">
        <f>LH!B44</f>
        <v>A. Pengukuran Akurasi Vacuum Gauge</v>
      </c>
      <c r="C43" s="250"/>
      <c r="D43" s="250"/>
      <c r="E43" s="250"/>
      <c r="F43" s="250"/>
      <c r="G43" s="250"/>
      <c r="H43" s="208"/>
      <c r="I43" s="208"/>
      <c r="P43" s="221"/>
    </row>
    <row r="44" spans="1:29" ht="15.75" customHeight="1" x14ac:dyDescent="0.3">
      <c r="A44" s="210"/>
      <c r="B44" s="1796" t="s">
        <v>5</v>
      </c>
      <c r="C44" s="1796" t="s">
        <v>19</v>
      </c>
      <c r="D44" s="1796"/>
      <c r="E44" s="1796"/>
      <c r="F44" s="1777" t="s">
        <v>20</v>
      </c>
      <c r="G44" s="1778"/>
      <c r="H44" s="1781" t="s">
        <v>42</v>
      </c>
      <c r="I44" s="1782"/>
      <c r="J44" s="1781" t="s">
        <v>309</v>
      </c>
      <c r="K44" s="1782"/>
      <c r="L44" s="768" t="s">
        <v>32</v>
      </c>
      <c r="M44" s="1785" t="s">
        <v>287</v>
      </c>
      <c r="N44" s="1786"/>
      <c r="O44" s="252"/>
      <c r="P44" s="253"/>
      <c r="R44" s="1785" t="s">
        <v>315</v>
      </c>
      <c r="S44" s="1786"/>
    </row>
    <row r="45" spans="1:29" x14ac:dyDescent="0.3">
      <c r="A45" s="210"/>
      <c r="B45" s="1810"/>
      <c r="C45" s="1810" t="s">
        <v>7</v>
      </c>
      <c r="D45" s="1810"/>
      <c r="E45" s="1810"/>
      <c r="F45" s="1779"/>
      <c r="G45" s="1780"/>
      <c r="H45" s="1783"/>
      <c r="I45" s="1784"/>
      <c r="J45" s="1783"/>
      <c r="K45" s="1784"/>
      <c r="L45" s="254"/>
      <c r="M45" s="1786"/>
      <c r="N45" s="1786"/>
      <c r="O45" s="252"/>
      <c r="P45" s="253"/>
      <c r="R45" s="1837"/>
      <c r="S45" s="1837"/>
      <c r="T45" s="860"/>
      <c r="U45" s="1838" t="s">
        <v>316</v>
      </c>
      <c r="V45" s="1839"/>
    </row>
    <row r="46" spans="1:29" ht="15.75" customHeight="1" x14ac:dyDescent="0.3">
      <c r="A46" s="210"/>
      <c r="B46" s="1810"/>
      <c r="C46" s="1756" t="str">
        <f>ID!O60</f>
        <v>(mmHg)</v>
      </c>
      <c r="D46" s="1757"/>
      <c r="E46" s="1758"/>
      <c r="F46" s="255" t="s">
        <v>247</v>
      </c>
      <c r="G46" s="255" t="s">
        <v>248</v>
      </c>
      <c r="H46" s="255" t="s">
        <v>247</v>
      </c>
      <c r="I46" s="255" t="s">
        <v>248</v>
      </c>
      <c r="J46" s="254" t="str">
        <f>F46</f>
        <v>Naik</v>
      </c>
      <c r="K46" s="254" t="str">
        <f>G46</f>
        <v>Turun</v>
      </c>
      <c r="L46" s="254"/>
      <c r="M46" s="770" t="str">
        <f>J46</f>
        <v>Naik</v>
      </c>
      <c r="N46" s="256" t="str">
        <f>K46</f>
        <v>Turun</v>
      </c>
      <c r="O46" s="257"/>
      <c r="P46" s="221"/>
      <c r="R46" s="769" t="str">
        <f>F46</f>
        <v>Naik</v>
      </c>
      <c r="S46" s="861" t="str">
        <f>G46</f>
        <v>Turun</v>
      </c>
      <c r="T46" s="860"/>
      <c r="U46" s="1840"/>
      <c r="V46" s="1841"/>
    </row>
    <row r="47" spans="1:29" x14ac:dyDescent="0.3">
      <c r="A47" s="210"/>
      <c r="B47" s="1811"/>
      <c r="C47" s="1759"/>
      <c r="D47" s="1760"/>
      <c r="E47" s="1761"/>
      <c r="F47" s="772" t="str">
        <f>C46</f>
        <v>(mmHg)</v>
      </c>
      <c r="G47" s="772" t="str">
        <f>F47</f>
        <v>(mmHg)</v>
      </c>
      <c r="H47" s="772" t="str">
        <f>G47</f>
        <v>(mmHg)</v>
      </c>
      <c r="I47" s="772" t="str">
        <f>H47</f>
        <v>(mmHg)</v>
      </c>
      <c r="J47" s="258" t="str">
        <f>M47</f>
        <v>(%)</v>
      </c>
      <c r="K47" s="772" t="str">
        <f>J47</f>
        <v>(%)</v>
      </c>
      <c r="L47" s="772" t="s">
        <v>142</v>
      </c>
      <c r="M47" s="259" t="str">
        <f>ID!O61</f>
        <v>(%)</v>
      </c>
      <c r="N47" s="260" t="str">
        <f>M47</f>
        <v>(%)</v>
      </c>
      <c r="O47" s="261"/>
      <c r="P47" s="262"/>
      <c r="R47" s="259" t="str">
        <f>ID!O61</f>
        <v>(%)</v>
      </c>
      <c r="S47" s="260" t="str">
        <f>R47</f>
        <v>(%)</v>
      </c>
      <c r="T47" s="860"/>
      <c r="U47" s="862" t="s">
        <v>220</v>
      </c>
      <c r="V47" s="862" t="s">
        <v>221</v>
      </c>
    </row>
    <row r="48" spans="1:29" x14ac:dyDescent="0.3">
      <c r="A48" s="210"/>
      <c r="B48" s="263">
        <v>1</v>
      </c>
      <c r="C48" s="1808" t="str">
        <f>TEXT(ID!A70,ID!$B$59)</f>
        <v>-200.00</v>
      </c>
      <c r="D48" s="1808"/>
      <c r="E48" s="1809"/>
      <c r="F48" s="1417" t="str">
        <f>TEXT(ID!N70,ID!$B$59)</f>
        <v>-200.50</v>
      </c>
      <c r="G48" s="1417" t="str">
        <f>TEXT(ID!O70,ID!$B$59)</f>
        <v>-200.50</v>
      </c>
      <c r="H48" s="1417" t="str">
        <f>TEXT(ID!S70,ID!$B$59)</f>
        <v>0.00</v>
      </c>
      <c r="I48" s="1417" t="str">
        <f>TEXT(ID!T70,ID!$B$59)</f>
        <v>0.00</v>
      </c>
      <c r="J48" s="1417" t="str">
        <f>TEXT(ID!U70,ID!$B$59)</f>
        <v>0.00</v>
      </c>
      <c r="K48" s="1417" t="str">
        <f>TEXT(ID!V70,ID!$B$59)</f>
        <v>0.00</v>
      </c>
      <c r="L48" s="1830" t="s">
        <v>141</v>
      </c>
      <c r="M48" s="1418" t="str">
        <f>TEXT(IF(R48&lt;0.48,"0.48",R48),ID!$B$59)</f>
        <v>0.48</v>
      </c>
      <c r="N48" s="1418" t="str">
        <f>TEXT(IF(S48&lt;0.48,"0.48",S48),ID!$B$59)</f>
        <v>0.48</v>
      </c>
      <c r="O48" s="264"/>
      <c r="P48" s="1833">
        <f>AC48</f>
        <v>45</v>
      </c>
      <c r="R48" s="863">
        <f>'BUDGET NAIK'!L22</f>
        <v>0.34219218525294914</v>
      </c>
      <c r="S48" s="864">
        <f>'BUDGET TURUN'!L22</f>
        <v>0.33183296772346071</v>
      </c>
      <c r="T48" s="865"/>
      <c r="U48" s="866">
        <f t="shared" ref="U48:V52" si="0">ABS(J48)+ABS(M48)</f>
        <v>0.48</v>
      </c>
      <c r="V48" s="866">
        <f t="shared" si="0"/>
        <v>0.48</v>
      </c>
      <c r="X48" s="867">
        <f t="shared" ref="X48:Y52" si="1">IF(ABS(U48)&lt;=10,4.5,0)</f>
        <v>4.5</v>
      </c>
      <c r="Y48" s="867">
        <f t="shared" si="1"/>
        <v>4.5</v>
      </c>
      <c r="Z48" s="868">
        <f>X48+Y48</f>
        <v>9</v>
      </c>
      <c r="AA48" s="1836">
        <f>SUM(Z48:Z52)</f>
        <v>45</v>
      </c>
      <c r="AB48" s="1836">
        <f>IF(AA48&lt;=27,12,0)</f>
        <v>0</v>
      </c>
      <c r="AC48" s="1836">
        <f>IF(AB48=0,45,0)</f>
        <v>45</v>
      </c>
    </row>
    <row r="49" spans="1:29" x14ac:dyDescent="0.3">
      <c r="A49" s="210"/>
      <c r="B49" s="263">
        <v>2</v>
      </c>
      <c r="C49" s="1808" t="str">
        <f>TEXT(ID!A71,ID!$B$59)</f>
        <v>-300.00</v>
      </c>
      <c r="D49" s="1808"/>
      <c r="E49" s="1809"/>
      <c r="F49" s="1417" t="str">
        <f>TEXT(ID!N71,ID!$B$59)</f>
        <v>-304.71</v>
      </c>
      <c r="G49" s="1417" t="str">
        <f>TEXT(ID!O71,ID!$B$59)</f>
        <v>-304.71</v>
      </c>
      <c r="H49" s="1417" t="str">
        <f>TEXT(ID!S71,ID!$B$59)</f>
        <v>-4.00</v>
      </c>
      <c r="I49" s="1417" t="str">
        <f>TEXT(ID!T71,ID!$B$59)</f>
        <v>-4.00</v>
      </c>
      <c r="J49" s="1417" t="str">
        <f>TEXT(ID!U71,ID!$B$59)</f>
        <v>1.32</v>
      </c>
      <c r="K49" s="1417" t="str">
        <f>TEXT(ID!V71,ID!$B$59)</f>
        <v>1.31</v>
      </c>
      <c r="L49" s="1831"/>
      <c r="M49" s="1418" t="str">
        <f>TEXT(IF(R49&lt;0.48,"0.48",R49),ID!$B$59)</f>
        <v>0.48</v>
      </c>
      <c r="N49" s="1418" t="str">
        <f>TEXT(IF(S49&lt;0.48,"0.48",S49),ID!$B$59)</f>
        <v>0.48</v>
      </c>
      <c r="O49" s="264"/>
      <c r="P49" s="1834"/>
      <c r="R49" s="863">
        <f>'BUDGET NAIK'!L37</f>
        <v>0.24007021671379872</v>
      </c>
      <c r="S49" s="864">
        <f>'BUDGET TURUN'!L38</f>
        <v>0.22430796990716792</v>
      </c>
      <c r="T49" s="865"/>
      <c r="U49" s="866">
        <f t="shared" si="0"/>
        <v>1.8</v>
      </c>
      <c r="V49" s="866">
        <f t="shared" si="0"/>
        <v>1.79</v>
      </c>
      <c r="X49" s="867">
        <f t="shared" si="1"/>
        <v>4.5</v>
      </c>
      <c r="Y49" s="867">
        <f t="shared" si="1"/>
        <v>4.5</v>
      </c>
      <c r="Z49" s="868">
        <f>X49+Y49</f>
        <v>9</v>
      </c>
      <c r="AA49" s="1836"/>
      <c r="AB49" s="1836"/>
      <c r="AC49" s="1836"/>
    </row>
    <row r="50" spans="1:29" x14ac:dyDescent="0.3">
      <c r="A50" s="210"/>
      <c r="B50" s="263">
        <v>3</v>
      </c>
      <c r="C50" s="1808" t="str">
        <f>TEXT(ID!A72,ID!$B$59)</f>
        <v>-400.00</v>
      </c>
      <c r="D50" s="1808"/>
      <c r="E50" s="1809"/>
      <c r="F50" s="1417" t="str">
        <f>TEXT(ID!N72,ID!$B$59)</f>
        <v>-400.90</v>
      </c>
      <c r="G50" s="1417" t="str">
        <f>TEXT(ID!O72,ID!$B$59)</f>
        <v>-400.90</v>
      </c>
      <c r="H50" s="1417" t="str">
        <f>TEXT(ID!S72,ID!$B$59)</f>
        <v>0.00</v>
      </c>
      <c r="I50" s="1417" t="str">
        <f>TEXT(ID!T72,ID!$B$59)</f>
        <v>0.00</v>
      </c>
      <c r="J50" s="1417" t="str">
        <f>TEXT(ID!U72,ID!$B$59)</f>
        <v>0.00</v>
      </c>
      <c r="K50" s="1417" t="str">
        <f>TEXT(ID!V72,ID!$B$59)</f>
        <v>0.00</v>
      </c>
      <c r="L50" s="1831"/>
      <c r="M50" s="1418" t="str">
        <f>TEXT(IF(R50&lt;0.48,"0.48",R50),ID!$B$59)</f>
        <v>0.48</v>
      </c>
      <c r="N50" s="1418" t="str">
        <f>TEXT(IF(S50&lt;0.48,"0.48",S50),ID!$B$59)</f>
        <v>0.48</v>
      </c>
      <c r="O50" s="264"/>
      <c r="P50" s="1834"/>
      <c r="R50" s="863">
        <f>'BUDGET NAIK'!L52</f>
        <v>0.17505433637985682</v>
      </c>
      <c r="S50" s="864">
        <f>'BUDGET TURUN'!L55</f>
        <v>0.1664969542155558</v>
      </c>
      <c r="T50" s="865"/>
      <c r="U50" s="866">
        <f t="shared" si="0"/>
        <v>0.48</v>
      </c>
      <c r="V50" s="866">
        <f t="shared" si="0"/>
        <v>0.48</v>
      </c>
      <c r="X50" s="867">
        <f t="shared" si="1"/>
        <v>4.5</v>
      </c>
      <c r="Y50" s="867">
        <f t="shared" si="1"/>
        <v>4.5</v>
      </c>
      <c r="Z50" s="868">
        <f>X50+Y50</f>
        <v>9</v>
      </c>
      <c r="AA50" s="1836"/>
      <c r="AB50" s="1836"/>
      <c r="AC50" s="1836"/>
    </row>
    <row r="51" spans="1:29" x14ac:dyDescent="0.3">
      <c r="A51" s="210"/>
      <c r="B51" s="263">
        <v>4</v>
      </c>
      <c r="C51" s="1808" t="str">
        <f>TEXT(ID!A73,ID!$B$59)</f>
        <v>-500.00</v>
      </c>
      <c r="D51" s="1808"/>
      <c r="E51" s="1809"/>
      <c r="F51" s="1417" t="str">
        <f>TEXT(ID!N73,ID!$B$59)</f>
        <v>-505.10</v>
      </c>
      <c r="G51" s="1417" t="str">
        <f>TEXT(ID!O73,ID!$B$59)</f>
        <v>-505.10</v>
      </c>
      <c r="H51" s="1417" t="str">
        <f>TEXT(ID!S73,ID!$B$59)</f>
        <v>-4.00</v>
      </c>
      <c r="I51" s="1417" t="str">
        <f>TEXT(ID!T73,ID!$B$59)</f>
        <v>-4.00</v>
      </c>
      <c r="J51" s="1417" t="str">
        <f>TEXT(ID!U73,ID!$B$59)</f>
        <v>0.79</v>
      </c>
      <c r="K51" s="1417" t="str">
        <f>TEXT(ID!V73,ID!$B$59)</f>
        <v>0.79</v>
      </c>
      <c r="L51" s="1831"/>
      <c r="M51" s="1418" t="str">
        <f>TEXT(IF(R51&lt;0.48,"0.48",R51),ID!$B$59)</f>
        <v>0.48</v>
      </c>
      <c r="N51" s="1418" t="str">
        <f>TEXT(IF(S51&lt;0.48,"0.48",S51),ID!$B$59)</f>
        <v>0.48</v>
      </c>
      <c r="O51" s="264"/>
      <c r="P51" s="1834"/>
      <c r="R51" s="863">
        <f>'BUDGET NAIK'!L69</f>
        <v>0.14404213002827926</v>
      </c>
      <c r="S51" s="864">
        <f>'BUDGET TURUN'!L75</f>
        <v>0.13687687410117966</v>
      </c>
      <c r="T51" s="865"/>
      <c r="U51" s="866">
        <f t="shared" si="0"/>
        <v>1.27</v>
      </c>
      <c r="V51" s="866">
        <f t="shared" si="0"/>
        <v>1.27</v>
      </c>
      <c r="X51" s="867">
        <f t="shared" si="1"/>
        <v>4.5</v>
      </c>
      <c r="Y51" s="867">
        <f t="shared" si="1"/>
        <v>4.5</v>
      </c>
      <c r="Z51" s="868">
        <f>X51+Y51</f>
        <v>9</v>
      </c>
      <c r="AA51" s="1836"/>
      <c r="AB51" s="1836"/>
      <c r="AC51" s="1836"/>
    </row>
    <row r="52" spans="1:29" x14ac:dyDescent="0.3">
      <c r="A52" s="210"/>
      <c r="B52" s="263">
        <v>5</v>
      </c>
      <c r="C52" s="1808" t="str">
        <f>TEXT(ID!A74,ID!$B$59)</f>
        <v>-600.00</v>
      </c>
      <c r="D52" s="1808"/>
      <c r="E52" s="1809"/>
      <c r="F52" s="1417" t="str">
        <f>TEXT(ID!N74,ID!$B$59)</f>
        <v>-609.21</v>
      </c>
      <c r="G52" s="1417" t="str">
        <f>TEXT(ID!O74,ID!$B$59)</f>
        <v>-609.21</v>
      </c>
      <c r="H52" s="1417" t="str">
        <f>TEXT(ID!S74,ID!$B$59)</f>
        <v>-8.00</v>
      </c>
      <c r="I52" s="1417" t="str">
        <f>TEXT(ID!T74,ID!$B$59)</f>
        <v>-8.00</v>
      </c>
      <c r="J52" s="1417" t="str">
        <f>TEXT(ID!U74,ID!$B$59)</f>
        <v>1.32</v>
      </c>
      <c r="K52" s="1417" t="str">
        <f>TEXT(ID!V74,ID!$B$59)</f>
        <v>1.31</v>
      </c>
      <c r="L52" s="1832"/>
      <c r="M52" s="1418" t="str">
        <f>TEXT(IF(R52&lt;0.48,"0.48",R52),ID!$B$59)</f>
        <v>0.48</v>
      </c>
      <c r="N52" s="1418" t="str">
        <f>TEXT(IF(S52&lt;0.48,"0.48",S52),ID!$B$59)</f>
        <v>0.48</v>
      </c>
      <c r="O52" s="264"/>
      <c r="P52" s="1835"/>
      <c r="R52" s="863">
        <f>'BUDGET NAIK'!L88</f>
        <v>0.12401660367258049</v>
      </c>
      <c r="S52" s="864">
        <f>'BUDGET TURUN'!L88</f>
        <v>0.11406406175098305</v>
      </c>
      <c r="T52" s="865"/>
      <c r="U52" s="866">
        <f t="shared" si="0"/>
        <v>1.8</v>
      </c>
      <c r="V52" s="866">
        <f t="shared" si="0"/>
        <v>1.79</v>
      </c>
      <c r="X52" s="867">
        <f t="shared" si="1"/>
        <v>4.5</v>
      </c>
      <c r="Y52" s="867">
        <f t="shared" si="1"/>
        <v>4.5</v>
      </c>
      <c r="Z52" s="868">
        <f>X52+Y52</f>
        <v>9</v>
      </c>
      <c r="AA52" s="1836"/>
      <c r="AB52" s="1836"/>
      <c r="AC52" s="1836"/>
    </row>
    <row r="53" spans="1:29" ht="7.5" customHeight="1" x14ac:dyDescent="0.3">
      <c r="A53" s="1794"/>
      <c r="B53" s="1794"/>
      <c r="C53" s="1794"/>
      <c r="D53" s="1794"/>
      <c r="E53" s="1794"/>
      <c r="F53" s="1794"/>
      <c r="G53" s="1794"/>
      <c r="H53" s="265"/>
      <c r="I53" s="265"/>
      <c r="P53" s="221"/>
      <c r="U53" s="869"/>
      <c r="V53" s="869"/>
    </row>
    <row r="54" spans="1:29" ht="18.75" customHeight="1" x14ac:dyDescent="0.3">
      <c r="A54" s="266"/>
      <c r="B54" s="267" t="str">
        <f>LH!B55</f>
        <v>B. Pengukuran Tekanan Hisap Maksimum</v>
      </c>
      <c r="C54" s="266"/>
      <c r="D54" s="266"/>
      <c r="E54" s="266"/>
      <c r="F54" s="266"/>
      <c r="G54" s="266"/>
      <c r="H54" s="268"/>
      <c r="I54" s="268"/>
      <c r="J54" s="204"/>
      <c r="K54" s="204"/>
      <c r="L54" s="204"/>
      <c r="M54" s="204"/>
      <c r="N54" s="204"/>
      <c r="O54" s="204"/>
      <c r="P54" s="221"/>
      <c r="Q54" s="204"/>
      <c r="R54" s="161" t="s">
        <v>913</v>
      </c>
      <c r="U54" s="870"/>
      <c r="V54" s="870"/>
    </row>
    <row r="55" spans="1:29" ht="18.75" hidden="1" customHeight="1" x14ac:dyDescent="0.3">
      <c r="A55" s="1822"/>
      <c r="B55" s="1823"/>
      <c r="C55" s="1823"/>
      <c r="D55" s="1823"/>
      <c r="E55" s="1823"/>
      <c r="F55" s="1823"/>
      <c r="G55" s="1823"/>
      <c r="H55" s="268"/>
      <c r="I55" s="268"/>
      <c r="J55" s="204"/>
      <c r="K55" s="204"/>
      <c r="L55" s="204"/>
      <c r="M55" s="204"/>
      <c r="N55" s="204"/>
      <c r="O55" s="204"/>
      <c r="P55" s="221"/>
      <c r="Q55" s="204"/>
      <c r="U55" s="870"/>
      <c r="V55" s="870"/>
    </row>
    <row r="56" spans="1:29" ht="18.75" customHeight="1" x14ac:dyDescent="0.3">
      <c r="A56" s="204"/>
      <c r="B56" s="1825" t="s">
        <v>46</v>
      </c>
      <c r="C56" s="1825"/>
      <c r="D56" s="1825"/>
      <c r="E56" s="1825"/>
      <c r="F56" s="773" t="s">
        <v>157</v>
      </c>
      <c r="G56" s="1827" t="s">
        <v>217</v>
      </c>
      <c r="H56" s="1827"/>
      <c r="I56" s="1827"/>
      <c r="J56" s="269"/>
      <c r="P56" s="221"/>
      <c r="U56" s="870"/>
      <c r="V56" s="870"/>
    </row>
    <row r="57" spans="1:29" ht="45.75" customHeight="1" x14ac:dyDescent="0.3">
      <c r="A57" s="204"/>
      <c r="B57" s="1826" t="s">
        <v>218</v>
      </c>
      <c r="C57" s="1826"/>
      <c r="D57" s="1826"/>
      <c r="E57" s="1826"/>
      <c r="F57" s="799">
        <f>ID!D79</f>
        <v>-621.22</v>
      </c>
      <c r="G57" s="1826" t="str">
        <f>ID!E79</f>
        <v xml:space="preserve">≥ -300 </v>
      </c>
      <c r="H57" s="1826"/>
      <c r="I57" s="1826"/>
      <c r="J57" s="270"/>
      <c r="K57" s="871"/>
      <c r="P57" s="271">
        <f>IF(F57&lt;=-300,5,0)</f>
        <v>5</v>
      </c>
      <c r="Q57" s="161">
        <v>300</v>
      </c>
      <c r="S57" s="871"/>
      <c r="U57" s="870"/>
      <c r="V57" s="870"/>
      <c r="Y57" s="872"/>
    </row>
    <row r="58" spans="1:29" ht="18" hidden="1" customHeight="1" x14ac:dyDescent="0.3">
      <c r="A58" s="771"/>
      <c r="B58" s="771"/>
      <c r="C58" s="771"/>
      <c r="D58" s="771"/>
      <c r="E58" s="771"/>
      <c r="F58" s="771"/>
      <c r="G58" s="771"/>
      <c r="H58" s="265"/>
      <c r="I58" s="265"/>
      <c r="U58" s="870"/>
      <c r="V58" s="870"/>
    </row>
    <row r="59" spans="1:29" ht="21" customHeight="1" x14ac:dyDescent="0.3">
      <c r="A59" s="212" t="str">
        <f>LH!A60</f>
        <v>V.</v>
      </c>
      <c r="B59" s="213" t="str">
        <f>LH!B60</f>
        <v>Keterangan</v>
      </c>
      <c r="C59" s="244"/>
      <c r="D59" s="771"/>
      <c r="E59" s="771"/>
      <c r="F59" s="771"/>
      <c r="G59" s="771"/>
      <c r="H59" s="265"/>
      <c r="I59" s="265"/>
    </row>
    <row r="60" spans="1:29" x14ac:dyDescent="0.3">
      <c r="A60" s="210"/>
      <c r="B60" s="216" t="s">
        <v>230</v>
      </c>
      <c r="C60" s="771"/>
      <c r="D60" s="771"/>
      <c r="E60" s="771"/>
      <c r="F60" s="771"/>
      <c r="G60" s="771"/>
      <c r="H60" s="265"/>
      <c r="I60" s="265"/>
      <c r="Q60" s="94">
        <f>IF(ID!C12=ID!P8,40,300)</f>
        <v>300</v>
      </c>
      <c r="S60" s="871"/>
    </row>
    <row r="61" spans="1:29" s="207" customFormat="1" x14ac:dyDescent="0.3">
      <c r="A61" s="873"/>
      <c r="B61" s="750" t="str">
        <f>IF(B63="Catu daya menggunakan baterai","",'ESA VOLT'!Q8)</f>
        <v>Hasil pengujian keselamatan listrik tertelusur ke Satuan SI melalui PT. Kaliman</v>
      </c>
      <c r="C61" s="875"/>
      <c r="D61" s="875"/>
      <c r="E61" s="875"/>
      <c r="F61" s="875"/>
      <c r="G61" s="875"/>
      <c r="H61" s="876"/>
      <c r="I61" s="876"/>
    </row>
    <row r="62" spans="1:29" s="207" customFormat="1" x14ac:dyDescent="0.3">
      <c r="A62" s="873"/>
      <c r="B62" s="874" t="str">
        <f>'SERTIFIKAT DPM'!AU10</f>
        <v>Hasil pengukuran akurasi vacuum gauge dan tekanan hisap maksimum tertelusur ke Satuan SI melalui  Laboratorium SNSU-BSN</v>
      </c>
      <c r="C62" s="875"/>
      <c r="D62" s="875"/>
      <c r="E62" s="875"/>
      <c r="F62" s="875"/>
      <c r="G62" s="875"/>
      <c r="H62" s="876"/>
      <c r="I62" s="876"/>
    </row>
    <row r="63" spans="1:29" s="207" customFormat="1" ht="15.75" customHeight="1" x14ac:dyDescent="0.3">
      <c r="A63" s="873"/>
      <c r="B63" s="12" t="str">
        <f>IF(R67="Catu daya menggunakan baterai","Catu daya menggunakan baterai",R66)</f>
        <v/>
      </c>
      <c r="C63" s="874"/>
      <c r="D63" s="874"/>
      <c r="E63" s="874"/>
      <c r="F63" s="874"/>
      <c r="G63" s="874"/>
      <c r="H63" s="874"/>
      <c r="I63" s="874"/>
      <c r="J63" s="874"/>
      <c r="K63" s="874"/>
    </row>
    <row r="64" spans="1:29" s="207" customFormat="1" ht="16.5" customHeight="1" x14ac:dyDescent="0.3">
      <c r="A64" s="873"/>
      <c r="B64" s="12"/>
      <c r="C64" s="874"/>
      <c r="D64" s="874"/>
      <c r="E64" s="874"/>
      <c r="F64" s="874"/>
      <c r="G64" s="874"/>
      <c r="H64" s="874"/>
      <c r="I64" s="874"/>
      <c r="J64" s="874"/>
      <c r="K64" s="874"/>
      <c r="L64" s="874"/>
      <c r="M64" s="874"/>
      <c r="N64" s="874"/>
      <c r="O64" s="874"/>
      <c r="P64" s="874"/>
      <c r="R64" s="877" t="s">
        <v>750</v>
      </c>
    </row>
    <row r="65" spans="1:30" s="207" customFormat="1" ht="14.25" customHeight="1" x14ac:dyDescent="0.3">
      <c r="A65" s="873"/>
      <c r="B65" s="12"/>
      <c r="C65" s="878"/>
      <c r="D65" s="878"/>
      <c r="E65" s="878"/>
      <c r="F65" s="878"/>
      <c r="G65" s="878"/>
      <c r="H65" s="878"/>
      <c r="I65" s="878"/>
      <c r="J65" s="878"/>
      <c r="K65" s="878"/>
      <c r="R65" s="1829" t="str">
        <f>ID!A86</f>
        <v/>
      </c>
      <c r="S65" s="1829"/>
      <c r="T65" s="1829"/>
      <c r="U65" s="1829"/>
      <c r="V65" s="1829"/>
      <c r="W65" s="1829"/>
    </row>
    <row r="66" spans="1:30" s="207" customFormat="1" ht="13.5" customHeight="1" x14ac:dyDescent="0.3">
      <c r="A66" s="873"/>
      <c r="B66" s="12"/>
      <c r="C66" s="875"/>
      <c r="D66" s="875"/>
      <c r="E66" s="875"/>
      <c r="F66" s="875"/>
      <c r="G66" s="875"/>
      <c r="H66" s="876"/>
      <c r="I66" s="876"/>
      <c r="R66" s="1829" t="str">
        <f>IF(ID!A86="","",ID!A86)</f>
        <v/>
      </c>
      <c r="S66" s="1829"/>
      <c r="T66" s="1829"/>
      <c r="U66" s="1829"/>
      <c r="V66" s="1829"/>
      <c r="W66" s="1829"/>
    </row>
    <row r="67" spans="1:30" x14ac:dyDescent="0.3">
      <c r="A67" s="212" t="str">
        <f>LH!A68</f>
        <v>VI.</v>
      </c>
      <c r="B67" s="213" t="str">
        <f>LH!B68</f>
        <v>Alat ukur Yang Digunakan</v>
      </c>
      <c r="C67" s="214"/>
      <c r="D67" s="214"/>
      <c r="E67" s="214"/>
      <c r="F67" s="214"/>
      <c r="G67" s="214"/>
      <c r="H67" s="208"/>
      <c r="I67" s="208"/>
      <c r="R67" s="1828">
        <f>ID!A87</f>
        <v>0</v>
      </c>
      <c r="S67" s="1828"/>
      <c r="T67" s="1828"/>
      <c r="U67" s="1828"/>
      <c r="V67" s="1828"/>
      <c r="W67" s="1828"/>
    </row>
    <row r="68" spans="1:30" ht="15.75" customHeight="1" x14ac:dyDescent="0.3">
      <c r="A68" s="210"/>
      <c r="B68" s="208" t="str">
        <f>ID!A91</f>
        <v>Digital Pressure Meter, Merek : Fluke Biomedical, Model : DPM 4-2G, SN : 4600002</v>
      </c>
      <c r="C68" s="208"/>
      <c r="D68" s="208"/>
      <c r="E68" s="208"/>
      <c r="F68" s="771"/>
      <c r="G68" s="771"/>
      <c r="H68" s="265"/>
      <c r="I68" s="265"/>
      <c r="U68" s="879"/>
      <c r="V68" s="879"/>
      <c r="W68" s="879"/>
      <c r="X68" s="879"/>
      <c r="Y68" s="879"/>
      <c r="Z68" s="879"/>
      <c r="AA68" s="879"/>
      <c r="AB68" s="879"/>
      <c r="AC68" s="879"/>
      <c r="AD68" s="879"/>
    </row>
    <row r="69" spans="1:30" ht="15.75" customHeight="1" x14ac:dyDescent="0.3">
      <c r="A69" s="210"/>
      <c r="B69" s="208" t="str">
        <f>ID!A92</f>
        <v>Electrical Safety Analyzer, Merek : FLUKE, Model : ESA615, SN : 4670010</v>
      </c>
      <c r="C69" s="208"/>
      <c r="D69" s="208"/>
      <c r="E69" s="208"/>
      <c r="F69" s="771"/>
      <c r="G69" s="771"/>
      <c r="H69" s="265"/>
      <c r="I69" s="265"/>
      <c r="U69" s="879"/>
      <c r="V69" s="879"/>
      <c r="W69" s="879"/>
      <c r="X69" s="879"/>
      <c r="Y69" s="879"/>
      <c r="Z69" s="879"/>
      <c r="AA69" s="879"/>
      <c r="AB69" s="879"/>
      <c r="AC69" s="879"/>
      <c r="AD69" s="879"/>
    </row>
    <row r="70" spans="1:30" ht="9.75" hidden="1" customHeight="1" x14ac:dyDescent="0.3">
      <c r="A70" s="210"/>
      <c r="B70" s="208"/>
      <c r="C70" s="208"/>
      <c r="D70" s="208"/>
      <c r="E70" s="208"/>
      <c r="F70" s="208"/>
      <c r="G70" s="208"/>
      <c r="H70" s="208"/>
      <c r="I70" s="208"/>
      <c r="U70" s="879"/>
      <c r="V70" s="879"/>
      <c r="W70" s="879"/>
      <c r="X70" s="879"/>
      <c r="Y70" s="879"/>
      <c r="Z70" s="879"/>
      <c r="AA70" s="879"/>
      <c r="AB70" s="879"/>
      <c r="AC70" s="879"/>
      <c r="AD70" s="879"/>
    </row>
    <row r="71" spans="1:30" x14ac:dyDescent="0.3">
      <c r="A71" s="212" t="str">
        <f>LH!A72</f>
        <v>VII.</v>
      </c>
      <c r="B71" s="213" t="str">
        <f>LH!B72</f>
        <v>Kesimpulan</v>
      </c>
      <c r="C71" s="214"/>
      <c r="D71" s="208"/>
      <c r="E71" s="208"/>
      <c r="F71" s="208"/>
      <c r="G71" s="208"/>
      <c r="H71" s="208"/>
      <c r="I71" s="208"/>
    </row>
    <row r="72" spans="1:30" ht="49.5" customHeight="1" x14ac:dyDescent="0.3">
      <c r="A72" s="210"/>
      <c r="B72" s="1807" t="str">
        <f ca="1">IF(K81&gt;=70,KETERANGAN!G8,KETERANGAN!G9)</f>
        <v>Alat yang dikalibrasi dalam batas toleransi dan dinyatakan LAIK PAKAI, dimana hasil atau skor akhir sama dengan atau melampaui 70% berdasarkan Keputusan Direktur Jenderal Pelayanan Kesehatan No : HK.02.02/V/0412/2020</v>
      </c>
      <c r="C72" s="1807"/>
      <c r="D72" s="1807"/>
      <c r="E72" s="1807"/>
      <c r="F72" s="1807"/>
      <c r="G72" s="1807"/>
      <c r="H72" s="1807"/>
      <c r="I72" s="1807"/>
      <c r="J72" s="1807"/>
      <c r="K72" s="1807"/>
      <c r="L72" s="1807"/>
      <c r="M72" s="880"/>
      <c r="N72" s="880"/>
      <c r="O72" s="880"/>
      <c r="P72" s="880"/>
      <c r="Q72" s="881"/>
    </row>
    <row r="73" spans="1:30" ht="7.5" hidden="1" customHeight="1" x14ac:dyDescent="0.3">
      <c r="A73" s="1794"/>
      <c r="B73" s="1794"/>
      <c r="C73" s="1794"/>
      <c r="D73" s="1794"/>
      <c r="E73" s="1794"/>
      <c r="F73" s="1794"/>
      <c r="G73" s="1794"/>
      <c r="H73" s="208"/>
      <c r="I73" s="208"/>
    </row>
    <row r="74" spans="1:30" x14ac:dyDescent="0.3">
      <c r="A74" s="212" t="str">
        <f>LH!A75</f>
        <v>VIII.</v>
      </c>
      <c r="B74" s="213" t="str">
        <f>LH!B75</f>
        <v>Petugas Kalibrasi</v>
      </c>
      <c r="C74" s="214"/>
      <c r="D74" s="214"/>
      <c r="E74" s="214"/>
      <c r="F74" s="214"/>
      <c r="G74" s="214"/>
      <c r="H74" s="208"/>
      <c r="I74" s="208"/>
      <c r="R74" s="208"/>
    </row>
    <row r="75" spans="1:30" x14ac:dyDescent="0.3">
      <c r="A75" s="210"/>
      <c r="B75" s="1824" t="str">
        <f>ID!C80</f>
        <v>Hamdan Syarif</v>
      </c>
      <c r="C75" s="1824"/>
      <c r="D75" s="1824"/>
      <c r="E75" s="1824"/>
      <c r="F75" s="1824"/>
      <c r="G75" s="1824"/>
      <c r="H75" s="208"/>
      <c r="I75" s="208"/>
      <c r="R75" s="208"/>
    </row>
    <row r="76" spans="1:30" hidden="1" x14ac:dyDescent="0.3">
      <c r="A76" s="1794"/>
      <c r="B76" s="1794"/>
      <c r="C76" s="1794"/>
      <c r="D76" s="1794"/>
      <c r="E76" s="1794"/>
      <c r="F76" s="1794"/>
      <c r="G76" s="1794"/>
      <c r="I76" s="208"/>
      <c r="R76" s="771"/>
    </row>
    <row r="77" spans="1:30" hidden="1" x14ac:dyDescent="0.3">
      <c r="A77" s="210"/>
      <c r="B77" s="208"/>
      <c r="C77" s="208"/>
      <c r="D77" s="208"/>
      <c r="E77" s="208"/>
      <c r="F77" s="208"/>
      <c r="G77" s="208"/>
      <c r="I77" s="882"/>
      <c r="J77" s="257"/>
      <c r="K77" s="257"/>
    </row>
    <row r="78" spans="1:30" hidden="1" x14ac:dyDescent="0.3"/>
    <row r="80" spans="1:30" x14ac:dyDescent="0.3">
      <c r="A80" s="161"/>
      <c r="C80" s="1819" t="s">
        <v>271</v>
      </c>
      <c r="D80" s="1820"/>
      <c r="E80" s="1820"/>
      <c r="F80" s="1820"/>
      <c r="G80" s="1821"/>
      <c r="H80" s="883" t="s">
        <v>303</v>
      </c>
      <c r="I80" s="883" t="s">
        <v>272</v>
      </c>
      <c r="J80" s="884" t="s">
        <v>274</v>
      </c>
      <c r="K80" s="1819" t="s">
        <v>273</v>
      </c>
      <c r="L80" s="1821"/>
    </row>
    <row r="81" spans="1:14" x14ac:dyDescent="0.3">
      <c r="A81" s="161"/>
      <c r="C81" s="885" t="s">
        <v>83</v>
      </c>
      <c r="D81" s="886"/>
      <c r="E81" s="887" t="s">
        <v>0</v>
      </c>
      <c r="F81" s="887" t="str">
        <f>ID!C80</f>
        <v>Hamdan Syarif</v>
      </c>
      <c r="G81" s="887"/>
      <c r="H81" s="888">
        <f ca="1">TODAY()</f>
        <v>45196</v>
      </c>
      <c r="I81" s="889"/>
      <c r="J81" s="1797" t="str">
        <f ca="1">IF($K$81&gt;=70,"HIJAU","MERAH")</f>
        <v>HIJAU</v>
      </c>
      <c r="K81" s="1803">
        <f ca="1">P19+P20+P24+P48+P57</f>
        <v>100</v>
      </c>
      <c r="L81" s="1801" t="str">
        <f ca="1">IF($K$81&gt;=70,"P","O")</f>
        <v>P</v>
      </c>
    </row>
    <row r="82" spans="1:14" x14ac:dyDescent="0.3">
      <c r="A82" s="161"/>
      <c r="C82" s="890" t="s">
        <v>84</v>
      </c>
      <c r="D82" s="887"/>
      <c r="E82" s="887" t="s">
        <v>0</v>
      </c>
      <c r="F82" s="887"/>
      <c r="G82" s="887"/>
      <c r="H82" s="889"/>
      <c r="I82" s="889"/>
      <c r="J82" s="1798"/>
      <c r="K82" s="1804"/>
      <c r="L82" s="1802"/>
    </row>
    <row r="87" spans="1:14" x14ac:dyDescent="0.3">
      <c r="N87" s="75" t="s">
        <v>306</v>
      </c>
    </row>
    <row r="88" spans="1:14" x14ac:dyDescent="0.3">
      <c r="N88" s="52" t="s">
        <v>25</v>
      </c>
    </row>
    <row r="89" spans="1:14" x14ac:dyDescent="0.3">
      <c r="N89" s="52" t="s">
        <v>75</v>
      </c>
    </row>
    <row r="90" spans="1:14" x14ac:dyDescent="0.3">
      <c r="N90" s="52" t="s">
        <v>196</v>
      </c>
    </row>
    <row r="91" spans="1:14" x14ac:dyDescent="0.3">
      <c r="N91" s="75" t="s">
        <v>307</v>
      </c>
    </row>
    <row r="92" spans="1:14" x14ac:dyDescent="0.3">
      <c r="N92" s="17"/>
    </row>
    <row r="93" spans="1:14" x14ac:dyDescent="0.3">
      <c r="N93" s="52" t="s">
        <v>252</v>
      </c>
    </row>
    <row r="94" spans="1:14" x14ac:dyDescent="0.3">
      <c r="N94" s="52" t="s">
        <v>253</v>
      </c>
    </row>
    <row r="95" spans="1:14" x14ac:dyDescent="0.3">
      <c r="N95" s="52" t="s">
        <v>202</v>
      </c>
    </row>
    <row r="96" spans="1:14" x14ac:dyDescent="0.3">
      <c r="N96" s="52" t="s">
        <v>65</v>
      </c>
    </row>
    <row r="97" spans="14:14" x14ac:dyDescent="0.3">
      <c r="N97" s="52" t="s">
        <v>64</v>
      </c>
    </row>
    <row r="98" spans="14:14" x14ac:dyDescent="0.3">
      <c r="N98" s="75" t="s">
        <v>254</v>
      </c>
    </row>
    <row r="99" spans="14:14" x14ac:dyDescent="0.3">
      <c r="N99" s="75" t="s">
        <v>255</v>
      </c>
    </row>
    <row r="100" spans="14:14" x14ac:dyDescent="0.3">
      <c r="N100" s="52" t="s">
        <v>63</v>
      </c>
    </row>
    <row r="101" spans="14:14" x14ac:dyDescent="0.3">
      <c r="N101" s="52" t="s">
        <v>24</v>
      </c>
    </row>
    <row r="102" spans="14:14" x14ac:dyDescent="0.3">
      <c r="N102" s="75" t="s">
        <v>256</v>
      </c>
    </row>
    <row r="103" spans="14:14" x14ac:dyDescent="0.3">
      <c r="N103" s="75" t="s">
        <v>257</v>
      </c>
    </row>
    <row r="104" spans="14:14" x14ac:dyDescent="0.3">
      <c r="N104" s="75" t="s">
        <v>258</v>
      </c>
    </row>
    <row r="105" spans="14:14" x14ac:dyDescent="0.3">
      <c r="N105" s="75" t="s">
        <v>259</v>
      </c>
    </row>
    <row r="212" spans="1:6" x14ac:dyDescent="0.3">
      <c r="A212" s="161"/>
      <c r="F212" s="871"/>
    </row>
  </sheetData>
  <sheetProtection formatCells="0" formatColumns="0" formatRows="0" insertColumns="0" insertRows="0" deleteColumns="0" deleteRows="0"/>
  <mergeCells count="70">
    <mergeCell ref="AC48:AC52"/>
    <mergeCell ref="B14:C14"/>
    <mergeCell ref="B15:C15"/>
    <mergeCell ref="H38:H39"/>
    <mergeCell ref="U45:V46"/>
    <mergeCell ref="R44:S45"/>
    <mergeCell ref="U24:Y24"/>
    <mergeCell ref="U25:Y25"/>
    <mergeCell ref="U26:Y26"/>
    <mergeCell ref="P24:P26"/>
    <mergeCell ref="C45:E45"/>
    <mergeCell ref="K24:L24"/>
    <mergeCell ref="K26:L26"/>
    <mergeCell ref="B32:B33"/>
    <mergeCell ref="AA48:AA52"/>
    <mergeCell ref="AB48:AB52"/>
    <mergeCell ref="R67:W67"/>
    <mergeCell ref="R66:W66"/>
    <mergeCell ref="R65:W65"/>
    <mergeCell ref="C48:E48"/>
    <mergeCell ref="C50:E50"/>
    <mergeCell ref="C49:E49"/>
    <mergeCell ref="L48:L52"/>
    <mergeCell ref="P48:P52"/>
    <mergeCell ref="A53:G53"/>
    <mergeCell ref="A76:G76"/>
    <mergeCell ref="K80:L80"/>
    <mergeCell ref="A55:G55"/>
    <mergeCell ref="A73:G73"/>
    <mergeCell ref="B75:G75"/>
    <mergeCell ref="B56:E56"/>
    <mergeCell ref="B57:E57"/>
    <mergeCell ref="G57:I57"/>
    <mergeCell ref="G56:I56"/>
    <mergeCell ref="J81:J82"/>
    <mergeCell ref="J32:J33"/>
    <mergeCell ref="I32:I33"/>
    <mergeCell ref="F40:G40"/>
    <mergeCell ref="L81:L82"/>
    <mergeCell ref="K81:K82"/>
    <mergeCell ref="F38:G39"/>
    <mergeCell ref="A36:G36"/>
    <mergeCell ref="B72:L72"/>
    <mergeCell ref="C51:E51"/>
    <mergeCell ref="C52:E52"/>
    <mergeCell ref="B44:B47"/>
    <mergeCell ref="B41:E41"/>
    <mergeCell ref="F41:G41"/>
    <mergeCell ref="B38:E39"/>
    <mergeCell ref="C80:G80"/>
    <mergeCell ref="AD20:AL20"/>
    <mergeCell ref="U41:Y41"/>
    <mergeCell ref="U23:Y23"/>
    <mergeCell ref="Z26:Z28"/>
    <mergeCell ref="F44:G45"/>
    <mergeCell ref="H44:I45"/>
    <mergeCell ref="J44:K45"/>
    <mergeCell ref="M44:N45"/>
    <mergeCell ref="C32:H33"/>
    <mergeCell ref="B40:E40"/>
    <mergeCell ref="C44:E44"/>
    <mergeCell ref="C46:E47"/>
    <mergeCell ref="A1:P1"/>
    <mergeCell ref="B23:H23"/>
    <mergeCell ref="K25:L25"/>
    <mergeCell ref="A32:A33"/>
    <mergeCell ref="A2:P2"/>
    <mergeCell ref="K23:L23"/>
    <mergeCell ref="F8:G8"/>
    <mergeCell ref="F7:G7"/>
  </mergeCells>
  <phoneticPr fontId="0" type="noConversion"/>
  <printOptions horizontalCentered="1"/>
  <pageMargins left="0.511811023622047" right="0.196850393700787" top="0.511811023622047" bottom="0.23622047244094499" header="0.23622047244094499" footer="0.23622047244094499"/>
  <pageSetup paperSize="9" scale="69" orientation="portrait" horizontalDpi="4294967294" verticalDpi="4294967293" r:id="rId1"/>
  <headerFooter>
    <oddHeader>&amp;R&amp;"-,Regular"&amp;8T.LP 046-18/REV:1</oddHeader>
    <oddFooter>&amp;R&amp;8&amp;K00-049Software Suction Pump  12.4.2022</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C3:Y88"/>
  <sheetViews>
    <sheetView showGridLines="0" view="pageBreakPreview" topLeftCell="C4" zoomScale="60" zoomScaleNormal="100" workbookViewId="0">
      <pane xSplit="4" topLeftCell="G1" activePane="topRight" state="frozen"/>
      <selection activeCell="C1" sqref="C1"/>
      <selection pane="topRight" activeCell="E22" sqref="E22"/>
    </sheetView>
  </sheetViews>
  <sheetFormatPr defaultColWidth="9.21875" defaultRowHeight="15.6" x14ac:dyDescent="0.3"/>
  <cols>
    <col min="1" max="1" width="3.109375" style="800" customWidth="1"/>
    <col min="2" max="2" width="10.109375" style="800" customWidth="1"/>
    <col min="3" max="3" width="24.6640625" style="800" customWidth="1"/>
    <col min="4" max="4" width="9.77734375" style="800" customWidth="1"/>
    <col min="5" max="5" width="12.33203125" style="800" customWidth="1"/>
    <col min="6" max="6" width="10.6640625" style="800" customWidth="1"/>
    <col min="7" max="7" width="10.33203125" style="800" customWidth="1"/>
    <col min="8" max="8" width="10.109375" style="800" customWidth="1"/>
    <col min="9" max="9" width="4.77734375" style="800" customWidth="1"/>
    <col min="10" max="10" width="6.6640625" style="800" customWidth="1"/>
    <col min="11" max="11" width="15.21875" style="800" customWidth="1"/>
    <col min="12" max="12" width="17.88671875" style="800" customWidth="1"/>
    <col min="13" max="13" width="17.109375" style="800" customWidth="1"/>
    <col min="14" max="14" width="4.5546875" style="800" customWidth="1"/>
    <col min="15" max="15" width="18.88671875" style="800" customWidth="1"/>
    <col min="16" max="16" width="17.5546875" style="800" customWidth="1"/>
    <col min="17" max="17" width="13.88671875" style="800" customWidth="1"/>
    <col min="18" max="18" width="8.88671875" style="800" customWidth="1"/>
    <col min="19" max="19" width="10.6640625" style="800" customWidth="1"/>
    <col min="20" max="23" width="9.21875" style="800"/>
    <col min="24" max="24" width="19" style="800" customWidth="1"/>
    <col min="25" max="25" width="25.77734375" style="800" customWidth="1"/>
    <col min="26" max="16384" width="9.21875" style="800"/>
  </cols>
  <sheetData>
    <row r="3" spans="3:25" x14ac:dyDescent="0.3">
      <c r="M3" s="1855" t="s">
        <v>867</v>
      </c>
      <c r="N3" s="1855"/>
    </row>
    <row r="4" spans="3:25" ht="18" x14ac:dyDescent="0.35">
      <c r="C4" s="1861" t="s">
        <v>233</v>
      </c>
      <c r="D4" s="1861"/>
      <c r="E4" s="1861"/>
      <c r="F4" s="1861"/>
      <c r="G4" s="1861"/>
      <c r="H4" s="1861"/>
      <c r="I4" s="1861"/>
      <c r="J4" s="1861"/>
      <c r="K4" s="1861"/>
      <c r="L4" s="1861"/>
      <c r="M4" s="1861"/>
      <c r="N4" s="1861"/>
    </row>
    <row r="5" spans="3:25" ht="17.399999999999999" x14ac:dyDescent="0.35">
      <c r="C5" s="1862" t="str">
        <f>ID!L2</f>
        <v>6 / II - 21 / E - 012.12 DL</v>
      </c>
      <c r="D5" s="1862"/>
      <c r="E5" s="1862"/>
      <c r="F5" s="1862"/>
      <c r="G5" s="1862"/>
      <c r="H5" s="1862"/>
      <c r="I5" s="1862"/>
      <c r="J5" s="1862"/>
      <c r="K5" s="1862"/>
      <c r="L5" s="1862"/>
      <c r="M5" s="1862"/>
      <c r="N5" s="1862"/>
    </row>
    <row r="6" spans="3:25" ht="13.5" customHeight="1" x14ac:dyDescent="0.3"/>
    <row r="7" spans="3:25" ht="13.5" customHeight="1" x14ac:dyDescent="0.3"/>
    <row r="8" spans="3:25" ht="13.5" customHeight="1" x14ac:dyDescent="0.3"/>
    <row r="9" spans="3:25" ht="18.75" customHeight="1" x14ac:dyDescent="0.3">
      <c r="C9" s="801">
        <f>ID!A70</f>
        <v>-200</v>
      </c>
      <c r="D9" s="802" t="str">
        <f>ID!$O$60</f>
        <v>(mmHg)</v>
      </c>
    </row>
    <row r="10" spans="3:25" ht="9" customHeight="1" x14ac:dyDescent="0.3">
      <c r="C10" s="803"/>
      <c r="D10" s="804"/>
    </row>
    <row r="11" spans="3:25" s="808" customFormat="1" ht="18.75" customHeight="1" x14ac:dyDescent="0.4">
      <c r="C11" s="805" t="s">
        <v>34</v>
      </c>
      <c r="D11" s="806" t="s">
        <v>35</v>
      </c>
      <c r="E11" s="805" t="s">
        <v>73</v>
      </c>
      <c r="F11" s="805" t="s">
        <v>72</v>
      </c>
      <c r="G11" s="805" t="s">
        <v>13</v>
      </c>
      <c r="H11" s="805" t="s">
        <v>99</v>
      </c>
      <c r="I11" s="805" t="s">
        <v>100</v>
      </c>
      <c r="J11" s="805" t="s">
        <v>101</v>
      </c>
      <c r="K11" s="805" t="s">
        <v>102</v>
      </c>
      <c r="L11" s="805" t="s">
        <v>103</v>
      </c>
      <c r="M11" s="807" t="s">
        <v>104</v>
      </c>
    </row>
    <row r="12" spans="3:25" x14ac:dyDescent="0.3">
      <c r="C12" s="809" t="s">
        <v>78</v>
      </c>
      <c r="D12" s="761" t="str">
        <f>ID!$O$60</f>
        <v>(mmHg)</v>
      </c>
      <c r="E12" s="810" t="s">
        <v>9</v>
      </c>
      <c r="F12" s="811">
        <f>ID!Q70</f>
        <v>0</v>
      </c>
      <c r="G12" s="811">
        <f>SQRT(6)</f>
        <v>2.4494897427831779</v>
      </c>
      <c r="H12" s="811">
        <f>(F12/G12)</f>
        <v>0</v>
      </c>
      <c r="I12" s="812">
        <v>1</v>
      </c>
      <c r="J12" s="812">
        <f>6-1</f>
        <v>5</v>
      </c>
      <c r="K12" s="813">
        <f>H12*I12</f>
        <v>0</v>
      </c>
      <c r="L12" s="813">
        <f>K12^2</f>
        <v>0</v>
      </c>
      <c r="M12" s="813">
        <f>((K12)^4)/J12</f>
        <v>0</v>
      </c>
    </row>
    <row r="13" spans="3:25" x14ac:dyDescent="0.3">
      <c r="C13" s="809" t="s">
        <v>77</v>
      </c>
      <c r="D13" s="761" t="str">
        <f>ID!$O$60</f>
        <v>(mmHg)</v>
      </c>
      <c r="E13" s="810" t="s">
        <v>9</v>
      </c>
      <c r="F13" s="814">
        <f>INTERPOLASI!BP18</f>
        <v>0.6</v>
      </c>
      <c r="G13" s="812">
        <v>2</v>
      </c>
      <c r="H13" s="811">
        <f>F13/G13</f>
        <v>0.3</v>
      </c>
      <c r="I13" s="812">
        <v>1</v>
      </c>
      <c r="J13" s="812">
        <v>50</v>
      </c>
      <c r="K13" s="813">
        <f>H13*I13</f>
        <v>0.3</v>
      </c>
      <c r="L13" s="813">
        <f>K13^2</f>
        <v>0.09</v>
      </c>
      <c r="M13" s="813">
        <f>((K13)^4)/J13</f>
        <v>1.6199999999999998E-4</v>
      </c>
      <c r="O13" s="376" t="s">
        <v>493</v>
      </c>
      <c r="P13" s="761" t="s">
        <v>501</v>
      </c>
      <c r="Q13" s="382" t="s">
        <v>494</v>
      </c>
      <c r="R13" s="384">
        <f>C10</f>
        <v>0</v>
      </c>
      <c r="S13" s="379">
        <f>ID!M70</f>
        <v>-200</v>
      </c>
      <c r="T13" s="381">
        <v>-100</v>
      </c>
      <c r="U13" s="377">
        <v>1.5</v>
      </c>
      <c r="V13" s="380">
        <v>-200</v>
      </c>
      <c r="W13" s="378">
        <v>1.5</v>
      </c>
      <c r="X13" s="815">
        <f>((((W13-U13)*(S13-T13)))/(V13-T13))+U13</f>
        <v>1.5</v>
      </c>
      <c r="Y13" s="385"/>
    </row>
    <row r="14" spans="3:25" ht="16.5" customHeight="1" x14ac:dyDescent="0.3">
      <c r="C14" s="816" t="s">
        <v>314</v>
      </c>
      <c r="D14" s="761" t="str">
        <f>ID!$O$60</f>
        <v>(mmHg)</v>
      </c>
      <c r="E14" s="810" t="s">
        <v>80</v>
      </c>
      <c r="F14" s="811">
        <f>(1/10)*ID!$C$7</f>
        <v>-5.0000000000000001E-4</v>
      </c>
      <c r="G14" s="811">
        <f>SQRT(3)</f>
        <v>1.7320508075688772</v>
      </c>
      <c r="H14" s="811">
        <f>F14/G14</f>
        <v>-2.886751345948129E-4</v>
      </c>
      <c r="I14" s="812">
        <v>1</v>
      </c>
      <c r="J14" s="812">
        <v>50</v>
      </c>
      <c r="K14" s="813">
        <f>H14*I14</f>
        <v>-2.886751345948129E-4</v>
      </c>
      <c r="L14" s="813">
        <f>K14^2</f>
        <v>8.3333333333333338E-8</v>
      </c>
      <c r="M14" s="813">
        <f>((K14)^4)/J14</f>
        <v>1.388888888888889E-16</v>
      </c>
      <c r="X14" s="817"/>
    </row>
    <row r="15" spans="3:25" ht="16.5" hidden="1" customHeight="1" x14ac:dyDescent="0.3">
      <c r="C15" s="818" t="s">
        <v>313</v>
      </c>
      <c r="D15" s="761" t="str">
        <f>ID!$O$60</f>
        <v>(mmHg)</v>
      </c>
      <c r="E15" s="819" t="s">
        <v>80</v>
      </c>
      <c r="F15" s="820">
        <f>(1/2)*0.5*ID!$O$64</f>
        <v>0.25</v>
      </c>
      <c r="G15" s="811">
        <f>SQRT(3)</f>
        <v>1.7320508075688772</v>
      </c>
      <c r="H15" s="811">
        <f>F15/G15</f>
        <v>0.14433756729740646</v>
      </c>
      <c r="I15" s="812">
        <v>1</v>
      </c>
      <c r="J15" s="812">
        <v>50</v>
      </c>
      <c r="K15" s="813">
        <f>H15*I15</f>
        <v>0.14433756729740646</v>
      </c>
      <c r="L15" s="813">
        <f>K15^2</f>
        <v>2.0833333333333339E-2</v>
      </c>
      <c r="M15" s="813">
        <f>((K15)^4)/J15</f>
        <v>8.6805555555555606E-6</v>
      </c>
      <c r="X15" s="817"/>
    </row>
    <row r="16" spans="3:25" x14ac:dyDescent="0.3">
      <c r="C16" s="809" t="s">
        <v>44</v>
      </c>
      <c r="D16" s="761" t="str">
        <f>ID!$O$60</f>
        <v>(mmHg)</v>
      </c>
      <c r="E16" s="810" t="s">
        <v>80</v>
      </c>
      <c r="F16" s="814">
        <f>INTERPOLASI!CN18</f>
        <v>0.15000000000000002</v>
      </c>
      <c r="G16" s="811">
        <f>SQRT(3)</f>
        <v>1.7320508075688772</v>
      </c>
      <c r="H16" s="811">
        <f>F16/G16</f>
        <v>8.6602540378443879E-2</v>
      </c>
      <c r="I16" s="812">
        <v>1</v>
      </c>
      <c r="J16" s="812">
        <v>50</v>
      </c>
      <c r="K16" s="813">
        <f>H16*I16</f>
        <v>8.6602540378443879E-2</v>
      </c>
      <c r="L16" s="813">
        <f>K16^2</f>
        <v>7.5000000000000023E-3</v>
      </c>
      <c r="M16" s="813">
        <f>((K16)^4)/J16</f>
        <v>1.1250000000000007E-6</v>
      </c>
      <c r="O16" s="376" t="s">
        <v>493</v>
      </c>
      <c r="P16" s="761" t="s">
        <v>502</v>
      </c>
      <c r="Q16" s="382" t="s">
        <v>494</v>
      </c>
      <c r="R16" s="384">
        <f>C10</f>
        <v>0</v>
      </c>
      <c r="S16" s="379">
        <f>ID!M70</f>
        <v>-200</v>
      </c>
      <c r="T16" s="381">
        <f>'SERTIFIKAT DPM'!AJ27</f>
        <v>-100</v>
      </c>
      <c r="U16" s="377">
        <f>'SERTIFIKAT DPM'!AN27</f>
        <v>0</v>
      </c>
      <c r="V16" s="380">
        <f>'SERTIFIKAT DPM'!AJ28</f>
        <v>-200</v>
      </c>
      <c r="W16" s="378">
        <f>'SERTIFIKAT DPM'!AN28</f>
        <v>0.15000000000000002</v>
      </c>
      <c r="X16" s="815">
        <f>((((W16-U16)*(S16-T16)))/(V16-T16))+U16</f>
        <v>0.15000000000000002</v>
      </c>
    </row>
    <row r="17" spans="3:24" x14ac:dyDescent="0.3">
      <c r="C17" s="821"/>
      <c r="D17" s="822"/>
      <c r="E17" s="821"/>
      <c r="F17" s="821"/>
      <c r="G17" s="823" t="s">
        <v>79</v>
      </c>
      <c r="H17" s="824"/>
      <c r="I17" s="824"/>
      <c r="J17" s="824"/>
      <c r="K17" s="825"/>
      <c r="L17" s="826">
        <f>SUM(L12:L16)</f>
        <v>0.11833341666666668</v>
      </c>
      <c r="M17" s="826">
        <f>SUM(M12:M16)</f>
        <v>1.7180555555569444E-4</v>
      </c>
      <c r="S17" s="1050"/>
      <c r="T17" s="1049"/>
      <c r="U17" s="1048"/>
      <c r="W17" s="1048"/>
      <c r="X17" s="1051"/>
    </row>
    <row r="18" spans="3:24" ht="15.75" customHeight="1" x14ac:dyDescent="0.4">
      <c r="C18" s="822"/>
      <c r="D18" s="822"/>
      <c r="E18" s="822"/>
      <c r="F18" s="822"/>
      <c r="G18" s="1856" t="s">
        <v>105</v>
      </c>
      <c r="H18" s="1857"/>
      <c r="I18" s="1857"/>
      <c r="J18" s="1857"/>
      <c r="K18" s="1858"/>
      <c r="L18" s="826">
        <f>SQRT(L17)</f>
        <v>0.34399624513454602</v>
      </c>
      <c r="M18" s="813"/>
      <c r="S18" s="1050"/>
      <c r="T18" s="1049"/>
      <c r="U18" s="1050"/>
      <c r="W18" s="1050"/>
      <c r="X18" s="1051"/>
    </row>
    <row r="19" spans="3:24" ht="15.75" customHeight="1" x14ac:dyDescent="0.3">
      <c r="C19" s="822"/>
      <c r="D19" s="822"/>
      <c r="E19" s="822"/>
      <c r="F19" s="822"/>
      <c r="G19" s="1856" t="s">
        <v>82</v>
      </c>
      <c r="H19" s="1857"/>
      <c r="I19" s="1857"/>
      <c r="J19" s="1857"/>
      <c r="K19" s="1858"/>
      <c r="L19" s="826">
        <f>((L18)^4)/M17</f>
        <v>81.503752627298724</v>
      </c>
      <c r="M19" s="813"/>
    </row>
    <row r="20" spans="3:24" ht="15.75" customHeight="1" x14ac:dyDescent="0.3">
      <c r="C20" s="822"/>
      <c r="D20" s="822"/>
      <c r="E20" s="822"/>
      <c r="F20" s="822"/>
      <c r="G20" s="1856" t="s">
        <v>36</v>
      </c>
      <c r="H20" s="1857"/>
      <c r="I20" s="1857"/>
      <c r="J20" s="1857"/>
      <c r="K20" s="1858"/>
      <c r="L20">
        <f>1.95996+2.37356/L19+2.818745/L19^2 +2.546662/L19^3 +1.761829/L19^4+0.245458/L19^5 +1.000764/L19^6</f>
        <v>1.9895111652693112</v>
      </c>
      <c r="M20" s="813"/>
    </row>
    <row r="21" spans="3:24" ht="15.75" customHeight="1" x14ac:dyDescent="0.4">
      <c r="C21" s="822"/>
      <c r="D21" s="822"/>
      <c r="E21" s="822"/>
      <c r="F21" s="822"/>
      <c r="G21" s="1859" t="s">
        <v>138</v>
      </c>
      <c r="H21" s="1860"/>
      <c r="I21" s="1860"/>
      <c r="J21" s="1860"/>
      <c r="K21" s="827" t="str">
        <f>ID!$O$60</f>
        <v>(mmHg)</v>
      </c>
      <c r="L21" s="828">
        <f>L20*L18</f>
        <v>0.68438437050589829</v>
      </c>
    </row>
    <row r="22" spans="3:24" x14ac:dyDescent="0.3">
      <c r="C22" s="822"/>
      <c r="D22" s="822"/>
      <c r="E22" s="822"/>
      <c r="F22" s="822"/>
      <c r="G22" s="829"/>
      <c r="H22" s="829"/>
      <c r="I22" s="829"/>
      <c r="J22" s="829"/>
      <c r="K22" s="829"/>
      <c r="L22" s="830">
        <f>ABS(L21/C9)*100</f>
        <v>0.34219218525294914</v>
      </c>
      <c r="M22" s="800" t="s">
        <v>285</v>
      </c>
    </row>
    <row r="23" spans="3:24" ht="6.75" customHeight="1" x14ac:dyDescent="0.3">
      <c r="C23" s="822"/>
      <c r="D23" s="822"/>
      <c r="E23" s="822"/>
      <c r="F23" s="822"/>
      <c r="G23" s="829"/>
      <c r="H23" s="829"/>
      <c r="I23" s="829"/>
      <c r="J23" s="829"/>
      <c r="K23" s="829"/>
      <c r="L23" s="831"/>
      <c r="M23" s="832"/>
    </row>
    <row r="24" spans="3:24" ht="15.75" customHeight="1" x14ac:dyDescent="0.3">
      <c r="C24" s="833">
        <f>ID!A71</f>
        <v>-300</v>
      </c>
      <c r="D24" s="802" t="str">
        <f>ID!$O$60</f>
        <v>(mmHg)</v>
      </c>
      <c r="E24" s="822"/>
      <c r="F24" s="822"/>
      <c r="G24" s="829"/>
      <c r="H24" s="829"/>
      <c r="I24" s="829"/>
      <c r="J24" s="829"/>
      <c r="K24" s="829"/>
      <c r="L24" s="831"/>
      <c r="M24" s="832"/>
    </row>
    <row r="25" spans="3:24" ht="14.25" customHeight="1" x14ac:dyDescent="0.3">
      <c r="C25" s="803"/>
      <c r="D25" s="804" t="str">
        <f>ID!$O$60</f>
        <v>(mmHg)</v>
      </c>
    </row>
    <row r="26" spans="3:24" s="808" customFormat="1" ht="18" x14ac:dyDescent="0.4">
      <c r="C26" s="805" t="s">
        <v>34</v>
      </c>
      <c r="D26" s="805" t="s">
        <v>35</v>
      </c>
      <c r="E26" s="805" t="s">
        <v>73</v>
      </c>
      <c r="F26" s="805" t="s">
        <v>72</v>
      </c>
      <c r="G26" s="805" t="s">
        <v>13</v>
      </c>
      <c r="H26" s="805" t="s">
        <v>99</v>
      </c>
      <c r="I26" s="805" t="s">
        <v>100</v>
      </c>
      <c r="J26" s="805" t="s">
        <v>101</v>
      </c>
      <c r="K26" s="805" t="s">
        <v>102</v>
      </c>
      <c r="L26" s="805" t="s">
        <v>103</v>
      </c>
      <c r="M26" s="807" t="s">
        <v>104</v>
      </c>
    </row>
    <row r="27" spans="3:24" x14ac:dyDescent="0.3">
      <c r="C27" s="834" t="s">
        <v>78</v>
      </c>
      <c r="D27" s="761" t="str">
        <f>ID!$O$60</f>
        <v>(mmHg)</v>
      </c>
      <c r="E27" s="819" t="s">
        <v>9</v>
      </c>
      <c r="F27" s="811">
        <f>ID!Q71</f>
        <v>0</v>
      </c>
      <c r="G27" s="811">
        <f>SQRT(6)</f>
        <v>2.4494897427831779</v>
      </c>
      <c r="H27" s="811">
        <f>(F27/G27)</f>
        <v>0</v>
      </c>
      <c r="I27" s="812">
        <v>1</v>
      </c>
      <c r="J27" s="812">
        <f>6-1</f>
        <v>5</v>
      </c>
      <c r="K27" s="813">
        <f>H27*I27</f>
        <v>0</v>
      </c>
      <c r="L27" s="813">
        <f>K27^2</f>
        <v>0</v>
      </c>
      <c r="M27" s="813">
        <f>((K27)^4)/J27</f>
        <v>0</v>
      </c>
    </row>
    <row r="28" spans="3:24" x14ac:dyDescent="0.3">
      <c r="C28" s="834" t="s">
        <v>77</v>
      </c>
      <c r="D28" s="761" t="str">
        <f>ID!$O$60</f>
        <v>(mmHg)</v>
      </c>
      <c r="E28" s="819" t="s">
        <v>9</v>
      </c>
      <c r="F28" s="814">
        <f>INTERPOLASI!BP19</f>
        <v>0.6</v>
      </c>
      <c r="G28" s="812">
        <v>2</v>
      </c>
      <c r="H28" s="811">
        <f>F28/G28</f>
        <v>0.3</v>
      </c>
      <c r="I28" s="812">
        <v>1</v>
      </c>
      <c r="J28" s="812">
        <v>50</v>
      </c>
      <c r="K28" s="813">
        <f>H28*I28</f>
        <v>0.3</v>
      </c>
      <c r="L28" s="813">
        <f>K28^2</f>
        <v>0.09</v>
      </c>
      <c r="M28" s="813">
        <f>((K28)^4)/J28</f>
        <v>1.6199999999999998E-4</v>
      </c>
      <c r="O28" s="376" t="s">
        <v>493</v>
      </c>
      <c r="P28" s="761" t="s">
        <v>501</v>
      </c>
      <c r="Q28" s="383" t="s">
        <v>495</v>
      </c>
      <c r="R28" s="384">
        <f>C25</f>
        <v>0</v>
      </c>
      <c r="S28" s="379">
        <f>ID!M71</f>
        <v>-304</v>
      </c>
      <c r="T28" s="381">
        <v>-200</v>
      </c>
      <c r="U28" s="377">
        <v>1.5</v>
      </c>
      <c r="V28" s="380">
        <v>-300</v>
      </c>
      <c r="W28" s="378">
        <v>1.5</v>
      </c>
      <c r="X28" s="815">
        <f>((((W28-U28)*(S28-T28)))/(V28-T28))+U28</f>
        <v>1.5</v>
      </c>
    </row>
    <row r="29" spans="3:24" ht="16.5" customHeight="1" x14ac:dyDescent="0.3">
      <c r="C29" s="816" t="s">
        <v>314</v>
      </c>
      <c r="D29" s="761" t="str">
        <f>ID!$O$60</f>
        <v>(mmHg)</v>
      </c>
      <c r="E29" s="819" t="s">
        <v>80</v>
      </c>
      <c r="F29" s="811">
        <f>(1/10)*ID!$C$7</f>
        <v>-5.0000000000000001E-4</v>
      </c>
      <c r="G29" s="811">
        <f>SQRT(3)</f>
        <v>1.7320508075688772</v>
      </c>
      <c r="H29" s="811">
        <f>F29/G29</f>
        <v>-2.886751345948129E-4</v>
      </c>
      <c r="I29" s="812">
        <v>1</v>
      </c>
      <c r="J29" s="812">
        <v>50</v>
      </c>
      <c r="K29" s="813">
        <f>H29*I29</f>
        <v>-2.886751345948129E-4</v>
      </c>
      <c r="L29" s="813">
        <f>K29^2</f>
        <v>8.3333333333333338E-8</v>
      </c>
      <c r="M29" s="813">
        <f>((K29)^4)/J29</f>
        <v>1.388888888888889E-16</v>
      </c>
      <c r="X29" s="817"/>
    </row>
    <row r="30" spans="3:24" ht="16.5" hidden="1" customHeight="1" x14ac:dyDescent="0.3">
      <c r="C30" s="818" t="s">
        <v>313</v>
      </c>
      <c r="D30" s="761" t="str">
        <f>ID!$O$60</f>
        <v>(mmHg)</v>
      </c>
      <c r="E30" s="819" t="s">
        <v>80</v>
      </c>
      <c r="F30" s="820">
        <f>(1/2)*0.5*ID!$O$64</f>
        <v>0.25</v>
      </c>
      <c r="G30" s="811">
        <f>SQRT(3)</f>
        <v>1.7320508075688772</v>
      </c>
      <c r="H30" s="811">
        <f>F30/G30</f>
        <v>0.14433756729740646</v>
      </c>
      <c r="I30" s="812">
        <v>1</v>
      </c>
      <c r="J30" s="812">
        <v>50</v>
      </c>
      <c r="K30" s="813">
        <f>H30*I30</f>
        <v>0.14433756729740646</v>
      </c>
      <c r="L30" s="813">
        <f>K30^2</f>
        <v>2.0833333333333339E-2</v>
      </c>
      <c r="M30" s="813">
        <f>((K30)^4)/J30</f>
        <v>8.6805555555555606E-6</v>
      </c>
      <c r="X30" s="817"/>
    </row>
    <row r="31" spans="3:24" x14ac:dyDescent="0.3">
      <c r="C31" s="834" t="s">
        <v>44</v>
      </c>
      <c r="D31" s="761" t="str">
        <f>ID!$O$60</f>
        <v>(mmHg)</v>
      </c>
      <c r="E31" s="819" t="s">
        <v>80</v>
      </c>
      <c r="F31" s="814">
        <f>INTERPOLASI!CN19</f>
        <v>0.25</v>
      </c>
      <c r="G31" s="811">
        <f>SQRT(3)</f>
        <v>1.7320508075688772</v>
      </c>
      <c r="H31" s="811">
        <f>F31/G31</f>
        <v>0.14433756729740646</v>
      </c>
      <c r="I31" s="812">
        <v>1</v>
      </c>
      <c r="J31" s="812">
        <v>50</v>
      </c>
      <c r="K31" s="813">
        <f>H31*I31</f>
        <v>0.14433756729740646</v>
      </c>
      <c r="L31" s="813">
        <f>K31^2</f>
        <v>2.0833333333333339E-2</v>
      </c>
      <c r="M31" s="813">
        <f>((K31)^4)/J31</f>
        <v>8.6805555555555606E-6</v>
      </c>
      <c r="O31" s="376" t="s">
        <v>493</v>
      </c>
      <c r="P31" s="761" t="s">
        <v>502</v>
      </c>
      <c r="Q31" s="383" t="s">
        <v>495</v>
      </c>
      <c r="R31" s="384">
        <f>C25</f>
        <v>0</v>
      </c>
      <c r="S31" s="379">
        <f>ID!M71</f>
        <v>-304</v>
      </c>
      <c r="T31" s="381">
        <v>-200</v>
      </c>
      <c r="U31" s="386">
        <f>'SERTIFIKAT DPM'!AN28</f>
        <v>0.15000000000000002</v>
      </c>
      <c r="V31" s="380">
        <v>-300</v>
      </c>
      <c r="W31" s="386">
        <f>'SERTIFIKAT DPM'!AN29</f>
        <v>0.25</v>
      </c>
      <c r="X31" s="815">
        <f>((((W31-U31)*(S31-T31)))/(V31-T31))+U31</f>
        <v>0.254</v>
      </c>
    </row>
    <row r="32" spans="3:24" x14ac:dyDescent="0.3">
      <c r="C32" s="821"/>
      <c r="D32" s="821"/>
      <c r="E32" s="821"/>
      <c r="F32" s="821"/>
      <c r="G32" s="823" t="s">
        <v>79</v>
      </c>
      <c r="H32" s="824"/>
      <c r="I32" s="824"/>
      <c r="J32" s="824"/>
      <c r="K32" s="825"/>
      <c r="L32" s="826">
        <f>SUM(L27:L31)</f>
        <v>0.13166675</v>
      </c>
      <c r="M32" s="826">
        <f>SUM(M27:M31)</f>
        <v>1.7936111111124998E-4</v>
      </c>
    </row>
    <row r="33" spans="3:24" ht="15.75" customHeight="1" x14ac:dyDescent="0.4">
      <c r="C33" s="822"/>
      <c r="D33" s="822"/>
      <c r="E33" s="822"/>
      <c r="F33" s="822"/>
      <c r="G33" s="1856" t="s">
        <v>105</v>
      </c>
      <c r="H33" s="1857"/>
      <c r="I33" s="1857"/>
      <c r="J33" s="1857"/>
      <c r="K33" s="1858"/>
      <c r="L33" s="826">
        <f>SQRT(L32)</f>
        <v>0.3628591324467389</v>
      </c>
      <c r="M33" s="813"/>
    </row>
    <row r="34" spans="3:24" ht="15.75" customHeight="1" x14ac:dyDescent="0.3">
      <c r="C34" s="822"/>
      <c r="D34" s="822"/>
      <c r="E34" s="822"/>
      <c r="F34" s="822"/>
      <c r="G34" s="1856" t="s">
        <v>82</v>
      </c>
      <c r="H34" s="1857"/>
      <c r="I34" s="1857"/>
      <c r="J34" s="1857"/>
      <c r="K34" s="1858"/>
      <c r="L34" s="826">
        <f>((L33)^4)/M32</f>
        <v>96.654915595441651</v>
      </c>
      <c r="M34" s="835"/>
    </row>
    <row r="35" spans="3:24" ht="15.75" customHeight="1" x14ac:dyDescent="0.3">
      <c r="C35" s="822"/>
      <c r="D35" s="822"/>
      <c r="E35" s="822"/>
      <c r="F35" s="822"/>
      <c r="G35" s="1856" t="s">
        <v>36</v>
      </c>
      <c r="H35" s="1857"/>
      <c r="I35" s="1857"/>
      <c r="J35" s="1857"/>
      <c r="K35" s="1858"/>
      <c r="L35">
        <f>1.95996+2.37356/L34+2.818745/L34^2 +2.546662/L34^3 +1.761829/L34^4+0.245458/L34^5 +1.000764/L34^6</f>
        <v>1.984821617372714</v>
      </c>
      <c r="M35" s="813">
        <f>1.95996+(2.37356/L34)+(2.818745/L34^2)+(2.546662/L34^3)+(1.7861829/L34^4)+(0.245458/L34^5)+(1.000764/L34^6)</f>
        <v>1.9848216176517579</v>
      </c>
    </row>
    <row r="36" spans="3:24" ht="15.75" customHeight="1" x14ac:dyDescent="0.4">
      <c r="C36" s="822"/>
      <c r="D36" s="822"/>
      <c r="E36" s="822"/>
      <c r="F36" s="822"/>
      <c r="G36" s="1859" t="s">
        <v>138</v>
      </c>
      <c r="H36" s="1860"/>
      <c r="I36" s="1860"/>
      <c r="J36" s="1860"/>
      <c r="K36" s="827" t="str">
        <f>ID!$O$60</f>
        <v>(mmHg)</v>
      </c>
      <c r="L36" s="828">
        <f>L35*L33</f>
        <v>0.72021065014139618</v>
      </c>
      <c r="M36" s="813"/>
    </row>
    <row r="37" spans="3:24" x14ac:dyDescent="0.3">
      <c r="C37" s="822"/>
      <c r="D37" s="822"/>
      <c r="E37" s="822"/>
      <c r="F37" s="822"/>
      <c r="G37" s="829"/>
      <c r="H37" s="829"/>
      <c r="I37" s="829"/>
      <c r="J37" s="829"/>
      <c r="K37" s="829"/>
      <c r="L37" s="830">
        <f>ABS(L36/C24)*100</f>
        <v>0.24007021671379872</v>
      </c>
      <c r="M37" s="800" t="s">
        <v>285</v>
      </c>
    </row>
    <row r="38" spans="3:24" ht="8.25" customHeight="1" x14ac:dyDescent="0.3">
      <c r="C38" s="822"/>
      <c r="D38" s="822"/>
      <c r="E38" s="822"/>
      <c r="F38" s="822"/>
      <c r="G38" s="829"/>
      <c r="H38" s="829"/>
      <c r="I38" s="829"/>
      <c r="J38" s="829"/>
      <c r="K38" s="829"/>
      <c r="L38" s="831"/>
      <c r="M38" s="832"/>
    </row>
    <row r="39" spans="3:24" ht="15.75" customHeight="1" x14ac:dyDescent="0.3">
      <c r="C39" s="836">
        <f>ID!A72</f>
        <v>-400</v>
      </c>
      <c r="D39" s="802" t="str">
        <f>ID!$O$60</f>
        <v>(mmHg)</v>
      </c>
      <c r="E39" s="822"/>
      <c r="F39" s="822"/>
      <c r="G39" s="829"/>
      <c r="H39" s="829"/>
      <c r="I39" s="829"/>
      <c r="J39" s="829"/>
      <c r="K39" s="829"/>
      <c r="L39" s="831"/>
      <c r="M39" s="832"/>
    </row>
    <row r="40" spans="3:24" ht="9.75" customHeight="1" x14ac:dyDescent="0.3">
      <c r="C40" s="803"/>
      <c r="D40" s="804" t="str">
        <f>ID!$O$60</f>
        <v>(mmHg)</v>
      </c>
    </row>
    <row r="41" spans="3:24" s="808" customFormat="1" ht="18" x14ac:dyDescent="0.4">
      <c r="C41" s="805" t="s">
        <v>34</v>
      </c>
      <c r="D41" s="805" t="s">
        <v>35</v>
      </c>
      <c r="E41" s="805" t="s">
        <v>73</v>
      </c>
      <c r="F41" s="805" t="s">
        <v>72</v>
      </c>
      <c r="G41" s="805" t="s">
        <v>13</v>
      </c>
      <c r="H41" s="805" t="s">
        <v>99</v>
      </c>
      <c r="I41" s="805" t="s">
        <v>100</v>
      </c>
      <c r="J41" s="805" t="s">
        <v>101</v>
      </c>
      <c r="K41" s="805" t="s">
        <v>102</v>
      </c>
      <c r="L41" s="805" t="s">
        <v>103</v>
      </c>
      <c r="M41" s="807" t="s">
        <v>104</v>
      </c>
    </row>
    <row r="42" spans="3:24" x14ac:dyDescent="0.3">
      <c r="C42" s="834" t="s">
        <v>78</v>
      </c>
      <c r="D42" s="761" t="str">
        <f>ID!$O$60</f>
        <v>(mmHg)</v>
      </c>
      <c r="E42" s="819" t="s">
        <v>9</v>
      </c>
      <c r="F42" s="811">
        <f>ID!Q72</f>
        <v>0</v>
      </c>
      <c r="G42" s="811">
        <f>SQRT(6)</f>
        <v>2.4494897427831779</v>
      </c>
      <c r="H42" s="811">
        <f>(F42/G42)</f>
        <v>0</v>
      </c>
      <c r="I42" s="812">
        <v>1</v>
      </c>
      <c r="J42" s="812">
        <f>6-1</f>
        <v>5</v>
      </c>
      <c r="K42" s="813">
        <f>H42*I42</f>
        <v>0</v>
      </c>
      <c r="L42" s="813">
        <f>K42^2</f>
        <v>0</v>
      </c>
      <c r="M42" s="813">
        <f>((K42)^4)/J42</f>
        <v>0</v>
      </c>
    </row>
    <row r="43" spans="3:24" x14ac:dyDescent="0.3">
      <c r="C43" s="834" t="s">
        <v>77</v>
      </c>
      <c r="D43" s="761" t="str">
        <f>ID!$O$60</f>
        <v>(mmHg)</v>
      </c>
      <c r="E43" s="819" t="s">
        <v>9</v>
      </c>
      <c r="F43" s="814">
        <f>INTERPOLASI!BP20</f>
        <v>0.6</v>
      </c>
      <c r="G43" s="812">
        <v>2</v>
      </c>
      <c r="H43" s="811">
        <f>F43/G43</f>
        <v>0.3</v>
      </c>
      <c r="I43" s="812">
        <v>1</v>
      </c>
      <c r="J43" s="812">
        <v>50</v>
      </c>
      <c r="K43" s="813">
        <f>H43*I43</f>
        <v>0.3</v>
      </c>
      <c r="L43" s="813">
        <f>K43^2</f>
        <v>0.09</v>
      </c>
      <c r="M43" s="813">
        <f>((K43)^4)/J43</f>
        <v>1.6199999999999998E-4</v>
      </c>
      <c r="O43" s="376" t="s">
        <v>493</v>
      </c>
      <c r="P43" s="761" t="s">
        <v>501</v>
      </c>
      <c r="Q43" s="383" t="s">
        <v>496</v>
      </c>
      <c r="R43" s="384">
        <f>C40</f>
        <v>0</v>
      </c>
      <c r="S43" s="379">
        <f>ID!M72</f>
        <v>-400</v>
      </c>
      <c r="T43" s="381">
        <v>-300</v>
      </c>
      <c r="U43" s="377">
        <v>1.5</v>
      </c>
      <c r="V43" s="380">
        <v>-400</v>
      </c>
      <c r="W43" s="378">
        <v>1.5</v>
      </c>
      <c r="X43" s="815">
        <f>((((W43-U43)*(S43-T43)))/(V43-T43))+U43</f>
        <v>1.5</v>
      </c>
    </row>
    <row r="44" spans="3:24" ht="16.5" customHeight="1" x14ac:dyDescent="0.3">
      <c r="C44" s="816" t="s">
        <v>314</v>
      </c>
      <c r="D44" s="761" t="str">
        <f>ID!$O$60</f>
        <v>(mmHg)</v>
      </c>
      <c r="E44" s="819" t="s">
        <v>80</v>
      </c>
      <c r="F44" s="811">
        <f>(1/10)*ID!$C$7</f>
        <v>-5.0000000000000001E-4</v>
      </c>
      <c r="G44" s="811">
        <f>SQRT(3)</f>
        <v>1.7320508075688772</v>
      </c>
      <c r="H44" s="811">
        <f>F44/G44</f>
        <v>-2.886751345948129E-4</v>
      </c>
      <c r="I44" s="812">
        <v>1</v>
      </c>
      <c r="J44" s="812">
        <v>50</v>
      </c>
      <c r="K44" s="813">
        <f>H44*I44</f>
        <v>-2.886751345948129E-4</v>
      </c>
      <c r="L44" s="813">
        <f>K44^2</f>
        <v>8.3333333333333338E-8</v>
      </c>
      <c r="M44" s="813">
        <f>((K44)^4)/J44</f>
        <v>1.388888888888889E-16</v>
      </c>
      <c r="X44" s="817"/>
    </row>
    <row r="45" spans="3:24" ht="16.5" hidden="1" customHeight="1" x14ac:dyDescent="0.3">
      <c r="C45" s="818" t="s">
        <v>313</v>
      </c>
      <c r="D45" s="761" t="str">
        <f>ID!$O$60</f>
        <v>(mmHg)</v>
      </c>
      <c r="E45" s="819" t="s">
        <v>80</v>
      </c>
      <c r="F45" s="820">
        <f>(1/2)*0.5*ID!$O$64</f>
        <v>0.25</v>
      </c>
      <c r="G45" s="811">
        <f>SQRT(3)</f>
        <v>1.7320508075688772</v>
      </c>
      <c r="H45" s="811">
        <f>F45/G45</f>
        <v>0.14433756729740646</v>
      </c>
      <c r="I45" s="812">
        <v>1</v>
      </c>
      <c r="J45" s="812">
        <v>50</v>
      </c>
      <c r="K45" s="813">
        <f>H45*I45</f>
        <v>0.14433756729740646</v>
      </c>
      <c r="L45" s="813">
        <f>K45^2</f>
        <v>2.0833333333333339E-2</v>
      </c>
      <c r="M45" s="813">
        <f>((K45)^4)/J45</f>
        <v>8.6805555555555606E-6</v>
      </c>
      <c r="X45" s="817"/>
    </row>
    <row r="46" spans="3:24" x14ac:dyDescent="0.3">
      <c r="C46" s="834" t="s">
        <v>44</v>
      </c>
      <c r="D46" s="761" t="str">
        <f>ID!$O$60</f>
        <v>(mmHg)</v>
      </c>
      <c r="E46" s="819" t="s">
        <v>80</v>
      </c>
      <c r="F46" s="814">
        <f>INTERPOLASI!CN20</f>
        <v>0.2</v>
      </c>
      <c r="G46" s="811">
        <f>SQRT(3)</f>
        <v>1.7320508075688772</v>
      </c>
      <c r="H46" s="811">
        <f>F46/G46</f>
        <v>0.11547005383792516</v>
      </c>
      <c r="I46" s="812">
        <v>1</v>
      </c>
      <c r="J46" s="812">
        <v>50</v>
      </c>
      <c r="K46" s="813">
        <f>H46*I46</f>
        <v>0.11547005383792516</v>
      </c>
      <c r="L46" s="813">
        <f>K46^2</f>
        <v>1.3333333333333336E-2</v>
      </c>
      <c r="M46" s="813">
        <f>((K46)^4)/J46</f>
        <v>3.5555555555555568E-6</v>
      </c>
      <c r="O46" s="376" t="s">
        <v>493</v>
      </c>
      <c r="P46" s="761" t="s">
        <v>502</v>
      </c>
      <c r="Q46" s="383" t="s">
        <v>496</v>
      </c>
      <c r="R46" s="384">
        <f>C40</f>
        <v>0</v>
      </c>
      <c r="S46" s="379">
        <f>ID!M72</f>
        <v>-400</v>
      </c>
      <c r="T46" s="381">
        <f>'SERTIFIKAT DPM'!AJ30</f>
        <v>-400</v>
      </c>
      <c r="U46" s="386">
        <f>'SERTIFIKAT DPM'!AN30</f>
        <v>0.2</v>
      </c>
      <c r="V46" s="380">
        <f>'SERTIFIKAT DPM'!AJ31</f>
        <v>-500</v>
      </c>
      <c r="W46" s="386">
        <f>'SERTIFIKAT DPM'!AN31</f>
        <v>0.25</v>
      </c>
      <c r="X46" s="815">
        <f>((((W46-U46)*(S46-T46)))/(V46-T46))+U46</f>
        <v>0.2</v>
      </c>
    </row>
    <row r="47" spans="3:24" x14ac:dyDescent="0.3">
      <c r="C47" s="821"/>
      <c r="D47" s="821"/>
      <c r="E47" s="821"/>
      <c r="F47" s="821"/>
      <c r="G47" s="823" t="s">
        <v>79</v>
      </c>
      <c r="H47" s="824"/>
      <c r="I47" s="824"/>
      <c r="J47" s="824"/>
      <c r="K47" s="825"/>
      <c r="L47" s="826">
        <f>SUM(L42:L46)</f>
        <v>0.12416675000000001</v>
      </c>
      <c r="M47" s="826">
        <f>SUM(M42:M46)</f>
        <v>1.7423611111124998E-4</v>
      </c>
    </row>
    <row r="48" spans="3:24" ht="15.75" customHeight="1" x14ac:dyDescent="0.4">
      <c r="C48" s="822"/>
      <c r="D48" s="822"/>
      <c r="E48" s="822"/>
      <c r="F48" s="822"/>
      <c r="G48" s="1856" t="s">
        <v>105</v>
      </c>
      <c r="H48" s="1857"/>
      <c r="I48" s="1857"/>
      <c r="J48" s="1857"/>
      <c r="K48" s="1858"/>
      <c r="L48" s="826">
        <f>SQRT(L47)</f>
        <v>0.3523730267770222</v>
      </c>
      <c r="M48" s="813"/>
    </row>
    <row r="49" spans="3:24" ht="15.75" customHeight="1" x14ac:dyDescent="0.3">
      <c r="C49" s="822"/>
      <c r="D49" s="822"/>
      <c r="E49" s="822"/>
      <c r="F49" s="822"/>
      <c r="G49" s="1856" t="s">
        <v>82</v>
      </c>
      <c r="H49" s="1857"/>
      <c r="I49" s="1857"/>
      <c r="J49" s="1857"/>
      <c r="K49" s="1858"/>
      <c r="L49" s="826">
        <f>((L48)^4)/M47</f>
        <v>88.485571143851359</v>
      </c>
      <c r="M49" s="813"/>
    </row>
    <row r="50" spans="3:24" ht="15.75" customHeight="1" x14ac:dyDescent="0.3">
      <c r="C50" s="822"/>
      <c r="D50" s="822"/>
      <c r="E50" s="822"/>
      <c r="F50" s="822"/>
      <c r="G50" s="1856" t="s">
        <v>36</v>
      </c>
      <c r="H50" s="1857"/>
      <c r="I50" s="1857"/>
      <c r="J50" s="1857"/>
      <c r="K50" s="1858"/>
      <c r="L50">
        <f>1.95996+2.37356/L49+2.818745/L49^2 +2.546662/L49^3 +1.761829/L49^4+0.245458/L49^5 +1.000764/L49^6</f>
        <v>1.9871479719204421</v>
      </c>
      <c r="M50" s="813"/>
    </row>
    <row r="51" spans="3:24" ht="15.75" customHeight="1" x14ac:dyDescent="0.4">
      <c r="C51" s="822"/>
      <c r="D51" s="822"/>
      <c r="E51" s="822"/>
      <c r="F51" s="822"/>
      <c r="G51" s="1859" t="s">
        <v>138</v>
      </c>
      <c r="H51" s="1860"/>
      <c r="I51" s="1860"/>
      <c r="J51" s="1860"/>
      <c r="K51" s="827" t="str">
        <f>ID!$O$60</f>
        <v>(mmHg)</v>
      </c>
      <c r="L51" s="828">
        <f>L50*L48</f>
        <v>0.70021734551942727</v>
      </c>
      <c r="M51" s="813"/>
    </row>
    <row r="52" spans="3:24" x14ac:dyDescent="0.3">
      <c r="L52" s="830">
        <f>ABS(L51/C39)*100</f>
        <v>0.17505433637985682</v>
      </c>
      <c r="M52" s="800" t="s">
        <v>285</v>
      </c>
    </row>
    <row r="53" spans="3:24" ht="7.5" customHeight="1" x14ac:dyDescent="0.3"/>
    <row r="54" spans="3:24" ht="7.5" customHeight="1" x14ac:dyDescent="0.3">
      <c r="C54" s="822"/>
      <c r="D54" s="822"/>
      <c r="E54" s="822"/>
      <c r="F54" s="822"/>
      <c r="G54" s="829"/>
      <c r="H54" s="829"/>
      <c r="I54" s="829"/>
      <c r="J54" s="829"/>
      <c r="K54" s="829"/>
      <c r="L54" s="831"/>
      <c r="M54" s="832"/>
    </row>
    <row r="55" spans="3:24" ht="7.5" customHeight="1" x14ac:dyDescent="0.3">
      <c r="C55" s="822"/>
      <c r="D55" s="822"/>
      <c r="E55" s="822"/>
      <c r="F55" s="822"/>
      <c r="G55" s="829"/>
      <c r="H55" s="829"/>
      <c r="I55" s="829"/>
      <c r="J55" s="829"/>
      <c r="K55" s="829"/>
      <c r="L55" s="831"/>
      <c r="M55" s="832"/>
    </row>
    <row r="56" spans="3:24" x14ac:dyDescent="0.3">
      <c r="C56" s="833">
        <f>ID!A73</f>
        <v>-500</v>
      </c>
      <c r="D56" s="802" t="str">
        <f>ID!$O$60</f>
        <v>(mmHg)</v>
      </c>
      <c r="E56" s="822"/>
      <c r="F56" s="822"/>
      <c r="G56" s="829"/>
      <c r="H56" s="829"/>
      <c r="I56" s="829"/>
      <c r="J56" s="829"/>
      <c r="K56" s="829"/>
      <c r="L56" s="831"/>
      <c r="M56" s="832"/>
    </row>
    <row r="57" spans="3:24" x14ac:dyDescent="0.3">
      <c r="C57" s="803"/>
      <c r="D57" s="804" t="str">
        <f>ID!$O$60</f>
        <v>(mmHg)</v>
      </c>
    </row>
    <row r="58" spans="3:24" ht="18" x14ac:dyDescent="0.4">
      <c r="C58" s="805" t="s">
        <v>34</v>
      </c>
      <c r="D58" s="805" t="s">
        <v>35</v>
      </c>
      <c r="E58" s="805" t="s">
        <v>73</v>
      </c>
      <c r="F58" s="805" t="s">
        <v>72</v>
      </c>
      <c r="G58" s="805" t="s">
        <v>13</v>
      </c>
      <c r="H58" s="805" t="s">
        <v>99</v>
      </c>
      <c r="I58" s="805" t="s">
        <v>100</v>
      </c>
      <c r="J58" s="805" t="s">
        <v>101</v>
      </c>
      <c r="K58" s="805" t="s">
        <v>102</v>
      </c>
      <c r="L58" s="805" t="s">
        <v>103</v>
      </c>
      <c r="M58" s="807" t="s">
        <v>104</v>
      </c>
    </row>
    <row r="59" spans="3:24" x14ac:dyDescent="0.3">
      <c r="C59" s="834" t="s">
        <v>78</v>
      </c>
      <c r="D59" s="761" t="str">
        <f>ID!$O$60</f>
        <v>(mmHg)</v>
      </c>
      <c r="E59" s="819" t="s">
        <v>9</v>
      </c>
      <c r="F59" s="811">
        <f>ID!Q73</f>
        <v>0</v>
      </c>
      <c r="G59" s="811">
        <f>SQRT(6)</f>
        <v>2.4494897427831779</v>
      </c>
      <c r="H59" s="811">
        <f>(F59/G59)</f>
        <v>0</v>
      </c>
      <c r="I59" s="812">
        <v>1</v>
      </c>
      <c r="J59" s="812">
        <f>6-1</f>
        <v>5</v>
      </c>
      <c r="K59" s="813">
        <f>H59*I59</f>
        <v>0</v>
      </c>
      <c r="L59" s="813">
        <f>K59^2</f>
        <v>0</v>
      </c>
      <c r="M59" s="813">
        <f>((K59)^4)/J59</f>
        <v>0</v>
      </c>
    </row>
    <row r="60" spans="3:24" x14ac:dyDescent="0.3">
      <c r="C60" s="834" t="s">
        <v>77</v>
      </c>
      <c r="D60" s="761" t="str">
        <f>ID!$O$60</f>
        <v>(mmHg)</v>
      </c>
      <c r="E60" s="819" t="s">
        <v>9</v>
      </c>
      <c r="F60" s="814">
        <f>INTERPOLASI!BP21</f>
        <v>0.6</v>
      </c>
      <c r="G60" s="812">
        <v>2</v>
      </c>
      <c r="H60" s="811">
        <f>F60/G60</f>
        <v>0.3</v>
      </c>
      <c r="I60" s="812">
        <v>1</v>
      </c>
      <c r="J60" s="812">
        <v>50</v>
      </c>
      <c r="K60" s="813">
        <f>H60*I60</f>
        <v>0.3</v>
      </c>
      <c r="L60" s="813">
        <f>K60^2</f>
        <v>0.09</v>
      </c>
      <c r="M60" s="813">
        <f>((K60)^4)/J60</f>
        <v>1.6199999999999998E-4</v>
      </c>
      <c r="O60" s="376" t="s">
        <v>493</v>
      </c>
      <c r="P60" s="761" t="s">
        <v>501</v>
      </c>
      <c r="Q60" s="383" t="s">
        <v>496</v>
      </c>
      <c r="R60" s="387">
        <f>C57</f>
        <v>0</v>
      </c>
      <c r="S60" s="388">
        <f>ID!M73</f>
        <v>-504</v>
      </c>
      <c r="T60" s="381">
        <f>'SERTIFIKAT DPM'!AJ30</f>
        <v>-400</v>
      </c>
      <c r="U60" s="377">
        <v>1.5</v>
      </c>
      <c r="V60" s="380">
        <f>'SERTIFIKAT DPM'!AJ31</f>
        <v>-500</v>
      </c>
      <c r="W60" s="378">
        <v>1.5</v>
      </c>
      <c r="X60" s="815">
        <f>((((W60-U60)*(S60-T60)))/(V60-T60))+U60</f>
        <v>1.5</v>
      </c>
    </row>
    <row r="61" spans="3:24" ht="25.5" customHeight="1" x14ac:dyDescent="0.3">
      <c r="C61" s="816" t="s">
        <v>314</v>
      </c>
      <c r="D61" s="761" t="str">
        <f>ID!$O$60</f>
        <v>(mmHg)</v>
      </c>
      <c r="E61" s="819" t="s">
        <v>80</v>
      </c>
      <c r="F61" s="811">
        <f>(1/10)*ID!$C$7</f>
        <v>-5.0000000000000001E-4</v>
      </c>
      <c r="G61" s="811">
        <f>SQRT(3)</f>
        <v>1.7320508075688772</v>
      </c>
      <c r="H61" s="811">
        <f>F61/G61</f>
        <v>-2.886751345948129E-4</v>
      </c>
      <c r="I61" s="812">
        <v>1</v>
      </c>
      <c r="J61" s="812">
        <v>50</v>
      </c>
      <c r="K61" s="813">
        <f>H61*I61</f>
        <v>-2.886751345948129E-4</v>
      </c>
      <c r="L61" s="813">
        <f>K61^2</f>
        <v>8.3333333333333338E-8</v>
      </c>
      <c r="M61" s="813">
        <f>((K61)^4)/J61</f>
        <v>1.388888888888889E-16</v>
      </c>
      <c r="S61" s="837"/>
      <c r="X61" s="817"/>
    </row>
    <row r="62" spans="3:24" ht="16.5" hidden="1" customHeight="1" x14ac:dyDescent="0.3">
      <c r="C62" s="818" t="s">
        <v>313</v>
      </c>
      <c r="D62" s="761" t="str">
        <f>ID!$O$60</f>
        <v>(mmHg)</v>
      </c>
      <c r="E62" s="819" t="s">
        <v>80</v>
      </c>
      <c r="F62" s="820">
        <f>(1/2)*0.5*ID!$O$64</f>
        <v>0.25</v>
      </c>
      <c r="G62" s="811">
        <f>SQRT(3)</f>
        <v>1.7320508075688772</v>
      </c>
      <c r="H62" s="811">
        <f>F62/G62</f>
        <v>0.14433756729740646</v>
      </c>
      <c r="I62" s="812">
        <v>1</v>
      </c>
      <c r="J62" s="812">
        <v>50</v>
      </c>
      <c r="K62" s="813">
        <f>H62*I62</f>
        <v>0.14433756729740646</v>
      </c>
      <c r="L62" s="813">
        <f>K62^2</f>
        <v>2.0833333333333339E-2</v>
      </c>
      <c r="M62" s="813">
        <f>((K62)^4)/J62</f>
        <v>8.6805555555555606E-6</v>
      </c>
      <c r="S62" s="837"/>
      <c r="X62" s="817"/>
    </row>
    <row r="63" spans="3:24" x14ac:dyDescent="0.3">
      <c r="C63" s="834" t="s">
        <v>44</v>
      </c>
      <c r="D63" s="761" t="str">
        <f>ID!$O$60</f>
        <v>(mmHg)</v>
      </c>
      <c r="E63" s="819" t="s">
        <v>80</v>
      </c>
      <c r="F63" s="814">
        <f>INTERPOLASI!CN21</f>
        <v>0.25</v>
      </c>
      <c r="G63" s="811">
        <f>SQRT(3)</f>
        <v>1.7320508075688772</v>
      </c>
      <c r="H63" s="811">
        <f>F63/G63</f>
        <v>0.14433756729740646</v>
      </c>
      <c r="I63" s="812">
        <v>1</v>
      </c>
      <c r="J63" s="812">
        <v>50</v>
      </c>
      <c r="K63" s="813">
        <f>H63*I63</f>
        <v>0.14433756729740646</v>
      </c>
      <c r="L63" s="813">
        <f>K63^2</f>
        <v>2.0833333333333339E-2</v>
      </c>
      <c r="M63" s="813">
        <f>((K63)^4)/J63</f>
        <v>8.6805555555555606E-6</v>
      </c>
      <c r="O63" s="376" t="s">
        <v>493</v>
      </c>
      <c r="P63" s="761" t="s">
        <v>502</v>
      </c>
      <c r="Q63" s="383" t="s">
        <v>496</v>
      </c>
      <c r="R63" s="387">
        <f>C57</f>
        <v>0</v>
      </c>
      <c r="S63" s="388">
        <f>ID!M73</f>
        <v>-504</v>
      </c>
      <c r="T63" s="381">
        <f>'SERTIFIKAT DPM'!AJ30</f>
        <v>-400</v>
      </c>
      <c r="U63" s="386">
        <f>'SERTIFIKAT DPM'!AN30</f>
        <v>0.2</v>
      </c>
      <c r="V63" s="380">
        <f>'SERTIFIKAT DPM'!AJ31</f>
        <v>-500</v>
      </c>
      <c r="W63" s="386">
        <f>'SERTIFIKAT DPM'!AN31</f>
        <v>0.25</v>
      </c>
      <c r="X63" s="815">
        <f>((((W63-U63)*(S63-T63)))/(V63-T63))+U63</f>
        <v>0.252</v>
      </c>
    </row>
    <row r="64" spans="3:24" x14ac:dyDescent="0.3">
      <c r="C64" s="821"/>
      <c r="D64" s="821"/>
      <c r="E64" s="821"/>
      <c r="F64" s="821"/>
      <c r="G64" s="823" t="s">
        <v>79</v>
      </c>
      <c r="H64" s="824"/>
      <c r="I64" s="824"/>
      <c r="J64" s="824"/>
      <c r="K64" s="825"/>
      <c r="L64" s="826">
        <f>SUM(L59:L63)</f>
        <v>0.13166675</v>
      </c>
      <c r="M64" s="826">
        <f>SUM(M59:M63)</f>
        <v>1.7936111111124998E-4</v>
      </c>
    </row>
    <row r="65" spans="3:24" ht="17.25" customHeight="1" x14ac:dyDescent="0.4">
      <c r="C65" s="822"/>
      <c r="D65" s="822"/>
      <c r="E65" s="822"/>
      <c r="F65" s="822"/>
      <c r="G65" s="1856" t="s">
        <v>105</v>
      </c>
      <c r="H65" s="1857"/>
      <c r="I65" s="1857"/>
      <c r="J65" s="1857"/>
      <c r="K65" s="1858"/>
      <c r="L65" s="826">
        <f>SQRT(L64)</f>
        <v>0.3628591324467389</v>
      </c>
      <c r="M65" s="813"/>
    </row>
    <row r="66" spans="3:24" ht="15.75" customHeight="1" x14ac:dyDescent="0.3">
      <c r="C66" s="822"/>
      <c r="D66" s="822"/>
      <c r="E66" s="822"/>
      <c r="F66" s="822"/>
      <c r="G66" s="1856" t="s">
        <v>82</v>
      </c>
      <c r="H66" s="1857"/>
      <c r="I66" s="1857"/>
      <c r="J66" s="1857"/>
      <c r="K66" s="1858"/>
      <c r="L66" s="826">
        <f>((L65)^4)/M64</f>
        <v>96.654915595441651</v>
      </c>
      <c r="M66" s="813"/>
    </row>
    <row r="67" spans="3:24" ht="15.75" customHeight="1" x14ac:dyDescent="0.3">
      <c r="C67" s="822"/>
      <c r="D67" s="822"/>
      <c r="E67" s="822"/>
      <c r="F67" s="822"/>
      <c r="G67" s="1856" t="s">
        <v>36</v>
      </c>
      <c r="H67" s="1857"/>
      <c r="I67" s="1857"/>
      <c r="J67" s="1857"/>
      <c r="K67" s="1858"/>
      <c r="L67">
        <f>1.95996+2.37356/L66+2.818745/L66^2 +2.546662/L66^3 +1.761829/L66^4+0.245458/L66^5 +1.000764/L66^6</f>
        <v>1.984821617372714</v>
      </c>
      <c r="M67" s="813"/>
    </row>
    <row r="68" spans="3:24" ht="17.25" customHeight="1" x14ac:dyDescent="0.4">
      <c r="C68" s="822"/>
      <c r="D68" s="822"/>
      <c r="E68" s="822"/>
      <c r="F68" s="822"/>
      <c r="G68" s="1859" t="s">
        <v>138</v>
      </c>
      <c r="H68" s="1860"/>
      <c r="I68" s="1860"/>
      <c r="J68" s="1860"/>
      <c r="K68" s="827" t="str">
        <f>ID!$O$60</f>
        <v>(mmHg)</v>
      </c>
      <c r="L68" s="828">
        <f>L67*L65</f>
        <v>0.72021065014139618</v>
      </c>
      <c r="M68" s="813"/>
    </row>
    <row r="69" spans="3:24" x14ac:dyDescent="0.3">
      <c r="L69" s="830">
        <f>ABS(L68/C56)*100</f>
        <v>0.14404213002827926</v>
      </c>
      <c r="M69" s="800" t="s">
        <v>285</v>
      </c>
    </row>
    <row r="70" spans="3:24" ht="9.75" hidden="1" customHeight="1" x14ac:dyDescent="0.3"/>
    <row r="71" spans="3:24" ht="9.75" hidden="1" customHeight="1" x14ac:dyDescent="0.3"/>
    <row r="72" spans="3:24" ht="9.75" hidden="1" customHeight="1" x14ac:dyDescent="0.3"/>
    <row r="73" spans="3:24" ht="9.75" hidden="1" customHeight="1" x14ac:dyDescent="0.3">
      <c r="C73" s="822"/>
      <c r="D73" s="822"/>
      <c r="E73" s="822"/>
      <c r="F73" s="822"/>
      <c r="G73" s="829"/>
      <c r="H73" s="829"/>
      <c r="I73" s="829"/>
      <c r="J73" s="829"/>
      <c r="K73" s="829"/>
      <c r="L73" s="831"/>
      <c r="M73" s="832"/>
    </row>
    <row r="74" spans="3:24" ht="9.75" customHeight="1" x14ac:dyDescent="0.3">
      <c r="C74" s="822"/>
      <c r="D74" s="822"/>
      <c r="E74" s="822"/>
      <c r="F74" s="822"/>
      <c r="G74" s="829"/>
      <c r="H74" s="829"/>
      <c r="I74" s="829"/>
      <c r="J74" s="829"/>
      <c r="K74" s="829"/>
      <c r="L74" s="831"/>
      <c r="M74" s="832"/>
    </row>
    <row r="75" spans="3:24" x14ac:dyDescent="0.3">
      <c r="C75" s="833">
        <f>ID!A74</f>
        <v>-600</v>
      </c>
      <c r="D75" s="802" t="str">
        <f>ID!$O$60</f>
        <v>(mmHg)</v>
      </c>
      <c r="E75" s="822"/>
      <c r="F75" s="822"/>
      <c r="G75" s="829"/>
      <c r="H75" s="829"/>
      <c r="I75" s="829"/>
      <c r="J75" s="829"/>
      <c r="K75" s="829"/>
      <c r="L75" s="831"/>
      <c r="M75" s="832"/>
    </row>
    <row r="76" spans="3:24" x14ac:dyDescent="0.3">
      <c r="C76" s="803"/>
      <c r="D76" s="804" t="str">
        <f>ID!$O$60</f>
        <v>(mmHg)</v>
      </c>
    </row>
    <row r="77" spans="3:24" ht="18" x14ac:dyDescent="0.4">
      <c r="C77" s="805" t="s">
        <v>34</v>
      </c>
      <c r="D77" s="805" t="s">
        <v>35</v>
      </c>
      <c r="E77" s="805" t="s">
        <v>73</v>
      </c>
      <c r="F77" s="805" t="s">
        <v>72</v>
      </c>
      <c r="G77" s="805" t="s">
        <v>13</v>
      </c>
      <c r="H77" s="805" t="s">
        <v>99</v>
      </c>
      <c r="I77" s="805" t="s">
        <v>100</v>
      </c>
      <c r="J77" s="805" t="s">
        <v>101</v>
      </c>
      <c r="K77" s="805" t="s">
        <v>102</v>
      </c>
      <c r="L77" s="805" t="s">
        <v>103</v>
      </c>
      <c r="M77" s="807" t="s">
        <v>104</v>
      </c>
    </row>
    <row r="78" spans="3:24" x14ac:dyDescent="0.3">
      <c r="C78" s="834" t="s">
        <v>78</v>
      </c>
      <c r="D78" s="761" t="str">
        <f>ID!$O$60</f>
        <v>(mmHg)</v>
      </c>
      <c r="E78" s="819" t="s">
        <v>9</v>
      </c>
      <c r="F78" s="811">
        <f>ID!Q74</f>
        <v>0</v>
      </c>
      <c r="G78" s="811">
        <f>SQRT(6)</f>
        <v>2.4494897427831779</v>
      </c>
      <c r="H78" s="811">
        <f>(F78/G78)</f>
        <v>0</v>
      </c>
      <c r="I78" s="812">
        <v>1</v>
      </c>
      <c r="J78" s="812">
        <f>6-1</f>
        <v>5</v>
      </c>
      <c r="K78" s="813">
        <f>H78*I78</f>
        <v>0</v>
      </c>
      <c r="L78" s="813">
        <f>K78^2</f>
        <v>0</v>
      </c>
      <c r="M78" s="813">
        <f>((K78)^4)/J78</f>
        <v>0</v>
      </c>
    </row>
    <row r="79" spans="3:24" ht="24" customHeight="1" x14ac:dyDescent="0.3">
      <c r="C79" s="834" t="s">
        <v>77</v>
      </c>
      <c r="D79" s="761" t="str">
        <f>ID!$O$60</f>
        <v>(mmHg)</v>
      </c>
      <c r="E79" s="819" t="s">
        <v>9</v>
      </c>
      <c r="F79" s="814">
        <f>INTERPOLASI!BP22</f>
        <v>0.6</v>
      </c>
      <c r="G79" s="812">
        <v>2</v>
      </c>
      <c r="H79" s="811">
        <f>F79/G79</f>
        <v>0.3</v>
      </c>
      <c r="I79" s="812">
        <v>1</v>
      </c>
      <c r="J79" s="812">
        <v>50</v>
      </c>
      <c r="K79" s="813">
        <f>H79*I79</f>
        <v>0.3</v>
      </c>
      <c r="L79" s="813">
        <f>K79^2</f>
        <v>0.09</v>
      </c>
      <c r="M79" s="813">
        <f>((K79)^4)/J79</f>
        <v>1.6199999999999998E-4</v>
      </c>
      <c r="O79" s="376" t="s">
        <v>493</v>
      </c>
      <c r="P79" s="761" t="s">
        <v>501</v>
      </c>
      <c r="Q79" s="383" t="s">
        <v>497</v>
      </c>
      <c r="R79" s="387">
        <f>C76</f>
        <v>0</v>
      </c>
      <c r="S79" s="388">
        <f>ID!M74</f>
        <v>-608</v>
      </c>
      <c r="T79" s="381">
        <f>'SERTIFIKAT DPM'!AJ31</f>
        <v>-500</v>
      </c>
      <c r="U79" s="377">
        <v>1.5</v>
      </c>
      <c r="V79" s="380">
        <f>'SERTIFIKAT DPM'!AJ32</f>
        <v>-600</v>
      </c>
      <c r="W79" s="378">
        <v>1.5</v>
      </c>
      <c r="X79" s="815">
        <f>((((W79-U79)*(S79-T79)))/(V79-T79))+U79</f>
        <v>1.5</v>
      </c>
    </row>
    <row r="80" spans="3:24" ht="15.75" customHeight="1" x14ac:dyDescent="0.3">
      <c r="C80" s="816" t="s">
        <v>314</v>
      </c>
      <c r="D80" s="761" t="str">
        <f>ID!$O$60</f>
        <v>(mmHg)</v>
      </c>
      <c r="E80" s="819" t="s">
        <v>80</v>
      </c>
      <c r="F80" s="811">
        <f>(1/10)*ID!$C$7</f>
        <v>-5.0000000000000001E-4</v>
      </c>
      <c r="G80" s="811">
        <f>SQRT(3)</f>
        <v>1.7320508075688772</v>
      </c>
      <c r="H80" s="811">
        <f>F80/G80</f>
        <v>-2.886751345948129E-4</v>
      </c>
      <c r="I80" s="812">
        <v>1</v>
      </c>
      <c r="J80" s="812">
        <v>50</v>
      </c>
      <c r="K80" s="813">
        <f>H80*I80</f>
        <v>-2.886751345948129E-4</v>
      </c>
      <c r="L80" s="813">
        <f>K80^2</f>
        <v>8.3333333333333338E-8</v>
      </c>
      <c r="M80" s="813">
        <f>((K80)^4)/J80</f>
        <v>1.388888888888889E-16</v>
      </c>
      <c r="S80" s="837"/>
      <c r="X80" s="817"/>
    </row>
    <row r="81" spans="3:24" ht="16.5" hidden="1" customHeight="1" x14ac:dyDescent="0.3">
      <c r="C81" s="818" t="s">
        <v>313</v>
      </c>
      <c r="D81" s="761" t="str">
        <f>ID!$O$60</f>
        <v>(mmHg)</v>
      </c>
      <c r="E81" s="819" t="s">
        <v>80</v>
      </c>
      <c r="F81" s="820">
        <f>(1/2)*0.5*ID!$O$64</f>
        <v>0.25</v>
      </c>
      <c r="G81" s="811">
        <f>SQRT(3)</f>
        <v>1.7320508075688772</v>
      </c>
      <c r="H81" s="811">
        <f>F81/G81</f>
        <v>0.14433756729740646</v>
      </c>
      <c r="I81" s="812">
        <v>1</v>
      </c>
      <c r="J81" s="812">
        <v>50</v>
      </c>
      <c r="K81" s="813">
        <f>H81*I81</f>
        <v>0.14433756729740646</v>
      </c>
      <c r="L81" s="813">
        <f>K81^2</f>
        <v>2.0833333333333339E-2</v>
      </c>
      <c r="M81" s="813">
        <f>((K81)^4)/J81</f>
        <v>8.6805555555555606E-6</v>
      </c>
      <c r="S81" s="837"/>
      <c r="X81" s="817"/>
    </row>
    <row r="82" spans="3:24" x14ac:dyDescent="0.3">
      <c r="C82" s="834" t="s">
        <v>44</v>
      </c>
      <c r="D82" s="761" t="str">
        <f>ID!$O$60</f>
        <v>(mmHg)</v>
      </c>
      <c r="E82" s="819" t="s">
        <v>80</v>
      </c>
      <c r="F82" s="814">
        <f>INTERPOLASI!CN22</f>
        <v>0.30000000000000004</v>
      </c>
      <c r="G82" s="811">
        <f>SQRT(3)</f>
        <v>1.7320508075688772</v>
      </c>
      <c r="H82" s="811">
        <f>F82/G82</f>
        <v>0.17320508075688776</v>
      </c>
      <c r="I82" s="812">
        <v>1</v>
      </c>
      <c r="J82" s="812">
        <v>50</v>
      </c>
      <c r="K82" s="813">
        <f>H82*I82</f>
        <v>0.17320508075688776</v>
      </c>
      <c r="L82" s="813">
        <f>K82^2</f>
        <v>3.0000000000000009E-2</v>
      </c>
      <c r="M82" s="813">
        <f>((K82)^4)/J82</f>
        <v>1.8000000000000011E-5</v>
      </c>
      <c r="O82" s="376" t="s">
        <v>493</v>
      </c>
      <c r="P82" s="761" t="s">
        <v>502</v>
      </c>
      <c r="Q82" s="383" t="s">
        <v>497</v>
      </c>
      <c r="R82" s="387">
        <f>C76</f>
        <v>0</v>
      </c>
      <c r="S82" s="388">
        <f>ID!M74</f>
        <v>-608</v>
      </c>
      <c r="T82" s="381">
        <f>'SERTIFIKAT DPM'!AJ31</f>
        <v>-500</v>
      </c>
      <c r="U82" s="386">
        <f>'SERTIFIKAT DPM'!AN31</f>
        <v>0.25</v>
      </c>
      <c r="V82" s="380">
        <f>'SERTIFIKAT DPM'!AJ32</f>
        <v>-600</v>
      </c>
      <c r="W82" s="386">
        <f>'SERTIFIKAT DPM'!AN32</f>
        <v>0.30000000000000004</v>
      </c>
      <c r="X82" s="815">
        <f>((((W82-U82)*(S82-T82)))/(V82-T82))+U82</f>
        <v>0.30400000000000005</v>
      </c>
    </row>
    <row r="83" spans="3:24" x14ac:dyDescent="0.3">
      <c r="C83" s="821"/>
      <c r="D83" s="821"/>
      <c r="E83" s="821"/>
      <c r="F83" s="821"/>
      <c r="G83" s="823" t="s">
        <v>79</v>
      </c>
      <c r="H83" s="824"/>
      <c r="I83" s="824"/>
      <c r="J83" s="824"/>
      <c r="K83" s="825"/>
      <c r="L83" s="826">
        <f>SUM(L78:L82)</f>
        <v>0.14083341666666668</v>
      </c>
      <c r="M83" s="826">
        <f>SUM(M78:M82)</f>
        <v>1.8868055555569443E-4</v>
      </c>
    </row>
    <row r="84" spans="3:24" ht="17.25" customHeight="1" x14ac:dyDescent="0.4">
      <c r="C84" s="822"/>
      <c r="D84" s="822"/>
      <c r="E84" s="822"/>
      <c r="F84" s="822"/>
      <c r="G84" s="1856" t="s">
        <v>105</v>
      </c>
      <c r="H84" s="1857"/>
      <c r="I84" s="1857"/>
      <c r="J84" s="1857"/>
      <c r="K84" s="1858"/>
      <c r="L84" s="826">
        <f>SQRT(L83)</f>
        <v>0.37527778600213829</v>
      </c>
      <c r="M84" s="813"/>
    </row>
    <row r="85" spans="3:24" ht="15.75" customHeight="1" x14ac:dyDescent="0.3">
      <c r="C85" s="822"/>
      <c r="D85" s="822"/>
      <c r="E85" s="822"/>
      <c r="F85" s="822"/>
      <c r="G85" s="1856" t="s">
        <v>82</v>
      </c>
      <c r="H85" s="1857"/>
      <c r="I85" s="1857"/>
      <c r="J85" s="1857"/>
      <c r="K85" s="1858"/>
      <c r="L85" s="826">
        <f>((L84)^4)/M83</f>
        <v>105.11974162675376</v>
      </c>
      <c r="M85" s="813"/>
    </row>
    <row r="86" spans="3:24" ht="15.75" customHeight="1" x14ac:dyDescent="0.3">
      <c r="C86" s="822"/>
      <c r="D86" s="822"/>
      <c r="E86" s="822"/>
      <c r="F86" s="822"/>
      <c r="G86" s="1856" t="s">
        <v>36</v>
      </c>
      <c r="H86" s="1857"/>
      <c r="I86" s="1857"/>
      <c r="J86" s="1857"/>
      <c r="K86" s="1858"/>
      <c r="L86" s="613">
        <f>1.95996+2.37356/L85+2.818745/L85^2 +2.546662/L85^3 +1.761829/L85^4+0.245458/L85^5 +1.000764/L85^6</f>
        <v>1.9827968768480295</v>
      </c>
      <c r="M86" s="813"/>
    </row>
    <row r="87" spans="3:24" ht="17.25" customHeight="1" x14ac:dyDescent="0.4">
      <c r="C87" s="822"/>
      <c r="D87" s="822"/>
      <c r="E87" s="822"/>
      <c r="F87" s="822"/>
      <c r="G87" s="1859" t="s">
        <v>138</v>
      </c>
      <c r="H87" s="1860"/>
      <c r="I87" s="1860"/>
      <c r="J87" s="1860"/>
      <c r="K87" s="827" t="str">
        <f>ID!$O$60</f>
        <v>(mmHg)</v>
      </c>
      <c r="L87" s="828">
        <f>L86*L84</f>
        <v>0.74409962203548297</v>
      </c>
      <c r="M87" s="813"/>
    </row>
    <row r="88" spans="3:24" x14ac:dyDescent="0.3">
      <c r="L88" s="830">
        <f>ABS(L87/C75)*100</f>
        <v>0.12401660367258049</v>
      </c>
      <c r="M88" s="800" t="s">
        <v>285</v>
      </c>
    </row>
  </sheetData>
  <mergeCells count="23">
    <mergeCell ref="G21:J21"/>
    <mergeCell ref="G36:J36"/>
    <mergeCell ref="G48:K48"/>
    <mergeCell ref="G49:K49"/>
    <mergeCell ref="G50:K50"/>
    <mergeCell ref="G33:K33"/>
    <mergeCell ref="G34:K34"/>
    <mergeCell ref="M3:N3"/>
    <mergeCell ref="G86:K86"/>
    <mergeCell ref="G87:J87"/>
    <mergeCell ref="G66:K66"/>
    <mergeCell ref="G67:K67"/>
    <mergeCell ref="G68:J68"/>
    <mergeCell ref="G84:K84"/>
    <mergeCell ref="G85:K85"/>
    <mergeCell ref="C4:N4"/>
    <mergeCell ref="C5:N5"/>
    <mergeCell ref="G18:K18"/>
    <mergeCell ref="G51:J51"/>
    <mergeCell ref="G65:K65"/>
    <mergeCell ref="G35:K35"/>
    <mergeCell ref="G19:K19"/>
    <mergeCell ref="G20:K20"/>
  </mergeCells>
  <phoneticPr fontId="8" type="noConversion"/>
  <printOptions horizontalCentered="1"/>
  <pageMargins left="0.19685039370078741" right="0.23622047244094491" top="0.19685039370078741" bottom="0.15748031496062992" header="0.19685039370078741" footer="0.19685039370078741"/>
  <pageSetup paperSize="9" scale="59" orientation="portrait" horizontalDpi="4294967294" r:id="rId1"/>
  <headerFooter>
    <oddFooter>&amp;C&amp;N&amp;R&amp;8&amp;K00-021Software Suction Pump 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C3:X88"/>
  <sheetViews>
    <sheetView view="pageBreakPreview" zoomScale="80" zoomScaleNormal="100" zoomScaleSheetLayoutView="80" workbookViewId="0">
      <pane xSplit="6" topLeftCell="R1" activePane="topRight" state="frozen"/>
      <selection activeCell="A2" sqref="A2"/>
      <selection pane="topRight" activeCell="S25" sqref="S25"/>
    </sheetView>
  </sheetViews>
  <sheetFormatPr defaultColWidth="9.21875" defaultRowHeight="15.6" x14ac:dyDescent="0.3"/>
  <cols>
    <col min="1" max="1" width="3.109375" style="1049" customWidth="1"/>
    <col min="2" max="2" width="10.109375" style="1049" customWidth="1"/>
    <col min="3" max="3" width="24.6640625" style="1049" customWidth="1"/>
    <col min="4" max="4" width="9.77734375" style="1049" customWidth="1"/>
    <col min="5" max="5" width="14.5546875" style="1049" customWidth="1"/>
    <col min="6" max="6" width="10.6640625" style="1049" customWidth="1"/>
    <col min="7" max="7" width="10.33203125" style="1049" customWidth="1"/>
    <col min="8" max="8" width="10.109375" style="1049" customWidth="1"/>
    <col min="9" max="9" width="4.77734375" style="1049" customWidth="1"/>
    <col min="10" max="10" width="6.6640625" style="1049" customWidth="1"/>
    <col min="11" max="11" width="15.21875" style="1049" customWidth="1"/>
    <col min="12" max="12" width="17.88671875" style="1049" customWidth="1"/>
    <col min="13" max="13" width="17.109375" style="1049" customWidth="1"/>
    <col min="14" max="14" width="4.5546875" style="1049" customWidth="1"/>
    <col min="15" max="15" width="19.21875" style="1049" customWidth="1"/>
    <col min="16" max="16" width="20" style="1049" customWidth="1"/>
    <col min="17" max="17" width="15.5546875" style="1049" customWidth="1"/>
    <col min="18" max="18" width="9.21875" style="1049"/>
    <col min="19" max="19" width="12.6640625" style="1049" customWidth="1"/>
    <col min="20" max="23" width="9.21875" style="1049"/>
    <col min="24" max="24" width="22.33203125" style="1049" customWidth="1"/>
    <col min="25" max="16384" width="9.21875" style="1049"/>
  </cols>
  <sheetData>
    <row r="3" spans="3:24" x14ac:dyDescent="0.3">
      <c r="M3" s="1863" t="s">
        <v>867</v>
      </c>
      <c r="N3" s="1863"/>
    </row>
    <row r="4" spans="3:24" ht="25.5" customHeight="1" x14ac:dyDescent="0.35">
      <c r="C4" s="1867" t="s">
        <v>232</v>
      </c>
      <c r="D4" s="1867"/>
      <c r="E4" s="1867"/>
      <c r="F4" s="1867"/>
      <c r="G4" s="1867"/>
      <c r="H4" s="1867"/>
      <c r="I4" s="1867"/>
      <c r="J4" s="1867"/>
      <c r="K4" s="1867"/>
      <c r="L4" s="1867"/>
      <c r="M4" s="1867"/>
      <c r="N4" s="1867"/>
    </row>
    <row r="5" spans="3:24" ht="17.399999999999999" x14ac:dyDescent="0.35">
      <c r="C5" s="1868" t="str">
        <f>ID!L2</f>
        <v>6 / II - 21 / E - 012.12 DL</v>
      </c>
      <c r="D5" s="1868"/>
      <c r="E5" s="1868"/>
      <c r="F5" s="1868"/>
      <c r="G5" s="1868"/>
      <c r="H5" s="1868"/>
      <c r="I5" s="1868"/>
      <c r="J5" s="1868"/>
      <c r="K5" s="1868"/>
      <c r="L5" s="1868"/>
      <c r="M5" s="1868"/>
      <c r="N5" s="1868"/>
    </row>
    <row r="6" spans="3:24" hidden="1" x14ac:dyDescent="0.3"/>
    <row r="7" spans="3:24" hidden="1" x14ac:dyDescent="0.3"/>
    <row r="8" spans="3:24" hidden="1" x14ac:dyDescent="0.3"/>
    <row r="9" spans="3:24" x14ac:dyDescent="0.3">
      <c r="C9" s="1135">
        <f>ID!A70</f>
        <v>-200</v>
      </c>
      <c r="D9" s="1136" t="str">
        <f>ID!$O$60</f>
        <v>(mmHg)</v>
      </c>
    </row>
    <row r="10" spans="3:24" x14ac:dyDescent="0.3">
      <c r="C10" s="1137"/>
      <c r="D10" s="1138"/>
    </row>
    <row r="11" spans="3:24" s="1142" customFormat="1" ht="18.75" customHeight="1" x14ac:dyDescent="0.4">
      <c r="C11" s="1139" t="s">
        <v>34</v>
      </c>
      <c r="D11" s="1140" t="s">
        <v>35</v>
      </c>
      <c r="E11" s="1139" t="s">
        <v>73</v>
      </c>
      <c r="F11" s="1139" t="s">
        <v>72</v>
      </c>
      <c r="G11" s="1139" t="s">
        <v>13</v>
      </c>
      <c r="H11" s="1139" t="s">
        <v>99</v>
      </c>
      <c r="I11" s="1139" t="s">
        <v>100</v>
      </c>
      <c r="J11" s="1139" t="s">
        <v>101</v>
      </c>
      <c r="K11" s="1139" t="s">
        <v>102</v>
      </c>
      <c r="L11" s="1139" t="s">
        <v>103</v>
      </c>
      <c r="M11" s="1141" t="s">
        <v>104</v>
      </c>
    </row>
    <row r="12" spans="3:24" x14ac:dyDescent="0.3">
      <c r="C12" s="1143" t="s">
        <v>78</v>
      </c>
      <c r="D12" s="1144" t="str">
        <f>ID!$O$60</f>
        <v>(mmHg)</v>
      </c>
      <c r="E12" s="1145" t="s">
        <v>9</v>
      </c>
      <c r="F12" s="1146">
        <f>ID!R70</f>
        <v>0</v>
      </c>
      <c r="G12" s="1146">
        <f>SQRT(6)</f>
        <v>2.4494897427831779</v>
      </c>
      <c r="H12" s="1146">
        <f>(F12/G12)</f>
        <v>0</v>
      </c>
      <c r="I12" s="1146">
        <v>1</v>
      </c>
      <c r="J12" s="1146">
        <f>6-1</f>
        <v>5</v>
      </c>
      <c r="K12" s="1146">
        <f>H12*I12</f>
        <v>0</v>
      </c>
      <c r="L12" s="1146">
        <f>K12^2</f>
        <v>0</v>
      </c>
      <c r="M12" s="1146">
        <f>((K12)^4)/J12</f>
        <v>0</v>
      </c>
    </row>
    <row r="13" spans="3:24" x14ac:dyDescent="0.3">
      <c r="C13" s="1143" t="s">
        <v>77</v>
      </c>
      <c r="D13" s="1144" t="str">
        <f>ID!$O$60</f>
        <v>(mmHg)</v>
      </c>
      <c r="E13" s="1145" t="s">
        <v>9</v>
      </c>
      <c r="F13" s="1147">
        <f>INTERPOLASI!CA18</f>
        <v>0.6</v>
      </c>
      <c r="G13" s="1146">
        <v>2</v>
      </c>
      <c r="H13" s="1146">
        <f>F13/G13</f>
        <v>0.3</v>
      </c>
      <c r="I13" s="1146">
        <v>1</v>
      </c>
      <c r="J13" s="1146">
        <v>50</v>
      </c>
      <c r="K13" s="1146">
        <f>H13*I13</f>
        <v>0.3</v>
      </c>
      <c r="L13" s="1146">
        <f>K13^2</f>
        <v>0.09</v>
      </c>
      <c r="M13" s="1146">
        <f>((K13)^4)/J13</f>
        <v>1.6199999999999998E-4</v>
      </c>
      <c r="O13" s="1148" t="s">
        <v>493</v>
      </c>
      <c r="P13" s="1144" t="s">
        <v>501</v>
      </c>
      <c r="Q13" s="1149" t="s">
        <v>494</v>
      </c>
      <c r="R13" s="1150">
        <f>C10</f>
        <v>0</v>
      </c>
      <c r="S13" s="1150">
        <f>ID!N70</f>
        <v>-200.5</v>
      </c>
      <c r="T13" s="1150">
        <v>-100</v>
      </c>
      <c r="U13" s="1150">
        <v>1.5</v>
      </c>
      <c r="V13" s="1150">
        <v>-200</v>
      </c>
      <c r="W13" s="1150">
        <v>1.5</v>
      </c>
      <c r="X13" s="1150">
        <f>((((W13-U13)*(S13-T13)))/(V13-T13))+U13</f>
        <v>1.5</v>
      </c>
    </row>
    <row r="14" spans="3:24" x14ac:dyDescent="0.3">
      <c r="C14" s="1151" t="s">
        <v>314</v>
      </c>
      <c r="D14" s="1144" t="str">
        <f>ID!$O$60</f>
        <v>(mmHg)</v>
      </c>
      <c r="E14" s="1145" t="s">
        <v>80</v>
      </c>
      <c r="F14" s="1146">
        <f>(1/10)*ID!$C$7</f>
        <v>-5.0000000000000001E-4</v>
      </c>
      <c r="G14" s="1146">
        <f>SQRT(3)</f>
        <v>1.7320508075688772</v>
      </c>
      <c r="H14" s="1146">
        <f>F14/G14</f>
        <v>-2.886751345948129E-4</v>
      </c>
      <c r="I14" s="1146">
        <v>1</v>
      </c>
      <c r="J14" s="1146">
        <v>50</v>
      </c>
      <c r="K14" s="1146">
        <f>H14*I14</f>
        <v>-2.886751345948129E-4</v>
      </c>
      <c r="L14" s="1146">
        <f>K14^2</f>
        <v>8.3333333333333338E-8</v>
      </c>
      <c r="M14" s="1146">
        <f>((K14)^4)/J14</f>
        <v>1.388888888888889E-16</v>
      </c>
    </row>
    <row r="15" spans="3:24" ht="16.5" hidden="1" customHeight="1" x14ac:dyDescent="0.3">
      <c r="C15" s="1152" t="s">
        <v>313</v>
      </c>
      <c r="D15" s="1144" t="str">
        <f>ID!$O$60</f>
        <v>(mmHg)</v>
      </c>
      <c r="E15" s="1153" t="s">
        <v>80</v>
      </c>
      <c r="F15" s="1154">
        <f>(1/2)*0.5*ID!$O$64</f>
        <v>0.25</v>
      </c>
      <c r="G15" s="1146">
        <f>SQRT(3)</f>
        <v>1.7320508075688772</v>
      </c>
      <c r="H15" s="1146">
        <f>F15/G15</f>
        <v>0.14433756729740646</v>
      </c>
      <c r="I15" s="1146">
        <v>1</v>
      </c>
      <c r="J15" s="1146">
        <v>50</v>
      </c>
      <c r="K15" s="1146">
        <f>H15*I15</f>
        <v>0.14433756729740646</v>
      </c>
      <c r="L15" s="1146">
        <f>K15^2</f>
        <v>2.0833333333333339E-2</v>
      </c>
      <c r="M15" s="1146">
        <f>((K15)^4)/J15</f>
        <v>8.6805555555555606E-6</v>
      </c>
    </row>
    <row r="16" spans="3:24" x14ac:dyDescent="0.3">
      <c r="C16" s="1143" t="s">
        <v>44</v>
      </c>
      <c r="D16" s="1144" t="str">
        <f>ID!$O$60</f>
        <v>(mmHg)</v>
      </c>
      <c r="E16" s="1145" t="s">
        <v>80</v>
      </c>
      <c r="F16" s="1147">
        <f>INTERPOLASI!CY18</f>
        <v>0</v>
      </c>
      <c r="G16" s="1146">
        <f>SQRT(3)</f>
        <v>1.7320508075688772</v>
      </c>
      <c r="H16" s="1146">
        <f>F16/G16</f>
        <v>0</v>
      </c>
      <c r="I16" s="1146">
        <v>1</v>
      </c>
      <c r="J16" s="1146">
        <v>50</v>
      </c>
      <c r="K16" s="1146">
        <f>H16*I16</f>
        <v>0</v>
      </c>
      <c r="L16" s="1146">
        <f>K16^2</f>
        <v>0</v>
      </c>
      <c r="M16" s="1146">
        <f>((K16)^4)/J16</f>
        <v>0</v>
      </c>
      <c r="O16" s="1148" t="s">
        <v>493</v>
      </c>
      <c r="P16" s="1144" t="s">
        <v>502</v>
      </c>
      <c r="Q16" s="1149" t="s">
        <v>494</v>
      </c>
      <c r="R16" s="1150">
        <f>C10</f>
        <v>0</v>
      </c>
      <c r="S16" s="1150">
        <f>ID!N70</f>
        <v>-200.5</v>
      </c>
      <c r="T16" s="1150">
        <v>-100</v>
      </c>
      <c r="U16" s="1150">
        <f>'SERTIFIKAT DPM'!AS27</f>
        <v>0.1</v>
      </c>
      <c r="V16" s="1150">
        <v>-200</v>
      </c>
      <c r="W16" s="1150">
        <f>'SERTIFIKAT DPM'!AS28</f>
        <v>0</v>
      </c>
      <c r="X16" s="1150">
        <f>((((W16-U16)*(S16-T16)))/(V16-T16))+U16</f>
        <v>-5.0000000000000044E-4</v>
      </c>
    </row>
    <row r="17" spans="3:24" x14ac:dyDescent="0.3">
      <c r="C17" s="1155"/>
      <c r="D17" s="1156"/>
      <c r="E17" s="1155"/>
      <c r="F17" s="1155"/>
      <c r="G17" s="1157" t="s">
        <v>79</v>
      </c>
      <c r="H17" s="1158"/>
      <c r="I17" s="1158"/>
      <c r="J17" s="1158"/>
      <c r="K17" s="1159"/>
      <c r="L17" s="1160">
        <f>SUM(L12:L16)</f>
        <v>0.11083341666666667</v>
      </c>
      <c r="M17" s="1160">
        <f>SUM(M12:M16)</f>
        <v>1.7068055555569442E-4</v>
      </c>
    </row>
    <row r="18" spans="3:24" ht="17.25" customHeight="1" x14ac:dyDescent="0.4">
      <c r="C18" s="1156"/>
      <c r="D18" s="1156"/>
      <c r="E18" s="1156"/>
      <c r="F18" s="1156"/>
      <c r="G18" s="1864" t="s">
        <v>105</v>
      </c>
      <c r="H18" s="1865"/>
      <c r="I18" s="1865"/>
      <c r="J18" s="1865"/>
      <c r="K18" s="1866"/>
      <c r="L18" s="1160">
        <f>SQRT(L17)</f>
        <v>0.33291653108048969</v>
      </c>
      <c r="M18" s="1146"/>
    </row>
    <row r="19" spans="3:24" ht="15.75" customHeight="1" x14ac:dyDescent="0.3">
      <c r="C19" s="1156"/>
      <c r="D19" s="1156"/>
      <c r="E19" s="1156"/>
      <c r="F19" s="1156"/>
      <c r="G19" s="1864" t="s">
        <v>82</v>
      </c>
      <c r="H19" s="1865"/>
      <c r="I19" s="1865"/>
      <c r="J19" s="1865"/>
      <c r="K19" s="1866"/>
      <c r="L19" s="1160">
        <f>((L18)^4)/M17</f>
        <v>71.970976483015718</v>
      </c>
      <c r="M19" s="1146"/>
    </row>
    <row r="20" spans="3:24" ht="15.75" customHeight="1" x14ac:dyDescent="0.3">
      <c r="C20" s="1156"/>
      <c r="D20" s="1156"/>
      <c r="E20" s="1156"/>
      <c r="F20" s="1156"/>
      <c r="G20" s="1864" t="s">
        <v>36</v>
      </c>
      <c r="H20" s="1865"/>
      <c r="I20" s="1865"/>
      <c r="J20" s="1865"/>
      <c r="K20" s="1866"/>
      <c r="L20" s="613">
        <f>1.95996+2.37356/L19+2.818745/L19^2 +2.546662/L19^3 +1.761829/L19^4+0.245458/L19^5 +1.000764/L19^6</f>
        <v>1.9934904803104116</v>
      </c>
      <c r="M20" s="1146"/>
    </row>
    <row r="21" spans="3:24" ht="17.25" customHeight="1" x14ac:dyDescent="0.4">
      <c r="C21" s="1156"/>
      <c r="D21" s="1156"/>
      <c r="E21" s="1156"/>
      <c r="F21" s="1156"/>
      <c r="G21" s="1869" t="s">
        <v>138</v>
      </c>
      <c r="H21" s="1870"/>
      <c r="I21" s="1870"/>
      <c r="J21" s="1870"/>
      <c r="K21" s="1161" t="str">
        <f>ID!$O$60</f>
        <v>(mmHg)</v>
      </c>
      <c r="L21" s="1160">
        <f>L20*L18</f>
        <v>0.66366593544692143</v>
      </c>
      <c r="M21" s="1146"/>
    </row>
    <row r="22" spans="3:24" x14ac:dyDescent="0.3">
      <c r="C22" s="1156"/>
      <c r="D22" s="1156"/>
      <c r="E22" s="1156"/>
      <c r="F22" s="1156"/>
      <c r="G22" s="1162"/>
      <c r="H22" s="1162"/>
      <c r="I22" s="1162"/>
      <c r="J22" s="1162"/>
      <c r="K22" s="1162"/>
      <c r="L22" s="1146">
        <f>ABS(L21/C9)*100</f>
        <v>0.33183296772346071</v>
      </c>
      <c r="M22" s="1049" t="s">
        <v>285</v>
      </c>
    </row>
    <row r="23" spans="3:24" ht="5.25" customHeight="1" x14ac:dyDescent="0.3">
      <c r="C23" s="1156"/>
      <c r="D23" s="1156"/>
      <c r="E23" s="1156"/>
      <c r="F23" s="1156"/>
      <c r="G23" s="1162"/>
      <c r="H23" s="1162"/>
      <c r="I23" s="1162"/>
      <c r="J23" s="1162"/>
      <c r="K23" s="1162"/>
      <c r="L23" s="1163"/>
      <c r="M23" s="1154"/>
    </row>
    <row r="24" spans="3:24" x14ac:dyDescent="0.3">
      <c r="C24" s="1164">
        <f>ID!A71</f>
        <v>-300</v>
      </c>
      <c r="D24" s="1136" t="str">
        <f>ID!$O$60</f>
        <v>(mmHg)</v>
      </c>
      <c r="E24" s="1156"/>
      <c r="F24" s="1156"/>
      <c r="G24" s="1162"/>
      <c r="H24" s="1162"/>
      <c r="I24" s="1162"/>
      <c r="J24" s="1162"/>
      <c r="K24" s="1162"/>
      <c r="L24" s="1163"/>
      <c r="M24" s="1154"/>
    </row>
    <row r="25" spans="3:24" x14ac:dyDescent="0.3">
      <c r="C25" s="1137"/>
      <c r="D25" s="1138" t="str">
        <f>ID!$O$60</f>
        <v>(mmHg)</v>
      </c>
    </row>
    <row r="26" spans="3:24" s="1142" customFormat="1" ht="18" x14ac:dyDescent="0.4">
      <c r="C26" s="1139" t="s">
        <v>34</v>
      </c>
      <c r="D26" s="1139" t="s">
        <v>35</v>
      </c>
      <c r="E26" s="1139" t="s">
        <v>73</v>
      </c>
      <c r="F26" s="1139" t="s">
        <v>72</v>
      </c>
      <c r="G26" s="1139" t="s">
        <v>13</v>
      </c>
      <c r="H26" s="1139" t="s">
        <v>99</v>
      </c>
      <c r="I26" s="1139" t="s">
        <v>100</v>
      </c>
      <c r="J26" s="1139" t="s">
        <v>101</v>
      </c>
      <c r="K26" s="1139" t="s">
        <v>102</v>
      </c>
      <c r="L26" s="1139" t="s">
        <v>103</v>
      </c>
      <c r="M26" s="1141" t="s">
        <v>104</v>
      </c>
    </row>
    <row r="27" spans="3:24" x14ac:dyDescent="0.3">
      <c r="C27" s="1165" t="s">
        <v>78</v>
      </c>
      <c r="D27" s="1144" t="str">
        <f>ID!$O$60</f>
        <v>(mmHg)</v>
      </c>
      <c r="E27" s="1153" t="s">
        <v>9</v>
      </c>
      <c r="F27" s="1146">
        <f>ID!R71</f>
        <v>0</v>
      </c>
      <c r="G27" s="1146">
        <f>SQRT(6)</f>
        <v>2.4494897427831779</v>
      </c>
      <c r="H27" s="1146">
        <f>(F27/G27)</f>
        <v>0</v>
      </c>
      <c r="I27" s="1146">
        <v>1</v>
      </c>
      <c r="J27" s="1146">
        <f>6-1</f>
        <v>5</v>
      </c>
      <c r="K27" s="1146">
        <f>H27*I27</f>
        <v>0</v>
      </c>
      <c r="L27" s="1146">
        <f>K27^2</f>
        <v>0</v>
      </c>
      <c r="M27" s="1146">
        <f>((K27)^4)/J27</f>
        <v>0</v>
      </c>
    </row>
    <row r="28" spans="3:24" x14ac:dyDescent="0.3">
      <c r="C28" s="1165" t="s">
        <v>77</v>
      </c>
      <c r="D28" s="1144" t="str">
        <f>ID!$O$60</f>
        <v>(mmHg)</v>
      </c>
      <c r="E28" s="1153" t="s">
        <v>9</v>
      </c>
      <c r="F28" s="1147">
        <f>INTERPOLASI!CA19</f>
        <v>0.6</v>
      </c>
      <c r="G28" s="1146">
        <v>2</v>
      </c>
      <c r="H28" s="1146">
        <f>F28/G28</f>
        <v>0.3</v>
      </c>
      <c r="I28" s="1146">
        <v>1</v>
      </c>
      <c r="J28" s="1146">
        <v>50</v>
      </c>
      <c r="K28" s="1146">
        <f>H28*I28</f>
        <v>0.3</v>
      </c>
      <c r="L28" s="1146">
        <f>K28^2</f>
        <v>0.09</v>
      </c>
      <c r="M28" s="1146">
        <f>((K28)^4)/J28</f>
        <v>1.6199999999999998E-4</v>
      </c>
      <c r="O28" s="1148" t="s">
        <v>493</v>
      </c>
      <c r="P28" s="1144" t="s">
        <v>501</v>
      </c>
      <c r="Q28" s="1166" t="s">
        <v>495</v>
      </c>
      <c r="R28" s="1150">
        <f>C25</f>
        <v>0</v>
      </c>
      <c r="S28" s="1150">
        <f>ID!N71</f>
        <v>-304.70800000000003</v>
      </c>
      <c r="T28" s="1150">
        <v>-200</v>
      </c>
      <c r="U28" s="1150">
        <v>1.5</v>
      </c>
      <c r="V28" s="1150">
        <v>-300</v>
      </c>
      <c r="W28" s="1150">
        <v>1.5</v>
      </c>
      <c r="X28" s="1150">
        <f>((((W28-U28)*(S28-T28)))/(V28-T28))+U28</f>
        <v>1.5</v>
      </c>
    </row>
    <row r="29" spans="3:24" x14ac:dyDescent="0.3">
      <c r="C29" s="1151" t="s">
        <v>314</v>
      </c>
      <c r="D29" s="1144" t="str">
        <f>ID!$O$60</f>
        <v>(mmHg)</v>
      </c>
      <c r="E29" s="1153" t="s">
        <v>80</v>
      </c>
      <c r="F29" s="1146">
        <f>(1/10)*ID!$C$7</f>
        <v>-5.0000000000000001E-4</v>
      </c>
      <c r="G29" s="1146">
        <f>SQRT(3)</f>
        <v>1.7320508075688772</v>
      </c>
      <c r="H29" s="1146">
        <f>F29/G29</f>
        <v>-2.886751345948129E-4</v>
      </c>
      <c r="I29" s="1146">
        <v>1</v>
      </c>
      <c r="J29" s="1146">
        <v>50</v>
      </c>
      <c r="K29" s="1146">
        <f>H29*I29</f>
        <v>-2.886751345948129E-4</v>
      </c>
      <c r="L29" s="1146">
        <f>K29^2</f>
        <v>8.3333333333333338E-8</v>
      </c>
      <c r="M29" s="1146">
        <f>((K29)^4)/J29</f>
        <v>1.388888888888889E-16</v>
      </c>
    </row>
    <row r="30" spans="3:24" ht="16.5" hidden="1" customHeight="1" x14ac:dyDescent="0.3">
      <c r="C30" s="1152" t="s">
        <v>313</v>
      </c>
      <c r="D30" s="1144" t="str">
        <f>ID!$O$60</f>
        <v>(mmHg)</v>
      </c>
      <c r="E30" s="1153" t="s">
        <v>80</v>
      </c>
      <c r="F30" s="1154">
        <f>(1/2)*0.5*ID!$O$64</f>
        <v>0.25</v>
      </c>
      <c r="G30" s="1146">
        <f>SQRT(3)</f>
        <v>1.7320508075688772</v>
      </c>
      <c r="H30" s="1146">
        <f>F30/G30</f>
        <v>0.14433756729740646</v>
      </c>
      <c r="I30" s="1146">
        <v>1</v>
      </c>
      <c r="J30" s="1146">
        <v>50</v>
      </c>
      <c r="K30" s="1146">
        <f>H30*I30</f>
        <v>0.14433756729740646</v>
      </c>
      <c r="L30" s="1146">
        <f>K30^2</f>
        <v>2.0833333333333339E-2</v>
      </c>
      <c r="M30" s="1146">
        <f>((K30)^4)/J30</f>
        <v>8.6805555555555606E-6</v>
      </c>
    </row>
    <row r="31" spans="3:24" x14ac:dyDescent="0.3">
      <c r="C31" s="1165" t="s">
        <v>44</v>
      </c>
      <c r="D31" s="1144" t="str">
        <f>ID!$O$60</f>
        <v>(mmHg)</v>
      </c>
      <c r="E31" s="1153" t="s">
        <v>80</v>
      </c>
      <c r="F31" s="1147">
        <f>INTERPOLASI!CY19</f>
        <v>0.10000000000000003</v>
      </c>
      <c r="G31" s="1146">
        <f>SQRT(3)</f>
        <v>1.7320508075688772</v>
      </c>
      <c r="H31" s="1146">
        <f>F31/G31</f>
        <v>5.7735026918962602E-2</v>
      </c>
      <c r="I31" s="1146">
        <v>1</v>
      </c>
      <c r="J31" s="1146">
        <v>50</v>
      </c>
      <c r="K31" s="1146">
        <f>H31*I31</f>
        <v>5.7735026918962602E-2</v>
      </c>
      <c r="L31" s="1146">
        <f>K31^2</f>
        <v>3.3333333333333361E-3</v>
      </c>
      <c r="M31" s="1146">
        <f>((K31)^4)/J31</f>
        <v>2.2222222222222262E-7</v>
      </c>
      <c r="O31" s="1148" t="s">
        <v>493</v>
      </c>
      <c r="P31" s="1144" t="s">
        <v>502</v>
      </c>
      <c r="Q31" s="1166" t="s">
        <v>495</v>
      </c>
      <c r="R31" s="1150">
        <f>C25</f>
        <v>0</v>
      </c>
      <c r="S31" s="1150">
        <f>ID!N71</f>
        <v>-304.70800000000003</v>
      </c>
      <c r="T31" s="1150">
        <v>-200</v>
      </c>
      <c r="U31" s="1150">
        <f>'SERTIFIKAT DPM'!AS28</f>
        <v>0</v>
      </c>
      <c r="V31" s="1150">
        <v>-300</v>
      </c>
      <c r="W31" s="1150">
        <f>'SERTIFIKAT DPM'!AS29</f>
        <v>0.10000000000000003</v>
      </c>
      <c r="X31" s="1150">
        <f>((((W31-U31)*(S31-T31)))/(V31-T31))+U31</f>
        <v>0.10470800000000006</v>
      </c>
    </row>
    <row r="32" spans="3:24" x14ac:dyDescent="0.3">
      <c r="C32" s="1155"/>
      <c r="D32" s="1155"/>
      <c r="E32" s="1155"/>
      <c r="F32" s="1155"/>
      <c r="G32" s="1157" t="s">
        <v>79</v>
      </c>
      <c r="H32" s="1158"/>
      <c r="I32" s="1158"/>
      <c r="J32" s="1158"/>
      <c r="K32" s="1159"/>
      <c r="L32" s="1160">
        <f>SUM(L27:L31)</f>
        <v>0.11416675000000001</v>
      </c>
      <c r="M32" s="1160">
        <f>SUM(M27:M31)</f>
        <v>1.7090277777791665E-4</v>
      </c>
    </row>
    <row r="33" spans="3:24" ht="17.25" customHeight="1" x14ac:dyDescent="0.4">
      <c r="C33" s="1156"/>
      <c r="D33" s="1156"/>
      <c r="E33" s="1156"/>
      <c r="F33" s="1156"/>
      <c r="G33" s="1864" t="s">
        <v>105</v>
      </c>
      <c r="H33" s="1865"/>
      <c r="I33" s="1865"/>
      <c r="J33" s="1865"/>
      <c r="K33" s="1866"/>
      <c r="L33" s="1160">
        <f>SQRT(L32)</f>
        <v>0.33788570552777164</v>
      </c>
      <c r="M33" s="1146"/>
    </row>
    <row r="34" spans="3:24" ht="15.75" customHeight="1" x14ac:dyDescent="0.3">
      <c r="C34" s="1156"/>
      <c r="D34" s="1156"/>
      <c r="E34" s="1156"/>
      <c r="F34" s="1156"/>
      <c r="G34" s="1864" t="s">
        <v>82</v>
      </c>
      <c r="H34" s="1865"/>
      <c r="I34" s="1865"/>
      <c r="J34" s="1865"/>
      <c r="K34" s="1866"/>
      <c r="L34" s="1160">
        <f>((L33)^4)/M32</f>
        <v>76.265856968690585</v>
      </c>
      <c r="M34" s="1167"/>
    </row>
    <row r="35" spans="3:24" ht="15.75" customHeight="1" x14ac:dyDescent="0.3">
      <c r="C35" s="1156"/>
      <c r="D35" s="1156"/>
      <c r="E35" s="1156"/>
      <c r="F35" s="1156"/>
      <c r="G35" s="1864" t="s">
        <v>36</v>
      </c>
      <c r="H35" s="1865"/>
      <c r="I35" s="1865"/>
      <c r="J35" s="1865"/>
      <c r="K35" s="1866"/>
      <c r="L35" s="613">
        <f>1.95996+2.37356/L34+2.818745/L34^2 +2.546662/L34^3 +1.761829/L34^4+0.245458/L34^5 +1.000764/L34^6</f>
        <v>1.9915725901171473</v>
      </c>
      <c r="M35" s="1146">
        <f>1.95996+(2.37356/L34)+(2.818745/L34^2)+(2.546662/L34^3)+(1.7861829/L34^4)+(0.245458/L34^5)+(1.000764/L34^6)</f>
        <v>1.991572590837007</v>
      </c>
    </row>
    <row r="36" spans="3:24" ht="17.25" customHeight="1" x14ac:dyDescent="0.4">
      <c r="C36" s="1156"/>
      <c r="D36" s="1156"/>
      <c r="E36" s="1156"/>
      <c r="F36" s="1156"/>
      <c r="G36" s="1869" t="s">
        <v>138</v>
      </c>
      <c r="H36" s="1870"/>
      <c r="I36" s="1870"/>
      <c r="J36" s="1870"/>
      <c r="K36" s="1161" t="str">
        <f>ID!$O$60</f>
        <v>(mmHg)</v>
      </c>
      <c r="L36" s="1160">
        <f>L35*L33</f>
        <v>0.67292390972150384</v>
      </c>
      <c r="M36" s="1146"/>
    </row>
    <row r="37" spans="3:24" hidden="1" x14ac:dyDescent="0.3">
      <c r="C37" s="1156"/>
      <c r="D37" s="1156"/>
      <c r="E37" s="1156"/>
      <c r="F37" s="1156"/>
      <c r="G37" s="1162"/>
      <c r="H37" s="1162"/>
      <c r="I37" s="1162"/>
      <c r="J37" s="1162"/>
      <c r="K37" s="1162"/>
      <c r="L37" s="1163"/>
      <c r="M37" s="1154"/>
    </row>
    <row r="38" spans="3:24" x14ac:dyDescent="0.3">
      <c r="C38" s="1156"/>
      <c r="D38" s="1156"/>
      <c r="E38" s="1156"/>
      <c r="F38" s="1156"/>
      <c r="G38" s="1162"/>
      <c r="H38" s="1162"/>
      <c r="I38" s="1162"/>
      <c r="J38" s="1162"/>
      <c r="K38" s="1162"/>
      <c r="L38" s="1146">
        <f>ABS(L36/C24)*100</f>
        <v>0.22430796990716792</v>
      </c>
      <c r="M38" s="1049" t="s">
        <v>285</v>
      </c>
    </row>
    <row r="39" spans="3:24" x14ac:dyDescent="0.3">
      <c r="C39" s="1164">
        <f>ID!A72</f>
        <v>-400</v>
      </c>
      <c r="D39" s="1136" t="str">
        <f>ID!$O$60</f>
        <v>(mmHg)</v>
      </c>
      <c r="E39" s="1156"/>
      <c r="F39" s="1156"/>
      <c r="G39" s="1162"/>
      <c r="H39" s="1162"/>
      <c r="I39" s="1162"/>
      <c r="J39" s="1162"/>
      <c r="K39" s="1162"/>
      <c r="L39" s="1163"/>
      <c r="M39" s="1154"/>
    </row>
    <row r="40" spans="3:24" x14ac:dyDescent="0.3">
      <c r="C40" s="1137"/>
      <c r="D40" s="1138" t="str">
        <f>ID!$O$60</f>
        <v>(mmHg)</v>
      </c>
    </row>
    <row r="41" spans="3:24" s="1142" customFormat="1" ht="18" x14ac:dyDescent="0.4">
      <c r="C41" s="1139" t="s">
        <v>34</v>
      </c>
      <c r="D41" s="1139" t="s">
        <v>35</v>
      </c>
      <c r="E41" s="1139" t="s">
        <v>73</v>
      </c>
      <c r="F41" s="1139" t="s">
        <v>72</v>
      </c>
      <c r="G41" s="1139" t="s">
        <v>13</v>
      </c>
      <c r="H41" s="1139" t="s">
        <v>99</v>
      </c>
      <c r="I41" s="1139" t="s">
        <v>100</v>
      </c>
      <c r="J41" s="1139" t="s">
        <v>101</v>
      </c>
      <c r="K41" s="1139" t="s">
        <v>102</v>
      </c>
      <c r="L41" s="1139" t="s">
        <v>103</v>
      </c>
      <c r="M41" s="1141" t="s">
        <v>104</v>
      </c>
    </row>
    <row r="42" spans="3:24" x14ac:dyDescent="0.3">
      <c r="C42" s="1165" t="s">
        <v>78</v>
      </c>
      <c r="D42" s="1144" t="str">
        <f>ID!$O$60</f>
        <v>(mmHg)</v>
      </c>
      <c r="E42" s="1153" t="s">
        <v>9</v>
      </c>
      <c r="F42" s="1146">
        <f>ID!R72</f>
        <v>0</v>
      </c>
      <c r="G42" s="1146">
        <f>SQRT(6)</f>
        <v>2.4494897427831779</v>
      </c>
      <c r="H42" s="1146">
        <f>(F42/G42)</f>
        <v>0</v>
      </c>
      <c r="I42" s="1146">
        <v>1</v>
      </c>
      <c r="J42" s="1146">
        <f>6-1</f>
        <v>5</v>
      </c>
      <c r="K42" s="1146">
        <f>H42*I42</f>
        <v>0</v>
      </c>
      <c r="L42" s="1146">
        <f>K42^2</f>
        <v>0</v>
      </c>
      <c r="M42" s="1146">
        <f>((K42)^4)/J42</f>
        <v>0</v>
      </c>
    </row>
    <row r="43" spans="3:24" x14ac:dyDescent="0.3">
      <c r="C43" s="1165" t="s">
        <v>77</v>
      </c>
      <c r="D43" s="1144" t="str">
        <f>ID!$O$60</f>
        <v>(mmHg)</v>
      </c>
      <c r="E43" s="1153" t="s">
        <v>9</v>
      </c>
      <c r="F43" s="1147">
        <f>INTERPOLASI!CA20</f>
        <v>0.6</v>
      </c>
      <c r="G43" s="1146">
        <v>2</v>
      </c>
      <c r="H43" s="1146">
        <f>F43/G43</f>
        <v>0.3</v>
      </c>
      <c r="I43" s="1146">
        <v>1</v>
      </c>
      <c r="J43" s="1146">
        <v>50</v>
      </c>
      <c r="K43" s="1146">
        <f>H43*I43</f>
        <v>0.3</v>
      </c>
      <c r="L43" s="1146">
        <f>K43^2</f>
        <v>0.09</v>
      </c>
      <c r="M43" s="1146">
        <f>((K43)^4)/J43</f>
        <v>1.6199999999999998E-4</v>
      </c>
      <c r="O43" s="1148" t="s">
        <v>493</v>
      </c>
      <c r="P43" s="1144" t="s">
        <v>501</v>
      </c>
      <c r="Q43" s="1166" t="s">
        <v>496</v>
      </c>
      <c r="R43" s="1150">
        <f>C40</f>
        <v>0</v>
      </c>
      <c r="S43" s="1150">
        <f>ID!N72</f>
        <v>-400.9</v>
      </c>
      <c r="T43" s="1150">
        <f>'SERTIFIKAT DPM'!AJ30</f>
        <v>-400</v>
      </c>
      <c r="U43" s="1150">
        <v>1.5</v>
      </c>
      <c r="V43" s="1150">
        <f>'SERTIFIKAT DPM'!AJ31</f>
        <v>-500</v>
      </c>
      <c r="W43" s="1150">
        <v>1.5</v>
      </c>
      <c r="X43" s="1150">
        <f>((((W43-U43)*(S43-T43)))/(V43-T43))+U43</f>
        <v>1.5</v>
      </c>
    </row>
    <row r="44" spans="3:24" x14ac:dyDescent="0.3">
      <c r="C44" s="1151" t="s">
        <v>314</v>
      </c>
      <c r="D44" s="1144" t="str">
        <f>ID!$O$60</f>
        <v>(mmHg)</v>
      </c>
      <c r="E44" s="1153" t="s">
        <v>80</v>
      </c>
      <c r="F44" s="1146">
        <f>(1/10)*ID!$C$7</f>
        <v>-5.0000000000000001E-4</v>
      </c>
      <c r="G44" s="1146">
        <f>SQRT(3)</f>
        <v>1.7320508075688772</v>
      </c>
      <c r="H44" s="1146">
        <f>F44/G44</f>
        <v>-2.886751345948129E-4</v>
      </c>
      <c r="I44" s="1146">
        <v>1</v>
      </c>
      <c r="J44" s="1146">
        <v>50</v>
      </c>
      <c r="K44" s="1146">
        <f>H44*I44</f>
        <v>-2.886751345948129E-4</v>
      </c>
      <c r="L44" s="1146">
        <f>K44^2</f>
        <v>8.3333333333333338E-8</v>
      </c>
      <c r="M44" s="1146">
        <f>((K44)^4)/J44</f>
        <v>1.388888888888889E-16</v>
      </c>
    </row>
    <row r="45" spans="3:24" ht="16.5" hidden="1" customHeight="1" x14ac:dyDescent="0.3">
      <c r="C45" s="1152" t="s">
        <v>313</v>
      </c>
      <c r="D45" s="1144" t="str">
        <f>ID!$O$60</f>
        <v>(mmHg)</v>
      </c>
      <c r="E45" s="1153" t="s">
        <v>80</v>
      </c>
      <c r="F45" s="1154">
        <f>(1/2)*0.5*ID!$O$64</f>
        <v>0.25</v>
      </c>
      <c r="G45" s="1146">
        <f>SQRT(3)</f>
        <v>1.7320508075688772</v>
      </c>
      <c r="H45" s="1146">
        <f>F45/G45</f>
        <v>0.14433756729740646</v>
      </c>
      <c r="I45" s="1146">
        <v>1</v>
      </c>
      <c r="J45" s="1146">
        <v>50</v>
      </c>
      <c r="K45" s="1146">
        <f>H45*I45</f>
        <v>0.14433756729740646</v>
      </c>
      <c r="L45" s="1146">
        <f>K45^2</f>
        <v>2.0833333333333339E-2</v>
      </c>
      <c r="M45" s="1146">
        <f>((K45)^4)/J45</f>
        <v>8.6805555555555606E-6</v>
      </c>
    </row>
    <row r="46" spans="3:24" x14ac:dyDescent="0.3">
      <c r="C46" s="1165" t="s">
        <v>44</v>
      </c>
      <c r="D46" s="1144" t="str">
        <f>ID!$O$60</f>
        <v>(mmHg)</v>
      </c>
      <c r="E46" s="1153" t="s">
        <v>80</v>
      </c>
      <c r="F46" s="1147">
        <f>INTERPOLASI!CY20</f>
        <v>4.9999999999999989E-2</v>
      </c>
      <c r="G46" s="1146">
        <f>SQRT(3)</f>
        <v>1.7320508075688772</v>
      </c>
      <c r="H46" s="1146">
        <f>F46/G46</f>
        <v>2.8867513459481284E-2</v>
      </c>
      <c r="I46" s="1146">
        <v>1</v>
      </c>
      <c r="J46" s="1146">
        <v>50</v>
      </c>
      <c r="K46" s="1146">
        <f>H46*I46</f>
        <v>2.8867513459481284E-2</v>
      </c>
      <c r="L46" s="1146">
        <f>K46^2</f>
        <v>8.3333333333333306E-4</v>
      </c>
      <c r="M46" s="1146">
        <f>((K46)^4)/J46</f>
        <v>1.3888888888888879E-8</v>
      </c>
      <c r="O46" s="1148" t="s">
        <v>493</v>
      </c>
      <c r="P46" s="1144" t="s">
        <v>502</v>
      </c>
      <c r="Q46" s="1166" t="s">
        <v>496</v>
      </c>
      <c r="R46" s="1150">
        <f>C40</f>
        <v>0</v>
      </c>
      <c r="S46" s="1150">
        <f>ID!N72</f>
        <v>-400.9</v>
      </c>
      <c r="T46" s="1150">
        <f>'SERTIFIKAT DPM'!AJ30</f>
        <v>-400</v>
      </c>
      <c r="U46" s="1150">
        <f>'SERTIFIKAT DPM'!AS30</f>
        <v>4.9999999999999989E-2</v>
      </c>
      <c r="V46" s="1150">
        <f>'SERTIFIKAT DPM'!AJ31</f>
        <v>-500</v>
      </c>
      <c r="W46" s="1150">
        <f>'SERTIFIKAT DPM'!AS31</f>
        <v>0.14999999999999991</v>
      </c>
      <c r="X46" s="1150">
        <f>((((W46-U46)*(S46-T46)))/(V46-T46))+U46</f>
        <v>5.0899999999999966E-2</v>
      </c>
    </row>
    <row r="47" spans="3:24" x14ac:dyDescent="0.3">
      <c r="C47" s="1155"/>
      <c r="D47" s="1155"/>
      <c r="E47" s="1155"/>
      <c r="F47" s="1155"/>
      <c r="G47" s="1157" t="s">
        <v>79</v>
      </c>
      <c r="H47" s="1158"/>
      <c r="I47" s="1158"/>
      <c r="J47" s="1158"/>
      <c r="K47" s="1159"/>
      <c r="L47" s="1160">
        <f>SUM(L42:L46)</f>
        <v>0.11166675000000001</v>
      </c>
      <c r="M47" s="1160">
        <f>SUM(M42:M46)</f>
        <v>1.7069444444458331E-4</v>
      </c>
    </row>
    <row r="48" spans="3:24" ht="17.25" customHeight="1" x14ac:dyDescent="0.4">
      <c r="C48" s="1156"/>
      <c r="D48" s="1156"/>
      <c r="E48" s="1156"/>
      <c r="F48" s="1156"/>
      <c r="G48" s="1864" t="s">
        <v>105</v>
      </c>
      <c r="H48" s="1865"/>
      <c r="I48" s="1865"/>
      <c r="J48" s="1865"/>
      <c r="K48" s="1866"/>
      <c r="L48" s="1160">
        <f>SQRT(L47)</f>
        <v>0.3341657522847008</v>
      </c>
      <c r="M48" s="1146"/>
    </row>
    <row r="49" spans="3:24" ht="15.75" customHeight="1" x14ac:dyDescent="0.3">
      <c r="C49" s="1156"/>
      <c r="D49" s="1156"/>
      <c r="E49" s="1156"/>
      <c r="F49" s="1156"/>
      <c r="G49" s="1864" t="s">
        <v>82</v>
      </c>
      <c r="H49" s="1865"/>
      <c r="I49" s="1865"/>
      <c r="J49" s="1865"/>
      <c r="K49" s="1866"/>
      <c r="L49" s="1160">
        <f>((L48)^4)/M47</f>
        <v>73.05137021967208</v>
      </c>
      <c r="M49" s="1146"/>
    </row>
    <row r="50" spans="3:24" ht="15.75" customHeight="1" x14ac:dyDescent="0.3">
      <c r="C50" s="1156"/>
      <c r="D50" s="1156"/>
      <c r="E50" s="1156"/>
      <c r="F50" s="1156"/>
      <c r="G50" s="1864" t="s">
        <v>36</v>
      </c>
      <c r="H50" s="1865"/>
      <c r="I50" s="1865"/>
      <c r="J50" s="1865"/>
      <c r="K50" s="1866"/>
      <c r="L50" s="613">
        <f>1.95996+2.37356/L49+2.818745/L49^2 +2.546662/L49^3 +1.761829/L49^4+0.245458/L49^5 +1.000764/L49^6</f>
        <v>1.9929864515105018</v>
      </c>
      <c r="M50" s="1146"/>
    </row>
    <row r="51" spans="3:24" ht="17.25" customHeight="1" x14ac:dyDescent="0.4">
      <c r="C51" s="1156"/>
      <c r="D51" s="1156"/>
      <c r="E51" s="1156"/>
      <c r="F51" s="1156"/>
      <c r="G51" s="1869" t="s">
        <v>138</v>
      </c>
      <c r="H51" s="1870"/>
      <c r="I51" s="1870"/>
      <c r="J51" s="1870"/>
      <c r="K51" s="1161" t="str">
        <f>ID!$O$60</f>
        <v>(mmHg)</v>
      </c>
      <c r="L51" s="1160">
        <f>L50*L48</f>
        <v>0.66598781686222319</v>
      </c>
      <c r="M51" s="1146"/>
    </row>
    <row r="52" spans="3:24" hidden="1" x14ac:dyDescent="0.3"/>
    <row r="53" spans="3:24" hidden="1" x14ac:dyDescent="0.3"/>
    <row r="54" spans="3:24" hidden="1" x14ac:dyDescent="0.3">
      <c r="C54" s="1156"/>
      <c r="D54" s="1156"/>
      <c r="E54" s="1156"/>
      <c r="F54" s="1156"/>
      <c r="G54" s="1162"/>
      <c r="H54" s="1162"/>
      <c r="I54" s="1162"/>
      <c r="J54" s="1162"/>
      <c r="K54" s="1162"/>
      <c r="L54" s="1163"/>
      <c r="M54" s="1154"/>
    </row>
    <row r="55" spans="3:24" x14ac:dyDescent="0.3">
      <c r="C55" s="1156"/>
      <c r="D55" s="1156"/>
      <c r="E55" s="1156"/>
      <c r="F55" s="1156"/>
      <c r="G55" s="1162"/>
      <c r="H55" s="1162"/>
      <c r="I55" s="1162"/>
      <c r="J55" s="1162"/>
      <c r="K55" s="1162"/>
      <c r="L55" s="1146">
        <f>ABS(L51/C39)*100</f>
        <v>0.1664969542155558</v>
      </c>
      <c r="M55" s="1049" t="s">
        <v>285</v>
      </c>
    </row>
    <row r="56" spans="3:24" x14ac:dyDescent="0.3">
      <c r="C56" s="1164">
        <f>ID!A73</f>
        <v>-500</v>
      </c>
      <c r="D56" s="1136" t="str">
        <f>ID!$O$60</f>
        <v>(mmHg)</v>
      </c>
      <c r="E56" s="1156"/>
      <c r="F56" s="1156"/>
      <c r="G56" s="1162"/>
      <c r="H56" s="1162"/>
      <c r="I56" s="1162"/>
      <c r="J56" s="1162"/>
      <c r="K56" s="1162"/>
      <c r="L56" s="1163"/>
      <c r="M56" s="1154"/>
    </row>
    <row r="57" spans="3:24" x14ac:dyDescent="0.3">
      <c r="C57" s="1137"/>
      <c r="D57" s="1138" t="str">
        <f>ID!$O$60</f>
        <v>(mmHg)</v>
      </c>
    </row>
    <row r="58" spans="3:24" ht="18" x14ac:dyDescent="0.4">
      <c r="C58" s="1139" t="s">
        <v>34</v>
      </c>
      <c r="D58" s="1139" t="s">
        <v>35</v>
      </c>
      <c r="E58" s="1139" t="s">
        <v>73</v>
      </c>
      <c r="F58" s="1139" t="s">
        <v>72</v>
      </c>
      <c r="G58" s="1139" t="s">
        <v>13</v>
      </c>
      <c r="H58" s="1139" t="s">
        <v>99</v>
      </c>
      <c r="I58" s="1139" t="s">
        <v>100</v>
      </c>
      <c r="J58" s="1139" t="s">
        <v>101</v>
      </c>
      <c r="K58" s="1139" t="s">
        <v>102</v>
      </c>
      <c r="L58" s="1139" t="s">
        <v>103</v>
      </c>
      <c r="M58" s="1141" t="s">
        <v>104</v>
      </c>
    </row>
    <row r="59" spans="3:24" x14ac:dyDescent="0.3">
      <c r="C59" s="1165" t="s">
        <v>78</v>
      </c>
      <c r="D59" s="1144" t="str">
        <f>ID!$O$60</f>
        <v>(mmHg)</v>
      </c>
      <c r="E59" s="1153" t="s">
        <v>9</v>
      </c>
      <c r="F59" s="1146">
        <f>ID!R73</f>
        <v>0</v>
      </c>
      <c r="G59" s="1146">
        <f>SQRT(6)</f>
        <v>2.4494897427831779</v>
      </c>
      <c r="H59" s="1146">
        <f>(F59/G59)</f>
        <v>0</v>
      </c>
      <c r="I59" s="1146">
        <v>1</v>
      </c>
      <c r="J59" s="1146">
        <f>6-1</f>
        <v>5</v>
      </c>
      <c r="K59" s="1146">
        <f>H59*I59</f>
        <v>0</v>
      </c>
      <c r="L59" s="1146">
        <f>K59^2</f>
        <v>0</v>
      </c>
      <c r="M59" s="1146">
        <f>((K59)^4)/J59</f>
        <v>0</v>
      </c>
    </row>
    <row r="60" spans="3:24" x14ac:dyDescent="0.3">
      <c r="C60" s="1165" t="s">
        <v>77</v>
      </c>
      <c r="D60" s="1144" t="str">
        <f>ID!$O$60</f>
        <v>(mmHg)</v>
      </c>
      <c r="E60" s="1153" t="s">
        <v>9</v>
      </c>
      <c r="F60" s="1147">
        <f>INTERPOLASI!CA21</f>
        <v>0.6</v>
      </c>
      <c r="G60" s="1146">
        <v>2</v>
      </c>
      <c r="H60" s="1146">
        <f>F60/G60</f>
        <v>0.3</v>
      </c>
      <c r="I60" s="1146">
        <v>1</v>
      </c>
      <c r="J60" s="1146">
        <v>50</v>
      </c>
      <c r="K60" s="1146">
        <f>H60*I60</f>
        <v>0.3</v>
      </c>
      <c r="L60" s="1146">
        <f>K60^2</f>
        <v>0.09</v>
      </c>
      <c r="M60" s="1146">
        <f>((K60)^4)/J60</f>
        <v>1.6199999999999998E-4</v>
      </c>
      <c r="O60" s="1148" t="s">
        <v>493</v>
      </c>
      <c r="P60" s="1144" t="s">
        <v>501</v>
      </c>
      <c r="Q60" s="1166" t="s">
        <v>496</v>
      </c>
      <c r="R60" s="1150">
        <f>C57</f>
        <v>0</v>
      </c>
      <c r="S60" s="1150">
        <f>ID!N73</f>
        <v>-505.10399999999998</v>
      </c>
      <c r="T60" s="1150">
        <f>'SERTIFIKAT DPM'!AJ30</f>
        <v>-400</v>
      </c>
      <c r="U60" s="1150">
        <v>1.5</v>
      </c>
      <c r="V60" s="1150">
        <f>'SERTIFIKAT DPM'!AJ31</f>
        <v>-500</v>
      </c>
      <c r="W60" s="1150">
        <v>1.5</v>
      </c>
      <c r="X60" s="1150">
        <f>((((W60-U60)*(S60-T60)))/(V60-T60))+U60</f>
        <v>1.5</v>
      </c>
    </row>
    <row r="61" spans="3:24" x14ac:dyDescent="0.3">
      <c r="C61" s="1151" t="s">
        <v>314</v>
      </c>
      <c r="D61" s="1144" t="str">
        <f>ID!$O$60</f>
        <v>(mmHg)</v>
      </c>
      <c r="E61" s="1153" t="s">
        <v>80</v>
      </c>
      <c r="F61" s="1146">
        <f>(1/10)*ID!$C$7</f>
        <v>-5.0000000000000001E-4</v>
      </c>
      <c r="G61" s="1146">
        <f>SQRT(3)</f>
        <v>1.7320508075688772</v>
      </c>
      <c r="H61" s="1146">
        <f>F61/G61</f>
        <v>-2.886751345948129E-4</v>
      </c>
      <c r="I61" s="1146">
        <v>1</v>
      </c>
      <c r="J61" s="1146">
        <v>50</v>
      </c>
      <c r="K61" s="1146">
        <f>H61*I61</f>
        <v>-2.886751345948129E-4</v>
      </c>
      <c r="L61" s="1146">
        <f>K61^2</f>
        <v>8.3333333333333338E-8</v>
      </c>
      <c r="M61" s="1146">
        <f>((K61)^4)/J61</f>
        <v>1.388888888888889E-16</v>
      </c>
    </row>
    <row r="62" spans="3:24" ht="16.5" hidden="1" customHeight="1" x14ac:dyDescent="0.3">
      <c r="C62" s="1152" t="s">
        <v>313</v>
      </c>
      <c r="D62" s="1144" t="str">
        <f>ID!$O$60</f>
        <v>(mmHg)</v>
      </c>
      <c r="E62" s="1153" t="s">
        <v>80</v>
      </c>
      <c r="F62" s="1154">
        <f>(1/2)*0.5*ID!$O$64</f>
        <v>0.25</v>
      </c>
      <c r="G62" s="1146">
        <f>SQRT(3)</f>
        <v>1.7320508075688772</v>
      </c>
      <c r="H62" s="1146">
        <f>F62/G62</f>
        <v>0.14433756729740646</v>
      </c>
      <c r="I62" s="1146">
        <v>1</v>
      </c>
      <c r="J62" s="1146">
        <v>50</v>
      </c>
      <c r="K62" s="1146">
        <f>H62*I62</f>
        <v>0.14433756729740646</v>
      </c>
      <c r="L62" s="1146">
        <f>K62^2</f>
        <v>2.0833333333333339E-2</v>
      </c>
      <c r="M62" s="1146">
        <f>((K62)^4)/J62</f>
        <v>8.6805555555555606E-6</v>
      </c>
    </row>
    <row r="63" spans="3:24" x14ac:dyDescent="0.3">
      <c r="C63" s="1165" t="s">
        <v>44</v>
      </c>
      <c r="D63" s="1144" t="str">
        <f>ID!$O$60</f>
        <v>(mmHg)</v>
      </c>
      <c r="E63" s="1153" t="s">
        <v>80</v>
      </c>
      <c r="F63" s="1147">
        <f>INTERPOLASI!CY21</f>
        <v>0.14999999999999991</v>
      </c>
      <c r="G63" s="1146">
        <f>SQRT(3)</f>
        <v>1.7320508075688772</v>
      </c>
      <c r="H63" s="1146">
        <f>F63/G63</f>
        <v>8.6602540378443824E-2</v>
      </c>
      <c r="I63" s="1146">
        <v>1</v>
      </c>
      <c r="J63" s="1146">
        <v>50</v>
      </c>
      <c r="K63" s="1146">
        <f>H63*I63</f>
        <v>8.6602540378443824E-2</v>
      </c>
      <c r="L63" s="1146">
        <f>K63^2</f>
        <v>7.4999999999999928E-3</v>
      </c>
      <c r="M63" s="1146">
        <f>((K63)^4)/J63</f>
        <v>1.1249999999999977E-6</v>
      </c>
      <c r="O63" s="1148" t="s">
        <v>493</v>
      </c>
      <c r="P63" s="1144" t="s">
        <v>502</v>
      </c>
      <c r="Q63" s="1166" t="s">
        <v>496</v>
      </c>
      <c r="R63" s="1150">
        <f>C57</f>
        <v>0</v>
      </c>
      <c r="S63" s="1150">
        <f>ID!M73</f>
        <v>-504</v>
      </c>
      <c r="T63" s="1150">
        <f>'SERTIFIKAT DPM'!AJ30</f>
        <v>-400</v>
      </c>
      <c r="U63" s="1150">
        <f>'SERTIFIKAT DPM'!AS30</f>
        <v>4.9999999999999989E-2</v>
      </c>
      <c r="V63" s="1150">
        <f>'SERTIFIKAT DPM'!AJ31</f>
        <v>-500</v>
      </c>
      <c r="W63" s="1150">
        <f>'SERTIFIKAT DPM'!AS31</f>
        <v>0.14999999999999991</v>
      </c>
      <c r="X63" s="1150">
        <f>((((W63-U63)*(S63-T63)))/(V63-T63))+U63</f>
        <v>0.15399999999999991</v>
      </c>
    </row>
    <row r="64" spans="3:24" x14ac:dyDescent="0.3">
      <c r="C64" s="1155"/>
      <c r="D64" s="1155"/>
      <c r="E64" s="1155"/>
      <c r="F64" s="1155"/>
      <c r="G64" s="1157" t="s">
        <v>79</v>
      </c>
      <c r="H64" s="1158"/>
      <c r="I64" s="1158"/>
      <c r="J64" s="1158"/>
      <c r="K64" s="1159"/>
      <c r="L64" s="1160">
        <f>SUM(L59:L63)</f>
        <v>0.11833341666666666</v>
      </c>
      <c r="M64" s="1160">
        <f>SUM(M59:M63)</f>
        <v>1.7180555555569441E-4</v>
      </c>
    </row>
    <row r="65" spans="3:24" ht="17.25" customHeight="1" x14ac:dyDescent="0.4">
      <c r="C65" s="1156"/>
      <c r="D65" s="1156"/>
      <c r="E65" s="1156"/>
      <c r="F65" s="1156"/>
      <c r="G65" s="1864" t="s">
        <v>105</v>
      </c>
      <c r="H65" s="1865"/>
      <c r="I65" s="1865"/>
      <c r="J65" s="1865"/>
      <c r="K65" s="1866"/>
      <c r="L65" s="1160">
        <f>SQRT(L64)</f>
        <v>0.34399624513454602</v>
      </c>
      <c r="M65" s="1146"/>
    </row>
    <row r="66" spans="3:24" ht="15.75" customHeight="1" x14ac:dyDescent="0.3">
      <c r="C66" s="1156"/>
      <c r="D66" s="1156"/>
      <c r="E66" s="1156"/>
      <c r="F66" s="1156"/>
      <c r="G66" s="1864" t="s">
        <v>82</v>
      </c>
      <c r="H66" s="1865"/>
      <c r="I66" s="1865"/>
      <c r="J66" s="1865"/>
      <c r="K66" s="1866"/>
      <c r="L66" s="1160">
        <f>((L65)^4)/M64</f>
        <v>81.503752627298738</v>
      </c>
      <c r="M66" s="1146"/>
    </row>
    <row r="67" spans="3:24" ht="15.75" customHeight="1" x14ac:dyDescent="0.3">
      <c r="C67" s="1156"/>
      <c r="D67" s="1156"/>
      <c r="E67" s="1156"/>
      <c r="F67" s="1156"/>
      <c r="G67" s="1864" t="s">
        <v>36</v>
      </c>
      <c r="H67" s="1865"/>
      <c r="I67" s="1865"/>
      <c r="J67" s="1865"/>
      <c r="K67" s="1866"/>
      <c r="L67" s="613">
        <f>1.95996+2.37356/L66+2.818745/L66^2 +2.546662/L66^3 +1.761829/L66^4+0.245458/L66^5 +1.000764/L66^6</f>
        <v>1.9895111652693112</v>
      </c>
      <c r="M67" s="1146"/>
    </row>
    <row r="68" spans="3:24" ht="17.25" customHeight="1" x14ac:dyDescent="0.4">
      <c r="C68" s="1156"/>
      <c r="D68" s="1156"/>
      <c r="E68" s="1156"/>
      <c r="F68" s="1156"/>
      <c r="G68" s="1869" t="s">
        <v>138</v>
      </c>
      <c r="H68" s="1870"/>
      <c r="I68" s="1870"/>
      <c r="J68" s="1870"/>
      <c r="K68" s="1161" t="str">
        <f>ID!$O$60</f>
        <v>(mmHg)</v>
      </c>
      <c r="L68" s="1160">
        <f>L67*L65</f>
        <v>0.68438437050589829</v>
      </c>
      <c r="M68" s="1146"/>
    </row>
    <row r="69" spans="3:24" ht="6" hidden="1" customHeight="1" x14ac:dyDescent="0.3"/>
    <row r="70" spans="3:24" ht="6" hidden="1" customHeight="1" x14ac:dyDescent="0.3"/>
    <row r="71" spans="3:24" ht="6" hidden="1" customHeight="1" x14ac:dyDescent="0.3"/>
    <row r="72" spans="3:24" ht="6" hidden="1" customHeight="1" x14ac:dyDescent="0.3"/>
    <row r="73" spans="3:24" ht="6" hidden="1" customHeight="1" x14ac:dyDescent="0.3">
      <c r="C73" s="1156"/>
      <c r="D73" s="1156"/>
      <c r="E73" s="1156"/>
      <c r="F73" s="1156"/>
      <c r="G73" s="1162"/>
      <c r="H73" s="1162"/>
      <c r="I73" s="1162"/>
      <c r="J73" s="1162"/>
      <c r="K73" s="1162"/>
      <c r="L73" s="1163"/>
      <c r="M73" s="1154"/>
    </row>
    <row r="74" spans="3:24" ht="6" hidden="1" customHeight="1" x14ac:dyDescent="0.3">
      <c r="C74" s="1156"/>
      <c r="D74" s="1156"/>
      <c r="E74" s="1156"/>
      <c r="F74" s="1156"/>
      <c r="G74" s="1162"/>
      <c r="H74" s="1162"/>
      <c r="I74" s="1162"/>
      <c r="J74" s="1162"/>
      <c r="K74" s="1162"/>
      <c r="L74" s="1163"/>
      <c r="M74" s="1154"/>
    </row>
    <row r="75" spans="3:24" ht="26.25" customHeight="1" x14ac:dyDescent="0.3">
      <c r="C75" s="1164">
        <f>ID!A74</f>
        <v>-600</v>
      </c>
      <c r="D75" s="1136" t="str">
        <f>ID!$O$60</f>
        <v>(mmHg)</v>
      </c>
      <c r="E75" s="1156"/>
      <c r="F75" s="1156"/>
      <c r="G75" s="1162"/>
      <c r="H75" s="1162"/>
      <c r="I75" s="1162"/>
      <c r="J75" s="1162"/>
      <c r="K75" s="1162"/>
      <c r="L75" s="1146">
        <f>ABS(L68/C56)*100</f>
        <v>0.13687687410117966</v>
      </c>
      <c r="M75" s="1049" t="s">
        <v>285</v>
      </c>
    </row>
    <row r="76" spans="3:24" x14ac:dyDescent="0.3">
      <c r="C76" s="1137"/>
      <c r="D76" s="1138" t="str">
        <f>ID!$O$60</f>
        <v>(mmHg)</v>
      </c>
    </row>
    <row r="77" spans="3:24" ht="18" x14ac:dyDescent="0.4">
      <c r="C77" s="1139" t="s">
        <v>34</v>
      </c>
      <c r="D77" s="1139" t="s">
        <v>35</v>
      </c>
      <c r="E77" s="1139" t="s">
        <v>73</v>
      </c>
      <c r="F77" s="1139" t="s">
        <v>72</v>
      </c>
      <c r="G77" s="1139" t="s">
        <v>13</v>
      </c>
      <c r="H77" s="1139" t="s">
        <v>99</v>
      </c>
      <c r="I77" s="1139" t="s">
        <v>100</v>
      </c>
      <c r="J77" s="1139" t="s">
        <v>101</v>
      </c>
      <c r="K77" s="1139" t="s">
        <v>102</v>
      </c>
      <c r="L77" s="1139" t="s">
        <v>103</v>
      </c>
      <c r="M77" s="1141" t="s">
        <v>104</v>
      </c>
    </row>
    <row r="78" spans="3:24" x14ac:dyDescent="0.3">
      <c r="C78" s="1165" t="s">
        <v>78</v>
      </c>
      <c r="D78" s="1144" t="str">
        <f>ID!$O$60</f>
        <v>(mmHg)</v>
      </c>
      <c r="E78" s="1153" t="s">
        <v>9</v>
      </c>
      <c r="F78" s="1146">
        <f>ID!R74</f>
        <v>0</v>
      </c>
      <c r="G78" s="1146">
        <f>SQRT(6)</f>
        <v>2.4494897427831779</v>
      </c>
      <c r="H78" s="1146">
        <f>(F78/G78)</f>
        <v>0</v>
      </c>
      <c r="I78" s="1146">
        <v>1</v>
      </c>
      <c r="J78" s="1146">
        <f>6-1</f>
        <v>5</v>
      </c>
      <c r="K78" s="1146">
        <f>H78*I78</f>
        <v>0</v>
      </c>
      <c r="L78" s="1146">
        <f>K78^2</f>
        <v>0</v>
      </c>
      <c r="M78" s="1146">
        <f>((K78)^4)/J78</f>
        <v>0</v>
      </c>
    </row>
    <row r="79" spans="3:24" x14ac:dyDescent="0.3">
      <c r="C79" s="1165" t="s">
        <v>77</v>
      </c>
      <c r="D79" s="1144" t="str">
        <f>ID!$O$60</f>
        <v>(mmHg)</v>
      </c>
      <c r="E79" s="1153" t="s">
        <v>9</v>
      </c>
      <c r="F79" s="1147">
        <f>INTERPOLASI!CA22</f>
        <v>0.6</v>
      </c>
      <c r="G79" s="1146">
        <v>2</v>
      </c>
      <c r="H79" s="1146">
        <f>F79/G79</f>
        <v>0.3</v>
      </c>
      <c r="I79" s="1146">
        <v>1</v>
      </c>
      <c r="J79" s="1146">
        <v>50</v>
      </c>
      <c r="K79" s="1146">
        <f>H79*I79</f>
        <v>0.3</v>
      </c>
      <c r="L79" s="1146">
        <f>K79^2</f>
        <v>0.09</v>
      </c>
      <c r="M79" s="1146">
        <f>((K79)^4)/J79</f>
        <v>1.6199999999999998E-4</v>
      </c>
      <c r="O79" s="1148" t="s">
        <v>493</v>
      </c>
      <c r="P79" s="1144" t="s">
        <v>501</v>
      </c>
      <c r="Q79" s="1166" t="s">
        <v>497</v>
      </c>
      <c r="R79" s="1150">
        <f>C76</f>
        <v>0</v>
      </c>
      <c r="S79" s="1150">
        <f>ID!N74</f>
        <v>-609.20799999999997</v>
      </c>
      <c r="T79" s="1150">
        <f>'SERTIFIKAT DPM'!AJ31</f>
        <v>-500</v>
      </c>
      <c r="U79" s="1150">
        <v>1.5</v>
      </c>
      <c r="V79" s="1150">
        <f>'SERTIFIKAT DPM'!AJ32</f>
        <v>-600</v>
      </c>
      <c r="W79" s="1150">
        <v>1.5</v>
      </c>
      <c r="X79" s="1150">
        <f>((((W79-U79)*(S79-T79)))/(V79-T79))+U79</f>
        <v>1.5</v>
      </c>
    </row>
    <row r="80" spans="3:24" x14ac:dyDescent="0.3">
      <c r="C80" s="1151" t="s">
        <v>314</v>
      </c>
      <c r="D80" s="1144" t="str">
        <f>ID!$O$60</f>
        <v>(mmHg)</v>
      </c>
      <c r="E80" s="1153" t="s">
        <v>80</v>
      </c>
      <c r="F80" s="1146">
        <f>(1/10)*ID!$C$7</f>
        <v>-5.0000000000000001E-4</v>
      </c>
      <c r="G80" s="1146">
        <f>SQRT(3)</f>
        <v>1.7320508075688772</v>
      </c>
      <c r="H80" s="1146">
        <f>F80/G80</f>
        <v>-2.886751345948129E-4</v>
      </c>
      <c r="I80" s="1146">
        <v>1</v>
      </c>
      <c r="J80" s="1146">
        <v>50</v>
      </c>
      <c r="K80" s="1146">
        <f>H80*I80</f>
        <v>-2.886751345948129E-4</v>
      </c>
      <c r="L80" s="1146">
        <f>K80^2</f>
        <v>8.3333333333333338E-8</v>
      </c>
      <c r="M80" s="1146">
        <f>((K80)^4)/J80</f>
        <v>1.388888888888889E-16</v>
      </c>
    </row>
    <row r="81" spans="3:24" ht="16.5" hidden="1" customHeight="1" x14ac:dyDescent="0.3">
      <c r="C81" s="1152" t="s">
        <v>313</v>
      </c>
      <c r="D81" s="1144" t="str">
        <f>ID!$O$60</f>
        <v>(mmHg)</v>
      </c>
      <c r="E81" s="1153" t="s">
        <v>80</v>
      </c>
      <c r="F81" s="1154">
        <f>(1/2)*0.5*ID!$O$64</f>
        <v>0.25</v>
      </c>
      <c r="G81" s="1146">
        <f>SQRT(3)</f>
        <v>1.7320508075688772</v>
      </c>
      <c r="H81" s="1146">
        <f>F81/G81</f>
        <v>0.14433756729740646</v>
      </c>
      <c r="I81" s="1146">
        <v>1</v>
      </c>
      <c r="J81" s="1146">
        <v>50</v>
      </c>
      <c r="K81" s="1146">
        <f>H81*I81</f>
        <v>0.14433756729740646</v>
      </c>
      <c r="L81" s="1146">
        <f>K81^2</f>
        <v>2.0833333333333339E-2</v>
      </c>
      <c r="M81" s="1146">
        <f>((K81)^4)/J81</f>
        <v>8.6805555555555606E-6</v>
      </c>
    </row>
    <row r="82" spans="3:24" x14ac:dyDescent="0.3">
      <c r="C82" s="1165" t="s">
        <v>44</v>
      </c>
      <c r="D82" s="1144" t="str">
        <f>ID!$O$60</f>
        <v>(mmHg)</v>
      </c>
      <c r="E82" s="1153" t="s">
        <v>80</v>
      </c>
      <c r="F82" s="1147">
        <f>INTERPOLASI!CY22</f>
        <v>0.15000000000000002</v>
      </c>
      <c r="G82" s="1146">
        <f>SQRT(3)</f>
        <v>1.7320508075688772</v>
      </c>
      <c r="H82" s="1146">
        <f>F82/G82</f>
        <v>8.6602540378443879E-2</v>
      </c>
      <c r="I82" s="1146">
        <v>1</v>
      </c>
      <c r="J82" s="1146">
        <v>50</v>
      </c>
      <c r="K82" s="1146">
        <f>H82*I82</f>
        <v>8.6602540378443879E-2</v>
      </c>
      <c r="L82" s="1146">
        <f>K82^2</f>
        <v>7.5000000000000023E-3</v>
      </c>
      <c r="M82" s="1146">
        <f>((K82)^4)/J82</f>
        <v>1.1250000000000007E-6</v>
      </c>
      <c r="O82" s="1148" t="s">
        <v>493</v>
      </c>
      <c r="P82" s="1144" t="s">
        <v>502</v>
      </c>
      <c r="Q82" s="1166" t="s">
        <v>497</v>
      </c>
      <c r="R82" s="1150">
        <f>C76</f>
        <v>0</v>
      </c>
      <c r="S82" s="1150">
        <f>ID!N74</f>
        <v>-609.20799999999997</v>
      </c>
      <c r="T82" s="1150">
        <f>'SERTIFIKAT DPM'!AJ31</f>
        <v>-500</v>
      </c>
      <c r="U82" s="1150">
        <f>'SERTIFIKAT DPM'!AS31</f>
        <v>0.14999999999999991</v>
      </c>
      <c r="V82" s="1150">
        <f>'SERTIFIKAT DPM'!AJ32</f>
        <v>-600</v>
      </c>
      <c r="W82" s="1150">
        <f>'SERTIFIKAT DPM'!AS32</f>
        <v>0.15000000000000002</v>
      </c>
      <c r="X82" s="1150">
        <f>((((W82-U82)*(S82-T82)))/(V82-T82))+U82</f>
        <v>0.15000000000000002</v>
      </c>
    </row>
    <row r="83" spans="3:24" x14ac:dyDescent="0.3">
      <c r="C83" s="1155"/>
      <c r="D83" s="1155"/>
      <c r="E83" s="1155"/>
      <c r="F83" s="1155"/>
      <c r="G83" s="1157" t="s">
        <v>79</v>
      </c>
      <c r="H83" s="1158"/>
      <c r="I83" s="1158"/>
      <c r="J83" s="1158"/>
      <c r="K83" s="1159"/>
      <c r="L83" s="1160">
        <f>SUM(L78:L82)</f>
        <v>0.11833341666666668</v>
      </c>
      <c r="M83" s="1160">
        <f>SUM(M78:M82)</f>
        <v>1.7180555555569444E-4</v>
      </c>
    </row>
    <row r="84" spans="3:24" ht="17.25" customHeight="1" x14ac:dyDescent="0.4">
      <c r="C84" s="1156"/>
      <c r="D84" s="1156"/>
      <c r="E84" s="1156"/>
      <c r="F84" s="1156"/>
      <c r="G84" s="1864" t="s">
        <v>105</v>
      </c>
      <c r="H84" s="1865"/>
      <c r="I84" s="1865"/>
      <c r="J84" s="1865"/>
      <c r="K84" s="1866"/>
      <c r="L84" s="1160">
        <f>SQRT(L83)</f>
        <v>0.34399624513454602</v>
      </c>
      <c r="M84" s="1146"/>
    </row>
    <row r="85" spans="3:24" ht="15.75" customHeight="1" x14ac:dyDescent="0.3">
      <c r="C85" s="1156"/>
      <c r="D85" s="1156"/>
      <c r="E85" s="1156"/>
      <c r="F85" s="1156"/>
      <c r="G85" s="1864" t="s">
        <v>82</v>
      </c>
      <c r="H85" s="1865"/>
      <c r="I85" s="1865"/>
      <c r="J85" s="1865"/>
      <c r="K85" s="1866"/>
      <c r="L85" s="1160">
        <f>((L84)^4)/M83</f>
        <v>81.503752627298724</v>
      </c>
      <c r="M85" s="1146"/>
    </row>
    <row r="86" spans="3:24" ht="15.75" customHeight="1" x14ac:dyDescent="0.3">
      <c r="C86" s="1156"/>
      <c r="D86" s="1156"/>
      <c r="E86" s="1156"/>
      <c r="F86" s="1156"/>
      <c r="G86" s="1864" t="s">
        <v>36</v>
      </c>
      <c r="H86" s="1865"/>
      <c r="I86" s="1865"/>
      <c r="J86" s="1865"/>
      <c r="K86" s="1866"/>
      <c r="L86" s="613">
        <f>1.95996+2.37356/L85+2.818745/L85^2 +2.546662/L85^3 +1.761829/L85^4+0.245458/L85^5 +1.000764/L85^6</f>
        <v>1.9895111652693112</v>
      </c>
      <c r="M86" s="1146"/>
    </row>
    <row r="87" spans="3:24" ht="17.25" customHeight="1" x14ac:dyDescent="0.4">
      <c r="C87" s="1156"/>
      <c r="D87" s="1156"/>
      <c r="E87" s="1156"/>
      <c r="F87" s="1156"/>
      <c r="G87" s="1869" t="s">
        <v>138</v>
      </c>
      <c r="H87" s="1870"/>
      <c r="I87" s="1870"/>
      <c r="J87" s="1870"/>
      <c r="K87" s="1161" t="str">
        <f>ID!$O$60</f>
        <v>(mmHg)</v>
      </c>
      <c r="L87" s="1160">
        <f>L86*L84</f>
        <v>0.68438437050589829</v>
      </c>
      <c r="M87" s="1146"/>
    </row>
    <row r="88" spans="3:24" x14ac:dyDescent="0.3">
      <c r="L88" s="1146">
        <f>ABS(L87/C75)*100</f>
        <v>0.11406406175098305</v>
      </c>
      <c r="M88" s="1049" t="s">
        <v>285</v>
      </c>
    </row>
  </sheetData>
  <mergeCells count="23">
    <mergeCell ref="G84:K84"/>
    <mergeCell ref="G85:K85"/>
    <mergeCell ref="G86:K86"/>
    <mergeCell ref="G87:J87"/>
    <mergeCell ref="G50:K50"/>
    <mergeCell ref="G51:J51"/>
    <mergeCell ref="G65:K65"/>
    <mergeCell ref="G66:K66"/>
    <mergeCell ref="G67:K67"/>
    <mergeCell ref="G68:J68"/>
    <mergeCell ref="M3:N3"/>
    <mergeCell ref="G49:K49"/>
    <mergeCell ref="C4:N4"/>
    <mergeCell ref="C5:N5"/>
    <mergeCell ref="G18:K18"/>
    <mergeCell ref="G19:K19"/>
    <mergeCell ref="G20:K20"/>
    <mergeCell ref="G21:J21"/>
    <mergeCell ref="G33:K33"/>
    <mergeCell ref="G34:K34"/>
    <mergeCell ref="G35:K35"/>
    <mergeCell ref="G36:J36"/>
    <mergeCell ref="G48:K48"/>
  </mergeCells>
  <printOptions horizontalCentered="1"/>
  <pageMargins left="0.19685039370078741" right="0.23622047244094491" top="0.23622047244094491" bottom="0.23622047244094491" header="0.23622047244094491" footer="0.23622047244094491"/>
  <pageSetup paperSize="9" scale="6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4161-FBE2-474A-9083-3A83D484C2E9}">
  <sheetPr>
    <tabColor rgb="FF00B050"/>
  </sheetPr>
  <dimension ref="A1:P36"/>
  <sheetViews>
    <sheetView view="pageBreakPreview" topLeftCell="A25" zoomScaleNormal="100" zoomScaleSheetLayoutView="100" workbookViewId="0">
      <selection activeCell="G47" sqref="G47"/>
    </sheetView>
  </sheetViews>
  <sheetFormatPr defaultColWidth="9.21875" defaultRowHeight="13.2" x14ac:dyDescent="0.25"/>
  <cols>
    <col min="1" max="1" width="18.21875" style="389" customWidth="1"/>
    <col min="2" max="2" width="26.21875" style="389" customWidth="1"/>
    <col min="3" max="3" width="3.109375" style="389" customWidth="1"/>
    <col min="4" max="4" width="10.21875" style="389" customWidth="1"/>
    <col min="5" max="5" width="1.6640625" style="389" customWidth="1"/>
    <col min="6" max="6" width="9.21875" style="389" customWidth="1"/>
    <col min="7" max="7" width="31.21875" style="389" customWidth="1"/>
    <col min="8" max="8" width="9.21875" style="389"/>
    <col min="9" max="9" width="21.5546875" style="389" customWidth="1"/>
    <col min="10" max="10" width="12.109375" style="389" customWidth="1"/>
    <col min="11" max="16384" width="9.21875" style="389"/>
  </cols>
  <sheetData>
    <row r="1" spans="1:16" x14ac:dyDescent="0.25">
      <c r="I1" s="420">
        <f>IF(RIGHT(A3,2)="Dt",10,13)</f>
        <v>13</v>
      </c>
    </row>
    <row r="2" spans="1:16" ht="30.6" thickBot="1" x14ac:dyDescent="0.3">
      <c r="A2" s="1889" t="s">
        <v>535</v>
      </c>
      <c r="B2" s="1889"/>
      <c r="C2" s="1889"/>
      <c r="D2" s="1889"/>
      <c r="E2" s="1889"/>
      <c r="F2" s="1889"/>
      <c r="G2" s="1889"/>
      <c r="I2" s="419"/>
      <c r="J2" s="1890"/>
      <c r="K2" s="1891"/>
    </row>
    <row r="3" spans="1:16" ht="13.8" x14ac:dyDescent="0.25">
      <c r="A3" s="1892" t="str">
        <f>"Nomor : 1 /"&amp;" "&amp;ID!L2</f>
        <v>Nomor : 1 / 6 / II - 21 / E - 012.12 DL</v>
      </c>
      <c r="B3" s="1892"/>
      <c r="C3" s="1892"/>
      <c r="D3" s="1892"/>
      <c r="E3" s="1892"/>
      <c r="F3" s="1892"/>
      <c r="G3" s="1892"/>
      <c r="I3" s="418" t="s">
        <v>534</v>
      </c>
      <c r="J3" s="417" t="s">
        <v>533</v>
      </c>
      <c r="K3" s="416" t="s">
        <v>532</v>
      </c>
    </row>
    <row r="4" spans="1:16" ht="15.75" customHeight="1" x14ac:dyDescent="0.25">
      <c r="C4" s="389" t="s">
        <v>531</v>
      </c>
      <c r="D4" s="1893" t="str">
        <f>VLOOKUP(B6,'DB SERTIFIKAT NA'!$B$2:$C$73,2,FALSE)</f>
        <v>T.S - 046 - 18 / REV : 1</v>
      </c>
      <c r="E4" s="1893"/>
      <c r="F4" s="1893"/>
      <c r="G4" s="1893"/>
      <c r="I4" s="415">
        <v>5</v>
      </c>
      <c r="J4" s="414" t="s">
        <v>530</v>
      </c>
      <c r="K4" s="413">
        <v>2022</v>
      </c>
    </row>
    <row r="5" spans="1:16" ht="15" thickBot="1" x14ac:dyDescent="0.35">
      <c r="I5" s="1894" t="s">
        <v>529</v>
      </c>
      <c r="J5" s="1895"/>
      <c r="K5" s="1896"/>
    </row>
    <row r="6" spans="1:16" ht="34.5" customHeight="1" x14ac:dyDescent="0.25">
      <c r="A6" s="412" t="s">
        <v>528</v>
      </c>
      <c r="B6" s="411" t="s">
        <v>734</v>
      </c>
      <c r="C6" s="410"/>
      <c r="D6" s="1885" t="s">
        <v>526</v>
      </c>
      <c r="E6" s="1886"/>
      <c r="F6" s="1886"/>
      <c r="G6" s="409" t="str">
        <f>RIGHT(A3,I1)</f>
        <v>E - 012.12 DL</v>
      </c>
    </row>
    <row r="7" spans="1:16" ht="13.8" x14ac:dyDescent="0.25">
      <c r="A7" s="398"/>
      <c r="B7" s="398"/>
      <c r="C7" s="398"/>
    </row>
    <row r="8" spans="1:16" ht="13.8" x14ac:dyDescent="0.25">
      <c r="A8" s="1871" t="s">
        <v>525</v>
      </c>
      <c r="B8" s="1871"/>
      <c r="C8" s="392" t="s">
        <v>0</v>
      </c>
      <c r="D8" s="1871" t="str">
        <f>LH!F3</f>
        <v>SMAF</v>
      </c>
      <c r="E8" s="1871"/>
      <c r="F8" s="1871"/>
      <c r="G8" s="1871"/>
      <c r="J8" s="1887"/>
      <c r="K8" s="1887"/>
    </row>
    <row r="9" spans="1:16" ht="13.8" x14ac:dyDescent="0.25">
      <c r="A9" s="1871" t="s">
        <v>524</v>
      </c>
      <c r="B9" s="1871"/>
      <c r="C9" s="392" t="s">
        <v>0</v>
      </c>
      <c r="D9" s="1871" t="str">
        <f>LH!F4</f>
        <v>YX980D</v>
      </c>
      <c r="E9" s="1871"/>
      <c r="F9" s="1871"/>
      <c r="G9" s="1871"/>
      <c r="J9" s="1887"/>
      <c r="K9" s="1887"/>
    </row>
    <row r="10" spans="1:16" ht="14.4" x14ac:dyDescent="0.3">
      <c r="A10" s="1871" t="s">
        <v>523</v>
      </c>
      <c r="B10" s="1871"/>
      <c r="C10" s="392" t="s">
        <v>0</v>
      </c>
      <c r="D10" s="1871" t="str">
        <f>LH!F5</f>
        <v>D11-18-047</v>
      </c>
      <c r="E10" s="1871"/>
      <c r="F10" s="1871"/>
      <c r="G10" s="1871"/>
      <c r="J10" s="1888"/>
      <c r="K10" s="1880"/>
      <c r="P10" s="400"/>
    </row>
    <row r="11" spans="1:16" ht="14.4" hidden="1" x14ac:dyDescent="0.3">
      <c r="A11" s="1871" t="s">
        <v>522</v>
      </c>
      <c r="B11" s="1871"/>
      <c r="C11" s="392" t="s">
        <v>0</v>
      </c>
      <c r="D11" s="408" t="str">
        <f>J11&amp;"    "&amp;K11&amp;""</f>
        <v xml:space="preserve">    </v>
      </c>
      <c r="E11" s="408"/>
      <c r="F11" s="408"/>
      <c r="G11" s="406">
        <f>K11</f>
        <v>0</v>
      </c>
      <c r="J11" s="405"/>
      <c r="K11" s="400"/>
      <c r="P11" s="400"/>
    </row>
    <row r="12" spans="1:16" ht="14.4" x14ac:dyDescent="0.3">
      <c r="A12" s="1871" t="s">
        <v>70</v>
      </c>
      <c r="B12" s="1871"/>
      <c r="C12" s="392" t="s">
        <v>0</v>
      </c>
      <c r="D12" s="408">
        <f>LH!F6</f>
        <v>-5.0000000000000001E-3</v>
      </c>
      <c r="E12" s="407" t="s">
        <v>6</v>
      </c>
      <c r="G12" s="406"/>
      <c r="J12" s="405"/>
      <c r="K12" s="400"/>
      <c r="P12" s="400"/>
    </row>
    <row r="13" spans="1:16" ht="14.4" x14ac:dyDescent="0.3">
      <c r="A13" s="404"/>
      <c r="B13" s="404"/>
      <c r="C13" s="398"/>
      <c r="J13" s="1879"/>
      <c r="K13" s="1879"/>
      <c r="P13" s="400"/>
    </row>
    <row r="14" spans="1:16" ht="30" customHeight="1" x14ac:dyDescent="0.3">
      <c r="A14" s="403" t="s">
        <v>521</v>
      </c>
      <c r="B14" s="402" t="s">
        <v>520</v>
      </c>
      <c r="C14" s="398"/>
      <c r="D14" s="1885" t="s">
        <v>519</v>
      </c>
      <c r="E14" s="1886"/>
      <c r="F14" s="1886"/>
      <c r="G14" s="401" t="s">
        <v>518</v>
      </c>
      <c r="J14" s="1880"/>
      <c r="K14" s="1880"/>
      <c r="P14" s="400"/>
    </row>
    <row r="15" spans="1:16" ht="14.4" x14ac:dyDescent="0.25">
      <c r="A15" s="399"/>
      <c r="B15" s="398"/>
      <c r="C15" s="398"/>
      <c r="D15" s="398"/>
      <c r="E15" s="398"/>
      <c r="F15" s="398"/>
      <c r="J15" s="1881"/>
      <c r="K15" s="1881"/>
    </row>
    <row r="16" spans="1:16" ht="35.25" customHeight="1" x14ac:dyDescent="0.3">
      <c r="A16" s="1872" t="s">
        <v>517</v>
      </c>
      <c r="B16" s="1872"/>
      <c r="C16" s="393" t="s">
        <v>0</v>
      </c>
      <c r="D16" s="1882" t="s">
        <v>516</v>
      </c>
      <c r="E16" s="1882"/>
      <c r="F16" s="1882"/>
      <c r="G16" s="1882"/>
      <c r="I16" s="397"/>
      <c r="J16" s="1883"/>
      <c r="K16" s="1884"/>
    </row>
    <row r="17" spans="1:11" ht="14.4" x14ac:dyDescent="0.3">
      <c r="A17" s="1871" t="str">
        <f>"Nama Ruang "&amp;I20</f>
        <v>Nama Ruang Kalibrasi</v>
      </c>
      <c r="B17" s="1871"/>
      <c r="C17" s="392" t="s">
        <v>0</v>
      </c>
      <c r="D17" s="1872" t="str">
        <f>LH!F10</f>
        <v>Ruang Bersalin</v>
      </c>
      <c r="E17" s="1872"/>
      <c r="F17" s="1872"/>
      <c r="G17" s="1872"/>
      <c r="I17" s="1874"/>
      <c r="J17" s="1874"/>
      <c r="K17" s="1874"/>
    </row>
    <row r="18" spans="1:11" ht="15" customHeight="1" x14ac:dyDescent="0.3">
      <c r="A18" s="1871" t="s">
        <v>203</v>
      </c>
      <c r="B18" s="1871"/>
      <c r="C18" s="392" t="s">
        <v>515</v>
      </c>
      <c r="D18" s="1872">
        <f>LH!F7</f>
        <v>44631</v>
      </c>
      <c r="E18" s="1872"/>
      <c r="F18" s="1872"/>
      <c r="G18" s="396"/>
      <c r="I18" s="395"/>
      <c r="J18" s="395"/>
      <c r="K18" s="395"/>
    </row>
    <row r="19" spans="1:11" ht="13.8" x14ac:dyDescent="0.25">
      <c r="A19" s="1871" t="str">
        <f>"Tanggal "&amp;I20</f>
        <v>Tanggal Kalibrasi</v>
      </c>
      <c r="B19" s="1871"/>
      <c r="C19" s="392" t="s">
        <v>0</v>
      </c>
      <c r="D19" s="1876" t="str">
        <f>LH!F8</f>
        <v>11 Maret 2022</v>
      </c>
      <c r="E19" s="1876"/>
      <c r="F19" s="1876"/>
      <c r="G19" s="1876"/>
    </row>
    <row r="20" spans="1:11" ht="13.8" x14ac:dyDescent="0.25">
      <c r="A20" s="1871" t="str">
        <f>"Penanggungjawab "&amp;I20</f>
        <v>Penanggungjawab Kalibrasi</v>
      </c>
      <c r="B20" s="1871"/>
      <c r="C20" s="392" t="s">
        <v>0</v>
      </c>
      <c r="D20" s="1871" t="str">
        <f>LH!B76</f>
        <v>Hamdan Syarif</v>
      </c>
      <c r="E20" s="1871"/>
      <c r="F20" s="1871"/>
      <c r="G20" s="1871"/>
      <c r="I20" s="389" t="str">
        <f>IF(RIGHT(A2,10)=" KALIBRASI","Kalibrasi","Pengujian")</f>
        <v>Kalibrasi</v>
      </c>
    </row>
    <row r="21" spans="1:11" ht="14.4" x14ac:dyDescent="0.3">
      <c r="A21" s="1871" t="str">
        <f>"Lokasi "&amp;I20</f>
        <v>Lokasi Kalibrasi</v>
      </c>
      <c r="B21" s="1871"/>
      <c r="C21" s="392" t="s">
        <v>0</v>
      </c>
      <c r="D21" s="1872" t="str">
        <f>LH!F9</f>
        <v>Ruang Bersalin</v>
      </c>
      <c r="E21" s="1872"/>
      <c r="F21" s="1872"/>
      <c r="G21" s="1872"/>
      <c r="I21" s="394" t="s">
        <v>514</v>
      </c>
    </row>
    <row r="22" spans="1:11" ht="30.75" customHeight="1" x14ac:dyDescent="0.25">
      <c r="A22" s="1872" t="str">
        <f>"Hasil "&amp;I20</f>
        <v>Hasil Kalibrasi</v>
      </c>
      <c r="B22" s="1872"/>
      <c r="C22" s="393" t="s">
        <v>0</v>
      </c>
      <c r="D22" s="1875" t="str">
        <f>IF(RIGHT(I20,10)="Kalibrasi",I22,I23)</f>
        <v>Laik Pakai, disarankan untuk dikalibrasi ulang pada tanggal 5 Agustus 2023</v>
      </c>
      <c r="E22" s="1875"/>
      <c r="F22" s="1875"/>
      <c r="G22" s="1875"/>
      <c r="I22" s="389" t="str">
        <f>"Laik Pakai, disarankan untuk dikalibrasi ulang pada tanggal "&amp;I4&amp;" "&amp;J4&amp;" "&amp;K4+1</f>
        <v>Laik Pakai, disarankan untuk dikalibrasi ulang pada tanggal 5 Agustus 2023</v>
      </c>
    </row>
    <row r="23" spans="1:11" ht="13.8" x14ac:dyDescent="0.25">
      <c r="A23" s="1871" t="s">
        <v>18</v>
      </c>
      <c r="B23" s="1871"/>
      <c r="C23" s="392" t="s">
        <v>0</v>
      </c>
      <c r="D23" s="1871" t="str">
        <f>LH!F11</f>
        <v>MK 132-2019</v>
      </c>
      <c r="E23" s="1871"/>
      <c r="F23" s="1871"/>
      <c r="G23" s="1871"/>
      <c r="I23" s="389" t="str">
        <f>"Laik Pakai, disarankan untuk diuji ulang pada tanggal "&amp;I4&amp;" "&amp;J4&amp;K4+1</f>
        <v>Laik Pakai, disarankan untuk diuji ulang pada tanggal 5 Agustus2023</v>
      </c>
    </row>
    <row r="26" spans="1:11" ht="27" customHeight="1" x14ac:dyDescent="0.25">
      <c r="D26" s="1878" t="s">
        <v>513</v>
      </c>
      <c r="E26" s="1878"/>
      <c r="F26" s="1877">
        <f ca="1">TODAY()</f>
        <v>45196</v>
      </c>
      <c r="G26" s="1877"/>
    </row>
    <row r="27" spans="1:11" ht="13.8" x14ac:dyDescent="0.25">
      <c r="D27" s="1871" t="s">
        <v>512</v>
      </c>
      <c r="E27" s="1871"/>
      <c r="F27" s="1871"/>
      <c r="G27" s="1871"/>
    </row>
    <row r="28" spans="1:11" ht="13.8" x14ac:dyDescent="0.25">
      <c r="D28" s="1871" t="s">
        <v>511</v>
      </c>
      <c r="E28" s="1871"/>
      <c r="F28" s="1871"/>
      <c r="G28" s="1871"/>
    </row>
    <row r="29" spans="1:11" ht="13.8" x14ac:dyDescent="0.25">
      <c r="D29" s="391"/>
      <c r="E29" s="391"/>
      <c r="F29" s="391"/>
    </row>
    <row r="30" spans="1:11" ht="13.8" x14ac:dyDescent="0.25">
      <c r="D30" s="391"/>
      <c r="E30" s="391"/>
      <c r="F30" s="391"/>
    </row>
    <row r="31" spans="1:11" ht="13.8" x14ac:dyDescent="0.25">
      <c r="D31" s="391"/>
      <c r="E31" s="391"/>
      <c r="F31" s="391"/>
    </row>
    <row r="32" spans="1:11" ht="13.8" x14ac:dyDescent="0.25">
      <c r="D32" s="1871" t="s">
        <v>510</v>
      </c>
      <c r="E32" s="1871"/>
      <c r="F32" s="1871"/>
      <c r="G32" s="1871"/>
    </row>
    <row r="33" spans="1:7" ht="13.8" x14ac:dyDescent="0.25">
      <c r="D33" s="1873" t="s">
        <v>509</v>
      </c>
      <c r="E33" s="1873"/>
      <c r="F33" s="1873"/>
      <c r="G33" s="1873"/>
    </row>
    <row r="36" spans="1:7" x14ac:dyDescent="0.25">
      <c r="A36" s="390"/>
      <c r="B36" s="390"/>
      <c r="C36" s="390"/>
      <c r="D36" s="390"/>
      <c r="E36" s="390"/>
      <c r="F36" s="390"/>
      <c r="G36" s="390"/>
    </row>
  </sheetData>
  <sheetProtection algorithmName="SHA-512" hashValue="csBzS3hWhj84xE79TU7eAzomXZdL3vyiN1pAKHOy9cfK2TAOVQQm31OYRYYEOoHxPP/ps64Lub4Ta5+0ZCMzPA==" saltValue="RlNDOfd/L1JgcA5uTTZrLw==" spinCount="100000" sheet="1" objects="1" scenarios="1"/>
  <mergeCells count="45">
    <mergeCell ref="A8:B8"/>
    <mergeCell ref="D8:G8"/>
    <mergeCell ref="J8:K8"/>
    <mergeCell ref="A2:G2"/>
    <mergeCell ref="J2:K2"/>
    <mergeCell ref="A3:G3"/>
    <mergeCell ref="D4:G4"/>
    <mergeCell ref="I5:K5"/>
    <mergeCell ref="D6:F6"/>
    <mergeCell ref="A9:B9"/>
    <mergeCell ref="D9:G9"/>
    <mergeCell ref="J9:K9"/>
    <mergeCell ref="A10:B10"/>
    <mergeCell ref="D10:G10"/>
    <mergeCell ref="J10:K10"/>
    <mergeCell ref="A11:B11"/>
    <mergeCell ref="A12:B12"/>
    <mergeCell ref="A17:B17"/>
    <mergeCell ref="D17:G17"/>
    <mergeCell ref="J13:K13"/>
    <mergeCell ref="J14:K14"/>
    <mergeCell ref="J15:K15"/>
    <mergeCell ref="A16:B16"/>
    <mergeCell ref="D16:G16"/>
    <mergeCell ref="J16:K16"/>
    <mergeCell ref="D14:F14"/>
    <mergeCell ref="D27:G27"/>
    <mergeCell ref="D28:G28"/>
    <mergeCell ref="D32:G32"/>
    <mergeCell ref="D33:G33"/>
    <mergeCell ref="I17:K17"/>
    <mergeCell ref="D22:G22"/>
    <mergeCell ref="D23:G23"/>
    <mergeCell ref="D19:G19"/>
    <mergeCell ref="D21:G21"/>
    <mergeCell ref="F26:G26"/>
    <mergeCell ref="D26:E26"/>
    <mergeCell ref="D18:F18"/>
    <mergeCell ref="A20:B20"/>
    <mergeCell ref="D20:G20"/>
    <mergeCell ref="A18:B18"/>
    <mergeCell ref="A22:B22"/>
    <mergeCell ref="A23:B23"/>
    <mergeCell ref="A19:B19"/>
    <mergeCell ref="A21:B21"/>
  </mergeCells>
  <dataValidations count="3">
    <dataValidation type="list" allowBlank="1" showInputMessage="1" showErrorMessage="1" sqref="K11:K12" xr:uid="{00000000-0002-0000-0700-000002000000}">
      <formula1>$N$2:$N$22</formula1>
    </dataValidation>
    <dataValidation type="list" allowBlank="1" showInputMessage="1" showErrorMessage="1" sqref="G14" xr:uid="{00000000-0002-0000-0700-000001000000}">
      <formula1>"Negeri,Swasta"</formula1>
    </dataValidation>
    <dataValidation type="list" allowBlank="1" showInputMessage="1" showErrorMessage="1" sqref="A2:G2" xr:uid="{00000000-0002-0000-0700-000000000000}">
      <formula1>"SERTIFIKAT KALIBRASI,SERTIFIKAT PENGUJIAN"</formula1>
    </dataValidation>
  </dataValidations>
  <pageMargins left="0.6" right="0.3" top="1.57" bottom="0" header="0.5" footer="0.6"/>
  <pageSetup paperSize="9" scale="89" orientation="portrait" r:id="rId1"/>
  <headerFooter>
    <oddFooter>&amp;L&amp;"Times New Roman,Bold"Sertifikat ini terdiri dari 2 halaman</oddFooter>
  </headerFooter>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'DB SERTIFIKAT NA'!$F$2:$F$13</xm:f>
          </x14:formula1>
          <xm:sqref>J4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D25A-987A-4114-9117-86BCE1889455}">
  <dimension ref="A1:O73"/>
  <sheetViews>
    <sheetView topLeftCell="C1" workbookViewId="0">
      <selection activeCell="F21" sqref="F21"/>
    </sheetView>
  </sheetViews>
  <sheetFormatPr defaultColWidth="9.21875" defaultRowHeight="13.2" x14ac:dyDescent="0.25"/>
  <cols>
    <col min="1" max="1" width="9.21875" style="389"/>
    <col min="2" max="2" width="30.33203125" style="389" bestFit="1" customWidth="1"/>
    <col min="3" max="3" width="24.5546875" style="389" bestFit="1" customWidth="1"/>
    <col min="4" max="4" width="32.6640625" style="389" bestFit="1" customWidth="1"/>
    <col min="5" max="5" width="9.77734375" style="389" customWidth="1"/>
    <col min="6" max="6" width="30.109375" style="389" bestFit="1" customWidth="1"/>
    <col min="7" max="7" width="9.21875" style="389"/>
    <col min="8" max="8" width="15.33203125" style="389" bestFit="1" customWidth="1"/>
    <col min="9" max="9" width="9.21875" style="389"/>
    <col min="10" max="10" width="11.77734375" style="389" bestFit="1" customWidth="1"/>
    <col min="11" max="16384" width="9.21875" style="389"/>
  </cols>
  <sheetData>
    <row r="1" spans="1:15" ht="13.8" x14ac:dyDescent="0.25">
      <c r="A1" s="431" t="s">
        <v>193</v>
      </c>
      <c r="B1" s="431" t="s">
        <v>536</v>
      </c>
      <c r="C1" s="431" t="s">
        <v>736</v>
      </c>
      <c r="D1" s="430" t="s">
        <v>735</v>
      </c>
      <c r="E1" s="428"/>
      <c r="F1" s="429" t="s">
        <v>533</v>
      </c>
      <c r="H1" s="428"/>
      <c r="J1" s="428"/>
    </row>
    <row r="2" spans="1:15" ht="13.8" x14ac:dyDescent="0.25">
      <c r="A2" s="421">
        <v>1</v>
      </c>
      <c r="B2" s="421" t="s">
        <v>734</v>
      </c>
      <c r="C2" s="421" t="s">
        <v>733</v>
      </c>
      <c r="D2" s="422" t="s">
        <v>732</v>
      </c>
      <c r="F2" s="425" t="s">
        <v>731</v>
      </c>
    </row>
    <row r="3" spans="1:15" ht="13.8" x14ac:dyDescent="0.25">
      <c r="A3" s="421">
        <v>2</v>
      </c>
      <c r="B3" s="421" t="s">
        <v>730</v>
      </c>
      <c r="C3" s="421" t="s">
        <v>729</v>
      </c>
      <c r="D3" s="421" t="s">
        <v>728</v>
      </c>
      <c r="F3" s="425" t="s">
        <v>727</v>
      </c>
    </row>
    <row r="4" spans="1:15" ht="13.8" x14ac:dyDescent="0.25">
      <c r="A4" s="421">
        <v>3</v>
      </c>
      <c r="B4" s="421" t="s">
        <v>726</v>
      </c>
      <c r="C4" s="421" t="s">
        <v>725</v>
      </c>
      <c r="D4" s="421" t="s">
        <v>724</v>
      </c>
      <c r="F4" s="425" t="s">
        <v>723</v>
      </c>
    </row>
    <row r="5" spans="1:15" ht="13.8" x14ac:dyDescent="0.25">
      <c r="A5" s="421">
        <v>4</v>
      </c>
      <c r="B5" s="421" t="s">
        <v>722</v>
      </c>
      <c r="C5" s="421" t="s">
        <v>721</v>
      </c>
      <c r="D5" s="422" t="s">
        <v>720</v>
      </c>
      <c r="F5" s="425" t="s">
        <v>719</v>
      </c>
      <c r="H5" s="427"/>
    </row>
    <row r="6" spans="1:15" ht="13.8" x14ac:dyDescent="0.25">
      <c r="A6" s="421">
        <v>5</v>
      </c>
      <c r="B6" s="421" t="s">
        <v>718</v>
      </c>
      <c r="C6" s="421" t="s">
        <v>717</v>
      </c>
      <c r="D6" s="422" t="s">
        <v>716</v>
      </c>
      <c r="F6" s="425" t="s">
        <v>715</v>
      </c>
    </row>
    <row r="7" spans="1:15" ht="13.8" x14ac:dyDescent="0.25">
      <c r="A7" s="421">
        <v>6</v>
      </c>
      <c r="B7" s="421" t="s">
        <v>714</v>
      </c>
      <c r="C7" s="421" t="s">
        <v>713</v>
      </c>
      <c r="D7" s="422" t="s">
        <v>712</v>
      </c>
      <c r="F7" s="425" t="s">
        <v>711</v>
      </c>
    </row>
    <row r="8" spans="1:15" ht="13.8" x14ac:dyDescent="0.25">
      <c r="A8" s="421">
        <v>7</v>
      </c>
      <c r="B8" s="421" t="s">
        <v>710</v>
      </c>
      <c r="C8" s="421" t="s">
        <v>709</v>
      </c>
      <c r="D8" s="422" t="s">
        <v>708</v>
      </c>
      <c r="F8" s="425" t="s">
        <v>707</v>
      </c>
    </row>
    <row r="9" spans="1:15" ht="13.8" x14ac:dyDescent="0.25">
      <c r="A9" s="421">
        <v>8</v>
      </c>
      <c r="B9" s="421" t="s">
        <v>706</v>
      </c>
      <c r="C9" s="421" t="s">
        <v>705</v>
      </c>
      <c r="D9" s="421" t="s">
        <v>704</v>
      </c>
      <c r="F9" s="425" t="s">
        <v>530</v>
      </c>
    </row>
    <row r="10" spans="1:15" ht="13.8" x14ac:dyDescent="0.25">
      <c r="A10" s="421">
        <v>9</v>
      </c>
      <c r="B10" s="421" t="s">
        <v>703</v>
      </c>
      <c r="C10" s="421" t="s">
        <v>702</v>
      </c>
      <c r="D10" s="422" t="s">
        <v>701</v>
      </c>
      <c r="F10" s="425" t="s">
        <v>700</v>
      </c>
      <c r="H10" s="427"/>
    </row>
    <row r="11" spans="1:15" ht="13.8" x14ac:dyDescent="0.25">
      <c r="A11" s="421">
        <v>10</v>
      </c>
      <c r="B11" s="421" t="s">
        <v>699</v>
      </c>
      <c r="C11" s="421" t="s">
        <v>696</v>
      </c>
      <c r="D11" s="421" t="s">
        <v>695</v>
      </c>
      <c r="F11" s="425" t="s">
        <v>698</v>
      </c>
      <c r="L11" s="424"/>
      <c r="M11" s="423"/>
      <c r="N11" s="424"/>
      <c r="O11" s="423"/>
    </row>
    <row r="12" spans="1:15" ht="13.8" x14ac:dyDescent="0.25">
      <c r="A12" s="421">
        <v>11</v>
      </c>
      <c r="B12" s="421" t="s">
        <v>697</v>
      </c>
      <c r="C12" s="421" t="s">
        <v>696</v>
      </c>
      <c r="D12" s="421" t="s">
        <v>695</v>
      </c>
      <c r="F12" s="425" t="s">
        <v>694</v>
      </c>
      <c r="H12" s="426"/>
    </row>
    <row r="13" spans="1:15" ht="13.8" x14ac:dyDescent="0.25">
      <c r="A13" s="421">
        <v>12</v>
      </c>
      <c r="B13" s="421" t="s">
        <v>693</v>
      </c>
      <c r="C13" s="421" t="s">
        <v>692</v>
      </c>
      <c r="D13" s="422" t="s">
        <v>691</v>
      </c>
      <c r="F13" s="425" t="s">
        <v>690</v>
      </c>
    </row>
    <row r="14" spans="1:15" ht="13.8" x14ac:dyDescent="0.25">
      <c r="A14" s="421">
        <v>13</v>
      </c>
      <c r="B14" s="421" t="s">
        <v>689</v>
      </c>
      <c r="C14" s="421" t="s">
        <v>688</v>
      </c>
      <c r="D14" s="422" t="s">
        <v>687</v>
      </c>
    </row>
    <row r="15" spans="1:15" ht="13.8" x14ac:dyDescent="0.25">
      <c r="A15" s="421">
        <v>14</v>
      </c>
      <c r="B15" s="421" t="s">
        <v>686</v>
      </c>
      <c r="C15" s="421" t="s">
        <v>683</v>
      </c>
      <c r="D15" s="422" t="s">
        <v>682</v>
      </c>
      <c r="L15" s="424"/>
      <c r="M15" s="424"/>
      <c r="N15" s="424"/>
      <c r="O15" s="423"/>
    </row>
    <row r="16" spans="1:15" ht="13.8" x14ac:dyDescent="0.25">
      <c r="A16" s="421">
        <v>15</v>
      </c>
      <c r="B16" s="421" t="s">
        <v>685</v>
      </c>
      <c r="C16" s="421" t="s">
        <v>545</v>
      </c>
      <c r="D16" s="422" t="s">
        <v>542</v>
      </c>
      <c r="L16" s="424"/>
      <c r="M16" s="424"/>
    </row>
    <row r="17" spans="1:14" ht="13.8" x14ac:dyDescent="0.25">
      <c r="A17" s="421">
        <v>16</v>
      </c>
      <c r="B17" s="421" t="s">
        <v>684</v>
      </c>
      <c r="C17" s="421" t="s">
        <v>683</v>
      </c>
      <c r="D17" s="422" t="s">
        <v>682</v>
      </c>
    </row>
    <row r="18" spans="1:14" ht="13.8" x14ac:dyDescent="0.25">
      <c r="A18" s="421">
        <v>17</v>
      </c>
      <c r="B18" s="421" t="s">
        <v>681</v>
      </c>
      <c r="C18" s="421" t="s">
        <v>680</v>
      </c>
      <c r="D18" s="421" t="s">
        <v>679</v>
      </c>
    </row>
    <row r="19" spans="1:14" ht="13.8" x14ac:dyDescent="0.25">
      <c r="A19" s="421">
        <v>18</v>
      </c>
      <c r="B19" s="421" t="s">
        <v>678</v>
      </c>
      <c r="C19" s="421" t="s">
        <v>677</v>
      </c>
      <c r="D19" s="422" t="s">
        <v>676</v>
      </c>
    </row>
    <row r="20" spans="1:14" ht="13.8" x14ac:dyDescent="0.25">
      <c r="A20" s="421">
        <v>19</v>
      </c>
      <c r="B20" s="421" t="s">
        <v>675</v>
      </c>
      <c r="C20" s="421" t="s">
        <v>674</v>
      </c>
      <c r="D20" s="422" t="s">
        <v>673</v>
      </c>
    </row>
    <row r="21" spans="1:14" ht="13.8" x14ac:dyDescent="0.25">
      <c r="A21" s="421">
        <v>20</v>
      </c>
      <c r="B21" s="421" t="s">
        <v>672</v>
      </c>
      <c r="C21" s="421" t="s">
        <v>671</v>
      </c>
      <c r="D21" s="421" t="s">
        <v>670</v>
      </c>
    </row>
    <row r="22" spans="1:14" ht="13.8" x14ac:dyDescent="0.25">
      <c r="A22" s="421">
        <v>21</v>
      </c>
      <c r="B22" s="421" t="s">
        <v>669</v>
      </c>
      <c r="C22" s="421" t="s">
        <v>575</v>
      </c>
      <c r="D22" s="421" t="s">
        <v>668</v>
      </c>
    </row>
    <row r="23" spans="1:14" ht="13.8" x14ac:dyDescent="0.25">
      <c r="A23" s="421">
        <v>22</v>
      </c>
      <c r="B23" s="421" t="s">
        <v>667</v>
      </c>
      <c r="C23" s="421" t="s">
        <v>666</v>
      </c>
      <c r="D23" s="422" t="s">
        <v>665</v>
      </c>
    </row>
    <row r="24" spans="1:14" ht="13.8" x14ac:dyDescent="0.25">
      <c r="A24" s="421">
        <v>23</v>
      </c>
      <c r="B24" s="421" t="s">
        <v>664</v>
      </c>
      <c r="C24" s="421" t="s">
        <v>663</v>
      </c>
      <c r="D24" s="422" t="s">
        <v>662</v>
      </c>
    </row>
    <row r="25" spans="1:14" ht="13.8" x14ac:dyDescent="0.25">
      <c r="A25" s="421">
        <v>24</v>
      </c>
      <c r="B25" s="421" t="s">
        <v>661</v>
      </c>
      <c r="C25" s="421" t="s">
        <v>660</v>
      </c>
      <c r="D25" s="422" t="s">
        <v>659</v>
      </c>
      <c r="G25" s="423"/>
      <c r="K25" s="424"/>
      <c r="L25" s="423"/>
      <c r="M25" s="424"/>
      <c r="N25" s="423"/>
    </row>
    <row r="26" spans="1:14" ht="13.8" x14ac:dyDescent="0.25">
      <c r="A26" s="421">
        <v>25</v>
      </c>
      <c r="B26" s="421" t="s">
        <v>658</v>
      </c>
      <c r="C26" s="421" t="s">
        <v>657</v>
      </c>
      <c r="D26" s="421" t="s">
        <v>656</v>
      </c>
    </row>
    <row r="27" spans="1:14" ht="13.8" x14ac:dyDescent="0.25">
      <c r="A27" s="421">
        <v>26</v>
      </c>
      <c r="B27" s="421" t="s">
        <v>655</v>
      </c>
      <c r="C27" s="421" t="s">
        <v>654</v>
      </c>
      <c r="D27" s="421" t="s">
        <v>653</v>
      </c>
      <c r="F27" s="424"/>
      <c r="G27" s="423"/>
    </row>
    <row r="28" spans="1:14" ht="13.8" x14ac:dyDescent="0.25">
      <c r="A28" s="421">
        <v>27</v>
      </c>
      <c r="B28" s="421" t="s">
        <v>652</v>
      </c>
      <c r="C28" s="421"/>
      <c r="D28" s="421"/>
    </row>
    <row r="29" spans="1:14" ht="13.8" x14ac:dyDescent="0.25">
      <c r="A29" s="421">
        <v>28</v>
      </c>
      <c r="B29" s="421" t="s">
        <v>651</v>
      </c>
      <c r="C29" s="421" t="s">
        <v>650</v>
      </c>
      <c r="D29" s="422" t="s">
        <v>649</v>
      </c>
    </row>
    <row r="30" spans="1:14" ht="13.8" x14ac:dyDescent="0.25">
      <c r="A30" s="421">
        <v>29</v>
      </c>
      <c r="B30" s="421" t="s">
        <v>648</v>
      </c>
      <c r="C30" s="421" t="s">
        <v>647</v>
      </c>
      <c r="D30" s="422" t="s">
        <v>646</v>
      </c>
      <c r="F30" s="424"/>
      <c r="G30" s="423"/>
    </row>
    <row r="31" spans="1:14" ht="13.8" x14ac:dyDescent="0.25">
      <c r="A31" s="421">
        <v>30</v>
      </c>
      <c r="B31" s="421" t="s">
        <v>645</v>
      </c>
      <c r="C31" s="421" t="s">
        <v>644</v>
      </c>
      <c r="D31" s="421" t="s">
        <v>643</v>
      </c>
      <c r="G31" s="424"/>
    </row>
    <row r="32" spans="1:14" ht="13.8" x14ac:dyDescent="0.25">
      <c r="A32" s="421">
        <v>31</v>
      </c>
      <c r="B32" s="421" t="s">
        <v>642</v>
      </c>
      <c r="C32" s="421" t="s">
        <v>641</v>
      </c>
      <c r="D32" s="421" t="s">
        <v>640</v>
      </c>
      <c r="G32" s="424"/>
    </row>
    <row r="33" spans="1:7" ht="13.8" x14ac:dyDescent="0.25">
      <c r="A33" s="421">
        <v>32</v>
      </c>
      <c r="B33" s="421" t="s">
        <v>639</v>
      </c>
      <c r="C33" s="421" t="s">
        <v>638</v>
      </c>
      <c r="D33" s="421" t="s">
        <v>637</v>
      </c>
      <c r="F33" s="424"/>
      <c r="G33" s="424"/>
    </row>
    <row r="34" spans="1:7" ht="13.8" x14ac:dyDescent="0.25">
      <c r="A34" s="421">
        <v>33</v>
      </c>
      <c r="B34" s="421" t="s">
        <v>636</v>
      </c>
      <c r="C34" s="421" t="s">
        <v>635</v>
      </c>
      <c r="D34" s="422" t="s">
        <v>634</v>
      </c>
      <c r="F34" s="424"/>
      <c r="G34" s="424"/>
    </row>
    <row r="35" spans="1:7" ht="13.8" x14ac:dyDescent="0.25">
      <c r="A35" s="421">
        <v>34</v>
      </c>
      <c r="B35" s="421" t="s">
        <v>633</v>
      </c>
      <c r="C35" s="421" t="s">
        <v>632</v>
      </c>
      <c r="D35" s="421" t="s">
        <v>631</v>
      </c>
      <c r="G35" s="424"/>
    </row>
    <row r="36" spans="1:7" ht="13.8" x14ac:dyDescent="0.25">
      <c r="A36" s="421">
        <v>35</v>
      </c>
      <c r="B36" s="421" t="s">
        <v>630</v>
      </c>
      <c r="C36" s="421" t="s">
        <v>629</v>
      </c>
      <c r="D36" s="422" t="s">
        <v>628</v>
      </c>
      <c r="G36" s="424"/>
    </row>
    <row r="37" spans="1:7" ht="13.8" x14ac:dyDescent="0.25">
      <c r="A37" s="421">
        <v>36</v>
      </c>
      <c r="B37" s="421" t="s">
        <v>627</v>
      </c>
      <c r="C37" s="421" t="s">
        <v>626</v>
      </c>
      <c r="D37" s="421" t="s">
        <v>625</v>
      </c>
      <c r="G37" s="424"/>
    </row>
    <row r="38" spans="1:7" ht="13.8" x14ac:dyDescent="0.25">
      <c r="A38" s="421">
        <v>37</v>
      </c>
      <c r="B38" s="421" t="s">
        <v>624</v>
      </c>
      <c r="C38" s="421" t="s">
        <v>623</v>
      </c>
      <c r="D38" s="421" t="s">
        <v>622</v>
      </c>
      <c r="G38" s="424"/>
    </row>
    <row r="39" spans="1:7" ht="13.8" x14ac:dyDescent="0.25">
      <c r="A39" s="421">
        <v>38</v>
      </c>
      <c r="B39" s="421" t="s">
        <v>621</v>
      </c>
      <c r="C39" s="421" t="s">
        <v>620</v>
      </c>
      <c r="D39" s="422" t="s">
        <v>619</v>
      </c>
      <c r="F39" s="424"/>
      <c r="G39" s="423"/>
    </row>
    <row r="40" spans="1:7" ht="13.8" x14ac:dyDescent="0.25">
      <c r="A40" s="421">
        <v>39</v>
      </c>
      <c r="B40" s="421" t="s">
        <v>618</v>
      </c>
      <c r="C40" s="421" t="s">
        <v>617</v>
      </c>
      <c r="D40" s="421" t="s">
        <v>616</v>
      </c>
    </row>
    <row r="41" spans="1:7" ht="13.8" x14ac:dyDescent="0.25">
      <c r="A41" s="421">
        <v>40</v>
      </c>
      <c r="B41" s="421" t="s">
        <v>615</v>
      </c>
      <c r="C41" s="421" t="s">
        <v>614</v>
      </c>
      <c r="D41" s="421" t="s">
        <v>613</v>
      </c>
    </row>
    <row r="42" spans="1:7" ht="13.8" x14ac:dyDescent="0.25">
      <c r="A42" s="421">
        <v>41</v>
      </c>
      <c r="B42" s="421" t="s">
        <v>612</v>
      </c>
      <c r="C42" s="421" t="s">
        <v>611</v>
      </c>
      <c r="D42" s="421" t="s">
        <v>610</v>
      </c>
    </row>
    <row r="43" spans="1:7" ht="13.8" x14ac:dyDescent="0.25">
      <c r="A43" s="421">
        <v>42</v>
      </c>
      <c r="B43" s="421" t="s">
        <v>609</v>
      </c>
      <c r="C43" s="421" t="s">
        <v>608</v>
      </c>
      <c r="D43" s="421" t="s">
        <v>607</v>
      </c>
    </row>
    <row r="44" spans="1:7" ht="13.8" x14ac:dyDescent="0.25">
      <c r="A44" s="421">
        <v>43</v>
      </c>
      <c r="B44" s="421" t="s">
        <v>606</v>
      </c>
      <c r="C44" s="421"/>
      <c r="D44" s="421"/>
    </row>
    <row r="45" spans="1:7" ht="13.8" x14ac:dyDescent="0.25">
      <c r="A45" s="421">
        <v>44</v>
      </c>
      <c r="B45" s="421" t="s">
        <v>605</v>
      </c>
      <c r="C45" s="421" t="s">
        <v>604</v>
      </c>
      <c r="D45" s="422" t="s">
        <v>603</v>
      </c>
    </row>
    <row r="46" spans="1:7" ht="13.8" x14ac:dyDescent="0.25">
      <c r="A46" s="421">
        <v>45</v>
      </c>
      <c r="B46" s="421" t="s">
        <v>602</v>
      </c>
      <c r="C46" s="421" t="s">
        <v>601</v>
      </c>
      <c r="D46" s="422" t="s">
        <v>600</v>
      </c>
    </row>
    <row r="47" spans="1:7" ht="13.8" x14ac:dyDescent="0.25">
      <c r="A47" s="421">
        <v>46</v>
      </c>
      <c r="B47" s="421" t="s">
        <v>599</v>
      </c>
      <c r="C47" s="421" t="s">
        <v>598</v>
      </c>
      <c r="D47" s="421" t="s">
        <v>597</v>
      </c>
    </row>
    <row r="48" spans="1:7" ht="13.8" x14ac:dyDescent="0.25">
      <c r="A48" s="421">
        <v>47</v>
      </c>
      <c r="B48" s="421" t="s">
        <v>596</v>
      </c>
      <c r="C48" s="421" t="s">
        <v>595</v>
      </c>
      <c r="D48" s="422" t="s">
        <v>594</v>
      </c>
    </row>
    <row r="49" spans="1:7" ht="13.8" x14ac:dyDescent="0.25">
      <c r="A49" s="421">
        <v>48</v>
      </c>
      <c r="B49" s="421" t="s">
        <v>593</v>
      </c>
      <c r="C49" s="421"/>
      <c r="D49" s="421"/>
    </row>
    <row r="50" spans="1:7" ht="13.8" x14ac:dyDescent="0.25">
      <c r="A50" s="421">
        <v>49</v>
      </c>
      <c r="B50" s="421" t="s">
        <v>592</v>
      </c>
      <c r="C50" s="421" t="s">
        <v>591</v>
      </c>
      <c r="D50" s="422" t="s">
        <v>590</v>
      </c>
      <c r="F50" s="424"/>
      <c r="G50" s="423"/>
    </row>
    <row r="51" spans="1:7" ht="13.8" x14ac:dyDescent="0.25">
      <c r="A51" s="421">
        <v>50</v>
      </c>
      <c r="B51" s="421" t="s">
        <v>589</v>
      </c>
      <c r="C51" s="421" t="s">
        <v>588</v>
      </c>
      <c r="D51" s="421" t="s">
        <v>587</v>
      </c>
    </row>
    <row r="52" spans="1:7" ht="13.8" x14ac:dyDescent="0.25">
      <c r="A52" s="421">
        <v>51</v>
      </c>
      <c r="B52" s="421" t="s">
        <v>586</v>
      </c>
      <c r="C52" s="421" t="s">
        <v>585</v>
      </c>
      <c r="D52" s="422" t="s">
        <v>584</v>
      </c>
      <c r="F52" s="424"/>
      <c r="G52" s="423"/>
    </row>
    <row r="53" spans="1:7" ht="13.8" x14ac:dyDescent="0.25">
      <c r="A53" s="421">
        <v>52</v>
      </c>
      <c r="B53" s="421" t="s">
        <v>583</v>
      </c>
      <c r="C53" s="421" t="s">
        <v>582</v>
      </c>
      <c r="D53" s="422" t="s">
        <v>581</v>
      </c>
    </row>
    <row r="54" spans="1:7" ht="13.8" x14ac:dyDescent="0.25">
      <c r="A54" s="421">
        <v>53</v>
      </c>
      <c r="B54" s="421" t="s">
        <v>580</v>
      </c>
      <c r="C54" s="421" t="s">
        <v>578</v>
      </c>
      <c r="D54" s="421" t="s">
        <v>577</v>
      </c>
    </row>
    <row r="55" spans="1:7" ht="13.8" x14ac:dyDescent="0.25">
      <c r="A55" s="421">
        <v>54</v>
      </c>
      <c r="B55" s="421" t="s">
        <v>579</v>
      </c>
      <c r="C55" s="421" t="s">
        <v>578</v>
      </c>
      <c r="D55" s="421" t="s">
        <v>577</v>
      </c>
    </row>
    <row r="56" spans="1:7" ht="13.8" x14ac:dyDescent="0.25">
      <c r="A56" s="421">
        <v>55</v>
      </c>
      <c r="B56" s="421" t="s">
        <v>576</v>
      </c>
      <c r="C56" s="421" t="s">
        <v>575</v>
      </c>
      <c r="D56" s="421" t="s">
        <v>574</v>
      </c>
    </row>
    <row r="57" spans="1:7" ht="13.8" x14ac:dyDescent="0.25">
      <c r="A57" s="421">
        <v>56</v>
      </c>
      <c r="B57" s="421" t="s">
        <v>573</v>
      </c>
      <c r="C57" s="421" t="s">
        <v>572</v>
      </c>
      <c r="D57" s="422" t="s">
        <v>571</v>
      </c>
      <c r="F57" s="424"/>
      <c r="G57" s="423"/>
    </row>
    <row r="58" spans="1:7" ht="13.8" x14ac:dyDescent="0.25">
      <c r="A58" s="421">
        <v>57</v>
      </c>
      <c r="B58" s="421" t="s">
        <v>570</v>
      </c>
      <c r="C58" s="421"/>
      <c r="D58" s="421"/>
    </row>
    <row r="59" spans="1:7" ht="13.8" x14ac:dyDescent="0.25">
      <c r="A59" s="421">
        <v>58</v>
      </c>
      <c r="B59" s="421" t="s">
        <v>569</v>
      </c>
      <c r="C59" s="421" t="s">
        <v>568</v>
      </c>
      <c r="D59" s="421" t="s">
        <v>567</v>
      </c>
    </row>
    <row r="60" spans="1:7" ht="13.8" x14ac:dyDescent="0.25">
      <c r="A60" s="421">
        <v>59</v>
      </c>
      <c r="B60" s="421" t="s">
        <v>566</v>
      </c>
      <c r="C60" s="421"/>
      <c r="D60" s="421"/>
    </row>
    <row r="61" spans="1:7" ht="13.8" x14ac:dyDescent="0.25">
      <c r="A61" s="421">
        <v>60</v>
      </c>
      <c r="B61" s="421" t="s">
        <v>565</v>
      </c>
      <c r="C61" s="421" t="s">
        <v>564</v>
      </c>
      <c r="D61" s="422" t="s">
        <v>563</v>
      </c>
    </row>
    <row r="62" spans="1:7" ht="13.8" x14ac:dyDescent="0.25">
      <c r="A62" s="421">
        <v>61</v>
      </c>
      <c r="B62" s="421" t="s">
        <v>562</v>
      </c>
      <c r="C62" s="421" t="s">
        <v>561</v>
      </c>
      <c r="D62" s="421" t="s">
        <v>560</v>
      </c>
    </row>
    <row r="63" spans="1:7" ht="13.8" x14ac:dyDescent="0.25">
      <c r="A63" s="421">
        <v>62</v>
      </c>
      <c r="B63" s="421" t="s">
        <v>559</v>
      </c>
      <c r="C63" s="421" t="s">
        <v>558</v>
      </c>
      <c r="D63" s="422" t="s">
        <v>557</v>
      </c>
    </row>
    <row r="64" spans="1:7" ht="13.8" x14ac:dyDescent="0.25">
      <c r="A64" s="421">
        <v>63</v>
      </c>
      <c r="B64" s="421" t="s">
        <v>556</v>
      </c>
      <c r="C64" s="421" t="s">
        <v>555</v>
      </c>
      <c r="D64" s="421" t="s">
        <v>554</v>
      </c>
    </row>
    <row r="65" spans="1:4" ht="13.8" x14ac:dyDescent="0.25">
      <c r="A65" s="421">
        <v>64</v>
      </c>
      <c r="B65" s="421" t="s">
        <v>553</v>
      </c>
      <c r="C65" s="421"/>
      <c r="D65" s="421"/>
    </row>
    <row r="66" spans="1:4" ht="13.8" x14ac:dyDescent="0.25">
      <c r="A66" s="421">
        <v>65</v>
      </c>
      <c r="B66" s="421" t="s">
        <v>552</v>
      </c>
      <c r="C66" s="421"/>
      <c r="D66" s="421"/>
    </row>
    <row r="67" spans="1:4" ht="13.8" x14ac:dyDescent="0.25">
      <c r="A67" s="421">
        <v>66</v>
      </c>
      <c r="B67" s="421" t="s">
        <v>551</v>
      </c>
      <c r="C67" s="421"/>
      <c r="D67" s="421"/>
    </row>
    <row r="68" spans="1:4" ht="13.8" x14ac:dyDescent="0.25">
      <c r="A68" s="421">
        <v>67</v>
      </c>
      <c r="B68" s="421" t="s">
        <v>550</v>
      </c>
      <c r="C68" s="421"/>
      <c r="D68" s="421"/>
    </row>
    <row r="69" spans="1:4" ht="13.8" x14ac:dyDescent="0.25">
      <c r="A69" s="421">
        <v>68</v>
      </c>
      <c r="B69" s="421" t="s">
        <v>549</v>
      </c>
      <c r="C69" s="421" t="s">
        <v>548</v>
      </c>
      <c r="D69" s="421" t="s">
        <v>547</v>
      </c>
    </row>
    <row r="70" spans="1:4" ht="14.4" x14ac:dyDescent="0.3">
      <c r="A70" s="421">
        <v>71</v>
      </c>
      <c r="B70" s="421" t="s">
        <v>546</v>
      </c>
      <c r="C70" s="421" t="s">
        <v>545</v>
      </c>
      <c r="D70" s="422" t="s">
        <v>542</v>
      </c>
    </row>
    <row r="71" spans="1:4" ht="13.8" x14ac:dyDescent="0.25">
      <c r="A71" s="421">
        <v>70</v>
      </c>
      <c r="B71" s="421" t="s">
        <v>544</v>
      </c>
      <c r="C71" s="421" t="s">
        <v>543</v>
      </c>
      <c r="D71" s="421" t="s">
        <v>542</v>
      </c>
    </row>
    <row r="72" spans="1:4" ht="13.8" x14ac:dyDescent="0.25">
      <c r="A72" s="421">
        <v>76</v>
      </c>
      <c r="B72" s="421" t="s">
        <v>541</v>
      </c>
      <c r="C72" s="421" t="s">
        <v>540</v>
      </c>
      <c r="D72" s="422" t="s">
        <v>539</v>
      </c>
    </row>
    <row r="73" spans="1:4" ht="13.8" x14ac:dyDescent="0.25">
      <c r="A73" s="421">
        <v>78</v>
      </c>
      <c r="B73" s="421" t="s">
        <v>527</v>
      </c>
      <c r="C73" s="421" t="s">
        <v>538</v>
      </c>
      <c r="D73" s="421" t="s">
        <v>537</v>
      </c>
    </row>
  </sheetData>
  <sheetProtection algorithmName="SHA-512" hashValue="wetwAUMwdMCrHP/a7eONzwTjWpMSy092+hCcJWGecgr6piTf6MIBwkyVf9DpkuZ2MK7T9wHq4c3dcPnH5GR/EA==" saltValue="p0bU38W9TrzglC77hSfQV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2:Q115"/>
  <sheetViews>
    <sheetView topLeftCell="B1" workbookViewId="0">
      <selection activeCell="B1" sqref="A1:XFD1048576"/>
    </sheetView>
  </sheetViews>
  <sheetFormatPr defaultRowHeight="13.2" x14ac:dyDescent="0.25"/>
  <cols>
    <col min="2" max="2" width="9.21875" style="69"/>
    <col min="3" max="3" width="9.21875" style="307"/>
    <col min="5" max="5" width="67.21875" customWidth="1"/>
    <col min="15" max="15" width="65.33203125" customWidth="1"/>
  </cols>
  <sheetData>
    <row r="2" spans="2:17" x14ac:dyDescent="0.25">
      <c r="K2" s="6"/>
      <c r="L2" s="6"/>
      <c r="M2" s="6"/>
      <c r="N2" s="6"/>
      <c r="O2" s="7" t="s">
        <v>48</v>
      </c>
      <c r="P2" s="45"/>
      <c r="Q2" s="45"/>
    </row>
    <row r="3" spans="2:17" x14ac:dyDescent="0.25">
      <c r="K3" s="6"/>
      <c r="L3" s="6"/>
      <c r="M3" s="6"/>
      <c r="N3" s="6"/>
      <c r="O3" s="2"/>
    </row>
    <row r="4" spans="2:17" x14ac:dyDescent="0.25">
      <c r="K4" s="6"/>
      <c r="L4" s="6"/>
      <c r="M4" s="6"/>
      <c r="N4" s="6"/>
      <c r="O4" s="2"/>
    </row>
    <row r="5" spans="2:17" x14ac:dyDescent="0.25">
      <c r="K5" s="6"/>
      <c r="L5" s="6"/>
      <c r="M5" s="6"/>
      <c r="N5" s="6"/>
      <c r="O5" s="2"/>
    </row>
    <row r="6" spans="2:17" x14ac:dyDescent="0.25">
      <c r="K6" s="6"/>
      <c r="L6" s="6"/>
      <c r="M6" s="6"/>
      <c r="N6" s="6"/>
      <c r="O6" s="2"/>
    </row>
    <row r="7" spans="2:17" x14ac:dyDescent="0.25">
      <c r="B7" s="61" t="s">
        <v>183</v>
      </c>
      <c r="C7" s="308" t="s">
        <v>181</v>
      </c>
      <c r="D7" s="5" t="s">
        <v>56</v>
      </c>
      <c r="E7" s="1" t="s">
        <v>48</v>
      </c>
      <c r="F7" s="3" t="s">
        <v>90</v>
      </c>
      <c r="G7" s="3" t="s">
        <v>91</v>
      </c>
      <c r="H7" s="3" t="s">
        <v>92</v>
      </c>
      <c r="K7" s="61" t="s">
        <v>183</v>
      </c>
      <c r="L7" s="4" t="s">
        <v>181</v>
      </c>
      <c r="M7" s="5" t="s">
        <v>56</v>
      </c>
      <c r="N7" s="6"/>
      <c r="O7" s="2"/>
    </row>
    <row r="8" spans="2:17" x14ac:dyDescent="0.25">
      <c r="B8" s="60">
        <v>0</v>
      </c>
      <c r="C8" s="312">
        <v>0</v>
      </c>
      <c r="D8" s="321">
        <v>2020</v>
      </c>
      <c r="E8" s="291" t="s">
        <v>358</v>
      </c>
      <c r="F8" s="151">
        <f>ROWS(F$8:$F8)</f>
        <v>1</v>
      </c>
      <c r="G8" s="8" t="str">
        <f>IF(ID!$A$92=E8,F8,"")</f>
        <v/>
      </c>
      <c r="H8" s="8">
        <f>IFERROR(SMALL($G$8:$G$115,ROWS(G$8:$G8)),"")</f>
        <v>87</v>
      </c>
      <c r="K8" s="732">
        <f>IFERROR(INDEX($B$8:$D$115,$H8,COLUMNS(J$8:$J8)),"")</f>
        <v>0</v>
      </c>
      <c r="L8" s="732">
        <f>IFERROR(INDEX($B$8:$D$115,$H8,COLUMNS($J$8:K8)),"")</f>
        <v>0</v>
      </c>
      <c r="M8" s="8">
        <f>IFERROR(INDEX($B$8:$D$115,$H8,COLUMNS($J$8:L8)),"")</f>
        <v>2022</v>
      </c>
      <c r="N8" s="6"/>
      <c r="O8" s="2"/>
    </row>
    <row r="9" spans="2:17" x14ac:dyDescent="0.25">
      <c r="B9" s="60">
        <v>0.10100000000000001</v>
      </c>
      <c r="C9" s="304">
        <v>-1E-3</v>
      </c>
      <c r="D9" s="321"/>
      <c r="E9" s="291" t="s">
        <v>358</v>
      </c>
      <c r="F9" s="151">
        <f>ROWS(F$8:$F9)</f>
        <v>2</v>
      </c>
      <c r="G9" s="8" t="str">
        <f>IF(ID!$A$92=E9,F9,"")</f>
        <v/>
      </c>
      <c r="H9" s="8">
        <f>IFERROR(SMALL($G$8:$G$115,ROWS(G$8:$G9)),"")</f>
        <v>88</v>
      </c>
      <c r="K9" s="8">
        <f>IFERROR(INDEX($B$8:$D$115,$H9,COLUMNS(J$8:$J9)),"")</f>
        <v>2E-3</v>
      </c>
      <c r="L9" s="8">
        <f>IFERROR(INDEX($B$8:$D$115,$H9,COLUMNS($J$8:K9)),"")</f>
        <v>-2E-3</v>
      </c>
      <c r="M9" s="8"/>
      <c r="N9" s="6"/>
      <c r="O9" s="2"/>
    </row>
    <row r="10" spans="2:17" x14ac:dyDescent="0.25">
      <c r="B10" s="60">
        <v>0.19900000000000001</v>
      </c>
      <c r="C10" s="304">
        <v>1E-3</v>
      </c>
      <c r="D10" s="321"/>
      <c r="E10" s="291" t="s">
        <v>358</v>
      </c>
      <c r="F10" s="151">
        <f>ROWS(F$8:$F10)</f>
        <v>3</v>
      </c>
      <c r="G10" s="8" t="str">
        <f>IF(ID!$A$92=E10,F10,"")</f>
        <v/>
      </c>
      <c r="H10" s="8">
        <f>IFERROR(SMALL($G$8:$G$115,ROWS(G$8:$G10)),"")</f>
        <v>89</v>
      </c>
      <c r="K10" s="8">
        <f>IFERROR(INDEX($B$8:$D$115,$H10,COLUMNS(J$8:$J10)),"")</f>
        <v>9.9000000000000005E-2</v>
      </c>
      <c r="L10" s="8">
        <f>IFERROR(INDEX($B$8:$D$115,$H10,COLUMNS($J$8:K10)),"")</f>
        <v>1E-3</v>
      </c>
      <c r="M10" s="8"/>
      <c r="N10" s="6"/>
      <c r="O10" s="38" t="s">
        <v>95</v>
      </c>
    </row>
    <row r="11" spans="2:17" x14ac:dyDescent="0.25">
      <c r="B11" s="60">
        <v>0.497</v>
      </c>
      <c r="C11" s="306">
        <v>3.0000000000000001E-3</v>
      </c>
      <c r="D11" s="321"/>
      <c r="E11" s="291" t="s">
        <v>358</v>
      </c>
      <c r="F11" s="151">
        <f>ROWS(F$8:$F11)</f>
        <v>4</v>
      </c>
      <c r="G11" s="8" t="str">
        <f>IF(ID!$A$92=E11,F11,"")</f>
        <v/>
      </c>
      <c r="H11" s="8">
        <f>IFERROR(SMALL($G$8:$G$115,ROWS(G$8:$G11)),"")</f>
        <v>90</v>
      </c>
      <c r="K11" s="8">
        <f>IFERROR(INDEX($B$8:$D$115,$H11,COLUMNS(J$8:$J11)),"")</f>
        <v>0.19700000000000001</v>
      </c>
      <c r="L11" s="8">
        <f>IFERROR(INDEX($B$8:$D$115,$H11,COLUMNS($J$8:K11)),"")</f>
        <v>3.0000000000000001E-3</v>
      </c>
      <c r="M11" s="8"/>
      <c r="N11" s="6"/>
      <c r="O11" s="38" t="s">
        <v>95</v>
      </c>
    </row>
    <row r="12" spans="2:17" x14ac:dyDescent="0.25">
      <c r="B12" s="60">
        <v>0.996</v>
      </c>
      <c r="C12" s="304">
        <v>4.0000000000000001E-3</v>
      </c>
      <c r="D12" s="321"/>
      <c r="E12" s="291" t="s">
        <v>358</v>
      </c>
      <c r="F12" s="151">
        <f>ROWS(F$8:$F12)</f>
        <v>5</v>
      </c>
      <c r="G12" s="8" t="str">
        <f>IF(ID!$A$92=E12,F12,"")</f>
        <v/>
      </c>
      <c r="H12" s="8">
        <f>IFERROR(SMALL($G$8:$G$115,ROWS(G$8:$G12)),"")</f>
        <v>91</v>
      </c>
      <c r="K12" s="8">
        <f>IFERROR(INDEX($B$8:$D$115,$H12,COLUMNS(J$8:$J12)),"")</f>
        <v>0.496</v>
      </c>
      <c r="L12" s="8">
        <f>IFERROR(INDEX($B$8:$D$115,$H12,COLUMNS($J$8:K12)),"")</f>
        <v>4.0000000000000001E-3</v>
      </c>
      <c r="M12" s="8"/>
      <c r="N12" s="6"/>
      <c r="O12" s="38" t="s">
        <v>95</v>
      </c>
    </row>
    <row r="13" spans="2:17" x14ac:dyDescent="0.25">
      <c r="B13" s="340">
        <v>1.9930000000000001</v>
      </c>
      <c r="C13" s="310">
        <v>7.0000000000000001E-3</v>
      </c>
      <c r="D13" s="321"/>
      <c r="E13" s="291" t="s">
        <v>358</v>
      </c>
      <c r="F13" s="151">
        <f>ROWS(F$8:$F13)</f>
        <v>6</v>
      </c>
      <c r="G13" s="8" t="str">
        <f>IF(ID!$A$92=E13,F13,"")</f>
        <v/>
      </c>
      <c r="H13" s="8">
        <f>IFERROR(SMALL($G$8:$G$115,ROWS(G$8:$G13)),"")</f>
        <v>92</v>
      </c>
      <c r="K13" s="8">
        <f>IFERROR(INDEX($B$8:$D$115,$H13,COLUMNS(J$8:$J13)),"")</f>
        <v>1</v>
      </c>
      <c r="L13" s="8">
        <f>IFERROR(INDEX($B$8:$D$115,$H13,COLUMNS($J$8:K13)),"")</f>
        <v>0</v>
      </c>
      <c r="M13" s="8"/>
      <c r="N13" s="6"/>
      <c r="O13" s="38" t="s">
        <v>95</v>
      </c>
    </row>
    <row r="14" spans="2:17" x14ac:dyDescent="0.25">
      <c r="B14" s="328">
        <v>10</v>
      </c>
      <c r="C14" s="311">
        <f>C13</f>
        <v>7.0000000000000001E-3</v>
      </c>
      <c r="D14" s="336"/>
      <c r="E14" s="300" t="s">
        <v>358</v>
      </c>
      <c r="F14" s="151">
        <f>ROWS(F$8:$F14)</f>
        <v>7</v>
      </c>
      <c r="G14" s="8" t="str">
        <f>IF(ID!$A$92=E14,F14,"")</f>
        <v/>
      </c>
      <c r="H14" s="8">
        <f>IFERROR(SMALL($G$8:$G$115,ROWS(G$8:$G14)),"")</f>
        <v>93</v>
      </c>
      <c r="K14" s="732">
        <f>IFERROR(INDEX($B$8:$D$115,$H14,COLUMNS(J$8:$J14)),"")</f>
        <v>2</v>
      </c>
      <c r="L14" s="8">
        <f>IFERROR(INDEX($B$8:$D$115,$H14,COLUMNS($J$8:K14)),"")</f>
        <v>0</v>
      </c>
      <c r="M14" s="8"/>
      <c r="N14" s="6"/>
      <c r="O14" s="38" t="s">
        <v>95</v>
      </c>
    </row>
    <row r="15" spans="2:17" s="112" customFormat="1" x14ac:dyDescent="0.25">
      <c r="B15" s="325"/>
      <c r="C15" s="309"/>
      <c r="E15" s="339"/>
      <c r="F15" s="151">
        <f>ROWS(F$8:$F15)</f>
        <v>8</v>
      </c>
      <c r="G15" s="8" t="str">
        <f>IF(ID!$A$92=E15,F15,"")</f>
        <v/>
      </c>
      <c r="H15" s="8" t="str">
        <f>IFERROR(SMALL($G$8:$G$115,ROWS(G$8:$G15)),"")</f>
        <v/>
      </c>
      <c r="K15" s="8" t="str">
        <f>IFERROR(INDEX($B$8:$D$115,$H15,COLUMNS(J$8:$J15)),"")</f>
        <v/>
      </c>
      <c r="L15" s="8" t="str">
        <f>IFERROR(INDEX($B$8:$D$115,$H15,COLUMNS($J$8:K15)),"")</f>
        <v/>
      </c>
      <c r="M15" s="8"/>
      <c r="N15" s="278"/>
      <c r="O15" s="279"/>
    </row>
    <row r="16" spans="2:17" s="112" customFormat="1" x14ac:dyDescent="0.25">
      <c r="B16" s="325"/>
      <c r="C16" s="309"/>
      <c r="E16" s="277"/>
      <c r="F16" s="151">
        <f>ROWS(F$8:$F16)</f>
        <v>9</v>
      </c>
      <c r="G16" s="8" t="str">
        <f>IF(ID!$A$92=E16,F16,"")</f>
        <v/>
      </c>
      <c r="H16" s="8" t="str">
        <f>IFERROR(SMALL($G$8:$G$115,ROWS(G$8:$G16)),"")</f>
        <v/>
      </c>
      <c r="K16" s="8" t="str">
        <f>IFERROR(INDEX($B$8:$D$115,$H16,COLUMNS(J$8:$J16)),"")</f>
        <v/>
      </c>
      <c r="L16" s="8" t="str">
        <f>IFERROR(INDEX($B$8:$D$115,$H16,COLUMNS($J$8:K16)),"")</f>
        <v/>
      </c>
      <c r="M16" s="8"/>
      <c r="N16" s="278"/>
      <c r="O16" s="279"/>
    </row>
    <row r="17" spans="1:8" x14ac:dyDescent="0.25">
      <c r="B17" s="60">
        <v>0</v>
      </c>
      <c r="C17" s="341">
        <v>0</v>
      </c>
      <c r="D17" s="324">
        <v>2019</v>
      </c>
      <c r="E17" s="291" t="s">
        <v>846</v>
      </c>
      <c r="F17" s="151">
        <f>ROWS(F$8:$F17)</f>
        <v>10</v>
      </c>
      <c r="G17" s="8" t="str">
        <f>IF(ID!$A$92=E17,F17,"")</f>
        <v/>
      </c>
      <c r="H17" s="8" t="str">
        <f>IFERROR(SMALL($G$8:$G$115,ROWS(G$8:$G17)),"")</f>
        <v/>
      </c>
    </row>
    <row r="18" spans="1:8" x14ac:dyDescent="0.25">
      <c r="B18" s="60">
        <v>0.01</v>
      </c>
      <c r="C18" s="341">
        <v>0</v>
      </c>
      <c r="D18" s="324"/>
      <c r="E18" s="291" t="s">
        <v>846</v>
      </c>
      <c r="F18" s="151">
        <f>ROWS(F$8:$F18)</f>
        <v>11</v>
      </c>
      <c r="G18" s="8" t="str">
        <f>IF(ID!$A$92=E18,F18,"")</f>
        <v/>
      </c>
      <c r="H18" s="8" t="str">
        <f>IFERROR(SMALL($G$8:$G$115,ROWS(G$8:$G18)),"")</f>
        <v/>
      </c>
    </row>
    <row r="19" spans="1:8" x14ac:dyDescent="0.25">
      <c r="B19" s="60">
        <v>9.4E-2</v>
      </c>
      <c r="C19" s="341">
        <v>6.0000000000000001E-3</v>
      </c>
      <c r="D19" s="324"/>
      <c r="E19" s="291" t="s">
        <v>846</v>
      </c>
      <c r="F19" s="151">
        <f>ROWS(F$8:$F19)</f>
        <v>12</v>
      </c>
      <c r="G19" s="8" t="str">
        <f>IF(ID!$A$92=E19,F19,"")</f>
        <v/>
      </c>
      <c r="H19" s="8" t="str">
        <f>IFERROR(SMALL($G$8:$G$115,ROWS(G$8:$G19)),"")</f>
        <v/>
      </c>
    </row>
    <row r="20" spans="1:8" x14ac:dyDescent="0.25">
      <c r="B20" s="60">
        <v>0.95499999999999996</v>
      </c>
      <c r="C20" s="341">
        <v>4.4999999999999998E-2</v>
      </c>
      <c r="D20" s="324"/>
      <c r="E20" s="291" t="s">
        <v>846</v>
      </c>
      <c r="F20" s="151">
        <f>ROWS(F$8:$F20)</f>
        <v>13</v>
      </c>
      <c r="G20" s="8" t="str">
        <f>IF(ID!$A$92=E20,F20,"")</f>
        <v/>
      </c>
      <c r="H20" s="8" t="str">
        <f>IFERROR(SMALL($G$8:$G$115,ROWS(G$8:$G20)),"")</f>
        <v/>
      </c>
    </row>
    <row r="21" spans="1:8" x14ac:dyDescent="0.25">
      <c r="B21" s="328">
        <v>10</v>
      </c>
      <c r="C21" s="311">
        <f>C20</f>
        <v>4.4999999999999998E-2</v>
      </c>
      <c r="D21" s="324"/>
      <c r="E21" s="291" t="s">
        <v>846</v>
      </c>
      <c r="F21" s="151">
        <f>ROWS(F$8:$F21)</f>
        <v>14</v>
      </c>
      <c r="G21" s="8" t="str">
        <f>IF(ID!$A$92=E21,F21,"")</f>
        <v/>
      </c>
      <c r="H21" s="8" t="str">
        <f>IFERROR(SMALL($G$8:$G$115,ROWS(G$8:$G21)),"")</f>
        <v/>
      </c>
    </row>
    <row r="22" spans="1:8" x14ac:dyDescent="0.25">
      <c r="B22" s="340"/>
      <c r="C22" s="341"/>
      <c r="E22" s="291"/>
      <c r="F22" s="151">
        <f>ROWS(F$8:$F22)</f>
        <v>15</v>
      </c>
      <c r="G22" s="8" t="str">
        <f>IF(ID!$A$92=E22,F22,"")</f>
        <v/>
      </c>
      <c r="H22" s="8" t="str">
        <f>IFERROR(SMALL($G$8:$G$115,ROWS(G$8:$G22)),"")</f>
        <v/>
      </c>
    </row>
    <row r="23" spans="1:8" x14ac:dyDescent="0.25">
      <c r="B23" s="328"/>
      <c r="C23" s="341"/>
      <c r="E23" s="291"/>
      <c r="F23" s="151">
        <f>ROWS(F$8:$F23)</f>
        <v>16</v>
      </c>
      <c r="G23" s="8" t="str">
        <f>IF(ID!$A$92=E23,F23,"")</f>
        <v/>
      </c>
      <c r="H23" s="8" t="str">
        <f>IFERROR(SMALL($G$8:$G$115,ROWS(G$8:$G23)),"")</f>
        <v/>
      </c>
    </row>
    <row r="24" spans="1:8" x14ac:dyDescent="0.25">
      <c r="B24" s="66"/>
      <c r="E24" s="2"/>
      <c r="F24" s="151">
        <f>ROWS(F$8:$F24)</f>
        <v>17</v>
      </c>
      <c r="G24" s="8" t="str">
        <f>IF(ID!$A$92=E24,F24,"")</f>
        <v/>
      </c>
      <c r="H24" s="8" t="str">
        <f>IFERROR(SMALL($G$8:$G$115,ROWS(G$8:$G24)),"")</f>
        <v/>
      </c>
    </row>
    <row r="25" spans="1:8" x14ac:dyDescent="0.25">
      <c r="B25" s="66"/>
      <c r="E25" s="2"/>
      <c r="F25" s="151">
        <f>ROWS(F$8:$F25)</f>
        <v>18</v>
      </c>
      <c r="G25" s="8" t="str">
        <f>IF(ID!$A$92=E25,F25,"")</f>
        <v/>
      </c>
      <c r="H25" s="8" t="str">
        <f>IFERROR(SMALL($G$8:$G$115,ROWS(G$8:$G25)),"")</f>
        <v/>
      </c>
    </row>
    <row r="26" spans="1:8" x14ac:dyDescent="0.25">
      <c r="B26" s="66"/>
      <c r="E26" s="2"/>
      <c r="F26" s="151">
        <f>ROWS(F$8:$F26)</f>
        <v>19</v>
      </c>
      <c r="G26" s="8" t="str">
        <f>IF(ID!$A$92=E26,F26,"")</f>
        <v/>
      </c>
      <c r="H26" s="8" t="str">
        <f>IFERROR(SMALL($G$8:$G$115,ROWS(G$8:$G26)),"")</f>
        <v/>
      </c>
    </row>
    <row r="27" spans="1:8" ht="13.8" x14ac:dyDescent="0.25">
      <c r="A27" s="524"/>
      <c r="B27" s="710" t="s">
        <v>183</v>
      </c>
      <c r="C27" s="721" t="s">
        <v>181</v>
      </c>
      <c r="D27" s="712" t="s">
        <v>56</v>
      </c>
      <c r="E27" s="2"/>
      <c r="F27" s="151">
        <f>ROWS(F$8:$F27)</f>
        <v>20</v>
      </c>
      <c r="G27" s="8" t="str">
        <f>IF(ID!$A$92=E27,F27,"")</f>
        <v/>
      </c>
      <c r="H27" s="8" t="str">
        <f>IFERROR(SMALL($G$8:$G$115,ROWS(G$8:$G27)),"")</f>
        <v/>
      </c>
    </row>
    <row r="28" spans="1:8" x14ac:dyDescent="0.25">
      <c r="B28" s="329">
        <v>1E-3</v>
      </c>
      <c r="C28" s="305">
        <v>-1E-3</v>
      </c>
      <c r="D28" s="330">
        <v>2022</v>
      </c>
      <c r="E28" s="292" t="s">
        <v>359</v>
      </c>
      <c r="F28" s="151">
        <f>ROWS(F$8:$F28)</f>
        <v>21</v>
      </c>
      <c r="G28" s="8" t="str">
        <f>IF(ID!$A$92=E28,F28,"")</f>
        <v/>
      </c>
      <c r="H28" s="8" t="str">
        <f>IFERROR(SMALL($G$8:$G$115,ROWS(G$8:$G28)),"")</f>
        <v/>
      </c>
    </row>
    <row r="29" spans="1:8" x14ac:dyDescent="0.25">
      <c r="B29" s="329">
        <v>0.10199999999999999</v>
      </c>
      <c r="C29" s="305">
        <v>-2E-3</v>
      </c>
      <c r="D29" s="113"/>
      <c r="E29" s="292" t="s">
        <v>359</v>
      </c>
      <c r="F29" s="151">
        <f>ROWS(F$8:$F29)</f>
        <v>22</v>
      </c>
      <c r="G29" s="8" t="str">
        <f>IF(ID!$A$92=E29,F29,"")</f>
        <v/>
      </c>
      <c r="H29" s="8" t="str">
        <f>IFERROR(SMALL($G$8:$G$115,ROWS(G$8:$G29)),"")</f>
        <v/>
      </c>
    </row>
    <row r="30" spans="1:8" x14ac:dyDescent="0.25">
      <c r="B30" s="329">
        <v>0.20300000000000001</v>
      </c>
      <c r="C30" s="305">
        <v>-3.0000000000000001E-3</v>
      </c>
      <c r="D30" s="113"/>
      <c r="E30" s="292" t="s">
        <v>359</v>
      </c>
      <c r="F30" s="151">
        <f>ROWS(F$8:$F30)</f>
        <v>23</v>
      </c>
      <c r="G30" s="8" t="str">
        <f>IF(ID!$A$92=E30,F30,"")</f>
        <v/>
      </c>
      <c r="H30" s="8" t="str">
        <f>IFERROR(SMALL($G$8:$G$115,ROWS(G$8:$G30)),"")</f>
        <v/>
      </c>
    </row>
    <row r="31" spans="1:8" x14ac:dyDescent="0.25">
      <c r="B31" s="329">
        <v>0.502</v>
      </c>
      <c r="C31" s="305">
        <v>-2E-3</v>
      </c>
      <c r="D31" s="113"/>
      <c r="E31" s="292" t="s">
        <v>359</v>
      </c>
      <c r="F31" s="151">
        <f>ROWS(F$8:$F31)</f>
        <v>24</v>
      </c>
      <c r="G31" s="8" t="str">
        <f>IF(ID!$A$92=E31,F31,"")</f>
        <v/>
      </c>
      <c r="H31" s="8" t="str">
        <f>IFERROR(SMALL($G$8:$G$115,ROWS(G$8:$G31)),"")</f>
        <v/>
      </c>
    </row>
    <row r="32" spans="1:8" x14ac:dyDescent="0.25">
      <c r="B32" s="329">
        <v>1.012</v>
      </c>
      <c r="C32" s="305">
        <v>-1.2E-2</v>
      </c>
      <c r="D32" s="113"/>
      <c r="E32" s="292" t="s">
        <v>359</v>
      </c>
      <c r="F32" s="151">
        <f>ROWS(F$8:$F32)</f>
        <v>25</v>
      </c>
      <c r="G32" s="8" t="str">
        <f>IF(ID!$A$92=E32,F32,"")</f>
        <v/>
      </c>
      <c r="H32" s="8" t="str">
        <f>IFERROR(SMALL($G$8:$G$115,ROWS(G$8:$G32)),"")</f>
        <v/>
      </c>
    </row>
    <row r="33" spans="1:8" x14ac:dyDescent="0.25">
      <c r="B33" s="329">
        <v>2.008</v>
      </c>
      <c r="C33" s="332">
        <v>-8.0000000000000002E-3</v>
      </c>
      <c r="D33" s="333"/>
      <c r="E33" s="292" t="s">
        <v>359</v>
      </c>
      <c r="F33" s="151">
        <f>ROWS(F$8:$F33)</f>
        <v>26</v>
      </c>
      <c r="G33" s="8" t="str">
        <f>IF(ID!$A$92=E33,F33,"")</f>
        <v/>
      </c>
      <c r="H33" s="8" t="str">
        <f>IFERROR(SMALL($G$8:$G$115,ROWS(G$8:$G33)),"")</f>
        <v/>
      </c>
    </row>
    <row r="34" spans="1:8" s="294" customFormat="1" x14ac:dyDescent="0.25">
      <c r="B34" s="328">
        <v>10</v>
      </c>
      <c r="C34" s="311">
        <f>C33</f>
        <v>-8.0000000000000002E-3</v>
      </c>
      <c r="D34" s="315"/>
      <c r="E34" s="293" t="s">
        <v>359</v>
      </c>
      <c r="F34" s="151">
        <f>ROWS(F$8:$F34)</f>
        <v>27</v>
      </c>
      <c r="G34" s="8" t="str">
        <f>IF(ID!$A$92=E34,F34,"")</f>
        <v/>
      </c>
      <c r="H34" s="8" t="str">
        <f>IFERROR(SMALL($G$8:$G$115,ROWS(G$8:$G34)),"")</f>
        <v/>
      </c>
    </row>
    <row r="35" spans="1:8" x14ac:dyDescent="0.25">
      <c r="B35" s="66"/>
      <c r="E35" s="46"/>
      <c r="F35" s="151">
        <f>ROWS(F$8:$F35)</f>
        <v>28</v>
      </c>
      <c r="G35" s="8" t="str">
        <f>IF(ID!$A$92=E35,F35,"")</f>
        <v/>
      </c>
      <c r="H35" s="8" t="str">
        <f>IFERROR(SMALL($G$8:$G$115,ROWS(G$8:$G35)),"")</f>
        <v/>
      </c>
    </row>
    <row r="36" spans="1:8" x14ac:dyDescent="0.25">
      <c r="B36" s="66"/>
      <c r="E36" s="2"/>
      <c r="F36" s="151">
        <f>ROWS(F$8:$F36)</f>
        <v>29</v>
      </c>
      <c r="G36" s="8" t="str">
        <f>IF(ID!$A$92=E36,F36,"")</f>
        <v/>
      </c>
      <c r="H36" s="8" t="str">
        <f>IFERROR(SMALL($G$8:$G$115,ROWS(G$8:$G36)),"")</f>
        <v/>
      </c>
    </row>
    <row r="37" spans="1:8" ht="13.8" x14ac:dyDescent="0.3">
      <c r="A37" s="524"/>
      <c r="B37" s="551" t="s">
        <v>215</v>
      </c>
      <c r="C37" s="551" t="s">
        <v>181</v>
      </c>
      <c r="D37" s="714" t="s">
        <v>56</v>
      </c>
      <c r="E37" s="2"/>
      <c r="F37" s="151">
        <f>ROWS(F$8:$F37)</f>
        <v>30</v>
      </c>
      <c r="G37" s="8" t="str">
        <f>IF(ID!$A$92=E37,F37,"")</f>
        <v/>
      </c>
      <c r="H37" s="8" t="str">
        <f>IFERROR(SMALL($G$8:$G$115,ROWS(G$8:$G37)),"")</f>
        <v/>
      </c>
    </row>
    <row r="38" spans="1:8" x14ac:dyDescent="0.25">
      <c r="B38" s="316">
        <v>0</v>
      </c>
      <c r="C38" s="305">
        <v>0</v>
      </c>
      <c r="D38" s="321">
        <v>2021</v>
      </c>
      <c r="E38" s="291" t="s">
        <v>360</v>
      </c>
      <c r="F38" s="151">
        <f>ROWS(F$8:$F38)</f>
        <v>31</v>
      </c>
      <c r="G38" s="8" t="str">
        <f>IF(ID!$A$92=E38,F38,"")</f>
        <v/>
      </c>
      <c r="H38" s="8" t="str">
        <f>IFERROR(SMALL($G$8:$G$115,ROWS(G$8:$G38)),"")</f>
        <v/>
      </c>
    </row>
    <row r="39" spans="1:8" x14ac:dyDescent="0.25">
      <c r="B39" s="316">
        <v>0.10199999999999999</v>
      </c>
      <c r="C39" s="305">
        <v>-2E-3</v>
      </c>
      <c r="D39" s="43"/>
      <c r="E39" s="291" t="s">
        <v>360</v>
      </c>
      <c r="F39" s="151">
        <f>ROWS(F$8:$F39)</f>
        <v>32</v>
      </c>
      <c r="G39" s="8" t="str">
        <f>IF(ID!$A$92=E39,F39,"")</f>
        <v/>
      </c>
      <c r="H39" s="8" t="str">
        <f>IFERROR(SMALL($G$8:$G$115,ROWS(G$8:$G39)),"")</f>
        <v/>
      </c>
    </row>
    <row r="40" spans="1:8" x14ac:dyDescent="0.25">
      <c r="B40" s="316">
        <v>0.19900000000000001</v>
      </c>
      <c r="C40" s="305">
        <v>1E-3</v>
      </c>
      <c r="D40" s="43"/>
      <c r="E40" s="291" t="s">
        <v>360</v>
      </c>
      <c r="F40" s="151">
        <f>ROWS(F$8:$F40)</f>
        <v>33</v>
      </c>
      <c r="G40" s="8" t="str">
        <f>IF(ID!$A$92=E40,F40,"")</f>
        <v/>
      </c>
      <c r="H40" s="8" t="str">
        <f>IFERROR(SMALL($G$8:$G$115,ROWS(G$8:$G40)),"")</f>
        <v/>
      </c>
    </row>
    <row r="41" spans="1:8" x14ac:dyDescent="0.25">
      <c r="B41" s="316">
        <v>0.499</v>
      </c>
      <c r="C41" s="306">
        <v>1E-3</v>
      </c>
      <c r="D41" s="43"/>
      <c r="E41" s="291" t="s">
        <v>360</v>
      </c>
      <c r="F41" s="151">
        <f>ROWS(F$8:$F41)</f>
        <v>34</v>
      </c>
      <c r="G41" s="8" t="str">
        <f>IF(ID!$A$92=E41,F41,"")</f>
        <v/>
      </c>
      <c r="H41" s="8" t="str">
        <f>IFERROR(SMALL($G$8:$G$115,ROWS(G$8:$G41)),"")</f>
        <v/>
      </c>
    </row>
    <row r="42" spans="1:8" x14ac:dyDescent="0.25">
      <c r="B42" s="326">
        <v>1.008</v>
      </c>
      <c r="C42" s="305">
        <v>-8.0000000000000002E-3</v>
      </c>
      <c r="D42" s="43"/>
      <c r="E42" s="291" t="s">
        <v>360</v>
      </c>
      <c r="F42" s="151">
        <f>ROWS(F$8:$F42)</f>
        <v>35</v>
      </c>
      <c r="G42" s="8" t="str">
        <f>IF(ID!$A$92=E42,F42,"")</f>
        <v/>
      </c>
      <c r="H42" s="8" t="str">
        <f>IFERROR(SMALL($G$8:$G$115,ROWS(G$8:$G42)),"")</f>
        <v/>
      </c>
    </row>
    <row r="43" spans="1:8" x14ac:dyDescent="0.25">
      <c r="B43" s="316">
        <v>2.0070000000000001</v>
      </c>
      <c r="C43" s="145">
        <v>-7.0000000000000001E-3</v>
      </c>
      <c r="D43" s="31"/>
      <c r="E43" s="291" t="s">
        <v>360</v>
      </c>
      <c r="F43" s="151">
        <f>ROWS(F$8:$F43)</f>
        <v>36</v>
      </c>
      <c r="G43" s="8" t="str">
        <f>IF(ID!$A$92=E43,F43,"")</f>
        <v/>
      </c>
      <c r="H43" s="8" t="str">
        <f>IFERROR(SMALL($G$8:$G$115,ROWS(G$8:$G43)),"")</f>
        <v/>
      </c>
    </row>
    <row r="44" spans="1:8" s="294" customFormat="1" x14ac:dyDescent="0.25">
      <c r="B44" s="328">
        <v>10</v>
      </c>
      <c r="C44" s="311">
        <f>C43</f>
        <v>-7.0000000000000001E-3</v>
      </c>
      <c r="D44" s="315"/>
      <c r="E44" s="293" t="s">
        <v>360</v>
      </c>
      <c r="F44" s="151">
        <f>ROWS(F$8:$F44)</f>
        <v>37</v>
      </c>
      <c r="G44" s="8" t="str">
        <f>IF(ID!$A$92=E44,F44,"")</f>
        <v/>
      </c>
      <c r="H44" s="8" t="str">
        <f>IFERROR(SMALL($G$8:$G$115,ROWS(G$8:$G44)),"")</f>
        <v/>
      </c>
    </row>
    <row r="45" spans="1:8" x14ac:dyDescent="0.25">
      <c r="B45" s="722"/>
      <c r="C45" s="317"/>
      <c r="D45" s="52"/>
      <c r="E45" s="723"/>
      <c r="F45" s="151">
        <f>ROWS(F$8:$F45)</f>
        <v>38</v>
      </c>
      <c r="G45" s="8" t="str">
        <f>IF(ID!$A$92=E45,F45,"")</f>
        <v/>
      </c>
      <c r="H45" s="8" t="str">
        <f>IFERROR(SMALL($G$8:$G$115,ROWS(G$8:$G45)),"")</f>
        <v/>
      </c>
    </row>
    <row r="46" spans="1:8" x14ac:dyDescent="0.25">
      <c r="C46" s="314"/>
      <c r="F46" s="151">
        <f>ROWS(F$8:$F46)</f>
        <v>39</v>
      </c>
      <c r="G46" s="8" t="str">
        <f>IF(ID!$A$92=E46,F46,"")</f>
        <v/>
      </c>
      <c r="H46" s="8" t="str">
        <f>IFERROR(SMALL($G$8:$G$115,ROWS(G$8:$G46)),"")</f>
        <v/>
      </c>
    </row>
    <row r="47" spans="1:8" x14ac:dyDescent="0.25">
      <c r="B47" s="60">
        <v>0</v>
      </c>
      <c r="C47" s="305">
        <v>0</v>
      </c>
      <c r="D47" s="321">
        <v>2021</v>
      </c>
      <c r="E47" s="291" t="s">
        <v>361</v>
      </c>
      <c r="F47" s="151">
        <f>ROWS(F$8:$F47)</f>
        <v>40</v>
      </c>
      <c r="G47" s="8" t="str">
        <f>IF(ID!$A$92=E47,F47,"")</f>
        <v/>
      </c>
      <c r="H47" s="8" t="str">
        <f>IFERROR(SMALL($G$8:$G$115,ROWS(G$8:$G47)),"")</f>
        <v/>
      </c>
    </row>
    <row r="48" spans="1:8" x14ac:dyDescent="0.25">
      <c r="B48" s="60">
        <v>0.10199999999999999</v>
      </c>
      <c r="C48" s="305">
        <v>-2E-3</v>
      </c>
      <c r="D48" s="43"/>
      <c r="E48" s="291" t="s">
        <v>361</v>
      </c>
      <c r="F48" s="151">
        <f>ROWS(F$8:$F48)</f>
        <v>41</v>
      </c>
      <c r="G48" s="8" t="str">
        <f>IF(ID!$A$92=E48,F48,"")</f>
        <v/>
      </c>
      <c r="H48" s="8" t="str">
        <f>IFERROR(SMALL($G$8:$G$115,ROWS(G$8:$G48)),"")</f>
        <v/>
      </c>
    </row>
    <row r="49" spans="2:8" x14ac:dyDescent="0.25">
      <c r="B49" s="60">
        <v>0.20499999999999999</v>
      </c>
      <c r="C49" s="305">
        <v>-5.0000000000000001E-3</v>
      </c>
      <c r="D49" s="43"/>
      <c r="E49" s="291" t="s">
        <v>361</v>
      </c>
      <c r="F49" s="151">
        <f>ROWS(F$8:$F49)</f>
        <v>42</v>
      </c>
      <c r="G49" s="8" t="str">
        <f>IF(ID!$A$92=E49,F49,"")</f>
        <v/>
      </c>
      <c r="H49" s="8" t="str">
        <f>IFERROR(SMALL($G$8:$G$115,ROWS(G$8:$G49)),"")</f>
        <v/>
      </c>
    </row>
    <row r="50" spans="2:8" x14ac:dyDescent="0.25">
      <c r="B50" s="60">
        <v>0.50600000000000001</v>
      </c>
      <c r="C50" s="306">
        <v>-6.0000000000000001E-3</v>
      </c>
      <c r="D50" s="43"/>
      <c r="E50" s="291" t="s">
        <v>361</v>
      </c>
      <c r="F50" s="151">
        <f>ROWS(F$8:$F50)</f>
        <v>43</v>
      </c>
      <c r="G50" s="8" t="str">
        <f>IF(ID!$A$92=E50,F50,"")</f>
        <v/>
      </c>
      <c r="H50" s="8" t="str">
        <f>IFERROR(SMALL($G$8:$G$115,ROWS(G$8:$G50)),"")</f>
        <v/>
      </c>
    </row>
    <row r="51" spans="2:8" x14ac:dyDescent="0.25">
      <c r="B51" s="60">
        <v>0.93799999999999994</v>
      </c>
      <c r="C51" s="305">
        <v>6.3E-2</v>
      </c>
      <c r="D51" s="43"/>
      <c r="E51" s="291" t="s">
        <v>361</v>
      </c>
      <c r="F51" s="151">
        <f>ROWS(F$8:$F51)</f>
        <v>44</v>
      </c>
      <c r="G51" s="8" t="str">
        <f>IF(ID!$A$92=E51,F51,"")</f>
        <v/>
      </c>
      <c r="H51" s="8" t="str">
        <f>IFERROR(SMALL($G$8:$G$115,ROWS(G$8:$G51)),"")</f>
        <v/>
      </c>
    </row>
    <row r="52" spans="2:8" x14ac:dyDescent="0.25">
      <c r="B52" s="60">
        <v>1.909</v>
      </c>
      <c r="C52" s="145">
        <v>9.0999999999999998E-2</v>
      </c>
      <c r="D52" s="32"/>
      <c r="E52" s="291" t="s">
        <v>361</v>
      </c>
      <c r="F52" s="151">
        <f>ROWS(F$8:$F52)</f>
        <v>45</v>
      </c>
      <c r="G52" s="8" t="str">
        <f>IF(ID!$A$92=E52,F52,"")</f>
        <v/>
      </c>
      <c r="H52" s="8" t="str">
        <f>IFERROR(SMALL($G$8:$G$115,ROWS(G$8:$G52)),"")</f>
        <v/>
      </c>
    </row>
    <row r="53" spans="2:8" s="294" customFormat="1" x14ac:dyDescent="0.25">
      <c r="B53" s="328">
        <v>10</v>
      </c>
      <c r="C53" s="311">
        <f>C52</f>
        <v>9.0999999999999998E-2</v>
      </c>
      <c r="D53" s="315"/>
      <c r="E53" s="293" t="s">
        <v>361</v>
      </c>
      <c r="F53" s="151">
        <f>ROWS(F$8:$F53)</f>
        <v>46</v>
      </c>
      <c r="G53" s="8" t="str">
        <f>IF(ID!$A$92=E53,F53,"")</f>
        <v/>
      </c>
      <c r="H53" s="8" t="str">
        <f>IFERROR(SMALL($G$8:$G$115,ROWS(G$8:$G53)),"")</f>
        <v/>
      </c>
    </row>
    <row r="54" spans="2:8" x14ac:dyDescent="0.25">
      <c r="B54" s="66"/>
      <c r="E54" s="46"/>
      <c r="F54" s="151">
        <f>ROWS(F$8:$F54)</f>
        <v>47</v>
      </c>
      <c r="G54" s="8" t="str">
        <f>IF(ID!$A$92=E54,F54,"")</f>
        <v/>
      </c>
      <c r="H54" s="8" t="str">
        <f>IFERROR(SMALL($G$8:$G$115,ROWS(G$8:$G54)),"")</f>
        <v/>
      </c>
    </row>
    <row r="55" spans="2:8" x14ac:dyDescent="0.25">
      <c r="B55" s="66"/>
      <c r="E55" s="2"/>
      <c r="F55" s="151">
        <f>ROWS(F$8:$F55)</f>
        <v>48</v>
      </c>
      <c r="G55" s="8" t="str">
        <f>IF(ID!$A$92=E55,F55,"")</f>
        <v/>
      </c>
      <c r="H55" s="8" t="str">
        <f>IFERROR(SMALL($G$8:$G$115,ROWS(G$8:$G55)),"")</f>
        <v/>
      </c>
    </row>
    <row r="56" spans="2:8" x14ac:dyDescent="0.25">
      <c r="E56" s="2"/>
      <c r="F56" s="151">
        <f>ROWS(F$8:$F56)</f>
        <v>49</v>
      </c>
      <c r="G56" s="8" t="str">
        <f>IF(ID!$A$92=E56,F56,"")</f>
        <v/>
      </c>
      <c r="H56" s="8" t="str">
        <f>IFERROR(SMALL($G$8:$G$115,ROWS(G$8:$G56)),"")</f>
        <v/>
      </c>
    </row>
    <row r="57" spans="2:8" x14ac:dyDescent="0.25">
      <c r="B57" s="60">
        <v>0</v>
      </c>
      <c r="C57" s="724">
        <v>0</v>
      </c>
      <c r="D57" s="321">
        <v>2022</v>
      </c>
      <c r="E57" s="291" t="s">
        <v>362</v>
      </c>
      <c r="F57" s="151">
        <f>ROWS(F$8:$F57)</f>
        <v>50</v>
      </c>
      <c r="G57" s="8" t="str">
        <f>IF(ID!$A$92=E57,F57,"")</f>
        <v/>
      </c>
      <c r="H57" s="8" t="str">
        <f>IFERROR(SMALL($G$8:$G$115,ROWS(G$8:$G57)),"")</f>
        <v/>
      </c>
    </row>
    <row r="58" spans="2:8" x14ac:dyDescent="0.25">
      <c r="B58" s="60">
        <v>3.0000000000000001E-3</v>
      </c>
      <c r="C58" s="724">
        <v>-3.0000000000000001E-3</v>
      </c>
      <c r="D58" s="321"/>
      <c r="E58" s="291" t="s">
        <v>362</v>
      </c>
      <c r="F58" s="151">
        <f>ROWS(F$8:$F58)</f>
        <v>51</v>
      </c>
      <c r="G58" s="8" t="str">
        <f>IF(ID!$A$92=E58,F58,"")</f>
        <v/>
      </c>
      <c r="H58" s="8" t="str">
        <f>IFERROR(SMALL($G$8:$G$115,ROWS(G$8:$G58)),"")</f>
        <v/>
      </c>
    </row>
    <row r="59" spans="2:8" x14ac:dyDescent="0.25">
      <c r="B59" s="60">
        <v>0.10299999999999999</v>
      </c>
      <c r="C59" s="724">
        <v>-3.0000000000000001E-3</v>
      </c>
      <c r="D59" s="321"/>
      <c r="E59" s="291" t="s">
        <v>362</v>
      </c>
      <c r="F59" s="151">
        <f>ROWS(F$8:$F59)</f>
        <v>52</v>
      </c>
      <c r="G59" s="8" t="str">
        <f>IF(ID!$A$92=E59,F59,"")</f>
        <v/>
      </c>
      <c r="H59" s="8" t="str">
        <f>IFERROR(SMALL($G$8:$G$115,ROWS(G$8:$G59)),"")</f>
        <v/>
      </c>
    </row>
    <row r="60" spans="2:8" x14ac:dyDescent="0.25">
      <c r="B60" s="60">
        <v>0.19800000000000001</v>
      </c>
      <c r="C60" s="724">
        <v>2E-3</v>
      </c>
      <c r="D60" s="321"/>
      <c r="E60" s="291" t="s">
        <v>362</v>
      </c>
      <c r="F60" s="151">
        <f>ROWS(F$8:$F60)</f>
        <v>53</v>
      </c>
      <c r="G60" s="8" t="str">
        <f>IF(ID!$A$92=E60,F60,"")</f>
        <v/>
      </c>
      <c r="H60" s="8" t="str">
        <f>IFERROR(SMALL($G$8:$G$115,ROWS(G$8:$G60)),"")</f>
        <v/>
      </c>
    </row>
    <row r="61" spans="2:8" x14ac:dyDescent="0.25">
      <c r="B61" s="725">
        <v>0.50700000000000001</v>
      </c>
      <c r="C61" s="726">
        <v>-7.0000000000000001E-3</v>
      </c>
      <c r="D61" s="330"/>
      <c r="E61" s="292" t="s">
        <v>362</v>
      </c>
      <c r="F61" s="151">
        <f>ROWS(F$8:$F61)</f>
        <v>54</v>
      </c>
      <c r="G61" s="8" t="str">
        <f>IF(ID!$A$92=E61,F61,"")</f>
        <v/>
      </c>
      <c r="H61" s="8" t="str">
        <f>IFERROR(SMALL($G$8:$G$115,ROWS(G$8:$G61)),"")</f>
        <v/>
      </c>
    </row>
    <row r="62" spans="2:8" x14ac:dyDescent="0.25">
      <c r="B62" s="340">
        <v>1.0069999999999999</v>
      </c>
      <c r="C62" s="727">
        <v>-7.0000000000000001E-3</v>
      </c>
      <c r="D62" s="333"/>
      <c r="E62" s="292" t="s">
        <v>362</v>
      </c>
      <c r="F62" s="151">
        <f>ROWS(F$8:$F62)</f>
        <v>55</v>
      </c>
      <c r="G62" s="8" t="str">
        <f>IF(ID!$A$92=E62,F62,"")</f>
        <v/>
      </c>
      <c r="H62" s="8" t="str">
        <f>IFERROR(SMALL($G$8:$G$115,ROWS(G$8:$G62)),"")</f>
        <v/>
      </c>
    </row>
    <row r="63" spans="2:8" s="294" customFormat="1" x14ac:dyDescent="0.25">
      <c r="B63" s="725">
        <v>2.0070000000000001</v>
      </c>
      <c r="C63" s="727">
        <v>-7.0000000000000001E-3</v>
      </c>
      <c r="D63" s="333"/>
      <c r="E63" s="292" t="s">
        <v>362</v>
      </c>
      <c r="F63" s="151">
        <f>ROWS(F$8:$F63)</f>
        <v>56</v>
      </c>
      <c r="G63" s="8" t="str">
        <f>IF(ID!$A$92=E63,F63,"")</f>
        <v/>
      </c>
      <c r="H63" s="8" t="str">
        <f>IFERROR(SMALL($G$8:$G$115,ROWS(G$8:$G63)),"")</f>
        <v/>
      </c>
    </row>
    <row r="64" spans="2:8" x14ac:dyDescent="0.25">
      <c r="B64" s="728">
        <v>10</v>
      </c>
      <c r="C64" s="145">
        <f>C63</f>
        <v>-7.0000000000000001E-3</v>
      </c>
      <c r="D64" s="32"/>
      <c r="E64" s="293" t="s">
        <v>362</v>
      </c>
      <c r="F64" s="151">
        <f>ROWS(F$8:$F64)</f>
        <v>57</v>
      </c>
      <c r="G64" s="8" t="str">
        <f>IF(ID!$A$92=E64,F64,"")</f>
        <v/>
      </c>
      <c r="H64" s="8" t="str">
        <f>IFERROR(SMALL($G$8:$G$115,ROWS(G$8:$G64)),"")</f>
        <v/>
      </c>
    </row>
    <row r="65" spans="1:8" x14ac:dyDescent="0.25">
      <c r="E65" s="346"/>
      <c r="F65" s="151">
        <f>ROWS(F$8:$F65)</f>
        <v>58</v>
      </c>
      <c r="G65" s="8" t="str">
        <f>IF(ID!$A$92=E65,F65,"")</f>
        <v/>
      </c>
      <c r="H65" s="8" t="str">
        <f>IFERROR(SMALL($G$8:$G$115,ROWS(G$8:$G65)),"")</f>
        <v/>
      </c>
    </row>
    <row r="66" spans="1:8" x14ac:dyDescent="0.25">
      <c r="E66" s="346"/>
      <c r="F66" s="151">
        <f>ROWS(F$8:$F66)</f>
        <v>59</v>
      </c>
      <c r="G66" s="8" t="str">
        <f>IF(ID!$A$92=E66,F66,"")</f>
        <v/>
      </c>
      <c r="H66" s="8" t="str">
        <f>IFERROR(SMALL($G$8:$G$115,ROWS(G$8:$G66)),"")</f>
        <v/>
      </c>
    </row>
    <row r="67" spans="1:8" x14ac:dyDescent="0.25">
      <c r="E67" s="346"/>
      <c r="F67" s="151">
        <f>ROWS(F$8:$F67)</f>
        <v>60</v>
      </c>
      <c r="G67" s="8" t="str">
        <f>IF(ID!$A$92=E67,F67,"")</f>
        <v/>
      </c>
      <c r="H67" s="8" t="str">
        <f>IFERROR(SMALL($G$8:$G$115,ROWS(G$8:$G67)),"")</f>
        <v/>
      </c>
    </row>
    <row r="68" spans="1:8" x14ac:dyDescent="0.25">
      <c r="E68" s="346"/>
      <c r="F68" s="151">
        <f>ROWS(F$8:$F68)</f>
        <v>61</v>
      </c>
      <c r="G68" s="8" t="str">
        <f>IF(ID!$A$92=E68,F68,"")</f>
        <v/>
      </c>
      <c r="H68" s="8" t="str">
        <f>IFERROR(SMALL($G$8:$G$115,ROWS(G$8:$G68)),"")</f>
        <v/>
      </c>
    </row>
    <row r="69" spans="1:8" x14ac:dyDescent="0.25">
      <c r="E69" s="346"/>
      <c r="F69" s="151">
        <f>ROWS(F$8:$F69)</f>
        <v>62</v>
      </c>
      <c r="G69" s="8" t="str">
        <f>IF(ID!$A$92=E69,F69,"")</f>
        <v/>
      </c>
      <c r="H69" s="8" t="str">
        <f>IFERROR(SMALL($G$8:$G$115,ROWS(G$8:$G69)),"")</f>
        <v/>
      </c>
    </row>
    <row r="70" spans="1:8" x14ac:dyDescent="0.25">
      <c r="E70" s="346"/>
      <c r="F70" s="151">
        <f>ROWS(F$8:$F70)</f>
        <v>63</v>
      </c>
      <c r="G70" s="8" t="str">
        <f>IF(ID!$A$92=E70,F70,"")</f>
        <v/>
      </c>
      <c r="H70" s="8" t="str">
        <f>IFERROR(SMALL($G$8:$G$115,ROWS(G$8:$G70)),"")</f>
        <v/>
      </c>
    </row>
    <row r="71" spans="1:8" ht="13.8" x14ac:dyDescent="0.25">
      <c r="A71" s="524"/>
      <c r="B71" s="710" t="s">
        <v>183</v>
      </c>
      <c r="C71" s="721" t="s">
        <v>181</v>
      </c>
      <c r="D71" s="712" t="s">
        <v>56</v>
      </c>
      <c r="E71" s="347"/>
      <c r="F71" s="151">
        <f>ROWS(F$8:$F71)</f>
        <v>64</v>
      </c>
      <c r="G71" s="8" t="str">
        <f>IF(ID!$A$92=E71,F71,"")</f>
        <v/>
      </c>
      <c r="H71" s="8" t="str">
        <f>IFERROR(SMALL($G$8:$G$115,ROWS(G$8:$G71)),"")</f>
        <v/>
      </c>
    </row>
    <row r="72" spans="1:8" x14ac:dyDescent="0.25">
      <c r="B72" s="60">
        <v>0</v>
      </c>
      <c r="C72" s="312">
        <v>0</v>
      </c>
      <c r="D72" s="321">
        <v>2022</v>
      </c>
      <c r="E72" s="291" t="s">
        <v>845</v>
      </c>
      <c r="F72" s="151">
        <f>ROWS(F$8:$F72)</f>
        <v>65</v>
      </c>
      <c r="G72" s="8" t="str">
        <f>IF(ID!$A$92=E72,F72,"")</f>
        <v/>
      </c>
      <c r="H72" s="8" t="str">
        <f>IFERROR(SMALL($G$8:$G$115,ROWS(G$8:$G72)),"")</f>
        <v/>
      </c>
    </row>
    <row r="73" spans="1:8" x14ac:dyDescent="0.25">
      <c r="B73" s="60">
        <v>2E-3</v>
      </c>
      <c r="C73" s="304">
        <v>-2E-3</v>
      </c>
      <c r="D73" s="321"/>
      <c r="E73" s="291" t="s">
        <v>845</v>
      </c>
      <c r="F73" s="151">
        <f>ROWS(F$8:$F73)</f>
        <v>66</v>
      </c>
      <c r="G73" s="8" t="str">
        <f>IF(ID!$A$92=E73,F73,"")</f>
        <v/>
      </c>
      <c r="H73" s="8" t="str">
        <f>IFERROR(SMALL($G$8:$G$115,ROWS(G$8:$G73)),"")</f>
        <v/>
      </c>
    </row>
    <row r="74" spans="1:8" x14ac:dyDescent="0.25">
      <c r="B74" s="60">
        <v>9.8000000000000004E-2</v>
      </c>
      <c r="C74" s="304">
        <v>2E-3</v>
      </c>
      <c r="D74" s="321"/>
      <c r="E74" s="291" t="s">
        <v>845</v>
      </c>
      <c r="F74" s="151">
        <f>ROWS(F$8:$F74)</f>
        <v>67</v>
      </c>
      <c r="G74" s="8" t="str">
        <f>IF(ID!$A$92=E74,F74,"")</f>
        <v/>
      </c>
      <c r="H74" s="8" t="str">
        <f>IFERROR(SMALL($G$8:$G$115,ROWS(G$8:$G74)),"")</f>
        <v/>
      </c>
    </row>
    <row r="75" spans="1:8" x14ac:dyDescent="0.25">
      <c r="B75" s="60">
        <v>0.19900000000000001</v>
      </c>
      <c r="C75" s="305">
        <v>1E-3</v>
      </c>
      <c r="D75" s="321"/>
      <c r="E75" s="291" t="s">
        <v>845</v>
      </c>
      <c r="F75" s="151">
        <f>ROWS(F$8:$F75)</f>
        <v>68</v>
      </c>
      <c r="G75" s="8" t="str">
        <f>IF(ID!$A$92=E75,F75,"")</f>
        <v/>
      </c>
      <c r="H75" s="8" t="str">
        <f>IFERROR(SMALL($G$8:$G$115,ROWS(G$8:$G75)),"")</f>
        <v/>
      </c>
    </row>
    <row r="76" spans="1:8" x14ac:dyDescent="0.25">
      <c r="B76" s="60">
        <v>0.497</v>
      </c>
      <c r="C76" s="304">
        <v>3.0000000000000001E-3</v>
      </c>
      <c r="D76" s="321"/>
      <c r="E76" s="291" t="s">
        <v>845</v>
      </c>
      <c r="F76" s="151">
        <f>ROWS(F$8:$F76)</f>
        <v>69</v>
      </c>
      <c r="G76" s="8" t="str">
        <f>IF(ID!$A$92=E76,F76,"")</f>
        <v/>
      </c>
      <c r="H76" s="8" t="str">
        <f>IFERROR(SMALL($G$8:$G$115,ROWS(G$8:$G76)),"")</f>
        <v/>
      </c>
    </row>
    <row r="77" spans="1:8" x14ac:dyDescent="0.25">
      <c r="B77" s="327">
        <v>0.998</v>
      </c>
      <c r="C77" s="310">
        <v>2E-3</v>
      </c>
      <c r="D77" s="336"/>
      <c r="E77" s="291" t="s">
        <v>845</v>
      </c>
      <c r="F77" s="151">
        <f>ROWS(F$8:$F77)</f>
        <v>70</v>
      </c>
      <c r="G77" s="8" t="str">
        <f>IF(ID!$A$92=E77,F77,"")</f>
        <v/>
      </c>
      <c r="H77" s="8" t="str">
        <f>IFERROR(SMALL($G$8:$G$115,ROWS(G$8:$G77)),"")</f>
        <v/>
      </c>
    </row>
    <row r="78" spans="1:8" x14ac:dyDescent="0.25">
      <c r="B78" s="725">
        <v>2.0009999999999999</v>
      </c>
      <c r="C78" s="726">
        <v>-1E-3</v>
      </c>
      <c r="D78" s="336"/>
      <c r="E78" s="291" t="s">
        <v>845</v>
      </c>
      <c r="F78" s="151">
        <f>ROWS(F$8:$F78)</f>
        <v>71</v>
      </c>
      <c r="G78" s="8" t="str">
        <f>IF(ID!$A$92=E78,F78,"")</f>
        <v/>
      </c>
      <c r="H78" s="8" t="str">
        <f>IFERROR(SMALL($G$8:$G$115,ROWS(G$8:$G78)),"")</f>
        <v/>
      </c>
    </row>
    <row r="79" spans="1:8" x14ac:dyDescent="0.25">
      <c r="B79" s="328">
        <v>10</v>
      </c>
      <c r="C79" s="729">
        <f>C78</f>
        <v>-1E-3</v>
      </c>
      <c r="D79" s="336"/>
      <c r="E79" s="291" t="s">
        <v>845</v>
      </c>
      <c r="F79" s="151">
        <f>ROWS(F$8:$F79)</f>
        <v>72</v>
      </c>
      <c r="G79" s="8" t="str">
        <f>IF(ID!$A$92=E79,F79,"")</f>
        <v/>
      </c>
      <c r="H79" s="8" t="str">
        <f>IFERROR(SMALL($G$8:$G$115,ROWS(G$8:$G79)),"")</f>
        <v/>
      </c>
    </row>
    <row r="80" spans="1:8" x14ac:dyDescent="0.25">
      <c r="B80" s="328"/>
      <c r="C80" s="729"/>
      <c r="D80" s="336"/>
      <c r="E80" s="730"/>
      <c r="F80" s="151">
        <f>ROWS(F$8:$F80)</f>
        <v>73</v>
      </c>
      <c r="G80" s="8" t="str">
        <f>IF(ID!$A$92=E80,F80,"")</f>
        <v/>
      </c>
      <c r="H80" s="8" t="str">
        <f>IFERROR(SMALL($G$8:$G$115,ROWS(G$8:$G80)),"")</f>
        <v/>
      </c>
    </row>
    <row r="81" spans="1:8" x14ac:dyDescent="0.25">
      <c r="B81" s="328"/>
      <c r="C81" s="729"/>
      <c r="D81" s="336"/>
      <c r="E81" s="730"/>
      <c r="F81" s="151">
        <f>ROWS(F$8:$F81)</f>
        <v>74</v>
      </c>
      <c r="G81" s="8" t="str">
        <f>IF(ID!$A$92=E81,F81,"")</f>
        <v/>
      </c>
      <c r="H81" s="8" t="str">
        <f>IFERROR(SMALL($G$8:$G$115,ROWS(G$8:$G81)),"")</f>
        <v/>
      </c>
    </row>
    <row r="82" spans="1:8" x14ac:dyDescent="0.25">
      <c r="B82" s="328"/>
      <c r="C82" s="729"/>
      <c r="D82" s="336"/>
      <c r="E82" s="730"/>
      <c r="F82" s="151">
        <f>ROWS(F$8:$F82)</f>
        <v>75</v>
      </c>
      <c r="G82" s="8" t="str">
        <f>IF(ID!$A$92=E82,F82,"")</f>
        <v/>
      </c>
      <c r="H82" s="8" t="str">
        <f>IFERROR(SMALL($G$8:$G$115,ROWS(G$8:$G82)),"")</f>
        <v/>
      </c>
    </row>
    <row r="83" spans="1:8" ht="13.8" x14ac:dyDescent="0.25">
      <c r="A83" s="524"/>
      <c r="B83" s="710" t="s">
        <v>183</v>
      </c>
      <c r="C83" s="721" t="s">
        <v>181</v>
      </c>
      <c r="D83" s="712" t="s">
        <v>56</v>
      </c>
      <c r="E83" s="46"/>
      <c r="F83" s="151">
        <f>ROWS(F$8:$F83)</f>
        <v>76</v>
      </c>
      <c r="G83" s="8" t="str">
        <f>IF(ID!$A$92=E83,F83,"")</f>
        <v/>
      </c>
      <c r="H83" s="8" t="str">
        <f>IFERROR(SMALL($G$8:$G$115,ROWS(G$8:$G83)),"")</f>
        <v/>
      </c>
    </row>
    <row r="84" spans="1:8" x14ac:dyDescent="0.25">
      <c r="A84" s="117"/>
      <c r="B84" s="60">
        <v>0</v>
      </c>
      <c r="C84" s="312">
        <v>0</v>
      </c>
      <c r="D84" s="321">
        <v>2022</v>
      </c>
      <c r="E84" s="291" t="s">
        <v>369</v>
      </c>
      <c r="F84" s="151">
        <f>ROWS(F$8:$F84)</f>
        <v>77</v>
      </c>
      <c r="G84" s="8" t="str">
        <f>IF(ID!$A$92=E84,F84,"")</f>
        <v/>
      </c>
      <c r="H84" s="8" t="str">
        <f>IFERROR(SMALL($G$8:$G$115,ROWS(G$8:$G84)),"")</f>
        <v/>
      </c>
    </row>
    <row r="85" spans="1:8" x14ac:dyDescent="0.25">
      <c r="B85" s="60">
        <v>2E-3</v>
      </c>
      <c r="C85" s="312">
        <v>-2E-3</v>
      </c>
      <c r="D85" s="321"/>
      <c r="E85" s="291" t="s">
        <v>369</v>
      </c>
      <c r="F85" s="151">
        <f>ROWS(F$8:$F85)</f>
        <v>78</v>
      </c>
      <c r="G85" s="8" t="str">
        <f>IF(ID!$A$92=E85,F85,"")</f>
        <v/>
      </c>
      <c r="H85" s="8" t="str">
        <f>IFERROR(SMALL($G$8:$G$115,ROWS(G$8:$G85)),"")</f>
        <v/>
      </c>
    </row>
    <row r="86" spans="1:8" x14ac:dyDescent="0.25">
      <c r="B86" s="60">
        <v>0.10100000000000001</v>
      </c>
      <c r="C86" s="304">
        <v>-1E-3</v>
      </c>
      <c r="D86" s="321"/>
      <c r="E86" s="291" t="s">
        <v>369</v>
      </c>
      <c r="F86" s="151">
        <f>ROWS(F$8:$F86)</f>
        <v>79</v>
      </c>
      <c r="G86" s="8" t="str">
        <f>IF(ID!$A$92=E86,F86,"")</f>
        <v/>
      </c>
      <c r="H86" s="8" t="str">
        <f>IFERROR(SMALL($G$8:$G$115,ROWS(G$8:$G86)),"")</f>
        <v/>
      </c>
    </row>
    <row r="87" spans="1:8" x14ac:dyDescent="0.25">
      <c r="B87" s="60">
        <v>0.19800000000000001</v>
      </c>
      <c r="C87" s="304">
        <v>2E-3</v>
      </c>
      <c r="D87" s="330"/>
      <c r="E87" s="291" t="s">
        <v>369</v>
      </c>
      <c r="F87" s="151">
        <f>ROWS(F$8:$F87)</f>
        <v>80</v>
      </c>
      <c r="G87" s="8" t="str">
        <f>IF(ID!$A$92=E87,F87,"")</f>
        <v/>
      </c>
      <c r="H87" s="8" t="str">
        <f>IFERROR(SMALL($G$8:$G$115,ROWS(G$8:$G87)),"")</f>
        <v/>
      </c>
    </row>
    <row r="88" spans="1:8" x14ac:dyDescent="0.25">
      <c r="B88" s="60">
        <v>0.496</v>
      </c>
      <c r="C88" s="305">
        <v>4.0000000000000001E-3</v>
      </c>
      <c r="D88" s="321"/>
      <c r="E88" s="291" t="s">
        <v>369</v>
      </c>
      <c r="F88" s="151">
        <f>ROWS(F$8:$F88)</f>
        <v>81</v>
      </c>
      <c r="G88" s="8" t="str">
        <f>IF(ID!$A$92=E88,F88,"")</f>
        <v/>
      </c>
      <c r="H88" s="8" t="str">
        <f>IFERROR(SMALL($G$8:$G$115,ROWS(G$8:$G88)),"")</f>
        <v/>
      </c>
    </row>
    <row r="89" spans="1:8" x14ac:dyDescent="0.25">
      <c r="B89" s="60">
        <v>0.995</v>
      </c>
      <c r="C89" s="312">
        <v>5.0000000000000001E-3</v>
      </c>
      <c r="D89" s="336"/>
      <c r="E89" s="291" t="s">
        <v>369</v>
      </c>
      <c r="F89" s="151">
        <f>ROWS(F$8:$F89)</f>
        <v>82</v>
      </c>
      <c r="G89" s="8" t="str">
        <f>IF(ID!$A$92=E89,F89,"")</f>
        <v/>
      </c>
      <c r="H89" s="8" t="str">
        <f>IFERROR(SMALL($G$8:$G$115,ROWS(G$8:$G89)),"")</f>
        <v/>
      </c>
    </row>
    <row r="90" spans="1:8" x14ac:dyDescent="0.25">
      <c r="B90" s="60">
        <v>1.9950000000000001</v>
      </c>
      <c r="C90" s="145">
        <v>5.0000000000000001E-3</v>
      </c>
      <c r="D90" s="336"/>
      <c r="E90" s="291" t="s">
        <v>369</v>
      </c>
      <c r="F90" s="151">
        <f>ROWS(F$8:$F90)</f>
        <v>83</v>
      </c>
      <c r="G90" s="8" t="str">
        <f>IF(ID!$A$92=E90,F90,"")</f>
        <v/>
      </c>
      <c r="H90" s="8" t="str">
        <f>IFERROR(SMALL($G$8:$G$115,ROWS(G$8:$G90)),"")</f>
        <v/>
      </c>
    </row>
    <row r="91" spans="1:8" x14ac:dyDescent="0.25">
      <c r="B91" s="328">
        <v>10</v>
      </c>
      <c r="C91" s="311">
        <f>C90</f>
        <v>5.0000000000000001E-3</v>
      </c>
      <c r="D91" s="337"/>
      <c r="E91" s="300" t="s">
        <v>369</v>
      </c>
      <c r="F91" s="151">
        <f>ROWS(F$8:$F91)</f>
        <v>84</v>
      </c>
      <c r="G91" s="8" t="str">
        <f>IF(ID!$A$92=E91,F91,"")</f>
        <v/>
      </c>
      <c r="H91" s="8" t="str">
        <f>IFERROR(SMALL($G$8:$G$115,ROWS(G$8:$G91)),"")</f>
        <v/>
      </c>
    </row>
    <row r="92" spans="1:8" x14ac:dyDescent="0.25">
      <c r="F92" s="151">
        <f>ROWS(F$8:$F92)</f>
        <v>85</v>
      </c>
      <c r="G92" s="8" t="str">
        <f>IF(ID!$A$92=E92,F92,"")</f>
        <v/>
      </c>
      <c r="H92" s="8" t="str">
        <f>IFERROR(SMALL($G$8:$G$115,ROWS(G$8:$G92)),"")</f>
        <v/>
      </c>
    </row>
    <row r="93" spans="1:8" ht="13.8" x14ac:dyDescent="0.25">
      <c r="A93" s="524"/>
      <c r="B93" s="710" t="s">
        <v>183</v>
      </c>
      <c r="C93" s="721" t="s">
        <v>181</v>
      </c>
      <c r="D93" s="712" t="s">
        <v>56</v>
      </c>
      <c r="F93" s="151">
        <f>ROWS(F$8:$F93)</f>
        <v>86</v>
      </c>
      <c r="G93" s="8" t="str">
        <f>IF(ID!$A$92=E93,F93,"")</f>
        <v/>
      </c>
      <c r="H93" s="8" t="str">
        <f>IFERROR(SMALL($G$8:$G$115,ROWS(G$8:$G93)),"")</f>
        <v/>
      </c>
    </row>
    <row r="94" spans="1:8" x14ac:dyDescent="0.25">
      <c r="B94" s="316">
        <v>0</v>
      </c>
      <c r="C94" s="145">
        <v>0</v>
      </c>
      <c r="D94" s="321">
        <v>2022</v>
      </c>
      <c r="E94" s="291" t="s">
        <v>370</v>
      </c>
      <c r="F94" s="151">
        <f>ROWS(F$8:$F94)</f>
        <v>87</v>
      </c>
      <c r="G94" s="8">
        <f>IF(ID!$A$92=E94,F94,"")</f>
        <v>87</v>
      </c>
      <c r="H94" s="8" t="str">
        <f>IFERROR(SMALL($G$8:$G$115,ROWS(G$8:$G94)),"")</f>
        <v/>
      </c>
    </row>
    <row r="95" spans="1:8" x14ac:dyDescent="0.25">
      <c r="B95" s="316">
        <v>2E-3</v>
      </c>
      <c r="C95" s="304">
        <v>-2E-3</v>
      </c>
      <c r="D95" s="43"/>
      <c r="E95" s="291" t="s">
        <v>370</v>
      </c>
      <c r="F95" s="151">
        <f>ROWS(F$8:$F95)</f>
        <v>88</v>
      </c>
      <c r="G95" s="8">
        <f>IF(ID!$A$92=E95,F95,"")</f>
        <v>88</v>
      </c>
      <c r="H95" s="8" t="str">
        <f>IFERROR(SMALL($G$8:$G$115,ROWS(G$8:$G95)),"")</f>
        <v/>
      </c>
    </row>
    <row r="96" spans="1:8" s="294" customFormat="1" x14ac:dyDescent="0.25">
      <c r="A96"/>
      <c r="B96" s="316">
        <v>9.9000000000000005E-2</v>
      </c>
      <c r="C96" s="304">
        <v>1E-3</v>
      </c>
      <c r="D96" s="43"/>
      <c r="E96" s="291" t="s">
        <v>370</v>
      </c>
      <c r="F96" s="151">
        <f>ROWS(F$8:$F96)</f>
        <v>89</v>
      </c>
      <c r="G96" s="8">
        <f>IF(ID!$A$92=E96,F96,"")</f>
        <v>89</v>
      </c>
      <c r="H96" s="8" t="str">
        <f>IFERROR(SMALL($G$8:$G$115,ROWS(G$8:$G96)),"")</f>
        <v/>
      </c>
    </row>
    <row r="97" spans="1:8" x14ac:dyDescent="0.25">
      <c r="B97" s="316">
        <v>0.19700000000000001</v>
      </c>
      <c r="C97" s="304">
        <v>3.0000000000000001E-3</v>
      </c>
      <c r="D97" s="113"/>
      <c r="E97" s="291" t="s">
        <v>370</v>
      </c>
      <c r="F97" s="151">
        <f>ROWS(F$8:$F97)</f>
        <v>90</v>
      </c>
      <c r="G97" s="8">
        <f>IF(ID!$A$92=E97,F97,"")</f>
        <v>90</v>
      </c>
      <c r="H97" s="8" t="str">
        <f>IFERROR(SMALL($G$8:$G$115,ROWS(G$8:$G97)),"")</f>
        <v/>
      </c>
    </row>
    <row r="98" spans="1:8" x14ac:dyDescent="0.25">
      <c r="B98" s="326">
        <v>0.496</v>
      </c>
      <c r="C98" s="312">
        <v>4.0000000000000001E-3</v>
      </c>
      <c r="D98" s="43"/>
      <c r="E98" s="291" t="s">
        <v>370</v>
      </c>
      <c r="F98" s="151">
        <f>ROWS(F$8:$F98)</f>
        <v>91</v>
      </c>
      <c r="G98" s="8">
        <f>IF(ID!$A$92=E98,F98,"")</f>
        <v>91</v>
      </c>
      <c r="H98" s="8" t="str">
        <f>IFERROR(SMALL($G$8:$G$115,ROWS(G$8:$G98)),"")</f>
        <v/>
      </c>
    </row>
    <row r="99" spans="1:8" x14ac:dyDescent="0.25">
      <c r="B99" s="316">
        <v>1</v>
      </c>
      <c r="C99" s="312">
        <v>0</v>
      </c>
      <c r="D99" s="32"/>
      <c r="E99" s="291" t="s">
        <v>370</v>
      </c>
      <c r="F99" s="151">
        <f>ROWS(F$8:$F99)</f>
        <v>92</v>
      </c>
      <c r="G99" s="8">
        <f>IF(ID!$A$92=E99,F99,"")</f>
        <v>92</v>
      </c>
      <c r="H99" s="8" t="str">
        <f>IFERROR(SMALL($G$8:$G$115,ROWS(G$8:$G99)),"")</f>
        <v/>
      </c>
    </row>
    <row r="100" spans="1:8" x14ac:dyDescent="0.25">
      <c r="A100" s="294"/>
      <c r="B100" s="725">
        <v>2</v>
      </c>
      <c r="C100" s="726">
        <v>0</v>
      </c>
      <c r="D100" s="315"/>
      <c r="E100" s="293" t="s">
        <v>370</v>
      </c>
      <c r="F100" s="151">
        <f>ROWS(F$8:$F100)</f>
        <v>93</v>
      </c>
      <c r="G100" s="8">
        <f>IF(ID!$A$92=E100,F100,"")</f>
        <v>93</v>
      </c>
      <c r="H100" s="8" t="str">
        <f>IFERROR(SMALL($G$8:$G$115,ROWS(G$8:$G100)),"")</f>
        <v/>
      </c>
    </row>
    <row r="101" spans="1:8" x14ac:dyDescent="0.25">
      <c r="B101" s="731">
        <v>10</v>
      </c>
      <c r="C101" s="311">
        <f>C100</f>
        <v>0</v>
      </c>
      <c r="D101" s="32"/>
      <c r="E101" s="90"/>
      <c r="F101" s="151">
        <f>ROWS(F$8:$F101)</f>
        <v>94</v>
      </c>
      <c r="G101" s="8" t="str">
        <f>IF(ID!$A$92=E101,F101,"")</f>
        <v/>
      </c>
      <c r="H101" s="8" t="str">
        <f>IFERROR(SMALL($G$8:$G$115,ROWS(G$8:$G101)),"")</f>
        <v/>
      </c>
    </row>
    <row r="102" spans="1:8" x14ac:dyDescent="0.25">
      <c r="F102" s="151">
        <f>ROWS(F$8:$F102)</f>
        <v>95</v>
      </c>
      <c r="G102" s="8" t="str">
        <f>IF(ID!$A$92=E102,F102,"")</f>
        <v/>
      </c>
      <c r="H102" s="8" t="str">
        <f>IFERROR(SMALL($G$8:$G$115,ROWS(G$8:$G102)),"")</f>
        <v/>
      </c>
    </row>
    <row r="103" spans="1:8" x14ac:dyDescent="0.25">
      <c r="F103" s="151">
        <f>ROWS(F$8:$F103)</f>
        <v>96</v>
      </c>
      <c r="G103" s="8" t="str">
        <f>IF(ID!$A$92=E103,F103,"")</f>
        <v/>
      </c>
      <c r="H103" s="8" t="str">
        <f>IFERROR(SMALL($G$8:$G$115,ROWS(G$8:$G103)),"")</f>
        <v/>
      </c>
    </row>
    <row r="104" spans="1:8" x14ac:dyDescent="0.25">
      <c r="B104" s="60">
        <v>0</v>
      </c>
      <c r="C104" s="305">
        <v>0</v>
      </c>
      <c r="D104" s="321">
        <v>2021</v>
      </c>
      <c r="E104" s="291"/>
      <c r="F104" s="151">
        <f>ROWS(F$8:$F104)</f>
        <v>97</v>
      </c>
      <c r="G104" s="8" t="str">
        <f>IF(ID!$A$92=E104,F104,"")</f>
        <v/>
      </c>
      <c r="H104" s="8" t="str">
        <f>IFERROR(SMALL($G$8:$G$115,ROWS(G$8:$G104)),"")</f>
        <v/>
      </c>
    </row>
    <row r="105" spans="1:8" x14ac:dyDescent="0.25">
      <c r="B105" s="60">
        <v>0.10199999999999999</v>
      </c>
      <c r="C105" s="305">
        <v>-2E-3</v>
      </c>
      <c r="D105" s="43"/>
      <c r="E105" s="291"/>
      <c r="F105" s="151">
        <f>ROWS(F$8:$F105)</f>
        <v>98</v>
      </c>
      <c r="G105" s="8" t="str">
        <f>IF(ID!$A$92=E105,F105,"")</f>
        <v/>
      </c>
      <c r="H105" s="8" t="str">
        <f>IFERROR(SMALL($G$8:$G$115,ROWS(G$8:$G105)),"")</f>
        <v/>
      </c>
    </row>
    <row r="106" spans="1:8" x14ac:dyDescent="0.25">
      <c r="B106" s="60">
        <v>0.19900000000000001</v>
      </c>
      <c r="C106" s="145">
        <v>1E-3</v>
      </c>
      <c r="D106" s="43"/>
      <c r="E106" s="291"/>
      <c r="F106" s="151">
        <f>ROWS(F$8:$F106)</f>
        <v>99</v>
      </c>
      <c r="G106" s="8" t="str">
        <f>IF(ID!$A$92=E106,F106,"")</f>
        <v/>
      </c>
      <c r="H106" s="8" t="str">
        <f>IFERROR(SMALL($G$8:$G$115,ROWS(G$8:$G106)),"")</f>
        <v/>
      </c>
    </row>
    <row r="107" spans="1:8" x14ac:dyDescent="0.25">
      <c r="B107" s="60">
        <v>0.499</v>
      </c>
      <c r="C107" s="312">
        <v>1E-3</v>
      </c>
      <c r="D107" s="43"/>
      <c r="E107" s="291"/>
      <c r="F107" s="151">
        <f>ROWS(F$8:$F107)</f>
        <v>100</v>
      </c>
      <c r="G107" s="8" t="str">
        <f>IF(ID!$A$92=E107,F107,"")</f>
        <v/>
      </c>
      <c r="H107" s="8" t="str">
        <f>IFERROR(SMALL($G$8:$G$115,ROWS(G$8:$G107)),"")</f>
        <v/>
      </c>
    </row>
    <row r="108" spans="1:8" x14ac:dyDescent="0.25">
      <c r="B108" s="60">
        <v>1.008</v>
      </c>
      <c r="C108" s="305">
        <v>-8.0000000000000002E-3</v>
      </c>
      <c r="D108" s="43"/>
      <c r="E108" s="291"/>
      <c r="F108" s="151">
        <f>ROWS(F$8:$F108)</f>
        <v>101</v>
      </c>
      <c r="G108" s="8" t="str">
        <f>IF(ID!$A$92=E108,F108,"")</f>
        <v/>
      </c>
      <c r="H108" s="8" t="str">
        <f>IFERROR(SMALL($G$8:$G$115,ROWS(G$8:$G108)),"")</f>
        <v/>
      </c>
    </row>
    <row r="109" spans="1:8" x14ac:dyDescent="0.25">
      <c r="B109" s="60">
        <v>2.0070000000000001</v>
      </c>
      <c r="C109" s="145">
        <v>-7.0000000000000001E-3</v>
      </c>
      <c r="D109" s="32"/>
      <c r="E109" s="291"/>
      <c r="F109" s="151">
        <f>ROWS(F$8:$F109)</f>
        <v>102</v>
      </c>
      <c r="G109" s="8" t="str">
        <f>IF(ID!$A$92=E109,F109,"")</f>
        <v/>
      </c>
      <c r="H109" s="8" t="str">
        <f>IFERROR(SMALL($G$8:$G$115,ROWS(G$8:$G109)),"")</f>
        <v/>
      </c>
    </row>
    <row r="110" spans="1:8" x14ac:dyDescent="0.25">
      <c r="B110" s="328">
        <v>10</v>
      </c>
      <c r="C110" s="311">
        <f>C109</f>
        <v>-7.0000000000000001E-3</v>
      </c>
      <c r="D110" s="315"/>
      <c r="E110" s="293"/>
      <c r="F110" s="151">
        <f>ROWS(F$8:$F110)</f>
        <v>103</v>
      </c>
      <c r="G110" s="8" t="str">
        <f>IF(ID!$A$92=E110,F110,"")</f>
        <v/>
      </c>
      <c r="H110" s="8" t="str">
        <f>IFERROR(SMALL($G$8:$G$115,ROWS(G$8:$G110)),"")</f>
        <v/>
      </c>
    </row>
    <row r="111" spans="1:8" x14ac:dyDescent="0.25">
      <c r="B111" s="280"/>
      <c r="C111" s="313"/>
      <c r="D111" s="32"/>
      <c r="E111" s="291"/>
      <c r="F111" s="151">
        <f>ROWS(F$8:$F111)</f>
        <v>104</v>
      </c>
      <c r="G111" s="8" t="str">
        <f>IF(ID!$A$92=E111,F111,"")</f>
        <v/>
      </c>
      <c r="H111" s="8" t="str">
        <f>IFERROR(SMALL($G$8:$G$115,ROWS(G$8:$G111)),"")</f>
        <v/>
      </c>
    </row>
    <row r="112" spans="1:8" x14ac:dyDescent="0.25">
      <c r="F112" s="151">
        <f>ROWS(F$8:$F112)</f>
        <v>105</v>
      </c>
      <c r="G112" s="8" t="str">
        <f>IF(ID!$A$92=E112,F112,"")</f>
        <v/>
      </c>
      <c r="H112" s="8" t="str">
        <f>IFERROR(SMALL($G$8:$G$115,ROWS(G$8:$G112)),"")</f>
        <v/>
      </c>
    </row>
    <row r="113" spans="6:8" x14ac:dyDescent="0.25">
      <c r="F113" s="151">
        <f>ROWS(F$8:$F113)</f>
        <v>106</v>
      </c>
      <c r="G113" s="8" t="str">
        <f>IF(ID!$A$92=E113,F113,"")</f>
        <v/>
      </c>
      <c r="H113" s="8" t="str">
        <f>IFERROR(SMALL($G$8:$G$115,ROWS(G$8:$G113)),"")</f>
        <v/>
      </c>
    </row>
    <row r="114" spans="6:8" x14ac:dyDescent="0.25">
      <c r="F114" s="151">
        <f>ROWS(F$8:$F114)</f>
        <v>107</v>
      </c>
      <c r="G114" s="8" t="str">
        <f>IF(ID!$A$92=E114,F114,"")</f>
        <v/>
      </c>
      <c r="H114" s="8" t="str">
        <f>IFERROR(SMALL($G$8:$G$115,ROWS(G$8:$G114)),"")</f>
        <v/>
      </c>
    </row>
    <row r="115" spans="6:8" x14ac:dyDescent="0.25">
      <c r="F115" s="151">
        <f>ROWS(F$8:$F115)</f>
        <v>108</v>
      </c>
      <c r="G115" s="8" t="str">
        <f>IF(ID!$A$92=E115,F115,"")</f>
        <v/>
      </c>
      <c r="H115" s="8" t="str">
        <f>IFERROR(SMALL($G$8:$G$115,ROWS(G$8:$G115)),"")</f>
        <v/>
      </c>
    </row>
  </sheetData>
  <phoneticPr fontId="8" type="noConversion"/>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5C70-32A8-45AF-875E-D811A9B491C5}">
  <sheetPr>
    <tabColor rgb="FF00B050"/>
  </sheetPr>
  <dimension ref="A1:O61"/>
  <sheetViews>
    <sheetView zoomScaleNormal="100" zoomScaleSheetLayoutView="90" workbookViewId="0">
      <selection activeCell="B13" sqref="B13"/>
    </sheetView>
  </sheetViews>
  <sheetFormatPr defaultColWidth="9.21875" defaultRowHeight="13.2" x14ac:dyDescent="0.25"/>
  <cols>
    <col min="1" max="1" width="18.21875" style="450" customWidth="1"/>
    <col min="2" max="2" width="26.21875" style="450" customWidth="1"/>
    <col min="3" max="3" width="3.109375" style="450" customWidth="1"/>
    <col min="4" max="4" width="7.21875" style="450" customWidth="1"/>
    <col min="5" max="5" width="13.6640625" style="450" customWidth="1"/>
    <col min="6" max="6" width="25.77734375" style="450" customWidth="1"/>
    <col min="7" max="7" width="9.21875" style="450"/>
    <col min="8" max="8" width="18.88671875" style="450" customWidth="1"/>
    <col min="9" max="9" width="12.109375" style="450" customWidth="1"/>
    <col min="10" max="16384" width="9.21875" style="450"/>
  </cols>
  <sheetData>
    <row r="1" spans="1:15" x14ac:dyDescent="0.25">
      <c r="H1" s="1398" t="s">
        <v>903</v>
      </c>
      <c r="I1" s="451"/>
      <c r="J1" s="451"/>
    </row>
    <row r="2" spans="1:15" ht="30" x14ac:dyDescent="0.25">
      <c r="A2" s="1899" t="str">
        <f>B46</f>
        <v>SERTIFIKAT PENGUJIAN</v>
      </c>
      <c r="B2" s="1899"/>
      <c r="C2" s="1899"/>
      <c r="D2" s="1899"/>
      <c r="E2" s="1899"/>
      <c r="F2" s="1899"/>
      <c r="H2" s="452"/>
      <c r="I2" s="1900"/>
      <c r="J2" s="1901"/>
    </row>
    <row r="3" spans="1:15" ht="13.8" x14ac:dyDescent="0.25">
      <c r="A3" s="1902" t="str">
        <f>"Nomor : 1 /"&amp;" "&amp;ID!L2</f>
        <v>Nomor : 1 / 6 / II - 21 / E - 012.12 DL</v>
      </c>
      <c r="B3" s="1902"/>
      <c r="C3" s="1902"/>
      <c r="D3" s="1902"/>
      <c r="E3" s="1902"/>
      <c r="F3" s="1902"/>
    </row>
    <row r="4" spans="1:15" x14ac:dyDescent="0.25">
      <c r="C4" s="450" t="s">
        <v>531</v>
      </c>
      <c r="D4" s="1903" t="s">
        <v>800</v>
      </c>
      <c r="E4" s="1903"/>
      <c r="F4" s="1903"/>
      <c r="H4" s="453"/>
      <c r="I4" s="453"/>
      <c r="J4" s="453"/>
    </row>
    <row r="5" spans="1:15" ht="14.4" x14ac:dyDescent="0.3">
      <c r="H5" s="1904"/>
      <c r="I5" s="1904"/>
      <c r="J5" s="1904"/>
    </row>
    <row r="6" spans="1:15" ht="13.8" x14ac:dyDescent="0.25">
      <c r="A6" s="454" t="s">
        <v>528</v>
      </c>
      <c r="B6" s="454" t="s">
        <v>734</v>
      </c>
      <c r="C6" s="455"/>
      <c r="D6" s="1897" t="s">
        <v>526</v>
      </c>
      <c r="E6" s="1898"/>
      <c r="F6" s="456" t="str">
        <f>MID(A3,SEARCH("E - ",A3),LEN(A3))</f>
        <v>E - 012.12 DL</v>
      </c>
    </row>
    <row r="7" spans="1:15" ht="13.8" x14ac:dyDescent="0.25">
      <c r="A7" s="457"/>
      <c r="B7" s="457"/>
      <c r="C7" s="457"/>
    </row>
    <row r="8" spans="1:15" ht="13.8" x14ac:dyDescent="0.25">
      <c r="A8" s="1906" t="s">
        <v>525</v>
      </c>
      <c r="B8" s="1906"/>
      <c r="C8" s="458" t="s">
        <v>0</v>
      </c>
      <c r="D8" s="1906" t="str">
        <f>LH!F3</f>
        <v>SMAF</v>
      </c>
      <c r="E8" s="1906"/>
      <c r="F8" s="1906"/>
      <c r="I8" s="1907"/>
      <c r="J8" s="1907"/>
    </row>
    <row r="9" spans="1:15" ht="13.8" x14ac:dyDescent="0.25">
      <c r="A9" s="1906" t="s">
        <v>524</v>
      </c>
      <c r="B9" s="1906"/>
      <c r="C9" s="458" t="s">
        <v>0</v>
      </c>
      <c r="D9" s="1906" t="str">
        <f>LH!F4</f>
        <v>YX980D</v>
      </c>
      <c r="E9" s="1906"/>
      <c r="F9" s="1906"/>
      <c r="I9" s="1907"/>
      <c r="J9" s="1907"/>
    </row>
    <row r="10" spans="1:15" ht="14.4" x14ac:dyDescent="0.3">
      <c r="A10" s="1906" t="s">
        <v>523</v>
      </c>
      <c r="B10" s="1906"/>
      <c r="C10" s="458" t="s">
        <v>0</v>
      </c>
      <c r="D10" s="1906" t="str">
        <f>LH!F5</f>
        <v>D11-18-047</v>
      </c>
      <c r="E10" s="1906"/>
      <c r="F10" s="1906"/>
      <c r="I10" s="1908"/>
      <c r="J10" s="1909"/>
      <c r="O10" s="459"/>
    </row>
    <row r="11" spans="1:15" s="451" customFormat="1" ht="14.4" hidden="1" x14ac:dyDescent="0.3">
      <c r="A11" s="1910"/>
      <c r="B11" s="1910"/>
      <c r="C11" s="460"/>
      <c r="D11" s="461"/>
      <c r="E11" s="461"/>
      <c r="F11" s="462"/>
      <c r="I11" s="463"/>
      <c r="J11" s="464"/>
      <c r="O11" s="464"/>
    </row>
    <row r="12" spans="1:15" s="451" customFormat="1" ht="14.4" x14ac:dyDescent="0.3">
      <c r="A12" s="1910" t="s">
        <v>70</v>
      </c>
      <c r="B12" s="1910"/>
      <c r="C12" s="460" t="s">
        <v>0</v>
      </c>
      <c r="D12" s="454">
        <f>LH!F6</f>
        <v>-5.0000000000000001E-3</v>
      </c>
      <c r="E12" s="454" t="str">
        <f>ID!D7</f>
        <v>(mmHg)</v>
      </c>
      <c r="F12" s="462"/>
      <c r="I12" s="465"/>
      <c r="J12" s="464"/>
      <c r="O12" s="464"/>
    </row>
    <row r="13" spans="1:15" ht="14.4" x14ac:dyDescent="0.3">
      <c r="A13" s="466"/>
      <c r="B13" s="466"/>
      <c r="C13" s="457"/>
      <c r="I13" s="1905"/>
      <c r="J13" s="1905"/>
      <c r="O13" s="459"/>
    </row>
    <row r="14" spans="1:15" ht="28.5" customHeight="1" x14ac:dyDescent="0.3">
      <c r="A14" s="467" t="s">
        <v>521</v>
      </c>
      <c r="B14" s="468"/>
      <c r="C14" s="457"/>
      <c r="D14" s="1897" t="s">
        <v>519</v>
      </c>
      <c r="E14" s="1898"/>
      <c r="F14" s="469"/>
      <c r="I14" s="1909"/>
      <c r="J14" s="1909"/>
      <c r="O14" s="459"/>
    </row>
    <row r="15" spans="1:15" ht="14.4" x14ac:dyDescent="0.25">
      <c r="A15" s="470"/>
      <c r="B15" s="457"/>
      <c r="C15" s="457"/>
      <c r="D15" s="457"/>
      <c r="E15" s="457"/>
      <c r="I15" s="1912"/>
      <c r="J15" s="1912"/>
    </row>
    <row r="16" spans="1:15" s="451" customFormat="1" ht="42.75" customHeight="1" x14ac:dyDescent="0.3">
      <c r="A16" s="1913" t="s">
        <v>517</v>
      </c>
      <c r="B16" s="1913"/>
      <c r="C16" s="471" t="s">
        <v>0</v>
      </c>
      <c r="D16" s="1914" t="s">
        <v>782</v>
      </c>
      <c r="E16" s="1914"/>
      <c r="F16" s="1914"/>
      <c r="H16" s="472"/>
      <c r="I16" s="1915"/>
      <c r="J16" s="1916"/>
    </row>
    <row r="17" spans="1:10" ht="14.4" x14ac:dyDescent="0.3">
      <c r="A17" s="1906" t="str">
        <f>"Nama Ruang "&amp;B50</f>
        <v>Nama Ruang Pengujian</v>
      </c>
      <c r="B17" s="1906"/>
      <c r="C17" s="458" t="s">
        <v>0</v>
      </c>
      <c r="D17" s="1917" t="str">
        <f>LH!F10</f>
        <v>Ruang Bersalin</v>
      </c>
      <c r="E17" s="1917"/>
      <c r="F17" s="1917"/>
      <c r="H17" s="1918"/>
      <c r="I17" s="1918"/>
      <c r="J17" s="1918"/>
    </row>
    <row r="18" spans="1:10" ht="14.4" x14ac:dyDescent="0.3">
      <c r="A18" s="1906" t="s">
        <v>203</v>
      </c>
      <c r="B18" s="1906"/>
      <c r="C18" s="458" t="s">
        <v>0</v>
      </c>
      <c r="D18" s="1911">
        <f>LH!F7</f>
        <v>44631</v>
      </c>
      <c r="E18" s="1911"/>
      <c r="F18" s="1911"/>
      <c r="H18" s="473"/>
      <c r="I18" s="473"/>
      <c r="J18" s="473"/>
    </row>
    <row r="19" spans="1:10" ht="14.25" customHeight="1" x14ac:dyDescent="0.25">
      <c r="A19" s="1906" t="str">
        <f>"Tanggal "&amp;B50</f>
        <v>Tanggal Pengujian</v>
      </c>
      <c r="B19" s="1906"/>
      <c r="C19" s="458" t="s">
        <v>0</v>
      </c>
      <c r="D19" s="1911" t="str">
        <f>LH!F8</f>
        <v>11 Maret 2022</v>
      </c>
      <c r="E19" s="1911"/>
      <c r="F19" s="1911"/>
    </row>
    <row r="20" spans="1:10" ht="13.8" x14ac:dyDescent="0.25">
      <c r="A20" s="1906" t="str">
        <f>"Penanggungjawab "&amp;B50</f>
        <v>Penanggungjawab Pengujian</v>
      </c>
      <c r="B20" s="1906"/>
      <c r="C20" s="458" t="s">
        <v>0</v>
      </c>
      <c r="D20" s="1906" t="str">
        <f>LH!B76</f>
        <v>Hamdan Syarif</v>
      </c>
      <c r="E20" s="1906"/>
      <c r="F20" s="1906"/>
    </row>
    <row r="21" spans="1:10" ht="14.4" x14ac:dyDescent="0.3">
      <c r="A21" s="1906" t="str">
        <f>"Lokasi "&amp;B50</f>
        <v>Lokasi Pengujian</v>
      </c>
      <c r="B21" s="1906"/>
      <c r="C21" s="458" t="s">
        <v>0</v>
      </c>
      <c r="D21" s="1917" t="str">
        <f>LH!F9</f>
        <v>Ruang Bersalin</v>
      </c>
      <c r="E21" s="1917"/>
      <c r="F21" s="1917"/>
      <c r="H21" s="474"/>
    </row>
    <row r="22" spans="1:10" ht="31.5" customHeight="1" x14ac:dyDescent="0.25">
      <c r="A22" s="1917" t="str">
        <f>"Hasil "&amp;B50</f>
        <v>Hasil Pengujian</v>
      </c>
      <c r="B22" s="1917"/>
      <c r="C22" s="475" t="s">
        <v>0</v>
      </c>
      <c r="D22" s="1919" t="str">
        <f>B57</f>
        <v xml:space="preserve">Laik Pakai, disarankan untuk diuji ulang pada tanggal </v>
      </c>
      <c r="E22" s="1919"/>
      <c r="F22" s="1919"/>
    </row>
    <row r="23" spans="1:10" ht="13.8" x14ac:dyDescent="0.25">
      <c r="A23" s="1906" t="s">
        <v>18</v>
      </c>
      <c r="B23" s="1906"/>
      <c r="C23" s="458" t="s">
        <v>0</v>
      </c>
      <c r="D23" s="1906" t="str">
        <f>LH!F11</f>
        <v>MK 132-2019</v>
      </c>
      <c r="E23" s="1906"/>
      <c r="F23" s="1906"/>
    </row>
    <row r="26" spans="1:10" ht="26.25" customHeight="1" x14ac:dyDescent="0.25">
      <c r="D26" s="476" t="s">
        <v>513</v>
      </c>
      <c r="E26" s="1921">
        <f ca="1">TODAY()</f>
        <v>45196</v>
      </c>
      <c r="F26" s="1921"/>
    </row>
    <row r="27" spans="1:10" ht="13.8" x14ac:dyDescent="0.25">
      <c r="D27" s="1906" t="s">
        <v>512</v>
      </c>
      <c r="E27" s="1906"/>
      <c r="F27" s="1906"/>
    </row>
    <row r="28" spans="1:10" ht="13.8" x14ac:dyDescent="0.25">
      <c r="D28" s="1906" t="s">
        <v>511</v>
      </c>
      <c r="E28" s="1906"/>
      <c r="F28" s="1906"/>
    </row>
    <row r="29" spans="1:10" ht="13.8" x14ac:dyDescent="0.25">
      <c r="D29" s="477"/>
      <c r="E29" s="477"/>
    </row>
    <row r="30" spans="1:10" ht="13.8" x14ac:dyDescent="0.25">
      <c r="D30" s="477"/>
      <c r="E30" s="477"/>
    </row>
    <row r="31" spans="1:10" ht="13.8" x14ac:dyDescent="0.25">
      <c r="D31" s="477"/>
      <c r="E31" s="477"/>
    </row>
    <row r="32" spans="1:10" ht="13.8" x14ac:dyDescent="0.25">
      <c r="D32" s="1906" t="s">
        <v>510</v>
      </c>
      <c r="E32" s="1906"/>
      <c r="F32" s="1906"/>
    </row>
    <row r="33" spans="1:6" ht="13.8" x14ac:dyDescent="0.25">
      <c r="D33" s="1920" t="s">
        <v>509</v>
      </c>
      <c r="E33" s="1920"/>
      <c r="F33" s="1920"/>
    </row>
    <row r="36" spans="1:6" x14ac:dyDescent="0.25">
      <c r="A36" s="478"/>
      <c r="B36" s="478"/>
      <c r="C36" s="478"/>
      <c r="D36" s="478"/>
      <c r="E36" s="478"/>
      <c r="F36" s="478"/>
    </row>
    <row r="42" spans="1:6" ht="13.8" thickBot="1" x14ac:dyDescent="0.3"/>
    <row r="43" spans="1:6" ht="31.5" customHeight="1" x14ac:dyDescent="0.25">
      <c r="A43" s="479" t="s">
        <v>783</v>
      </c>
      <c r="B43" s="480" t="str">
        <f>MID(ID!L2,SEARCH("E - ",ID!L2),LEN(ID!L2))</f>
        <v>E - 012.12 DL</v>
      </c>
    </row>
    <row r="44" spans="1:6" x14ac:dyDescent="0.25">
      <c r="A44" s="481"/>
      <c r="B44" s="482"/>
    </row>
    <row r="45" spans="1:6" ht="24" customHeight="1" x14ac:dyDescent="0.25">
      <c r="A45" s="483" t="s">
        <v>784</v>
      </c>
      <c r="B45" s="484" t="str">
        <f>ID!A1</f>
        <v>INPUT DATA KALIBRASI VACUUM EXTRACTOR</v>
      </c>
    </row>
    <row r="46" spans="1:6" ht="39" customHeight="1" x14ac:dyDescent="0.25">
      <c r="A46" s="483" t="s">
        <v>785</v>
      </c>
      <c r="B46" s="485" t="str">
        <f>IF(B45="INPUT DATA KALIBRASI Suction Pump",B47,B48)</f>
        <v>SERTIFIKAT PENGUJIAN</v>
      </c>
    </row>
    <row r="47" spans="1:6" ht="22.5" customHeight="1" x14ac:dyDescent="0.25">
      <c r="A47" s="483" t="s">
        <v>786</v>
      </c>
      <c r="B47" s="482" t="s">
        <v>535</v>
      </c>
    </row>
    <row r="48" spans="1:6" x14ac:dyDescent="0.25">
      <c r="A48" s="481"/>
      <c r="B48" s="482" t="s">
        <v>787</v>
      </c>
    </row>
    <row r="49" spans="1:2" x14ac:dyDescent="0.25">
      <c r="A49" s="481"/>
      <c r="B49" s="482"/>
    </row>
    <row r="50" spans="1:2" ht="48" customHeight="1" x14ac:dyDescent="0.25">
      <c r="A50" s="483" t="s">
        <v>788</v>
      </c>
      <c r="B50" s="482" t="str">
        <f>IF(RIGHT(A2,10)=" KALIBRASI","Kalibrasi","Pengujian")</f>
        <v>Pengujian</v>
      </c>
    </row>
    <row r="51" spans="1:2" x14ac:dyDescent="0.25">
      <c r="A51" s="481"/>
      <c r="B51" s="482"/>
    </row>
    <row r="52" spans="1:2" s="487" customFormat="1" ht="34.5" customHeight="1" x14ac:dyDescent="0.25">
      <c r="A52" s="483" t="s">
        <v>789</v>
      </c>
      <c r="B52" s="486" t="s">
        <v>514</v>
      </c>
    </row>
    <row r="53" spans="1:2" x14ac:dyDescent="0.25">
      <c r="A53" s="481"/>
      <c r="B53" s="482"/>
    </row>
    <row r="54" spans="1:2" ht="50.25" customHeight="1" x14ac:dyDescent="0.25">
      <c r="A54" s="488" t="s">
        <v>790</v>
      </c>
      <c r="B54" s="489"/>
    </row>
    <row r="55" spans="1:2" ht="27" customHeight="1" x14ac:dyDescent="0.25">
      <c r="A55" s="483" t="s">
        <v>791</v>
      </c>
      <c r="B55" s="490"/>
    </row>
    <row r="56" spans="1:2" x14ac:dyDescent="0.25">
      <c r="A56" s="481"/>
      <c r="B56" s="482"/>
    </row>
    <row r="57" spans="1:2" ht="30" customHeight="1" x14ac:dyDescent="0.25">
      <c r="A57" s="488" t="s">
        <v>792</v>
      </c>
      <c r="B57" s="491" t="str">
        <f>IF(B46=B47,B58,B59)</f>
        <v xml:space="preserve">Laik Pakai, disarankan untuk diuji ulang pada tanggal </v>
      </c>
    </row>
    <row r="58" spans="1:2" ht="27.6" x14ac:dyDescent="0.25">
      <c r="A58" s="481" t="s">
        <v>793</v>
      </c>
      <c r="B58" s="492" t="str">
        <f>CONCATENATE(B60,B55)</f>
        <v xml:space="preserve">Laik Pakai, disarankan untuk dikalibrasi ulang pada tanggal </v>
      </c>
    </row>
    <row r="59" spans="1:2" ht="27.6" x14ac:dyDescent="0.25">
      <c r="A59" s="481"/>
      <c r="B59" s="492" t="str">
        <f>CONCATENATE(B61,B55)</f>
        <v xml:space="preserve">Laik Pakai, disarankan untuk diuji ulang pada tanggal </v>
      </c>
    </row>
    <row r="60" spans="1:2" ht="42" customHeight="1" x14ac:dyDescent="0.25">
      <c r="A60" s="493" t="s">
        <v>786</v>
      </c>
      <c r="B60" s="492" t="s">
        <v>794</v>
      </c>
    </row>
    <row r="61" spans="1:2" ht="39.75" customHeight="1" thickBot="1" x14ac:dyDescent="0.3">
      <c r="A61" s="494"/>
      <c r="B61" s="495" t="s">
        <v>795</v>
      </c>
    </row>
  </sheetData>
  <sheetProtection formatRows="0"/>
  <mergeCells count="44">
    <mergeCell ref="D33:F33"/>
    <mergeCell ref="A23:B23"/>
    <mergeCell ref="D23:F23"/>
    <mergeCell ref="E26:F26"/>
    <mergeCell ref="D27:F27"/>
    <mergeCell ref="D28:F28"/>
    <mergeCell ref="D32:F32"/>
    <mergeCell ref="A20:B20"/>
    <mergeCell ref="D20:F20"/>
    <mergeCell ref="A21:B21"/>
    <mergeCell ref="D21:F21"/>
    <mergeCell ref="A22:B22"/>
    <mergeCell ref="D22:F22"/>
    <mergeCell ref="A19:B19"/>
    <mergeCell ref="D19:F19"/>
    <mergeCell ref="D14:E14"/>
    <mergeCell ref="I14:J14"/>
    <mergeCell ref="I15:J15"/>
    <mergeCell ref="A16:B16"/>
    <mergeCell ref="D16:F16"/>
    <mergeCell ref="I16:J16"/>
    <mergeCell ref="A17:B17"/>
    <mergeCell ref="D17:F17"/>
    <mergeCell ref="H17:J17"/>
    <mergeCell ref="A18:B18"/>
    <mergeCell ref="D18:F18"/>
    <mergeCell ref="I13:J13"/>
    <mergeCell ref="A8:B8"/>
    <mergeCell ref="D8:F8"/>
    <mergeCell ref="I8:J8"/>
    <mergeCell ref="A9:B9"/>
    <mergeCell ref="D9:F9"/>
    <mergeCell ref="I9:J9"/>
    <mergeCell ref="A10:B10"/>
    <mergeCell ref="D10:F10"/>
    <mergeCell ref="I10:J10"/>
    <mergeCell ref="A11:B11"/>
    <mergeCell ref="A12:B12"/>
    <mergeCell ref="D6:E6"/>
    <mergeCell ref="A2:F2"/>
    <mergeCell ref="I2:J2"/>
    <mergeCell ref="A3:F3"/>
    <mergeCell ref="D4:F4"/>
    <mergeCell ref="H5:J5"/>
  </mergeCells>
  <dataValidations count="3">
    <dataValidation type="list" allowBlank="1" showInputMessage="1" showErrorMessage="1" sqref="A2:F2" xr:uid="{A862A730-76F8-4629-91BC-190B92B85441}">
      <formula1>"SERTIFIKAT KALIBRASI,SERTIFIKAT PENGUJIAN"</formula1>
    </dataValidation>
    <dataValidation type="list" allowBlank="1" showInputMessage="1" showErrorMessage="1" sqref="J11" xr:uid="{14ECA2E7-B8E9-454D-9B87-F88CBF705132}">
      <formula1>$M$2:$M$22</formula1>
    </dataValidation>
    <dataValidation type="list" allowBlank="1" showInputMessage="1" showErrorMessage="1" sqref="J12" xr:uid="{121C217A-C8EC-4492-A31C-05A5A4B42954}">
      <formula1>$O$9:$O$14</formula1>
    </dataValidation>
  </dataValidations>
  <pageMargins left="0.6" right="0.3" top="1.57" bottom="0" header="0.5" footer="0.6"/>
  <pageSetup paperSize="9" orientation="portrait" horizontalDpi="0" verticalDpi="0" r:id="rId1"/>
  <headerFooter>
    <oddFooter>&amp;L&amp;"Times New Roman,Bold"Sertifikat ini terdiri dari 2 halaman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Q105"/>
  <sheetViews>
    <sheetView topLeftCell="A82" workbookViewId="0">
      <selection activeCell="E87" sqref="E87"/>
    </sheetView>
  </sheetViews>
  <sheetFormatPr defaultRowHeight="13.2" x14ac:dyDescent="0.25"/>
  <cols>
    <col min="2" max="2" width="9.21875" style="69"/>
    <col min="5" max="5" width="64.77734375" customWidth="1"/>
    <col min="15" max="15" width="58.77734375" customWidth="1"/>
  </cols>
  <sheetData>
    <row r="2" spans="2:17" x14ac:dyDescent="0.25">
      <c r="K2" s="6"/>
      <c r="L2" s="6"/>
      <c r="M2" s="6"/>
      <c r="N2" s="6"/>
      <c r="O2" s="7" t="s">
        <v>48</v>
      </c>
      <c r="P2" s="45"/>
      <c r="Q2" s="45"/>
    </row>
    <row r="3" spans="2:17" x14ac:dyDescent="0.25">
      <c r="K3" s="6"/>
      <c r="L3" s="6"/>
      <c r="M3" s="6"/>
      <c r="N3" s="6"/>
      <c r="O3" s="2"/>
    </row>
    <row r="4" spans="2:17" x14ac:dyDescent="0.25">
      <c r="K4" s="6"/>
      <c r="L4" s="6"/>
      <c r="M4" s="6"/>
      <c r="N4" s="6"/>
      <c r="O4" s="2"/>
    </row>
    <row r="5" spans="2:17" x14ac:dyDescent="0.25">
      <c r="K5" s="6"/>
      <c r="L5" s="6"/>
      <c r="M5" s="6"/>
      <c r="N5" s="6"/>
      <c r="O5" s="2"/>
    </row>
    <row r="6" spans="2:17" x14ac:dyDescent="0.25">
      <c r="K6" s="6"/>
      <c r="L6" s="6"/>
      <c r="M6" s="6"/>
      <c r="N6" s="6"/>
      <c r="O6" s="2"/>
    </row>
    <row r="7" spans="2:17" ht="13.8" x14ac:dyDescent="0.3">
      <c r="B7" s="61" t="s">
        <v>215</v>
      </c>
      <c r="C7" s="4" t="s">
        <v>181</v>
      </c>
      <c r="D7" s="5" t="s">
        <v>56</v>
      </c>
      <c r="E7" s="1" t="s">
        <v>48</v>
      </c>
      <c r="F7" s="3" t="s">
        <v>90</v>
      </c>
      <c r="G7" s="3" t="s">
        <v>91</v>
      </c>
      <c r="H7" s="3" t="s">
        <v>92</v>
      </c>
      <c r="K7" s="4" t="s">
        <v>182</v>
      </c>
      <c r="L7" s="4" t="s">
        <v>181</v>
      </c>
      <c r="M7" s="5" t="s">
        <v>56</v>
      </c>
      <c r="N7" s="6"/>
      <c r="O7" s="2"/>
    </row>
    <row r="8" spans="2:17" x14ac:dyDescent="0.25">
      <c r="B8" s="63">
        <v>0</v>
      </c>
      <c r="C8" s="35">
        <v>0</v>
      </c>
      <c r="D8" s="324">
        <v>2020</v>
      </c>
      <c r="E8" s="291" t="s">
        <v>358</v>
      </c>
      <c r="F8" s="151">
        <f>ROWS(F$8:$F8)</f>
        <v>1</v>
      </c>
      <c r="G8" s="8" t="str">
        <f>IF(ID!$A$92=E8,F8,"")</f>
        <v/>
      </c>
      <c r="H8" s="8">
        <f>IFERROR(SMALL($G$8:$G$105,ROWS(G$8:$G8)),"")</f>
        <v>80</v>
      </c>
      <c r="K8" s="8">
        <f>IFERROR(INDEX($B$8:$D$105,$H8,COLUMNS(J$8:$J8)),"")</f>
        <v>0</v>
      </c>
      <c r="L8" s="8">
        <f>IFERROR(INDEX($B$8:$D$105,$H8,COLUMNS($J$8:K8)),"")</f>
        <v>0</v>
      </c>
      <c r="M8" s="8">
        <f>IFERROR(INDEX($B$8:$D$105,$H8,COLUMNS($J$8:L8)),"")</f>
        <v>2022</v>
      </c>
      <c r="N8" s="6"/>
      <c r="O8" s="2"/>
    </row>
    <row r="9" spans="2:17" x14ac:dyDescent="0.25">
      <c r="B9" s="63">
        <v>50</v>
      </c>
      <c r="C9" s="35">
        <v>0.1</v>
      </c>
      <c r="D9" s="324"/>
      <c r="E9" s="291" t="s">
        <v>358</v>
      </c>
      <c r="F9" s="151">
        <f>ROWS(F$8:$F9)</f>
        <v>2</v>
      </c>
      <c r="G9" s="8" t="str">
        <f>IF(ID!$A$92=E9,F9,"")</f>
        <v/>
      </c>
      <c r="H9" s="8">
        <f>IFERROR(SMALL($G$8:$G$105,ROWS(G$8:$G9)),"")</f>
        <v>81</v>
      </c>
      <c r="K9" s="8">
        <f>IFERROR(INDEX($B$8:$D$105,$H9,COLUMNS(J$8:$J9)),"")</f>
        <v>15</v>
      </c>
      <c r="L9" s="8">
        <f>IFERROR(INDEX($B$8:$D$105,$H9,COLUMNS($J$8:K9)),"")</f>
        <v>4.9000000000000004</v>
      </c>
      <c r="M9" s="8">
        <f>IFERROR(INDEX($B$8:$D$105,$H9,COLUMNS($J$8:L9)),"")</f>
        <v>0</v>
      </c>
      <c r="N9" s="6"/>
      <c r="O9" s="2"/>
    </row>
    <row r="10" spans="2:17" x14ac:dyDescent="0.25">
      <c r="B10" s="63">
        <v>100</v>
      </c>
      <c r="C10" s="35">
        <v>0.2</v>
      </c>
      <c r="D10" s="324"/>
      <c r="E10" s="291" t="s">
        <v>358</v>
      </c>
      <c r="F10" s="151">
        <f>ROWS(F$8:$F10)</f>
        <v>3</v>
      </c>
      <c r="G10" s="8" t="str">
        <f>IF(ID!$A$92=E10,F10,"")</f>
        <v/>
      </c>
      <c r="H10" s="8">
        <f>IFERROR(SMALL($G$8:$G$105,ROWS(G$8:$G10)),"")</f>
        <v>82</v>
      </c>
      <c r="K10" s="8">
        <f>IFERROR(INDEX($B$8:$D$105,$H10,COLUMNS(J$8:$J10)),"")</f>
        <v>50</v>
      </c>
      <c r="L10" s="8">
        <f>IFERROR(INDEX($B$8:$D$105,$H10,COLUMNS($J$8:K10)),"")</f>
        <v>9.1999999999999993</v>
      </c>
      <c r="M10" s="8">
        <f>IFERROR(INDEX($B$8:$D$105,$H10,COLUMNS($J$8:L10)),"")</f>
        <v>0</v>
      </c>
      <c r="N10" s="6"/>
      <c r="O10" s="2"/>
    </row>
    <row r="11" spans="2:17" x14ac:dyDescent="0.25">
      <c r="B11" s="63">
        <v>200</v>
      </c>
      <c r="C11" s="35">
        <v>0.4</v>
      </c>
      <c r="D11" s="324"/>
      <c r="E11" s="291" t="s">
        <v>358</v>
      </c>
      <c r="F11" s="151">
        <f>ROWS(F$8:$F11)</f>
        <v>4</v>
      </c>
      <c r="G11" s="8" t="str">
        <f>IF(ID!$A$92=E11,F11,"")</f>
        <v/>
      </c>
      <c r="H11" s="8">
        <f>IFERROR(SMALL($G$8:$G$105,ROWS(G$8:$G11)),"")</f>
        <v>83</v>
      </c>
      <c r="K11" s="8">
        <f>IFERROR(INDEX($B$8:$D$105,$H11,COLUMNS(J$8:$J11)),"")</f>
        <v>100</v>
      </c>
      <c r="L11" s="8">
        <f>IFERROR(INDEX($B$8:$D$105,$H11,COLUMNS($J$8:K11)),"")</f>
        <v>7.7</v>
      </c>
      <c r="M11" s="8">
        <f>IFERROR(INDEX($B$8:$D$105,$H11,COLUMNS($J$8:L11)),"")</f>
        <v>0</v>
      </c>
      <c r="N11" s="6"/>
      <c r="O11" s="38" t="s">
        <v>95</v>
      </c>
    </row>
    <row r="12" spans="2:17" x14ac:dyDescent="0.25">
      <c r="B12" s="63">
        <v>500</v>
      </c>
      <c r="C12" s="35">
        <v>3.8</v>
      </c>
      <c r="D12" s="324"/>
      <c r="E12" s="291" t="s">
        <v>358</v>
      </c>
      <c r="F12" s="151">
        <f>ROWS(F$8:$F12)</f>
        <v>5</v>
      </c>
      <c r="G12" s="8" t="str">
        <f>IF(ID!$A$92=E12,F12,"")</f>
        <v/>
      </c>
      <c r="H12" s="8">
        <f>IFERROR(SMALL($G$8:$G$105,ROWS(G$8:$G12)),"")</f>
        <v>84</v>
      </c>
      <c r="K12" s="8">
        <f>IFERROR(INDEX($B$8:$D$105,$H12,COLUMNS(J$8:$J12)),"")</f>
        <v>200</v>
      </c>
      <c r="L12" s="8">
        <f>IFERROR(INDEX($B$8:$D$105,$H12,COLUMNS($J$8:K12)),"")</f>
        <v>-0.2</v>
      </c>
      <c r="M12" s="8">
        <f>IFERROR(INDEX($B$8:$D$105,$H12,COLUMNS($J$8:L12)),"")</f>
        <v>0</v>
      </c>
      <c r="N12" s="6"/>
      <c r="O12" s="38" t="s">
        <v>95</v>
      </c>
    </row>
    <row r="13" spans="2:17" ht="13.8" thickBot="1" x14ac:dyDescent="0.3">
      <c r="B13" s="350">
        <v>700</v>
      </c>
      <c r="C13" s="351">
        <f>C12</f>
        <v>3.8</v>
      </c>
      <c r="D13" s="319"/>
      <c r="E13" s="300" t="s">
        <v>358</v>
      </c>
      <c r="F13" s="151">
        <f>ROWS(F$8:$F13)</f>
        <v>6</v>
      </c>
      <c r="G13" s="8" t="str">
        <f>IF(ID!$A$92=E13,F13,"")</f>
        <v/>
      </c>
      <c r="H13" s="8">
        <f>IFERROR(SMALL($G$8:$G$105,ROWS(G$8:$G13)),"")</f>
        <v>85</v>
      </c>
      <c r="K13" s="8">
        <f>IFERROR(INDEX($B$8:$D$105,$H13,COLUMNS(J$8:$J13)),"")</f>
        <v>500</v>
      </c>
      <c r="L13" s="8">
        <f>IFERROR(INDEX($B$8:$D$105,$H13,COLUMNS($J$8:K13)),"")</f>
        <v>-25.1</v>
      </c>
      <c r="M13" s="8">
        <f>IFERROR(INDEX($B$8:$D$105,$H13,COLUMNS($J$8:L13)),"")</f>
        <v>0</v>
      </c>
      <c r="N13" s="6"/>
      <c r="O13" s="38" t="s">
        <v>95</v>
      </c>
    </row>
    <row r="14" spans="2:17" x14ac:dyDescent="0.25">
      <c r="D14" s="338"/>
      <c r="E14" s="291"/>
      <c r="F14" s="151">
        <f>ROWS(F$8:$F14)</f>
        <v>7</v>
      </c>
      <c r="G14" s="8" t="str">
        <f>IF(ID!$A$92=E14,F14,"")</f>
        <v/>
      </c>
      <c r="H14" s="8">
        <f>IFERROR(SMALL($G$8:$G$105,ROWS(G$8:$G14)),"")</f>
        <v>86</v>
      </c>
      <c r="K14" s="8">
        <f>IFERROR(INDEX($B$8:$D$105,$H14,COLUMNS(J$8:$J14)),"")</f>
        <v>700</v>
      </c>
      <c r="L14" s="8">
        <f>IFERROR(INDEX($B$8:$D$105,$H14,COLUMNS($J$8:K14)),"")</f>
        <v>-25.1</v>
      </c>
      <c r="M14" s="8">
        <f>IFERROR(INDEX($B$8:$D$105,$H14,COLUMNS($J$8:L14)),"")</f>
        <v>0</v>
      </c>
      <c r="N14" s="6"/>
      <c r="O14" s="38" t="s">
        <v>95</v>
      </c>
    </row>
    <row r="15" spans="2:17" x14ac:dyDescent="0.25">
      <c r="F15" s="151">
        <f>ROWS(F$8:$F15)</f>
        <v>8</v>
      </c>
      <c r="G15" s="8" t="str">
        <f>IF(ID!$A$92=E15,F15,"")</f>
        <v/>
      </c>
      <c r="H15" s="8" t="str">
        <f>IFERROR(SMALL($G$8:$G$105,ROWS(G$8:$G15)),"")</f>
        <v/>
      </c>
    </row>
    <row r="16" spans="2:17" x14ac:dyDescent="0.25">
      <c r="F16" s="151">
        <f>ROWS(F$8:$F16)</f>
        <v>9</v>
      </c>
      <c r="G16" s="8" t="str">
        <f>IF(ID!$A$92=E16,F16,"")</f>
        <v/>
      </c>
      <c r="H16" s="8" t="str">
        <f>IFERROR(SMALL($G$8:$G$105,ROWS(G$8:$G16)),"")</f>
        <v/>
      </c>
    </row>
    <row r="17" spans="1:8" x14ac:dyDescent="0.25">
      <c r="F17" s="151">
        <f>ROWS(F$8:$F17)</f>
        <v>10</v>
      </c>
      <c r="G17" s="8" t="str">
        <f>IF(ID!$A$92=E17,F17,"")</f>
        <v/>
      </c>
      <c r="H17" s="8" t="str">
        <f>IFERROR(SMALL($G$8:$G$105,ROWS(G$8:$G17)),"")</f>
        <v/>
      </c>
    </row>
    <row r="18" spans="1:8" x14ac:dyDescent="0.25">
      <c r="B18" s="63">
        <v>0</v>
      </c>
      <c r="C18" s="37">
        <v>0.3</v>
      </c>
      <c r="D18" s="324">
        <v>2019</v>
      </c>
      <c r="E18" s="291" t="s">
        <v>846</v>
      </c>
      <c r="F18" s="151">
        <f>ROWS(F$8:$F18)</f>
        <v>11</v>
      </c>
      <c r="G18" s="8" t="str">
        <f>IF(ID!$A$92=E18,F18,"")</f>
        <v/>
      </c>
      <c r="H18" s="8" t="str">
        <f>IFERROR(SMALL($G$8:$G$105,ROWS(G$8:$G18)),"")</f>
        <v/>
      </c>
    </row>
    <row r="19" spans="1:8" x14ac:dyDescent="0.25">
      <c r="B19" s="63">
        <v>50</v>
      </c>
      <c r="C19" s="37">
        <v>0.1</v>
      </c>
      <c r="D19" s="324"/>
      <c r="E19" s="291" t="s">
        <v>846</v>
      </c>
      <c r="F19" s="151">
        <f>ROWS(F$8:$F19)</f>
        <v>12</v>
      </c>
      <c r="G19" s="8" t="str">
        <f>IF(ID!$A$92=E19,F19,"")</f>
        <v/>
      </c>
      <c r="H19" s="8" t="str">
        <f>IFERROR(SMALL($G$8:$G$105,ROWS(G$8:$G19)),"")</f>
        <v/>
      </c>
    </row>
    <row r="20" spans="1:8" x14ac:dyDescent="0.25">
      <c r="B20" s="63">
        <v>100</v>
      </c>
      <c r="C20" s="37">
        <v>0.4</v>
      </c>
      <c r="D20" s="324"/>
      <c r="E20" s="291" t="s">
        <v>846</v>
      </c>
      <c r="F20" s="151">
        <f>ROWS(F$8:$F20)</f>
        <v>13</v>
      </c>
      <c r="G20" s="8" t="str">
        <f>IF(ID!$A$92=E20,F20,"")</f>
        <v/>
      </c>
      <c r="H20" s="8" t="str">
        <f>IFERROR(SMALL($G$8:$G$105,ROWS(G$8:$G20)),"")</f>
        <v/>
      </c>
    </row>
    <row r="21" spans="1:8" x14ac:dyDescent="0.25">
      <c r="B21" s="63">
        <v>200</v>
      </c>
      <c r="C21" s="37">
        <v>0.7</v>
      </c>
      <c r="D21" s="324"/>
      <c r="E21" s="291" t="s">
        <v>846</v>
      </c>
      <c r="F21" s="151">
        <f>ROWS(F$8:$F21)</f>
        <v>14</v>
      </c>
      <c r="G21" s="8" t="str">
        <f>IF(ID!$A$92=E21,F21,"")</f>
        <v/>
      </c>
      <c r="H21" s="8" t="str">
        <f>IFERROR(SMALL($G$8:$G$105,ROWS(G$8:$G21)),"")</f>
        <v/>
      </c>
    </row>
    <row r="22" spans="1:8" x14ac:dyDescent="0.25">
      <c r="B22" s="63">
        <v>500</v>
      </c>
      <c r="C22" s="40">
        <v>0.8</v>
      </c>
      <c r="D22" s="324"/>
      <c r="E22" s="291" t="s">
        <v>846</v>
      </c>
      <c r="F22" s="151">
        <f>ROWS(F$8:$F22)</f>
        <v>15</v>
      </c>
      <c r="G22" s="8" t="str">
        <f>IF(ID!$A$92=E22,F22,"")</f>
        <v/>
      </c>
      <c r="H22" s="8" t="str">
        <f>IFERROR(SMALL($G$8:$G$105,ROWS(G$8:$G22)),"")</f>
        <v/>
      </c>
    </row>
    <row r="23" spans="1:8" s="294" customFormat="1" ht="13.8" thickBot="1" x14ac:dyDescent="0.3">
      <c r="B23" s="350">
        <v>700</v>
      </c>
      <c r="C23" s="351">
        <f>C22</f>
        <v>0.8</v>
      </c>
      <c r="D23" s="319"/>
      <c r="E23" s="291" t="s">
        <v>846</v>
      </c>
      <c r="F23" s="151">
        <f>ROWS(F$8:$F23)</f>
        <v>16</v>
      </c>
      <c r="G23" s="8" t="str">
        <f>IF(ID!$A$92=E23,F23,"")</f>
        <v/>
      </c>
      <c r="H23" s="8" t="str">
        <f>IFERROR(SMALL($G$8:$G$105,ROWS(G$8:$G23)),"")</f>
        <v/>
      </c>
    </row>
    <row r="24" spans="1:8" ht="13.8" thickBot="1" x14ac:dyDescent="0.3">
      <c r="B24" s="65"/>
      <c r="C24" s="92"/>
      <c r="D24" s="319"/>
      <c r="E24" s="300"/>
      <c r="F24" s="151">
        <f>ROWS(F$8:$F24)</f>
        <v>17</v>
      </c>
      <c r="G24" s="8" t="str">
        <f>IF(ID!$A$92=E24,F24,"")</f>
        <v/>
      </c>
      <c r="H24" s="8" t="str">
        <f>IFERROR(SMALL($G$8:$G$105,ROWS(G$8:$G24)),"")</f>
        <v/>
      </c>
    </row>
    <row r="25" spans="1:8" x14ac:dyDescent="0.25">
      <c r="B25" s="60"/>
      <c r="C25" s="41"/>
      <c r="D25" s="33"/>
      <c r="F25" s="151">
        <f>ROWS(F$8:$F25)</f>
        <v>18</v>
      </c>
      <c r="G25" s="8" t="str">
        <f>IF(ID!$A$92=E25,F25,"")</f>
        <v/>
      </c>
      <c r="H25" s="8" t="str">
        <f>IFERROR(SMALL($G$8:$G$105,ROWS(G$8:$G25)),"")</f>
        <v/>
      </c>
    </row>
    <row r="26" spans="1:8" x14ac:dyDescent="0.25">
      <c r="F26" s="151">
        <f>ROWS(F$8:$F26)</f>
        <v>19</v>
      </c>
      <c r="G26" s="8" t="str">
        <f>IF(ID!$A$92=E26,F26,"")</f>
        <v/>
      </c>
      <c r="H26" s="8" t="str">
        <f>IFERROR(SMALL($G$8:$G$105,ROWS(G$8:$G26)),"")</f>
        <v/>
      </c>
    </row>
    <row r="27" spans="1:8" ht="13.8" x14ac:dyDescent="0.3">
      <c r="A27" s="524"/>
      <c r="B27" s="551" t="s">
        <v>215</v>
      </c>
      <c r="C27" s="551" t="s">
        <v>181</v>
      </c>
      <c r="D27" s="714" t="s">
        <v>56</v>
      </c>
      <c r="E27" s="2"/>
      <c r="F27" s="151">
        <f>ROWS(F$8:$F27)</f>
        <v>20</v>
      </c>
      <c r="G27" s="8" t="str">
        <f>IF(ID!$A$92=E27,F27,"")</f>
        <v/>
      </c>
      <c r="H27" s="8" t="str">
        <f>IFERROR(SMALL($G$8:$G$105,ROWS(G$8:$G27)),"")</f>
        <v/>
      </c>
    </row>
    <row r="28" spans="1:8" s="294" customFormat="1" x14ac:dyDescent="0.25">
      <c r="B28" s="299">
        <v>0</v>
      </c>
      <c r="C28" s="733">
        <v>0</v>
      </c>
      <c r="D28" s="319">
        <v>2022</v>
      </c>
      <c r="E28" s="293" t="s">
        <v>359</v>
      </c>
      <c r="F28" s="151">
        <f>ROWS(F$8:$F28)</f>
        <v>21</v>
      </c>
      <c r="G28" s="8" t="str">
        <f>IF(ID!$A$92=E28,F28,"")</f>
        <v/>
      </c>
      <c r="H28" s="8" t="str">
        <f>IFERROR(SMALL($G$8:$G$105,ROWS(G$8:$G28)),"")</f>
        <v/>
      </c>
    </row>
    <row r="29" spans="1:8" x14ac:dyDescent="0.25">
      <c r="B29" s="63">
        <v>20</v>
      </c>
      <c r="C29" s="734">
        <v>5.2</v>
      </c>
      <c r="D29" s="33"/>
      <c r="E29" s="291" t="s">
        <v>359</v>
      </c>
      <c r="F29" s="151">
        <f>ROWS(F$8:$F29)</f>
        <v>22</v>
      </c>
      <c r="G29" s="8" t="str">
        <f>IF(ID!$A$92=E29,F29,"")</f>
        <v/>
      </c>
      <c r="H29" s="8" t="str">
        <f>IFERROR(SMALL($G$8:$G$105,ROWS(G$8:$G29)),"")</f>
        <v/>
      </c>
    </row>
    <row r="30" spans="1:8" x14ac:dyDescent="0.25">
      <c r="B30" s="63">
        <v>50</v>
      </c>
      <c r="C30" s="734">
        <v>9.1</v>
      </c>
      <c r="D30" s="33"/>
      <c r="E30" s="291" t="s">
        <v>359</v>
      </c>
      <c r="F30" s="151">
        <f>ROWS(F$8:$F30)</f>
        <v>23</v>
      </c>
      <c r="G30" s="8" t="str">
        <f>IF(ID!$A$92=E30,F30,"")</f>
        <v/>
      </c>
      <c r="H30" s="8" t="str">
        <f>IFERROR(SMALL($G$8:$G$105,ROWS(G$8:$G30)),"")</f>
        <v/>
      </c>
    </row>
    <row r="31" spans="1:8" x14ac:dyDescent="0.25">
      <c r="B31" s="63">
        <v>100</v>
      </c>
      <c r="C31" s="734">
        <v>6</v>
      </c>
      <c r="D31" s="33"/>
      <c r="E31" s="291" t="s">
        <v>359</v>
      </c>
      <c r="F31" s="151">
        <f>ROWS(F$8:$F31)</f>
        <v>24</v>
      </c>
      <c r="G31" s="8" t="str">
        <f>IF(ID!$A$92=E31,F31,"")</f>
        <v/>
      </c>
      <c r="H31" s="8" t="str">
        <f>IFERROR(SMALL($G$8:$G$105,ROWS(G$8:$G31)),"")</f>
        <v/>
      </c>
    </row>
    <row r="32" spans="1:8" x14ac:dyDescent="0.25">
      <c r="B32" s="63">
        <v>200</v>
      </c>
      <c r="C32" s="734">
        <v>-3.6</v>
      </c>
      <c r="D32" s="33"/>
      <c r="E32" s="291" t="s">
        <v>359</v>
      </c>
      <c r="F32" s="151">
        <f>ROWS(F$8:$F32)</f>
        <v>25</v>
      </c>
      <c r="G32" s="8" t="str">
        <f>IF(ID!$A$92=E32,F32,"")</f>
        <v/>
      </c>
      <c r="H32" s="8" t="str">
        <f>IFERROR(SMALL($G$8:$G$105,ROWS(G$8:$G32)),"")</f>
        <v/>
      </c>
    </row>
    <row r="33" spans="1:8" ht="13.8" thickBot="1" x14ac:dyDescent="0.3">
      <c r="B33" s="735">
        <v>500</v>
      </c>
      <c r="C33" s="736">
        <v>-18.8</v>
      </c>
      <c r="D33" s="93"/>
      <c r="E33" s="300" t="s">
        <v>359</v>
      </c>
      <c r="F33" s="151">
        <f>ROWS(F$8:$F33)</f>
        <v>26</v>
      </c>
      <c r="G33" s="8" t="str">
        <f>IF(ID!$A$92=E33,F33,"")</f>
        <v/>
      </c>
      <c r="H33" s="8" t="str">
        <f>IFERROR(SMALL($G$8:$G$105,ROWS(G$8:$G33)),"")</f>
        <v/>
      </c>
    </row>
    <row r="34" spans="1:8" x14ac:dyDescent="0.25">
      <c r="B34" s="737">
        <v>700</v>
      </c>
      <c r="C34" s="738">
        <f>C33</f>
        <v>-18.8</v>
      </c>
      <c r="E34" s="300" t="s">
        <v>359</v>
      </c>
      <c r="F34" s="151">
        <f>ROWS(F$8:$F34)</f>
        <v>27</v>
      </c>
      <c r="G34" s="8" t="str">
        <f>IF(ID!$A$92=E34,F34,"")</f>
        <v/>
      </c>
      <c r="H34" s="8" t="str">
        <f>IFERROR(SMALL($G$8:$G$105,ROWS(G$8:$G34)),"")</f>
        <v/>
      </c>
    </row>
    <row r="35" spans="1:8" x14ac:dyDescent="0.25">
      <c r="F35" s="151">
        <f>ROWS(F$8:$F35)</f>
        <v>28</v>
      </c>
      <c r="G35" s="8" t="str">
        <f>IF(ID!$A$92=E35,F35,"")</f>
        <v/>
      </c>
      <c r="H35" s="8" t="str">
        <f>IFERROR(SMALL($G$8:$G$105,ROWS(G$8:$G35)),"")</f>
        <v/>
      </c>
    </row>
    <row r="36" spans="1:8" ht="13.8" x14ac:dyDescent="0.3">
      <c r="A36" s="524"/>
      <c r="B36" s="551" t="s">
        <v>215</v>
      </c>
      <c r="C36" s="551" t="s">
        <v>181</v>
      </c>
      <c r="D36" s="714" t="s">
        <v>56</v>
      </c>
      <c r="E36" s="2"/>
      <c r="F36" s="151">
        <f>ROWS(F$8:$F36)</f>
        <v>29</v>
      </c>
      <c r="G36" s="8" t="str">
        <f>IF(ID!$A$92=E36,F36,"")</f>
        <v/>
      </c>
      <c r="H36" s="8" t="str">
        <f>IFERROR(SMALL($G$8:$G$105,ROWS(G$8:$G36)),"")</f>
        <v/>
      </c>
    </row>
    <row r="37" spans="1:8" s="294" customFormat="1" x14ac:dyDescent="0.25">
      <c r="B37" s="299">
        <v>0</v>
      </c>
      <c r="C37" s="93">
        <v>0</v>
      </c>
      <c r="D37" s="318">
        <v>2021</v>
      </c>
      <c r="E37" s="293" t="s">
        <v>360</v>
      </c>
      <c r="F37" s="151">
        <f>ROWS(F$8:$F37)</f>
        <v>30</v>
      </c>
      <c r="G37" s="8" t="str">
        <f>IF(ID!$A$92=E37,F37,"")</f>
        <v/>
      </c>
      <c r="H37" s="8" t="str">
        <f>IFERROR(SMALL($G$8:$G$105,ROWS(G$8:$G37)),"")</f>
        <v/>
      </c>
    </row>
    <row r="38" spans="1:8" x14ac:dyDescent="0.25">
      <c r="B38" s="63">
        <v>20</v>
      </c>
      <c r="C38" s="35">
        <v>0.3</v>
      </c>
      <c r="D38" s="33"/>
      <c r="E38" s="292" t="s">
        <v>360</v>
      </c>
      <c r="F38" s="151">
        <f>ROWS(F$8:$F38)</f>
        <v>31</v>
      </c>
      <c r="G38" s="8" t="str">
        <f>IF(ID!$A$92=E38,F38,"")</f>
        <v/>
      </c>
      <c r="H38" s="8" t="str">
        <f>IFERROR(SMALL($G$8:$G$105,ROWS(G$8:$G38)),"")</f>
        <v/>
      </c>
    </row>
    <row r="39" spans="1:8" x14ac:dyDescent="0.25">
      <c r="B39" s="63">
        <v>50</v>
      </c>
      <c r="C39" s="35">
        <v>0.4</v>
      </c>
      <c r="D39" s="33"/>
      <c r="E39" s="292" t="s">
        <v>360</v>
      </c>
      <c r="F39" s="151">
        <f>ROWS(F$8:$F39)</f>
        <v>32</v>
      </c>
      <c r="G39" s="8" t="str">
        <f>IF(ID!$A$92=E39,F39,"")</f>
        <v/>
      </c>
      <c r="H39" s="8" t="str">
        <f>IFERROR(SMALL($G$8:$G$105,ROWS(G$8:$G39)),"")</f>
        <v/>
      </c>
    </row>
    <row r="40" spans="1:8" x14ac:dyDescent="0.25">
      <c r="B40" s="63">
        <v>100</v>
      </c>
      <c r="C40" s="35">
        <v>0.4</v>
      </c>
      <c r="D40" s="33"/>
      <c r="E40" s="292" t="s">
        <v>360</v>
      </c>
      <c r="F40" s="151">
        <f>ROWS(F$8:$F40)</f>
        <v>33</v>
      </c>
      <c r="G40" s="8" t="str">
        <f>IF(ID!$A$92=E40,F40,"")</f>
        <v/>
      </c>
      <c r="H40" s="8" t="str">
        <f>IFERROR(SMALL($G$8:$G$105,ROWS(G$8:$G40)),"")</f>
        <v/>
      </c>
    </row>
    <row r="41" spans="1:8" x14ac:dyDescent="0.25">
      <c r="B41" s="63">
        <v>500</v>
      </c>
      <c r="C41" s="35">
        <v>1.5</v>
      </c>
      <c r="D41" s="33"/>
      <c r="E41" s="292" t="s">
        <v>360</v>
      </c>
      <c r="F41" s="151">
        <f>ROWS(F$8:$F41)</f>
        <v>34</v>
      </c>
      <c r="G41" s="8" t="str">
        <f>IF(ID!$A$92=E41,F41,"")</f>
        <v/>
      </c>
      <c r="H41" s="8" t="str">
        <f>IFERROR(SMALL($G$8:$G$105,ROWS(G$8:$G41)),"")</f>
        <v/>
      </c>
    </row>
    <row r="42" spans="1:8" ht="13.8" thickBot="1" x14ac:dyDescent="0.3">
      <c r="B42" s="350">
        <v>700</v>
      </c>
      <c r="C42" s="351">
        <f>C41</f>
        <v>1.5</v>
      </c>
      <c r="D42" s="33"/>
      <c r="E42" s="292" t="s">
        <v>360</v>
      </c>
      <c r="F42" s="151">
        <f>ROWS(F$8:$F42)</f>
        <v>35</v>
      </c>
      <c r="G42" s="8" t="str">
        <f>IF(ID!$A$92=E42,F42,"")</f>
        <v/>
      </c>
      <c r="H42" s="8" t="str">
        <f>IFERROR(SMALL($G$8:$G$105,ROWS(G$8:$G42)),"")</f>
        <v/>
      </c>
    </row>
    <row r="43" spans="1:8" ht="13.8" thickBot="1" x14ac:dyDescent="0.3">
      <c r="B43" s="65"/>
      <c r="C43" s="92"/>
      <c r="D43" s="93"/>
      <c r="E43" s="90"/>
      <c r="F43" s="151">
        <f>ROWS(F$8:$F43)</f>
        <v>36</v>
      </c>
      <c r="G43" s="8" t="str">
        <f>IF(ID!$A$92=E43,F43,"")</f>
        <v/>
      </c>
      <c r="H43" s="8" t="str">
        <f>IFERROR(SMALL($G$8:$G$105,ROWS(G$8:$G43)),"")</f>
        <v/>
      </c>
    </row>
    <row r="44" spans="1:8" x14ac:dyDescent="0.25">
      <c r="F44" s="151">
        <f>ROWS(F$8:$F44)</f>
        <v>37</v>
      </c>
      <c r="G44" s="8" t="str">
        <f>IF(ID!$A$92=E44,F44,"")</f>
        <v/>
      </c>
      <c r="H44" s="8" t="str">
        <f>IFERROR(SMALL($G$8:$G$105,ROWS(G$8:$G44)),"")</f>
        <v/>
      </c>
    </row>
    <row r="45" spans="1:8" x14ac:dyDescent="0.25">
      <c r="E45" s="2"/>
      <c r="F45" s="151">
        <f>ROWS(F$8:$F45)</f>
        <v>38</v>
      </c>
      <c r="G45" s="8" t="str">
        <f>IF(ID!$A$92=E45,F45,"")</f>
        <v/>
      </c>
      <c r="H45" s="8" t="str">
        <f>IFERROR(SMALL($G$8:$G$105,ROWS(G$8:$G45)),"")</f>
        <v/>
      </c>
    </row>
    <row r="46" spans="1:8" s="294" customFormat="1" x14ac:dyDescent="0.25">
      <c r="B46" s="299">
        <v>0</v>
      </c>
      <c r="C46" s="739">
        <v>0</v>
      </c>
      <c r="D46" s="318">
        <v>2021</v>
      </c>
      <c r="E46" s="293" t="s">
        <v>361</v>
      </c>
      <c r="F46" s="151">
        <f>ROWS(F$8:$F46)</f>
        <v>39</v>
      </c>
      <c r="G46" s="8" t="str">
        <f>IF(ID!$A$92=E46,F46,"")</f>
        <v/>
      </c>
      <c r="H46" s="8" t="str">
        <f>IFERROR(SMALL($G$8:$G$105,ROWS(G$8:$G46)),"")</f>
        <v/>
      </c>
    </row>
    <row r="47" spans="1:8" x14ac:dyDescent="0.25">
      <c r="B47" s="63">
        <v>50</v>
      </c>
      <c r="C47" s="35">
        <v>1.2</v>
      </c>
      <c r="D47" s="33"/>
      <c r="E47" s="291" t="s">
        <v>361</v>
      </c>
      <c r="F47" s="151">
        <f>ROWS(F$8:$F47)</f>
        <v>40</v>
      </c>
      <c r="G47" s="8" t="str">
        <f>IF(ID!$A$92=E47,F47,"")</f>
        <v/>
      </c>
      <c r="H47" s="8" t="str">
        <f>IFERROR(SMALL($G$8:$G$105,ROWS(G$8:$G47)),"")</f>
        <v/>
      </c>
    </row>
    <row r="48" spans="1:8" x14ac:dyDescent="0.25">
      <c r="B48" s="63">
        <v>100</v>
      </c>
      <c r="C48" s="35">
        <v>3.9</v>
      </c>
      <c r="D48" s="33"/>
      <c r="E48" s="291" t="s">
        <v>361</v>
      </c>
      <c r="F48" s="151">
        <f>ROWS(F$8:$F48)</f>
        <v>41</v>
      </c>
      <c r="G48" s="8" t="str">
        <f>IF(ID!$A$92=E48,F48,"")</f>
        <v/>
      </c>
      <c r="H48" s="8" t="str">
        <f>IFERROR(SMALL($G$8:$G$105,ROWS(G$8:$G48)),"")</f>
        <v/>
      </c>
    </row>
    <row r="49" spans="1:8" x14ac:dyDescent="0.25">
      <c r="B49" s="63">
        <v>500</v>
      </c>
      <c r="C49" s="35">
        <v>9.3000000000000007</v>
      </c>
      <c r="D49" s="33"/>
      <c r="E49" s="291" t="s">
        <v>361</v>
      </c>
      <c r="F49" s="151">
        <f>ROWS(F$8:$F49)</f>
        <v>42</v>
      </c>
      <c r="G49" s="8" t="str">
        <f>IF(ID!$A$92=E49,F49,"")</f>
        <v/>
      </c>
      <c r="H49" s="8" t="str">
        <f>IFERROR(SMALL($G$8:$G$105,ROWS(G$8:$G49)),"")</f>
        <v/>
      </c>
    </row>
    <row r="50" spans="1:8" s="294" customFormat="1" ht="13.8" thickBot="1" x14ac:dyDescent="0.3">
      <c r="B50" s="350">
        <v>700</v>
      </c>
      <c r="C50" s="351">
        <f>C49</f>
        <v>9.3000000000000007</v>
      </c>
      <c r="D50" s="93"/>
      <c r="E50" s="293" t="s">
        <v>361</v>
      </c>
      <c r="F50" s="151">
        <f>ROWS(F$8:$F50)</f>
        <v>43</v>
      </c>
      <c r="G50" s="8" t="str">
        <f>IF(ID!$A$92=E50,F50,"")</f>
        <v/>
      </c>
      <c r="H50" s="8" t="str">
        <f>IFERROR(SMALL($G$8:$G$105,ROWS(G$8:$G50)),"")</f>
        <v/>
      </c>
    </row>
    <row r="51" spans="1:8" ht="13.8" thickBot="1" x14ac:dyDescent="0.3">
      <c r="B51" s="65"/>
      <c r="C51" s="92"/>
      <c r="D51" s="93"/>
      <c r="E51" s="90"/>
      <c r="F51" s="151">
        <f>ROWS(F$8:$F51)</f>
        <v>44</v>
      </c>
      <c r="G51" s="8" t="str">
        <f>IF(ID!$A$92=E51,F51,"")</f>
        <v/>
      </c>
      <c r="H51" s="8" t="str">
        <f>IFERROR(SMALL($G$8:$G$105,ROWS(G$8:$G51)),"")</f>
        <v/>
      </c>
    </row>
    <row r="52" spans="1:8" ht="13.8" thickBot="1" x14ac:dyDescent="0.3">
      <c r="B52" s="65"/>
      <c r="C52" s="36"/>
      <c r="D52" s="33"/>
      <c r="E52" s="2"/>
      <c r="F52" s="151">
        <f>ROWS(F$8:$F52)</f>
        <v>45</v>
      </c>
      <c r="G52" s="8" t="str">
        <f>IF(ID!$A$92=E52,F52,"")</f>
        <v/>
      </c>
      <c r="H52" s="8" t="str">
        <f>IFERROR(SMALL($G$8:$G$105,ROWS(G$8:$G52)),"")</f>
        <v/>
      </c>
    </row>
    <row r="53" spans="1:8" x14ac:dyDescent="0.25">
      <c r="F53" s="151">
        <f>ROWS(F$8:$F53)</f>
        <v>46</v>
      </c>
      <c r="G53" s="8" t="str">
        <f>IF(ID!$A$92=E53,F53,"")</f>
        <v/>
      </c>
      <c r="H53" s="8" t="str">
        <f>IFERROR(SMALL($G$8:$G$105,ROWS(G$8:$G53)),"")</f>
        <v/>
      </c>
    </row>
    <row r="54" spans="1:8" x14ac:dyDescent="0.25">
      <c r="E54" s="2"/>
      <c r="F54" s="151">
        <f>ROWS(F$8:$F54)</f>
        <v>47</v>
      </c>
      <c r="G54" s="8" t="str">
        <f>IF(ID!$A$92=E54,F54,"")</f>
        <v/>
      </c>
      <c r="H54" s="8" t="str">
        <f>IFERROR(SMALL($G$8:$G$105,ROWS(G$8:$G54)),"")</f>
        <v/>
      </c>
    </row>
    <row r="55" spans="1:8" ht="13.8" x14ac:dyDescent="0.3">
      <c r="A55" s="524"/>
      <c r="B55" s="551" t="s">
        <v>215</v>
      </c>
      <c r="C55" s="551" t="s">
        <v>181</v>
      </c>
      <c r="D55" s="714" t="s">
        <v>56</v>
      </c>
      <c r="E55" s="2"/>
      <c r="F55" s="151">
        <f>ROWS(F$8:$F55)</f>
        <v>48</v>
      </c>
      <c r="G55" s="8" t="str">
        <f>IF(ID!$A$92=E55,F55,"")</f>
        <v/>
      </c>
      <c r="H55" s="8" t="str">
        <f>IFERROR(SMALL($G$8:$G$105,ROWS(G$8:$G55)),"")</f>
        <v/>
      </c>
    </row>
    <row r="56" spans="1:8" x14ac:dyDescent="0.25">
      <c r="B56" s="63">
        <v>0</v>
      </c>
      <c r="C56" s="734">
        <v>0</v>
      </c>
      <c r="D56" s="324">
        <v>2022</v>
      </c>
      <c r="E56" s="291" t="s">
        <v>362</v>
      </c>
      <c r="F56" s="151">
        <f>ROWS(F$8:$F56)</f>
        <v>49</v>
      </c>
      <c r="G56" s="8" t="str">
        <f>IF(ID!$A$92=E56,F56,"")</f>
        <v/>
      </c>
      <c r="H56" s="8" t="str">
        <f>IFERROR(SMALL($G$8:$G$105,ROWS(G$8:$G56)),"")</f>
        <v/>
      </c>
    </row>
    <row r="57" spans="1:8" x14ac:dyDescent="0.25">
      <c r="B57" s="63">
        <v>15</v>
      </c>
      <c r="C57" s="734">
        <v>7.9</v>
      </c>
      <c r="D57" s="33"/>
      <c r="E57" s="291" t="s">
        <v>362</v>
      </c>
      <c r="F57" s="151">
        <f>ROWS(F$8:$F57)</f>
        <v>50</v>
      </c>
      <c r="G57" s="8" t="str">
        <f>IF(ID!$A$92=E57,F57,"")</f>
        <v/>
      </c>
      <c r="H57" s="8" t="str">
        <f>IFERROR(SMALL($G$8:$G$105,ROWS(G$8:$G57)),"")</f>
        <v/>
      </c>
    </row>
    <row r="58" spans="1:8" x14ac:dyDescent="0.25">
      <c r="B58" s="63">
        <v>50</v>
      </c>
      <c r="C58" s="734">
        <v>19.100000000000001</v>
      </c>
      <c r="D58" s="33"/>
      <c r="E58" s="291" t="s">
        <v>362</v>
      </c>
      <c r="F58" s="151">
        <f>ROWS(F$8:$F58)</f>
        <v>51</v>
      </c>
      <c r="G58" s="8" t="str">
        <f>IF(ID!$A$92=E58,F58,"")</f>
        <v/>
      </c>
      <c r="H58" s="8" t="str">
        <f>IFERROR(SMALL($G$8:$G$105,ROWS(G$8:$G58)),"")</f>
        <v/>
      </c>
    </row>
    <row r="59" spans="1:8" x14ac:dyDescent="0.25">
      <c r="B59" s="63">
        <v>100</v>
      </c>
      <c r="C59" s="734">
        <v>18.399999999999999</v>
      </c>
      <c r="D59" s="33"/>
      <c r="E59" s="291" t="s">
        <v>362</v>
      </c>
      <c r="F59" s="151">
        <f>ROWS(F$8:$F59)</f>
        <v>52</v>
      </c>
      <c r="G59" s="8" t="str">
        <f>IF(ID!$A$92=E59,F59,"")</f>
        <v/>
      </c>
      <c r="H59" s="8" t="str">
        <f>IFERROR(SMALL($G$8:$G$105,ROWS(G$8:$G59)),"")</f>
        <v/>
      </c>
    </row>
    <row r="60" spans="1:8" x14ac:dyDescent="0.25">
      <c r="B60" s="63">
        <v>200</v>
      </c>
      <c r="C60" s="740">
        <v>14.4</v>
      </c>
      <c r="D60" s="33"/>
      <c r="E60" s="291" t="s">
        <v>362</v>
      </c>
      <c r="F60" s="151">
        <f>ROWS(F$8:$F60)</f>
        <v>53</v>
      </c>
      <c r="G60" s="8" t="str">
        <f>IF(ID!$A$92=E60,F60,"")</f>
        <v/>
      </c>
      <c r="H60" s="8" t="str">
        <f>IFERROR(SMALL($G$8:$G$105,ROWS(G$8:$G60)),"")</f>
        <v/>
      </c>
    </row>
    <row r="61" spans="1:8" ht="13.8" thickBot="1" x14ac:dyDescent="0.3">
      <c r="B61" s="735">
        <v>500</v>
      </c>
      <c r="C61" s="736">
        <v>6.2</v>
      </c>
      <c r="D61" s="741"/>
      <c r="E61" s="742" t="s">
        <v>362</v>
      </c>
      <c r="F61" s="151">
        <f>ROWS(F$8:$F61)</f>
        <v>54</v>
      </c>
      <c r="G61" s="8" t="str">
        <f>IF(ID!$A$92=E61,F61,"")</f>
        <v/>
      </c>
      <c r="H61" s="8" t="str">
        <f>IFERROR(SMALL($G$8:$G$105,ROWS(G$8:$G61)),"")</f>
        <v/>
      </c>
    </row>
    <row r="62" spans="1:8" x14ac:dyDescent="0.25">
      <c r="B62" s="69">
        <v>700</v>
      </c>
      <c r="C62" s="743">
        <f>C61</f>
        <v>6.2</v>
      </c>
      <c r="E62" s="277" t="s">
        <v>362</v>
      </c>
      <c r="F62" s="151">
        <f>ROWS(F$8:$F62)</f>
        <v>55</v>
      </c>
      <c r="G62" s="8" t="str">
        <f>IF(ID!$A$92=E62,F62,"")</f>
        <v/>
      </c>
      <c r="H62" s="8" t="str">
        <f>IFERROR(SMALL($G$8:$G$105,ROWS(G$8:$G62)),"")</f>
        <v/>
      </c>
    </row>
    <row r="63" spans="1:8" x14ac:dyDescent="0.25">
      <c r="E63" s="2"/>
      <c r="F63" s="151">
        <f>ROWS(F$8:$F63)</f>
        <v>56</v>
      </c>
      <c r="G63" s="8" t="str">
        <f>IF(ID!$A$92=E63,F63,"")</f>
        <v/>
      </c>
      <c r="H63" s="8" t="str">
        <f>IFERROR(SMALL($G$8:$G$105,ROWS(G$8:$G63)),"")</f>
        <v/>
      </c>
    </row>
    <row r="64" spans="1:8" x14ac:dyDescent="0.25">
      <c r="E64" s="2"/>
      <c r="F64" s="151">
        <f>ROWS(F$8:$F64)</f>
        <v>57</v>
      </c>
      <c r="G64" s="8" t="str">
        <f>IF(ID!$A$92=E64,F64,"")</f>
        <v/>
      </c>
      <c r="H64" s="8" t="str">
        <f>IFERROR(SMALL($G$8:$G$105,ROWS(G$8:$G64)),"")</f>
        <v/>
      </c>
    </row>
    <row r="65" spans="1:8" ht="13.8" x14ac:dyDescent="0.3">
      <c r="A65" s="524"/>
      <c r="B65" s="551" t="s">
        <v>215</v>
      </c>
      <c r="C65" s="551" t="s">
        <v>181</v>
      </c>
      <c r="D65" s="714" t="s">
        <v>56</v>
      </c>
      <c r="E65" s="2"/>
      <c r="F65" s="151">
        <f>ROWS(F$8:$F65)</f>
        <v>58</v>
      </c>
      <c r="G65" s="8" t="str">
        <f>IF(ID!$A$92=E65,F65,"")</f>
        <v/>
      </c>
      <c r="H65" s="8" t="str">
        <f>IFERROR(SMALL($G$8:$G$105,ROWS(G$8:$G65)),"")</f>
        <v/>
      </c>
    </row>
    <row r="66" spans="1:8" x14ac:dyDescent="0.25">
      <c r="B66" s="63">
        <v>0</v>
      </c>
      <c r="C66" s="35">
        <v>0</v>
      </c>
      <c r="D66" s="33">
        <v>2022</v>
      </c>
      <c r="E66" s="2" t="s">
        <v>845</v>
      </c>
      <c r="F66" s="151">
        <f>ROWS(F$8:$F66)</f>
        <v>59</v>
      </c>
      <c r="G66" s="8" t="str">
        <f>IF(ID!$A$92=E66,F66,"")</f>
        <v/>
      </c>
      <c r="H66" s="8" t="str">
        <f>IFERROR(SMALL($G$8:$G$105,ROWS(G$8:$G66)),"")</f>
        <v/>
      </c>
    </row>
    <row r="67" spans="1:8" x14ac:dyDescent="0.25">
      <c r="B67" s="63">
        <v>50</v>
      </c>
      <c r="C67" s="35">
        <v>1.9</v>
      </c>
      <c r="D67" s="33"/>
      <c r="E67" s="2" t="s">
        <v>845</v>
      </c>
      <c r="F67" s="151">
        <f>ROWS(F$8:$F67)</f>
        <v>60</v>
      </c>
      <c r="G67" s="8" t="str">
        <f>IF(ID!$A$92=E67,F67,"")</f>
        <v/>
      </c>
      <c r="H67" s="8" t="str">
        <f>IFERROR(SMALL($G$8:$G$105,ROWS(G$8:$G67)),"")</f>
        <v/>
      </c>
    </row>
    <row r="68" spans="1:8" x14ac:dyDescent="0.25">
      <c r="B68" s="63">
        <v>100</v>
      </c>
      <c r="C68" s="35">
        <v>1.7</v>
      </c>
      <c r="D68" s="33"/>
      <c r="E68" s="2" t="s">
        <v>845</v>
      </c>
      <c r="F68" s="151">
        <f>ROWS(F$8:$F68)</f>
        <v>61</v>
      </c>
      <c r="G68" s="8" t="str">
        <f>IF(ID!$A$92=E68,F68,"")</f>
        <v/>
      </c>
      <c r="H68" s="8" t="str">
        <f>IFERROR(SMALL($G$8:$G$105,ROWS(G$8:$G68)),"")</f>
        <v/>
      </c>
    </row>
    <row r="69" spans="1:8" x14ac:dyDescent="0.25">
      <c r="B69" s="63">
        <v>200</v>
      </c>
      <c r="C69" s="35">
        <v>1.5</v>
      </c>
      <c r="D69" s="33"/>
      <c r="E69" s="2" t="s">
        <v>845</v>
      </c>
      <c r="F69" s="151">
        <f>ROWS(F$8:$F69)</f>
        <v>62</v>
      </c>
      <c r="G69" s="8" t="str">
        <f>IF(ID!$A$92=E69,F69,"")</f>
        <v/>
      </c>
      <c r="H69" s="8" t="str">
        <f>IFERROR(SMALL($G$8:$G$105,ROWS(G$8:$G69)),"")</f>
        <v/>
      </c>
    </row>
    <row r="70" spans="1:8" x14ac:dyDescent="0.25">
      <c r="B70" s="63">
        <v>500</v>
      </c>
      <c r="C70" s="35">
        <v>0.9</v>
      </c>
      <c r="D70" s="33"/>
      <c r="E70" s="2" t="s">
        <v>845</v>
      </c>
      <c r="F70" s="151">
        <f>ROWS(F$8:$F70)</f>
        <v>63</v>
      </c>
      <c r="G70" s="8" t="str">
        <f>IF(ID!$A$92=E70,F70,"")</f>
        <v/>
      </c>
      <c r="H70" s="8" t="str">
        <f>IFERROR(SMALL($G$8:$G$105,ROWS(G$8:$G70)),"")</f>
        <v/>
      </c>
    </row>
    <row r="71" spans="1:8" ht="13.8" thickBot="1" x14ac:dyDescent="0.3">
      <c r="B71" s="350">
        <v>700</v>
      </c>
      <c r="C71" s="351">
        <f>C70</f>
        <v>0.9</v>
      </c>
      <c r="D71" s="93"/>
      <c r="E71" s="2" t="s">
        <v>845</v>
      </c>
      <c r="F71" s="151">
        <f>ROWS(F$8:$F71)</f>
        <v>64</v>
      </c>
      <c r="G71" s="8" t="str">
        <f>IF(ID!$A$92=E71,F71,"")</f>
        <v/>
      </c>
      <c r="H71" s="8" t="str">
        <f>IFERROR(SMALL($G$8:$G$105,ROWS(G$8:$G71)),"")</f>
        <v/>
      </c>
    </row>
    <row r="72" spans="1:8" x14ac:dyDescent="0.25">
      <c r="F72" s="151">
        <f>ROWS(F$8:$F72)</f>
        <v>65</v>
      </c>
      <c r="G72" s="8" t="str">
        <f>IF(ID!$A$92=E72,F72,"")</f>
        <v/>
      </c>
      <c r="H72" s="8" t="str">
        <f>IFERROR(SMALL($G$8:$G$105,ROWS(G$8:$G72)),"")</f>
        <v/>
      </c>
    </row>
    <row r="73" spans="1:8" x14ac:dyDescent="0.25">
      <c r="F73" s="151">
        <f>ROWS(F$8:$F73)</f>
        <v>66</v>
      </c>
      <c r="G73" s="8" t="str">
        <f>IF(ID!$A$92=E73,F73,"")</f>
        <v/>
      </c>
      <c r="H73" s="8" t="str">
        <f>IFERROR(SMALL($G$8:$G$105,ROWS(G$8:$G73)),"")</f>
        <v/>
      </c>
    </row>
    <row r="74" spans="1:8" x14ac:dyDescent="0.25">
      <c r="F74" s="151">
        <f>ROWS(F$8:$F74)</f>
        <v>67</v>
      </c>
      <c r="G74" s="8" t="str">
        <f>IF(ID!$A$92=E74,F74,"")</f>
        <v/>
      </c>
      <c r="H74" s="8" t="str">
        <f>IFERROR(SMALL($G$8:$G$105,ROWS(G$8:$G74)),"")</f>
        <v/>
      </c>
    </row>
    <row r="75" spans="1:8" ht="13.8" x14ac:dyDescent="0.3">
      <c r="A75" s="524"/>
      <c r="B75" s="551" t="s">
        <v>215</v>
      </c>
      <c r="C75" s="551" t="s">
        <v>181</v>
      </c>
      <c r="D75" s="714" t="s">
        <v>56</v>
      </c>
      <c r="F75" s="151">
        <f>ROWS(F$8:$F75)</f>
        <v>68</v>
      </c>
      <c r="G75" s="8" t="str">
        <f>IF(ID!$A$92=E75,F75,"")</f>
        <v/>
      </c>
      <c r="H75" s="8" t="str">
        <f>IFERROR(SMALL($G$8:$G$105,ROWS(G$8:$G75)),"")</f>
        <v/>
      </c>
    </row>
    <row r="76" spans="1:8" ht="13.8" x14ac:dyDescent="0.25">
      <c r="B76" s="67">
        <v>0</v>
      </c>
      <c r="C76" s="744">
        <v>6.6</v>
      </c>
      <c r="D76" s="321">
        <v>2022</v>
      </c>
      <c r="E76" s="291" t="s">
        <v>369</v>
      </c>
      <c r="F76" s="151">
        <f>ROWS(F$8:$F76)</f>
        <v>69</v>
      </c>
      <c r="G76" s="8" t="str">
        <f>IF(ID!$A$92=E76,F76,"")</f>
        <v/>
      </c>
      <c r="H76" s="8" t="str">
        <f>IFERROR(SMALL($G$8:$G$105,ROWS(G$8:$G76)),"")</f>
        <v/>
      </c>
    </row>
    <row r="77" spans="1:8" x14ac:dyDescent="0.25">
      <c r="B77" s="68">
        <v>20</v>
      </c>
      <c r="C77" s="744">
        <v>5</v>
      </c>
      <c r="D77" s="321"/>
      <c r="E77" s="291" t="s">
        <v>369</v>
      </c>
      <c r="F77" s="151">
        <f>ROWS(F$8:$F77)</f>
        <v>70</v>
      </c>
      <c r="G77" s="8" t="str">
        <f>IF(ID!$A$92=E77,F77,"")</f>
        <v/>
      </c>
      <c r="H77" s="8" t="str">
        <f>IFERROR(SMALL($G$8:$G$105,ROWS(G$8:$G77)),"")</f>
        <v/>
      </c>
    </row>
    <row r="78" spans="1:8" x14ac:dyDescent="0.25">
      <c r="B78" s="68">
        <v>50</v>
      </c>
      <c r="C78" s="745">
        <v>0.7</v>
      </c>
      <c r="D78" s="321"/>
      <c r="E78" s="291" t="s">
        <v>369</v>
      </c>
      <c r="F78" s="151">
        <f>ROWS(F$8:$F78)</f>
        <v>71</v>
      </c>
      <c r="G78" s="8" t="str">
        <f>IF(ID!$A$92=E78,F78,"")</f>
        <v/>
      </c>
      <c r="H78" s="8" t="str">
        <f>IFERROR(SMALL($G$8:$G$105,ROWS(G$8:$G78)),"")</f>
        <v/>
      </c>
    </row>
    <row r="79" spans="1:8" x14ac:dyDescent="0.25">
      <c r="B79" s="68">
        <v>100</v>
      </c>
      <c r="C79" s="745">
        <v>-8.1999999999999993</v>
      </c>
      <c r="D79" s="321"/>
      <c r="E79" s="291" t="s">
        <v>369</v>
      </c>
      <c r="F79" s="151">
        <f>ROWS(F$8:$F79)</f>
        <v>72</v>
      </c>
      <c r="G79" s="8" t="str">
        <f>IF(ID!$A$92=E79,F79,"")</f>
        <v/>
      </c>
      <c r="H79" s="8" t="str">
        <f>IFERROR(SMALL($G$8:$G$105,ROWS(G$8:$G79)),"")</f>
        <v/>
      </c>
    </row>
    <row r="80" spans="1:8" x14ac:dyDescent="0.25">
      <c r="B80" s="60">
        <v>500</v>
      </c>
      <c r="C80" s="745">
        <v>-31.8</v>
      </c>
      <c r="D80" s="321"/>
      <c r="E80" s="291" t="s">
        <v>369</v>
      </c>
      <c r="F80" s="151">
        <f>ROWS(F$8:$F80)</f>
        <v>73</v>
      </c>
      <c r="G80" s="8" t="str">
        <f>IF(ID!$A$92=E80,F80,"")</f>
        <v/>
      </c>
      <c r="H80" s="8" t="str">
        <f>IFERROR(SMALL($G$8:$G$105,ROWS(G$8:$G80)),"")</f>
        <v/>
      </c>
    </row>
    <row r="81" spans="1:8" ht="13.8" thickBot="1" x14ac:dyDescent="0.3">
      <c r="B81" s="350">
        <v>700</v>
      </c>
      <c r="C81" s="351">
        <f>C80</f>
        <v>-31.8</v>
      </c>
      <c r="D81" s="321"/>
      <c r="E81" s="293" t="s">
        <v>369</v>
      </c>
      <c r="F81" s="151">
        <f>ROWS(F$8:$F81)</f>
        <v>74</v>
      </c>
      <c r="G81" s="8" t="str">
        <f>IF(ID!$A$92=E81,F81,"")</f>
        <v/>
      </c>
      <c r="H81" s="8" t="str">
        <f>IFERROR(SMALL($G$8:$G$105,ROWS(G$8:$G81)),"")</f>
        <v/>
      </c>
    </row>
    <row r="82" spans="1:8" s="112" customFormat="1" x14ac:dyDescent="0.25">
      <c r="B82" s="331"/>
      <c r="C82" s="115"/>
      <c r="D82" s="330"/>
      <c r="E82" s="292"/>
      <c r="F82" s="151">
        <f>ROWS(F$8:$F82)</f>
        <v>75</v>
      </c>
      <c r="G82" s="8" t="str">
        <f>IF(ID!$A$92=E82,F82,"")</f>
        <v/>
      </c>
      <c r="H82" s="8" t="str">
        <f>IFERROR(SMALL($G$8:$G$105,ROWS(G$8:$G82)),"")</f>
        <v/>
      </c>
    </row>
    <row r="83" spans="1:8" x14ac:dyDescent="0.25">
      <c r="F83" s="151">
        <f>ROWS(F$8:$F83)</f>
        <v>76</v>
      </c>
      <c r="G83" s="8" t="str">
        <f>IF(ID!$A$92=E83,F83,"")</f>
        <v/>
      </c>
      <c r="H83" s="8" t="str">
        <f>IFERROR(SMALL($G$8:$G$105,ROWS(G$8:$G83)),"")</f>
        <v/>
      </c>
    </row>
    <row r="84" spans="1:8" x14ac:dyDescent="0.25">
      <c r="F84" s="151">
        <f>ROWS(F$8:$F84)</f>
        <v>77</v>
      </c>
      <c r="G84" s="8" t="str">
        <f>IF(ID!$A$92=E84,F84,"")</f>
        <v/>
      </c>
      <c r="H84" s="8" t="str">
        <f>IFERROR(SMALL($G$8:$G$105,ROWS(G$8:$G84)),"")</f>
        <v/>
      </c>
    </row>
    <row r="85" spans="1:8" x14ac:dyDescent="0.25">
      <c r="F85" s="151">
        <f>ROWS(F$8:$F85)</f>
        <v>78</v>
      </c>
      <c r="G85" s="8" t="str">
        <f>IF(ID!$A$92=E85,F85,"")</f>
        <v/>
      </c>
      <c r="H85" s="8" t="str">
        <f>IFERROR(SMALL($G$8:$G$105,ROWS(G$8:$G85)),"")</f>
        <v/>
      </c>
    </row>
    <row r="86" spans="1:8" ht="13.8" x14ac:dyDescent="0.3">
      <c r="A86" s="524"/>
      <c r="B86" s="551" t="s">
        <v>215</v>
      </c>
      <c r="C86" s="551" t="s">
        <v>181</v>
      </c>
      <c r="D86" s="714" t="s">
        <v>56</v>
      </c>
      <c r="F86" s="151">
        <f>ROWS(F$8:$F86)</f>
        <v>79</v>
      </c>
      <c r="G86" s="8" t="str">
        <f>IF(ID!$A$92=E86,F86,"")</f>
        <v/>
      </c>
      <c r="H86" s="8" t="str">
        <f>IFERROR(SMALL($G$8:$G$105,ROWS(G$8:$G86)),"")</f>
        <v/>
      </c>
    </row>
    <row r="87" spans="1:8" ht="13.8" x14ac:dyDescent="0.25">
      <c r="B87" s="67">
        <v>0</v>
      </c>
      <c r="C87" s="42">
        <v>0</v>
      </c>
      <c r="D87" s="321">
        <v>2022</v>
      </c>
      <c r="E87" s="291" t="s">
        <v>370</v>
      </c>
      <c r="F87" s="151">
        <f>ROWS(F$8:$F87)</f>
        <v>80</v>
      </c>
      <c r="G87" s="8">
        <f>IF(ID!$A$92=E87,F87,"")</f>
        <v>80</v>
      </c>
      <c r="H87" s="8" t="str">
        <f>IFERROR(SMALL($G$8:$G$105,ROWS(G$8:$G87)),"")</f>
        <v/>
      </c>
    </row>
    <row r="88" spans="1:8" x14ac:dyDescent="0.25">
      <c r="B88" s="68">
        <v>15</v>
      </c>
      <c r="C88" s="42">
        <v>4.9000000000000004</v>
      </c>
      <c r="D88" s="114"/>
      <c r="E88" s="291" t="s">
        <v>370</v>
      </c>
      <c r="F88" s="151">
        <f>ROWS(F$8:$F88)</f>
        <v>81</v>
      </c>
      <c r="G88" s="8">
        <f>IF(ID!$A$92=E88,F88,"")</f>
        <v>81</v>
      </c>
      <c r="H88" s="8" t="str">
        <f>IFERROR(SMALL($G$8:$G$105,ROWS(G$8:$G88)),"")</f>
        <v/>
      </c>
    </row>
    <row r="89" spans="1:8" x14ac:dyDescent="0.25">
      <c r="B89" s="68">
        <v>50</v>
      </c>
      <c r="C89" s="44">
        <v>9.1999999999999993</v>
      </c>
      <c r="D89" s="114"/>
      <c r="E89" s="291" t="s">
        <v>370</v>
      </c>
      <c r="F89" s="151">
        <f>ROWS(F$8:$F89)</f>
        <v>82</v>
      </c>
      <c r="G89" s="8">
        <f>IF(ID!$A$92=E89,F89,"")</f>
        <v>82</v>
      </c>
      <c r="H89" s="8" t="str">
        <f>IFERROR(SMALL($G$8:$G$105,ROWS(G$8:$G89)),"")</f>
        <v/>
      </c>
    </row>
    <row r="90" spans="1:8" x14ac:dyDescent="0.25">
      <c r="B90" s="68">
        <v>100</v>
      </c>
      <c r="C90" s="44">
        <v>7.7</v>
      </c>
      <c r="D90" s="114"/>
      <c r="E90" s="291" t="s">
        <v>370</v>
      </c>
      <c r="F90" s="151">
        <f>ROWS(F$8:$F90)</f>
        <v>83</v>
      </c>
      <c r="G90" s="8">
        <f>IF(ID!$A$92=E90,F90,"")</f>
        <v>83</v>
      </c>
      <c r="H90" s="8" t="str">
        <f>IFERROR(SMALL($G$8:$G$105,ROWS(G$8:$G90)),"")</f>
        <v/>
      </c>
    </row>
    <row r="91" spans="1:8" x14ac:dyDescent="0.25">
      <c r="B91" s="60">
        <v>200</v>
      </c>
      <c r="C91" s="44">
        <v>-0.2</v>
      </c>
      <c r="D91" s="114"/>
      <c r="E91" s="291" t="s">
        <v>370</v>
      </c>
      <c r="F91" s="151">
        <f>ROWS(F$8:$F91)</f>
        <v>84</v>
      </c>
      <c r="G91" s="8">
        <f>IF(ID!$A$92=E91,F91,"")</f>
        <v>84</v>
      </c>
      <c r="H91" s="8" t="str">
        <f>IFERROR(SMALL($G$8:$G$105,ROWS(G$8:$G91)),"")</f>
        <v/>
      </c>
    </row>
    <row r="92" spans="1:8" ht="13.8" thickBot="1" x14ac:dyDescent="0.3">
      <c r="B92" s="735">
        <v>500</v>
      </c>
      <c r="C92" s="746">
        <v>-25.1</v>
      </c>
      <c r="D92" s="114"/>
      <c r="E92" s="293" t="s">
        <v>370</v>
      </c>
      <c r="F92" s="151">
        <f>ROWS(F$8:$F92)</f>
        <v>85</v>
      </c>
      <c r="G92" s="8">
        <f>IF(ID!$A$92=E92,F92,"")</f>
        <v>85</v>
      </c>
      <c r="H92" s="8" t="str">
        <f>IFERROR(SMALL($G$8:$G$105,ROWS(G$8:$G92)),"")</f>
        <v/>
      </c>
    </row>
    <row r="93" spans="1:8" x14ac:dyDescent="0.25">
      <c r="B93" s="731">
        <v>700</v>
      </c>
      <c r="C93" s="747">
        <f>C92</f>
        <v>-25.1</v>
      </c>
      <c r="D93" s="116"/>
      <c r="E93" s="293" t="s">
        <v>370</v>
      </c>
      <c r="F93" s="151">
        <f>ROWS(F$8:$F93)</f>
        <v>86</v>
      </c>
      <c r="G93" s="8">
        <f>IF(ID!$A$92=E93,F93,"")</f>
        <v>86</v>
      </c>
      <c r="H93" s="8" t="str">
        <f>IFERROR(SMALL($G$8:$G$105,ROWS(G$8:$G93)),"")</f>
        <v/>
      </c>
    </row>
    <row r="94" spans="1:8" x14ac:dyDescent="0.25">
      <c r="F94" s="151">
        <f>ROWS(F$8:$F94)</f>
        <v>87</v>
      </c>
      <c r="G94" s="8" t="str">
        <f>IF(ID!$A$92=E94,F94,"")</f>
        <v/>
      </c>
      <c r="H94" s="8" t="str">
        <f>IFERROR(SMALL($G$8:$G$105,ROWS(G$8:$G94)),"")</f>
        <v/>
      </c>
    </row>
    <row r="95" spans="1:8" x14ac:dyDescent="0.25">
      <c r="F95" s="151">
        <f>ROWS(F$8:$F95)</f>
        <v>88</v>
      </c>
      <c r="G95" s="8" t="str">
        <f>IF(ID!$A$92=E95,F95,"")</f>
        <v/>
      </c>
      <c r="H95" s="8" t="str">
        <f>IFERROR(SMALL($G$8:$G$105,ROWS(G$8:$G95)),"")</f>
        <v/>
      </c>
    </row>
    <row r="96" spans="1:8" x14ac:dyDescent="0.25">
      <c r="F96" s="151">
        <f>ROWS(F$8:$F96)</f>
        <v>89</v>
      </c>
      <c r="G96" s="8" t="str">
        <f>IF(ID!$A$92=E96,F96,"")</f>
        <v/>
      </c>
      <c r="H96" s="8" t="str">
        <f>IFERROR(SMALL($G$8:$G$105,ROWS(G$8:$G96)),"")</f>
        <v/>
      </c>
    </row>
    <row r="97" spans="2:8" x14ac:dyDescent="0.25">
      <c r="F97" s="151">
        <f>ROWS(F$8:$F97)</f>
        <v>90</v>
      </c>
      <c r="G97" s="8" t="str">
        <f>IF(ID!$A$92=E97,F97,"")</f>
        <v/>
      </c>
      <c r="H97" s="8" t="str">
        <f>IFERROR(SMALL($G$8:$G$105,ROWS(G$8:$G97)),"")</f>
        <v/>
      </c>
    </row>
    <row r="98" spans="2:8" ht="13.8" x14ac:dyDescent="0.25">
      <c r="B98" s="67">
        <v>0</v>
      </c>
      <c r="C98" s="744">
        <v>0</v>
      </c>
      <c r="D98" s="321">
        <v>2021</v>
      </c>
      <c r="E98" s="291"/>
      <c r="F98" s="151">
        <f>ROWS(F$8:$F98)</f>
        <v>91</v>
      </c>
      <c r="G98" s="8" t="str">
        <f>IF(ID!$A$92=E98,F98,"")</f>
        <v/>
      </c>
      <c r="H98" s="8" t="str">
        <f>IFERROR(SMALL($G$8:$G$105,ROWS(G$8:$G98)),"")</f>
        <v/>
      </c>
    </row>
    <row r="99" spans="2:8" x14ac:dyDescent="0.25">
      <c r="B99" s="68">
        <v>20</v>
      </c>
      <c r="C99" s="744">
        <v>0.3</v>
      </c>
      <c r="D99" s="114"/>
      <c r="E99" s="291"/>
      <c r="F99" s="151">
        <f>ROWS(F$8:$F99)</f>
        <v>92</v>
      </c>
      <c r="G99" s="8" t="str">
        <f>IF(ID!$A$92=E99,F99,"")</f>
        <v/>
      </c>
      <c r="H99" s="8" t="str">
        <f>IFERROR(SMALL($G$8:$G$105,ROWS(G$8:$G99)),"")</f>
        <v/>
      </c>
    </row>
    <row r="100" spans="2:8" x14ac:dyDescent="0.25">
      <c r="B100" s="68">
        <v>50</v>
      </c>
      <c r="C100" s="745">
        <v>0.4</v>
      </c>
      <c r="D100" s="114"/>
      <c r="E100" s="291"/>
      <c r="F100" s="151">
        <f>ROWS(F$8:$F100)</f>
        <v>93</v>
      </c>
      <c r="G100" s="8" t="str">
        <f>IF(ID!$A$92=E100,F100,"")</f>
        <v/>
      </c>
      <c r="H100" s="8" t="str">
        <f>IFERROR(SMALL($G$8:$G$105,ROWS(G$8:$G100)),"")</f>
        <v/>
      </c>
    </row>
    <row r="101" spans="2:8" x14ac:dyDescent="0.25">
      <c r="B101" s="68">
        <v>100</v>
      </c>
      <c r="C101" s="745">
        <v>0.4</v>
      </c>
      <c r="D101" s="114"/>
      <c r="E101" s="291"/>
      <c r="F101" s="151">
        <f>ROWS(F$8:$F101)</f>
        <v>94</v>
      </c>
      <c r="G101" s="8" t="str">
        <f>IF(ID!$A$92=E101,F101,"")</f>
        <v/>
      </c>
      <c r="H101" s="8" t="str">
        <f>IFERROR(SMALL($G$8:$G$105,ROWS(G$8:$G101)),"")</f>
        <v/>
      </c>
    </row>
    <row r="102" spans="2:8" x14ac:dyDescent="0.25">
      <c r="B102" s="60">
        <v>500</v>
      </c>
      <c r="C102" s="745">
        <v>1.5</v>
      </c>
      <c r="D102" s="114"/>
      <c r="E102" s="291"/>
      <c r="F102" s="151">
        <f>ROWS(F$8:$F102)</f>
        <v>95</v>
      </c>
      <c r="G102" s="8" t="str">
        <f>IF(ID!$A$92=E102,F102,"")</f>
        <v/>
      </c>
      <c r="H102" s="8" t="str">
        <f>IFERROR(SMALL($G$8:$G$105,ROWS(G$8:$G102)),"")</f>
        <v/>
      </c>
    </row>
    <row r="103" spans="2:8" ht="13.8" thickBot="1" x14ac:dyDescent="0.3">
      <c r="B103" s="350">
        <v>700</v>
      </c>
      <c r="C103" s="748">
        <f>C102</f>
        <v>1.5</v>
      </c>
      <c r="D103" s="114"/>
      <c r="E103" s="291"/>
      <c r="F103" s="151">
        <f>ROWS(F$8:$F103)</f>
        <v>96</v>
      </c>
      <c r="G103" s="8" t="str">
        <f>IF(ID!$A$92=E103,F103,"")</f>
        <v/>
      </c>
      <c r="H103" s="8" t="str">
        <f>IFERROR(SMALL($G$8:$G$105,ROWS(G$8:$G103)),"")</f>
        <v/>
      </c>
    </row>
    <row r="104" spans="2:8" x14ac:dyDescent="0.25">
      <c r="B104" s="331"/>
      <c r="C104" s="115"/>
      <c r="D104" s="116"/>
      <c r="E104" s="291"/>
      <c r="F104" s="151">
        <f>ROWS(F$8:$F104)</f>
        <v>97</v>
      </c>
      <c r="G104" s="8" t="str">
        <f>IF(ID!$A$92=E104,F104,"")</f>
        <v/>
      </c>
      <c r="H104" s="8" t="str">
        <f>IFERROR(SMALL($G$8:$G$105,ROWS(G$8:$G104)),"")</f>
        <v/>
      </c>
    </row>
    <row r="105" spans="2:8" x14ac:dyDescent="0.25">
      <c r="F105" s="151">
        <f>ROWS(F$8:$F105)</f>
        <v>98</v>
      </c>
      <c r="G105" s="8" t="str">
        <f>IF(ID!$A$92=E105,F105,"")</f>
        <v/>
      </c>
      <c r="H105" s="8" t="str">
        <f>IFERROR(SMALL($G$8:$G$105,ROWS(G$8:$G105)),"")</f>
        <v/>
      </c>
    </row>
  </sheetData>
  <sheetProtection algorithmName="SHA-512" hashValue="EbOK8fMkSR3EaEFS/HW+ZHpDv3J+gUaG8Hho/GZdbHDR8/QRFz+WDeZmgpmDEx6CIpiHv/akac8bujDaDtsk/w==" saltValue="POae5tC9xUPweSbp3GAjN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AO98"/>
  <sheetViews>
    <sheetView topLeftCell="M1" zoomScaleNormal="100" workbookViewId="0">
      <selection activeCell="O8" sqref="O8"/>
    </sheetView>
  </sheetViews>
  <sheetFormatPr defaultColWidth="8.77734375" defaultRowHeight="13.8" x14ac:dyDescent="0.3"/>
  <cols>
    <col min="1" max="3" width="8.77734375" style="52"/>
    <col min="4" max="4" width="8.77734375" style="1097"/>
    <col min="5" max="5" width="10.21875" style="1098" customWidth="1"/>
    <col min="6" max="6" width="89.109375" style="52" customWidth="1"/>
    <col min="7" max="7" width="66.88671875" style="52" customWidth="1"/>
    <col min="8" max="12" width="8.77734375" style="52"/>
    <col min="13" max="14" width="8.77734375" style="1176"/>
    <col min="15" max="15" width="13.33203125" style="1176" customWidth="1"/>
    <col min="16" max="16" width="8.77734375" style="1176"/>
    <col min="17" max="17" width="93.77734375" style="1176" customWidth="1"/>
    <col min="18" max="18" width="8.77734375" style="52"/>
    <col min="19" max="19" width="77.109375" style="52" customWidth="1"/>
    <col min="20" max="16384" width="8.77734375" style="52"/>
  </cols>
  <sheetData>
    <row r="1" spans="2:19" x14ac:dyDescent="0.3">
      <c r="B1" s="1437" t="s">
        <v>899</v>
      </c>
      <c r="C1" s="1437"/>
      <c r="D1" s="1437"/>
      <c r="E1" s="1437"/>
      <c r="F1" s="1437"/>
    </row>
    <row r="2" spans="2:19" x14ac:dyDescent="0.3">
      <c r="B2" s="1437"/>
      <c r="C2" s="1437"/>
      <c r="D2" s="1437"/>
      <c r="E2" s="1437"/>
      <c r="F2" s="1437"/>
      <c r="M2" s="1178"/>
      <c r="N2" s="1178"/>
      <c r="O2" s="1178"/>
      <c r="P2" s="1178"/>
      <c r="Q2" s="1178"/>
      <c r="R2" s="1099"/>
      <c r="S2" s="1100" t="s">
        <v>48</v>
      </c>
    </row>
    <row r="3" spans="2:19" x14ac:dyDescent="0.3">
      <c r="B3" s="1437"/>
      <c r="C3" s="1437"/>
      <c r="D3" s="1437"/>
      <c r="E3" s="1437"/>
      <c r="F3" s="1437"/>
      <c r="M3" s="1178"/>
      <c r="N3" s="1178"/>
      <c r="O3" s="1178"/>
      <c r="P3" s="1178"/>
      <c r="Q3" s="1178"/>
      <c r="R3" s="1099"/>
      <c r="S3" s="1101"/>
    </row>
    <row r="4" spans="2:19" x14ac:dyDescent="0.3">
      <c r="M4" s="1178"/>
      <c r="N4" s="1178"/>
      <c r="O4" s="1179"/>
      <c r="P4" s="1178"/>
      <c r="Q4" s="1178"/>
      <c r="R4" s="1099"/>
      <c r="S4" s="1102" t="s">
        <v>358</v>
      </c>
    </row>
    <row r="5" spans="2:19" x14ac:dyDescent="0.3">
      <c r="M5" s="1178"/>
      <c r="N5" s="1178"/>
      <c r="O5" s="1179"/>
      <c r="P5" s="1178"/>
      <c r="Q5" s="1178"/>
      <c r="R5" s="1099"/>
      <c r="S5" s="1102" t="s">
        <v>846</v>
      </c>
    </row>
    <row r="6" spans="2:19" x14ac:dyDescent="0.3">
      <c r="M6" s="1178"/>
      <c r="N6" s="1178"/>
      <c r="O6" s="1178"/>
      <c r="P6" s="1178"/>
      <c r="Q6" s="1178"/>
      <c r="R6" s="1099"/>
      <c r="S6" s="1102" t="s">
        <v>359</v>
      </c>
    </row>
    <row r="7" spans="2:19" x14ac:dyDescent="0.3">
      <c r="B7" s="1103" t="s">
        <v>180</v>
      </c>
      <c r="C7" s="1" t="s">
        <v>181</v>
      </c>
      <c r="D7" s="1104" t="s">
        <v>211</v>
      </c>
      <c r="E7" s="1105" t="s">
        <v>56</v>
      </c>
      <c r="F7" s="1106" t="s">
        <v>93</v>
      </c>
      <c r="G7" s="1" t="s">
        <v>48</v>
      </c>
      <c r="H7" s="3" t="s">
        <v>90</v>
      </c>
      <c r="I7" s="3" t="s">
        <v>91</v>
      </c>
      <c r="J7" s="3" t="s">
        <v>92</v>
      </c>
      <c r="M7" s="1171" t="s">
        <v>180</v>
      </c>
      <c r="N7" s="1172" t="s">
        <v>181</v>
      </c>
      <c r="O7" s="1173" t="s">
        <v>211</v>
      </c>
      <c r="P7" s="1174" t="s">
        <v>56</v>
      </c>
      <c r="Q7" s="1175" t="s">
        <v>93</v>
      </c>
      <c r="R7" s="1099"/>
      <c r="S7" s="1107" t="s">
        <v>360</v>
      </c>
    </row>
    <row r="8" spans="2:19" ht="18" customHeight="1" x14ac:dyDescent="0.3">
      <c r="B8" s="1108">
        <v>0</v>
      </c>
      <c r="C8" s="274">
        <v>0</v>
      </c>
      <c r="D8" s="373">
        <f t="shared" ref="D8:D15" si="0">1.2%*B8</f>
        <v>0</v>
      </c>
      <c r="E8" s="87" t="s">
        <v>478</v>
      </c>
      <c r="F8" s="1109" t="s">
        <v>405</v>
      </c>
      <c r="G8" s="1102" t="s">
        <v>358</v>
      </c>
      <c r="H8" s="151">
        <f>ROWS(H$10:$H10)</f>
        <v>1</v>
      </c>
      <c r="I8" s="1110" t="str">
        <f>IF(ID!$A$92=G8,H8,"")</f>
        <v/>
      </c>
      <c r="J8" s="1110">
        <f>IFERROR(SMALL($I$8:$I$98,ROWS(I$8:$I8)),"")</f>
        <v>74</v>
      </c>
      <c r="M8" s="1180">
        <f>INDEX(B8:B165,MATCH(ID!$A$92,$G$8:$G$98,0))</f>
        <v>0</v>
      </c>
      <c r="N8" s="1180">
        <f>INDEX(C8:C165,MATCH(ID!$A$92,$G$8:$G$98,0))</f>
        <v>0</v>
      </c>
      <c r="O8" s="1180">
        <f>INDEX(D8:D165,MATCH(ID!$A$92,$G$8:$G$98,0))</f>
        <v>0</v>
      </c>
      <c r="P8" s="1180" t="str">
        <f>INDEX(E8:E165,MATCH(ID!$A$92,$G$8:$G$98,0))</f>
        <v>11.2.2022</v>
      </c>
      <c r="Q8" s="1180" t="str">
        <f>INDEX(F8:F165,MATCH(ID!$A$92,$G$8:$G$98,0))</f>
        <v>Hasil pengujian keselamatan listrik tertelusur ke Satuan SI melalui PT. Kaliman</v>
      </c>
      <c r="R8" s="1099"/>
      <c r="S8" s="1102" t="s">
        <v>361</v>
      </c>
    </row>
    <row r="9" spans="2:19" x14ac:dyDescent="0.3">
      <c r="B9" s="1111">
        <v>150</v>
      </c>
      <c r="C9" s="1112">
        <v>0.31</v>
      </c>
      <c r="D9" s="373">
        <f t="shared" si="0"/>
        <v>1.8</v>
      </c>
      <c r="E9" s="87"/>
      <c r="F9" s="1113"/>
      <c r="G9" s="1102" t="s">
        <v>358</v>
      </c>
      <c r="H9" s="151">
        <f>ROWS(H$10:$H11)</f>
        <v>2</v>
      </c>
      <c r="I9" s="1110" t="str">
        <f>IF(ID!$A$92=G9,H9,"")</f>
        <v/>
      </c>
      <c r="J9" s="1110">
        <f>IFERROR(SMALL($I$8:$I$98,ROWS(I$8:$I9)),"")</f>
        <v>75</v>
      </c>
      <c r="M9" s="1180">
        <f>INDEX(B9:B166,MATCH(ID!$A$92,$G$8:$G$98,0))</f>
        <v>150</v>
      </c>
      <c r="N9" s="1180">
        <f>INDEX(C9:C166,MATCH(ID!$A$92,$G$8:$G$98,0))</f>
        <v>-0.08</v>
      </c>
      <c r="O9" s="1180">
        <f>INDEX(D9:D166,MATCH(ID!$A$92,$G$8:$G$98,0))</f>
        <v>1.8</v>
      </c>
      <c r="P9" s="1180"/>
      <c r="Q9" s="1180"/>
      <c r="R9" s="1099"/>
      <c r="S9" s="1102" t="s">
        <v>362</v>
      </c>
    </row>
    <row r="10" spans="2:19" x14ac:dyDescent="0.3">
      <c r="B10" s="1111">
        <v>180</v>
      </c>
      <c r="C10" s="1112">
        <v>0.1</v>
      </c>
      <c r="D10" s="373">
        <f t="shared" si="0"/>
        <v>2.16</v>
      </c>
      <c r="E10" s="87"/>
      <c r="F10" s="1113"/>
      <c r="G10" s="1102" t="s">
        <v>358</v>
      </c>
      <c r="H10" s="151">
        <f>ROWS(H$10:$H12)</f>
        <v>3</v>
      </c>
      <c r="I10" s="1110" t="str">
        <f>IF(ID!$A$92=G10,H10,"")</f>
        <v/>
      </c>
      <c r="J10" s="1110">
        <f>IFERROR(SMALL($I$8:$I$98,ROWS(I$8:$I10)),"")</f>
        <v>76</v>
      </c>
      <c r="M10" s="1180">
        <f>INDEX(B10:B167,MATCH(ID!$A$92,$G$8:$G$98,0))</f>
        <v>180</v>
      </c>
      <c r="N10" s="1180">
        <f>INDEX(C10:C167,MATCH(ID!$A$92,$G$8:$G$98,0))</f>
        <v>-0.2</v>
      </c>
      <c r="O10" s="1180">
        <f>INDEX(D10:D167,MATCH(ID!$A$92,$G$8:$G$98,0))</f>
        <v>2.16</v>
      </c>
      <c r="P10" s="1180"/>
      <c r="Q10" s="1180"/>
      <c r="R10" s="1099"/>
      <c r="S10" s="1102" t="s">
        <v>845</v>
      </c>
    </row>
    <row r="11" spans="2:19" x14ac:dyDescent="0.3">
      <c r="B11" s="1114">
        <v>200</v>
      </c>
      <c r="C11" s="1112">
        <v>-0.04</v>
      </c>
      <c r="D11" s="373">
        <f t="shared" si="0"/>
        <v>2.4</v>
      </c>
      <c r="E11" s="87"/>
      <c r="F11" s="1113"/>
      <c r="G11" s="1102" t="s">
        <v>358</v>
      </c>
      <c r="H11" s="151">
        <f>ROWS(H$10:$H13)</f>
        <v>4</v>
      </c>
      <c r="I11" s="1110" t="str">
        <f>IF(ID!$A$92=G11,H11,"")</f>
        <v/>
      </c>
      <c r="J11" s="1110">
        <f>IFERROR(SMALL($I$8:$I$98,ROWS(I$8:$I11)),"")</f>
        <v>77</v>
      </c>
      <c r="M11" s="1180">
        <f>INDEX(B11:B168,MATCH(ID!$A$92,$G$8:$G$98,0))</f>
        <v>200</v>
      </c>
      <c r="N11" s="1180">
        <f>INDEX(C11:C168,MATCH(ID!$A$92,$G$8:$G$98,0))</f>
        <v>-0.25</v>
      </c>
      <c r="O11" s="1180">
        <f>INDEX(D11:D168,MATCH(ID!$A$92,$G$8:$G$98,0))</f>
        <v>2.4</v>
      </c>
      <c r="P11" s="1180"/>
      <c r="Q11" s="1180"/>
      <c r="R11" s="1099"/>
      <c r="S11" s="1102" t="s">
        <v>369</v>
      </c>
    </row>
    <row r="12" spans="2:19" x14ac:dyDescent="0.3">
      <c r="B12" s="1114">
        <v>220</v>
      </c>
      <c r="C12" s="1112">
        <v>-0.28000000000000003</v>
      </c>
      <c r="D12" s="373">
        <f t="shared" si="0"/>
        <v>2.64</v>
      </c>
      <c r="E12" s="87"/>
      <c r="F12" s="1113"/>
      <c r="G12" s="1102" t="s">
        <v>358</v>
      </c>
      <c r="H12" s="151">
        <f>ROWS(H$10:$H14)</f>
        <v>5</v>
      </c>
      <c r="I12" s="1110" t="str">
        <f>IF(ID!$A$92=G12,H12,"")</f>
        <v/>
      </c>
      <c r="J12" s="1110">
        <f>IFERROR(SMALL($I$8:$I$98,ROWS(I$8:$I12)),"")</f>
        <v>78</v>
      </c>
      <c r="M12" s="1180">
        <f>INDEX(B12:B169,MATCH(ID!$A$92,$G$8:$G$98,0))</f>
        <v>220</v>
      </c>
      <c r="N12" s="1180">
        <f>INDEX(C12:C169,MATCH(ID!$A$92,$G$8:$G$98,0))</f>
        <v>-0.28999999999999998</v>
      </c>
      <c r="O12" s="1180">
        <f>INDEX(D12:D169,MATCH(ID!$A$92,$G$8:$G$98,0))</f>
        <v>2.64</v>
      </c>
      <c r="P12" s="1180"/>
      <c r="Q12" s="1180"/>
      <c r="R12" s="1099"/>
      <c r="S12" s="1115" t="s">
        <v>370</v>
      </c>
    </row>
    <row r="13" spans="2:19" ht="14.4" thickBot="1" x14ac:dyDescent="0.35">
      <c r="B13" s="1116">
        <v>230</v>
      </c>
      <c r="C13" s="1112">
        <v>-0.2</v>
      </c>
      <c r="D13" s="373">
        <f t="shared" si="0"/>
        <v>2.7600000000000002</v>
      </c>
      <c r="E13" s="87"/>
      <c r="F13" s="1113"/>
      <c r="G13" s="1102" t="s">
        <v>358</v>
      </c>
      <c r="H13" s="151">
        <f>ROWS(H$10:$H15)</f>
        <v>6</v>
      </c>
      <c r="I13" s="1110" t="str">
        <f>IF(ID!$A$92=G13,H13,"")</f>
        <v/>
      </c>
      <c r="J13" s="1110">
        <f>IFERROR(SMALL($I$8:$I$98,ROWS(I$8:$I13)),"")</f>
        <v>79</v>
      </c>
      <c r="M13" s="1180">
        <f>INDEX(B13:B170,MATCH(ID!$A$92,$G$8:$G$98,0))</f>
        <v>230</v>
      </c>
      <c r="N13" s="1180">
        <f>INDEX(C13:C170,MATCH(ID!$A$92,$G$8:$G$98,0))</f>
        <v>-0.34</v>
      </c>
      <c r="O13" s="1180">
        <f>INDEX(D13:D170,MATCH(ID!$A$92,$G$8:$G$98,0))</f>
        <v>2.7600000000000002</v>
      </c>
      <c r="P13" s="1180"/>
      <c r="Q13" s="1180"/>
      <c r="R13" s="1099"/>
    </row>
    <row r="14" spans="2:19" x14ac:dyDescent="0.3">
      <c r="B14" s="272">
        <v>240</v>
      </c>
      <c r="C14" s="273">
        <v>-0.32</v>
      </c>
      <c r="D14" s="373">
        <f t="shared" si="0"/>
        <v>2.88</v>
      </c>
      <c r="E14" s="87"/>
      <c r="F14" s="1113"/>
      <c r="G14" s="1102" t="s">
        <v>358</v>
      </c>
      <c r="H14" s="151">
        <f>ROWS(H$10:$H16)</f>
        <v>7</v>
      </c>
      <c r="I14" s="1110" t="str">
        <f>IF(ID!$A$92=G14,H14,"")</f>
        <v/>
      </c>
      <c r="J14" s="1110">
        <f>IFERROR(SMALL($I$8:$I$98,ROWS(I$8:$I14)),"")</f>
        <v>80</v>
      </c>
      <c r="M14" s="1180">
        <f>INDEX(B14:B171,MATCH(ID!$A$92,$G$8:$G$98,0))</f>
        <v>240</v>
      </c>
      <c r="N14" s="1180">
        <f>INDEX(C14:C171,MATCH(ID!$A$92,$G$8:$G$98,0))</f>
        <v>-0.34</v>
      </c>
      <c r="O14" s="1180">
        <f>INDEX(D14:D171,MATCH(ID!$A$92,$G$8:$G$98,0))</f>
        <v>2.88</v>
      </c>
      <c r="P14" s="1180"/>
      <c r="Q14" s="1180"/>
      <c r="R14" s="1099"/>
      <c r="S14" s="39"/>
    </row>
    <row r="15" spans="2:19" x14ac:dyDescent="0.3">
      <c r="B15" s="88">
        <v>250</v>
      </c>
      <c r="C15" s="89">
        <f>C14</f>
        <v>-0.32</v>
      </c>
      <c r="D15" s="373">
        <f t="shared" si="0"/>
        <v>3</v>
      </c>
      <c r="E15" s="87"/>
      <c r="F15" s="1117"/>
      <c r="G15" s="1118" t="s">
        <v>358</v>
      </c>
      <c r="H15" s="151">
        <f>ROWS(H$10:$H17)</f>
        <v>8</v>
      </c>
      <c r="I15" s="1110" t="str">
        <f>IF(ID!$A$92=G15,H15,"")</f>
        <v/>
      </c>
      <c r="J15" s="1110" t="str">
        <f>IFERROR(SMALL($I$8:$I$98,ROWS(I$8:$I15)),"")</f>
        <v/>
      </c>
      <c r="M15" s="1180">
        <f>INDEX(B15:B172,MATCH(ID!$A$92,$G$8:$G$98,0))</f>
        <v>0</v>
      </c>
      <c r="N15" s="1180">
        <f>INDEX(C15:C172,MATCH(ID!$A$92,$G$8:$G$98,0))</f>
        <v>0</v>
      </c>
      <c r="O15" s="1180">
        <f>INDEX(D15:D172,MATCH(ID!$A$92,$G$8:$G$98,0))</f>
        <v>0</v>
      </c>
      <c r="P15" s="1180"/>
      <c r="Q15" s="1180"/>
      <c r="R15" s="1099"/>
      <c r="S15" s="39"/>
    </row>
    <row r="16" spans="2:19" x14ac:dyDescent="0.3">
      <c r="B16" s="1119"/>
      <c r="C16" s="1120"/>
      <c r="D16" s="1121"/>
      <c r="E16" s="87"/>
      <c r="H16" s="151">
        <f>ROWS(H$10:$H18)</f>
        <v>9</v>
      </c>
      <c r="I16" s="1110" t="str">
        <f>IF(ID!$A$92=G16,H16,"")</f>
        <v/>
      </c>
      <c r="J16" s="1110" t="str">
        <f>IFERROR(SMALL($I$8:$I$98,ROWS(I$8:$I16)),"")</f>
        <v/>
      </c>
      <c r="M16" s="1180">
        <f>INDEX(B16:B173,MATCH(ID!$A$92,$G$8:$G$98,0))</f>
        <v>0</v>
      </c>
      <c r="N16" s="1180">
        <f>INDEX(C16:C173,MATCH(ID!$A$92,$G$8:$G$98,0))</f>
        <v>0</v>
      </c>
      <c r="O16" s="1180">
        <f>INDEX(D16:D173,MATCH(ID!$A$92,$G$8:$G$98,0))</f>
        <v>0</v>
      </c>
      <c r="P16" s="1180"/>
      <c r="Q16" s="1180"/>
      <c r="S16" s="39"/>
    </row>
    <row r="17" spans="1:41" x14ac:dyDescent="0.3">
      <c r="B17" s="1119"/>
      <c r="C17" s="1120"/>
      <c r="D17" s="1121"/>
      <c r="E17" s="87"/>
      <c r="H17" s="151">
        <f>ROWS(H$10:$H19)</f>
        <v>10</v>
      </c>
      <c r="I17" s="1110" t="str">
        <f>IF(ID!$A$92=G17,H17,"")</f>
        <v/>
      </c>
      <c r="J17" s="1110" t="str">
        <f>IFERROR(SMALL($I$8:$I$98,ROWS(I$8:$I17)),"")</f>
        <v/>
      </c>
      <c r="M17" s="1181"/>
      <c r="N17" s="1181"/>
      <c r="O17" s="1182">
        <f>MAX(O8:O16)</f>
        <v>2.88</v>
      </c>
      <c r="P17" s="1181"/>
      <c r="Q17" s="1181"/>
      <c r="S17" s="39"/>
    </row>
    <row r="18" spans="1:41" ht="22.95" customHeight="1" x14ac:dyDescent="0.3">
      <c r="B18" s="1122">
        <v>0</v>
      </c>
      <c r="C18" s="42">
        <v>0</v>
      </c>
      <c r="D18" s="374">
        <f t="shared" ref="D18:D24" si="1">1.2%*B18</f>
        <v>0</v>
      </c>
      <c r="E18" s="91" t="s">
        <v>239</v>
      </c>
      <c r="F18" s="1109" t="s">
        <v>405</v>
      </c>
      <c r="G18" s="1102" t="s">
        <v>846</v>
      </c>
      <c r="H18" s="151">
        <f>ROWS(H$10:$H20)</f>
        <v>11</v>
      </c>
      <c r="I18" s="1110" t="str">
        <f>IF(ID!$A$92=G18,H18,"")</f>
        <v/>
      </c>
      <c r="J18" s="1110" t="str">
        <f>IFERROR(SMALL($I$8:$I$98,ROWS(I$8:$I18)),"")</f>
        <v/>
      </c>
      <c r="S18" s="39"/>
    </row>
    <row r="19" spans="1:41" x14ac:dyDescent="0.3">
      <c r="B19" s="68">
        <v>150</v>
      </c>
      <c r="C19" s="42">
        <v>0.15</v>
      </c>
      <c r="D19" s="374">
        <f t="shared" si="1"/>
        <v>1.8</v>
      </c>
      <c r="E19" s="91"/>
      <c r="F19" s="1123"/>
      <c r="G19" s="1102" t="s">
        <v>846</v>
      </c>
      <c r="H19" s="151">
        <f>ROWS(H$10:$H21)</f>
        <v>12</v>
      </c>
      <c r="I19" s="1110" t="str">
        <f>IF(ID!$A$92=G19,H19,"")</f>
        <v/>
      </c>
      <c r="J19" s="1110" t="str">
        <f>IFERROR(SMALL($I$8:$I$98,ROWS(I$8:$I19)),"")</f>
        <v/>
      </c>
    </row>
    <row r="20" spans="1:41" x14ac:dyDescent="0.3">
      <c r="B20" s="68">
        <v>180</v>
      </c>
      <c r="C20" s="1124">
        <v>0.12</v>
      </c>
      <c r="D20" s="374">
        <f t="shared" si="1"/>
        <v>2.16</v>
      </c>
      <c r="E20" s="91"/>
      <c r="F20" s="1123"/>
      <c r="G20" s="1102" t="s">
        <v>846</v>
      </c>
      <c r="H20" s="151">
        <f>ROWS(H$10:$H22)</f>
        <v>13</v>
      </c>
      <c r="I20" s="1110" t="str">
        <f>IF(ID!$A$92=G20,H20,"")</f>
        <v/>
      </c>
      <c r="J20" s="1110" t="str">
        <f>IFERROR(SMALL($I$8:$I$98,ROWS(I$8:$I20)),"")</f>
        <v/>
      </c>
      <c r="R20" s="1169"/>
      <c r="S20" s="1170"/>
    </row>
    <row r="21" spans="1:41" x14ac:dyDescent="0.3">
      <c r="B21" s="316">
        <v>200</v>
      </c>
      <c r="C21" s="1124">
        <v>0.06</v>
      </c>
      <c r="D21" s="374">
        <f t="shared" si="1"/>
        <v>2.4</v>
      </c>
      <c r="E21" s="91"/>
      <c r="F21" s="1123"/>
      <c r="G21" s="1102" t="s">
        <v>846</v>
      </c>
      <c r="H21" s="151">
        <f>ROWS(H$10:$H23)</f>
        <v>14</v>
      </c>
      <c r="I21" s="1110" t="str">
        <f>IF(ID!$A$92=G21,H21,"")</f>
        <v/>
      </c>
      <c r="J21" s="1110" t="str">
        <f>IFERROR(SMALL($I$8:$I$98,ROWS(I$8:$I21)),"")</f>
        <v/>
      </c>
      <c r="R21" s="1169"/>
      <c r="S21" s="1170"/>
    </row>
    <row r="22" spans="1:41" x14ac:dyDescent="0.3">
      <c r="B22" s="316">
        <v>220</v>
      </c>
      <c r="C22" s="1124">
        <v>0.05</v>
      </c>
      <c r="D22" s="374">
        <f t="shared" si="1"/>
        <v>2.64</v>
      </c>
      <c r="E22" s="91"/>
      <c r="F22" s="1123"/>
      <c r="G22" s="1102" t="s">
        <v>846</v>
      </c>
      <c r="H22" s="151">
        <f>ROWS(H$10:$H24)</f>
        <v>15</v>
      </c>
      <c r="I22" s="1110" t="str">
        <f>IF(ID!$A$92=G22,H22,"")</f>
        <v/>
      </c>
      <c r="J22" s="1110" t="str">
        <f>IFERROR(SMALL($I$8:$I$98,ROWS(I$8:$I22)),"")</f>
        <v/>
      </c>
      <c r="R22" s="1169"/>
      <c r="S22" s="1170"/>
    </row>
    <row r="23" spans="1:41" x14ac:dyDescent="0.3">
      <c r="B23" s="316">
        <v>230</v>
      </c>
      <c r="C23" s="1124">
        <v>0.05</v>
      </c>
      <c r="D23" s="374">
        <f t="shared" si="1"/>
        <v>2.7600000000000002</v>
      </c>
      <c r="E23" s="91"/>
      <c r="F23" s="1123"/>
      <c r="G23" s="1102" t="s">
        <v>846</v>
      </c>
      <c r="H23" s="151">
        <f>ROWS(H$10:$H25)</f>
        <v>16</v>
      </c>
      <c r="I23" s="1110" t="str">
        <f>IF(ID!$A$92=G23,H23,"")</f>
        <v/>
      </c>
      <c r="J23" s="1110" t="str">
        <f>IFERROR(SMALL($I$8:$I$98,ROWS(I$8:$I23)),"")</f>
        <v/>
      </c>
      <c r="R23" s="1169"/>
      <c r="S23" s="1170"/>
    </row>
    <row r="24" spans="1:41" s="294" customFormat="1" ht="13.2" x14ac:dyDescent="0.25">
      <c r="B24" s="295">
        <v>250</v>
      </c>
      <c r="C24" s="296">
        <f>C23</f>
        <v>0.05</v>
      </c>
      <c r="D24" s="374">
        <f t="shared" si="1"/>
        <v>3</v>
      </c>
      <c r="E24" s="334"/>
      <c r="F24" s="1125"/>
      <c r="G24" s="1102" t="s">
        <v>846</v>
      </c>
      <c r="H24" s="151">
        <f>ROWS(H$10:$H26)</f>
        <v>17</v>
      </c>
      <c r="I24" s="1110" t="str">
        <f>IF(ID!$A$92=G24,H24,"")</f>
        <v/>
      </c>
      <c r="J24" s="1110" t="str">
        <f>IFERROR(SMALL($I$8:$I$98,ROWS(I$8:$I24)),"")</f>
        <v/>
      </c>
      <c r="R24" s="1169"/>
      <c r="S24" s="1170"/>
    </row>
    <row r="25" spans="1:41" x14ac:dyDescent="0.3">
      <c r="D25" s="1126"/>
      <c r="H25" s="151">
        <f>ROWS(H$10:$H27)</f>
        <v>18</v>
      </c>
      <c r="I25" s="1110" t="str">
        <f>IF(ID!$A$92=G25,H25,"")</f>
        <v/>
      </c>
      <c r="J25" s="1110" t="str">
        <f>IFERROR(SMALL($I$8:$I$98,ROWS(I$8:$I25)),"")</f>
        <v/>
      </c>
      <c r="R25" s="1169"/>
      <c r="S25" s="1170"/>
    </row>
    <row r="26" spans="1:41" ht="15.6" x14ac:dyDescent="0.3">
      <c r="A26" s="1127"/>
      <c r="B26" s="1128" t="s">
        <v>180</v>
      </c>
      <c r="C26" s="1128" t="s">
        <v>181</v>
      </c>
      <c r="D26" s="1128" t="s">
        <v>211</v>
      </c>
      <c r="E26" s="1129" t="s">
        <v>56</v>
      </c>
      <c r="H26" s="151">
        <f>ROWS(H$10:$H28)</f>
        <v>19</v>
      </c>
      <c r="I26" s="1110" t="str">
        <f>IF(ID!$A$92=G26,H26,"")</f>
        <v/>
      </c>
      <c r="J26" s="1110" t="str">
        <f>IFERROR(SMALL($I$8:$I$98,ROWS(I$8:$I26)),"")</f>
        <v/>
      </c>
      <c r="R26" s="1169"/>
      <c r="S26" s="1170"/>
      <c r="AO26" s="1127"/>
    </row>
    <row r="27" spans="1:41" ht="24" customHeight="1" x14ac:dyDescent="0.3">
      <c r="B27" s="1108">
        <v>0</v>
      </c>
      <c r="C27" s="34">
        <v>0</v>
      </c>
      <c r="D27" s="374">
        <f t="shared" ref="D27:D32" si="2">1.2%*B27</f>
        <v>0</v>
      </c>
      <c r="E27" s="91">
        <v>2022</v>
      </c>
      <c r="F27" s="1109" t="s">
        <v>405</v>
      </c>
      <c r="G27" s="1102" t="s">
        <v>359</v>
      </c>
      <c r="H27" s="151">
        <f>ROWS(H$10:$H29)</f>
        <v>20</v>
      </c>
      <c r="I27" s="1110" t="str">
        <f>IF(ID!$A$92=G27,H27,"")</f>
        <v/>
      </c>
      <c r="J27" s="1110" t="str">
        <f>IFERROR(SMALL($I$8:$I$98,ROWS(I$8:$I27)),"")</f>
        <v/>
      </c>
      <c r="R27" s="1169"/>
      <c r="S27" s="1170"/>
    </row>
    <row r="28" spans="1:41" ht="14.4" x14ac:dyDescent="0.3">
      <c r="B28" s="1108">
        <v>150</v>
      </c>
      <c r="C28" s="34">
        <v>-1.43</v>
      </c>
      <c r="D28" s="374">
        <f t="shared" si="2"/>
        <v>1.8</v>
      </c>
      <c r="E28" s="87"/>
      <c r="F28" s="1123"/>
      <c r="G28" s="1102" t="s">
        <v>359</v>
      </c>
      <c r="H28" s="151">
        <f>ROWS(H$10:$H30)</f>
        <v>21</v>
      </c>
      <c r="I28" s="1110" t="str">
        <f>IF(ID!$A$92=G28,H28,"")</f>
        <v/>
      </c>
      <c r="J28" s="1110" t="str">
        <f>IFERROR(SMALL($I$8:$I$98,ROWS(I$8:$I28)),"")</f>
        <v/>
      </c>
      <c r="R28" s="1169"/>
      <c r="S28" s="1170"/>
    </row>
    <row r="29" spans="1:41" x14ac:dyDescent="0.3">
      <c r="B29" s="1130">
        <v>180</v>
      </c>
      <c r="C29" s="34">
        <v>-1.81</v>
      </c>
      <c r="D29" s="374">
        <f t="shared" si="2"/>
        <v>2.16</v>
      </c>
      <c r="E29" s="87"/>
      <c r="F29" s="1123"/>
      <c r="G29" s="1102" t="s">
        <v>359</v>
      </c>
      <c r="H29" s="151">
        <f>ROWS(H$10:$H31)</f>
        <v>22</v>
      </c>
      <c r="I29" s="1110" t="str">
        <f>IF(ID!$A$92=G29,H29,"")</f>
        <v/>
      </c>
      <c r="J29" s="1110" t="str">
        <f>IFERROR(SMALL($I$8:$I$98,ROWS(I$8:$I29)),"")</f>
        <v/>
      </c>
      <c r="R29" s="1169"/>
    </row>
    <row r="30" spans="1:41" x14ac:dyDescent="0.3">
      <c r="B30" s="1111">
        <v>200</v>
      </c>
      <c r="C30" s="34">
        <v>-2.0499999999999998</v>
      </c>
      <c r="D30" s="374">
        <f t="shared" si="2"/>
        <v>2.4</v>
      </c>
      <c r="E30" s="87"/>
      <c r="F30" s="1123"/>
      <c r="G30" s="1102" t="s">
        <v>359</v>
      </c>
      <c r="H30" s="151">
        <f>ROWS(H$10:$H32)</f>
        <v>23</v>
      </c>
      <c r="I30" s="1110" t="str">
        <f>IF(ID!$A$92=G30,H30,"")</f>
        <v/>
      </c>
      <c r="J30" s="1110" t="str">
        <f>IFERROR(SMALL($I$8:$I$98,ROWS(I$8:$I30)),"")</f>
        <v/>
      </c>
    </row>
    <row r="31" spans="1:41" x14ac:dyDescent="0.3">
      <c r="B31" s="1111">
        <v>220</v>
      </c>
      <c r="C31" s="1112">
        <v>-2.29</v>
      </c>
      <c r="D31" s="374">
        <f t="shared" si="2"/>
        <v>2.64</v>
      </c>
      <c r="E31" s="87"/>
      <c r="F31" s="1123"/>
      <c r="G31" s="1102" t="s">
        <v>359</v>
      </c>
      <c r="H31" s="151">
        <f>ROWS(H$10:$H33)</f>
        <v>24</v>
      </c>
      <c r="I31" s="1110" t="str">
        <f>IF(ID!$A$92=G31,H31,"")</f>
        <v/>
      </c>
      <c r="J31" s="1110" t="str">
        <f>IFERROR(SMALL($I$8:$I$98,ROWS(I$8:$I31)),"")</f>
        <v/>
      </c>
    </row>
    <row r="32" spans="1:41" x14ac:dyDescent="0.3">
      <c r="B32" s="1114">
        <v>230</v>
      </c>
      <c r="C32" s="1112">
        <v>-11.79</v>
      </c>
      <c r="D32" s="374">
        <f t="shared" si="2"/>
        <v>2.7600000000000002</v>
      </c>
      <c r="E32" s="87"/>
      <c r="F32" s="1123"/>
      <c r="G32" s="1102" t="s">
        <v>359</v>
      </c>
      <c r="H32" s="151">
        <f>ROWS(H$10:$H34)</f>
        <v>25</v>
      </c>
      <c r="I32" s="1110" t="str">
        <f>IF(ID!$A$92=G32,H32,"")</f>
        <v/>
      </c>
      <c r="J32" s="1110" t="str">
        <f>IFERROR(SMALL($I$8:$I$98,ROWS(I$8:$I32)),"")</f>
        <v/>
      </c>
    </row>
    <row r="33" spans="1:41" x14ac:dyDescent="0.3">
      <c r="B33" s="88">
        <v>250</v>
      </c>
      <c r="C33" s="89">
        <f>C32</f>
        <v>-11.79</v>
      </c>
      <c r="D33" s="89">
        <f>D32</f>
        <v>2.7600000000000002</v>
      </c>
      <c r="E33" s="87"/>
      <c r="F33" s="1123"/>
      <c r="G33" s="1131" t="s">
        <v>359</v>
      </c>
      <c r="H33" s="151">
        <f>ROWS(H$10:$H35)</f>
        <v>26</v>
      </c>
      <c r="I33" s="1110" t="str">
        <f>IF(ID!$A$92=G33,H33,"")</f>
        <v/>
      </c>
      <c r="J33" s="1110" t="str">
        <f>IFERROR(SMALL($I$8:$I$98,ROWS(I$8:$I33)),"")</f>
        <v/>
      </c>
    </row>
    <row r="34" spans="1:41" x14ac:dyDescent="0.3">
      <c r="D34" s="1126"/>
      <c r="H34" s="151">
        <f>ROWS(H$10:$H36)</f>
        <v>27</v>
      </c>
      <c r="I34" s="1110" t="str">
        <f>IF(ID!$A$92=G34,H34,"")</f>
        <v/>
      </c>
      <c r="J34" s="1110" t="str">
        <f>IFERROR(SMALL($I$8:$I$98,ROWS(I$8:$I34)),"")</f>
        <v/>
      </c>
    </row>
    <row r="35" spans="1:41" ht="15.6" x14ac:dyDescent="0.3">
      <c r="A35" s="1127"/>
      <c r="B35" s="1128" t="s">
        <v>180</v>
      </c>
      <c r="C35" s="1128" t="s">
        <v>181</v>
      </c>
      <c r="D35" s="1128" t="s">
        <v>211</v>
      </c>
      <c r="E35" s="1129" t="s">
        <v>56</v>
      </c>
      <c r="H35" s="151">
        <f>ROWS(H$10:$H37)</f>
        <v>28</v>
      </c>
      <c r="I35" s="1110" t="str">
        <f>IF(ID!$A$92=G35,H35,"")</f>
        <v/>
      </c>
      <c r="J35" s="1110" t="str">
        <f>IFERROR(SMALL($I$8:$I$98,ROWS(I$8:$I35)),"")</f>
        <v/>
      </c>
      <c r="AO35" s="1127"/>
    </row>
    <row r="36" spans="1:41" ht="24.45" customHeight="1" x14ac:dyDescent="0.3">
      <c r="B36" s="1122">
        <v>0</v>
      </c>
      <c r="C36" s="42">
        <v>0</v>
      </c>
      <c r="D36" s="374">
        <f t="shared" ref="D36:D42" si="3">1.2%*B36</f>
        <v>0</v>
      </c>
      <c r="E36" s="91" t="s">
        <v>479</v>
      </c>
      <c r="F36" s="1109" t="s">
        <v>406</v>
      </c>
      <c r="G36" s="1107" t="s">
        <v>360</v>
      </c>
      <c r="H36" s="151">
        <f>ROWS(H$10:$H38)</f>
        <v>29</v>
      </c>
      <c r="I36" s="1110" t="str">
        <f>IF(ID!$A$92=G36,H36,"")</f>
        <v/>
      </c>
      <c r="J36" s="1110" t="str">
        <f>IFERROR(SMALL($I$8:$I$98,ROWS(I$8:$I36)),"")</f>
        <v/>
      </c>
    </row>
    <row r="37" spans="1:41" x14ac:dyDescent="0.3">
      <c r="B37" s="68">
        <v>150</v>
      </c>
      <c r="C37" s="42">
        <v>-0.05</v>
      </c>
      <c r="D37" s="374">
        <f t="shared" si="3"/>
        <v>1.8</v>
      </c>
      <c r="E37" s="91"/>
      <c r="F37" s="1123"/>
      <c r="G37" s="1107" t="s">
        <v>360</v>
      </c>
      <c r="H37" s="151">
        <f>ROWS(H$10:$H39)</f>
        <v>30</v>
      </c>
      <c r="I37" s="1110" t="str">
        <f>IF(ID!$A$92=G37,H37,"")</f>
        <v/>
      </c>
      <c r="J37" s="1110" t="str">
        <f>IFERROR(SMALL($I$8:$I$98,ROWS(I$8:$I37)),"")</f>
        <v/>
      </c>
    </row>
    <row r="38" spans="1:41" x14ac:dyDescent="0.3">
      <c r="B38" s="68">
        <v>180</v>
      </c>
      <c r="C38" s="1124">
        <v>-0.04</v>
      </c>
      <c r="D38" s="374">
        <f t="shared" si="3"/>
        <v>2.16</v>
      </c>
      <c r="E38" s="91"/>
      <c r="F38" s="1123"/>
      <c r="G38" s="1107" t="s">
        <v>360</v>
      </c>
      <c r="H38" s="151">
        <f>ROWS(H$10:$H40)</f>
        <v>31</v>
      </c>
      <c r="I38" s="1110" t="str">
        <f>IF(ID!$A$92=G38,H38,"")</f>
        <v/>
      </c>
      <c r="J38" s="1110" t="str">
        <f>IFERROR(SMALL($I$8:$I$98,ROWS(I$8:$I38)),"")</f>
        <v/>
      </c>
    </row>
    <row r="39" spans="1:41" x14ac:dyDescent="0.3">
      <c r="B39" s="316">
        <v>200</v>
      </c>
      <c r="C39" s="1124">
        <v>-0.67</v>
      </c>
      <c r="D39" s="374">
        <f t="shared" si="3"/>
        <v>2.4</v>
      </c>
      <c r="E39" s="91"/>
      <c r="F39" s="1123"/>
      <c r="G39" s="1107" t="s">
        <v>360</v>
      </c>
      <c r="H39" s="151">
        <f>ROWS(H$10:$H41)</f>
        <v>32</v>
      </c>
      <c r="I39" s="1110" t="str">
        <f>IF(ID!$A$92=G39,H39,"")</f>
        <v/>
      </c>
      <c r="J39" s="1110" t="str">
        <f>IFERROR(SMALL($I$8:$I$98,ROWS(I$8:$I39)),"")</f>
        <v/>
      </c>
    </row>
    <row r="40" spans="1:41" x14ac:dyDescent="0.3">
      <c r="B40" s="316">
        <v>220</v>
      </c>
      <c r="C40" s="1124">
        <v>0</v>
      </c>
      <c r="D40" s="374">
        <f t="shared" si="3"/>
        <v>2.64</v>
      </c>
      <c r="E40" s="91"/>
      <c r="F40" s="1123"/>
      <c r="G40" s="1107" t="s">
        <v>360</v>
      </c>
      <c r="H40" s="151">
        <f>ROWS(H$10:$H42)</f>
        <v>33</v>
      </c>
      <c r="I40" s="1110" t="str">
        <f>IF(ID!$A$92=G40,H40,"")</f>
        <v/>
      </c>
      <c r="J40" s="1110" t="str">
        <f>IFERROR(SMALL($I$8:$I$98,ROWS(I$8:$I40)),"")</f>
        <v/>
      </c>
    </row>
    <row r="41" spans="1:41" x14ac:dyDescent="0.3">
      <c r="B41" s="316">
        <v>230</v>
      </c>
      <c r="C41" s="1124">
        <v>-0.11</v>
      </c>
      <c r="D41" s="374">
        <f t="shared" si="3"/>
        <v>2.7600000000000002</v>
      </c>
      <c r="E41" s="91"/>
      <c r="F41" s="1123"/>
      <c r="G41" s="1107" t="s">
        <v>360</v>
      </c>
      <c r="H41" s="151">
        <f>ROWS(H$10:$H43)</f>
        <v>34</v>
      </c>
      <c r="I41" s="1110" t="str">
        <f>IF(ID!$A$92=G41,H41,"")</f>
        <v/>
      </c>
      <c r="J41" s="1110" t="str">
        <f>IFERROR(SMALL($I$8:$I$98,ROWS(I$8:$I41)),"")</f>
        <v/>
      </c>
    </row>
    <row r="42" spans="1:41" s="294" customFormat="1" x14ac:dyDescent="0.3">
      <c r="B42" s="295">
        <v>250</v>
      </c>
      <c r="C42" s="296">
        <f>C41</f>
        <v>-0.11</v>
      </c>
      <c r="D42" s="374">
        <f t="shared" si="3"/>
        <v>3</v>
      </c>
      <c r="E42" s="375"/>
      <c r="F42" s="1125"/>
      <c r="G42" s="1132" t="s">
        <v>360</v>
      </c>
      <c r="H42" s="151">
        <f>ROWS(H$10:$H44)</f>
        <v>35</v>
      </c>
      <c r="I42" s="1110" t="str">
        <f>IF(ID!$A$92=G42,H42,"")</f>
        <v/>
      </c>
      <c r="J42" s="1110" t="str">
        <f>IFERROR(SMALL($I$8:$I$98,ROWS(I$8:$I42)),"")</f>
        <v/>
      </c>
      <c r="M42" s="1177"/>
      <c r="N42" s="1177"/>
      <c r="O42" s="1177"/>
      <c r="P42" s="1177"/>
      <c r="Q42" s="1177"/>
    </row>
    <row r="43" spans="1:41" x14ac:dyDescent="0.3">
      <c r="D43" s="1126"/>
      <c r="H43" s="151">
        <f>ROWS(H$10:$H45)</f>
        <v>36</v>
      </c>
      <c r="I43" s="1110" t="str">
        <f>IF(ID!$A$92=G43,H43,"")</f>
        <v/>
      </c>
      <c r="J43" s="1110" t="str">
        <f>IFERROR(SMALL($I$8:$I$98,ROWS(I$8:$I43)),"")</f>
        <v/>
      </c>
    </row>
    <row r="44" spans="1:41" ht="15.6" x14ac:dyDescent="0.3">
      <c r="A44" s="1127"/>
      <c r="B44" s="1128" t="s">
        <v>180</v>
      </c>
      <c r="C44" s="1128" t="s">
        <v>181</v>
      </c>
      <c r="D44" s="1128" t="s">
        <v>211</v>
      </c>
      <c r="E44" s="1129" t="s">
        <v>56</v>
      </c>
      <c r="H44" s="151">
        <f>ROWS(H$10:$H46)</f>
        <v>37</v>
      </c>
      <c r="I44" s="1110" t="str">
        <f>IF(ID!$A$92=G44,H44,"")</f>
        <v/>
      </c>
      <c r="J44" s="1110" t="str">
        <f>IFERROR(SMALL($I$8:$I$98,ROWS(I$8:$I44)),"")</f>
        <v/>
      </c>
      <c r="AO44" s="1127"/>
    </row>
    <row r="45" spans="1:41" ht="19.5" customHeight="1" x14ac:dyDescent="0.3">
      <c r="B45" s="1108">
        <v>0</v>
      </c>
      <c r="C45" s="34">
        <v>0</v>
      </c>
      <c r="D45" s="374">
        <f t="shared" ref="D45:D51" si="4">1.2%*B45</f>
        <v>0</v>
      </c>
      <c r="E45" s="87" t="s">
        <v>477</v>
      </c>
      <c r="F45" s="1109" t="s">
        <v>405</v>
      </c>
      <c r="G45" s="1102" t="s">
        <v>361</v>
      </c>
      <c r="H45" s="151">
        <f>ROWS(H$10:$H47)</f>
        <v>38</v>
      </c>
      <c r="I45" s="1110" t="str">
        <f>IF(ID!$A$92=G45,H45,"")</f>
        <v/>
      </c>
      <c r="J45" s="1110" t="str">
        <f>IFERROR(SMALL($I$8:$I$98,ROWS(I$8:$I45)),"")</f>
        <v/>
      </c>
    </row>
    <row r="46" spans="1:41" x14ac:dyDescent="0.3">
      <c r="B46" s="1111">
        <v>150</v>
      </c>
      <c r="C46" s="34">
        <v>0.25</v>
      </c>
      <c r="D46" s="374">
        <f t="shared" si="4"/>
        <v>1.8</v>
      </c>
      <c r="E46" s="87"/>
      <c r="F46" s="1123"/>
      <c r="G46" s="1102" t="s">
        <v>361</v>
      </c>
      <c r="H46" s="151">
        <f>ROWS(H$10:$H48)</f>
        <v>39</v>
      </c>
      <c r="I46" s="1110" t="str">
        <f>IF(ID!$A$92=G46,H46,"")</f>
        <v/>
      </c>
      <c r="J46" s="1110" t="str">
        <f>IFERROR(SMALL($I$8:$I$98,ROWS(I$8:$I46)),"")</f>
        <v/>
      </c>
    </row>
    <row r="47" spans="1:41" x14ac:dyDescent="0.3">
      <c r="B47" s="1111">
        <v>180</v>
      </c>
      <c r="C47" s="1112">
        <v>0.09</v>
      </c>
      <c r="D47" s="374">
        <f t="shared" si="4"/>
        <v>2.16</v>
      </c>
      <c r="E47" s="87"/>
      <c r="F47" s="1123"/>
      <c r="G47" s="1102" t="s">
        <v>361</v>
      </c>
      <c r="H47" s="151">
        <f>ROWS(H$10:$H49)</f>
        <v>40</v>
      </c>
      <c r="I47" s="1110" t="str">
        <f>IF(ID!$A$92=G47,H47,"")</f>
        <v/>
      </c>
      <c r="J47" s="1110" t="str">
        <f>IFERROR(SMALL($I$8:$I$98,ROWS(I$8:$I47)),"")</f>
        <v/>
      </c>
    </row>
    <row r="48" spans="1:41" x14ac:dyDescent="0.3">
      <c r="B48" s="1111">
        <v>200</v>
      </c>
      <c r="C48" s="1112">
        <v>0.18</v>
      </c>
      <c r="D48" s="374">
        <f t="shared" si="4"/>
        <v>2.4</v>
      </c>
      <c r="E48" s="87"/>
      <c r="F48" s="1123"/>
      <c r="G48" s="1102" t="s">
        <v>361</v>
      </c>
      <c r="H48" s="151">
        <f>ROWS(H$10:$H50)</f>
        <v>41</v>
      </c>
      <c r="I48" s="1110" t="str">
        <f>IF(ID!$A$92=G48,H48,"")</f>
        <v/>
      </c>
      <c r="J48" s="1110" t="str">
        <f>IFERROR(SMALL($I$8:$I$98,ROWS(I$8:$I48)),"")</f>
        <v/>
      </c>
    </row>
    <row r="49" spans="1:41" x14ac:dyDescent="0.3">
      <c r="B49" s="1114">
        <v>220</v>
      </c>
      <c r="C49" s="1112">
        <v>0.56000000000000005</v>
      </c>
      <c r="D49" s="374">
        <f t="shared" si="4"/>
        <v>2.64</v>
      </c>
      <c r="E49" s="87"/>
      <c r="F49" s="1123"/>
      <c r="G49" s="1102" t="s">
        <v>361</v>
      </c>
      <c r="H49" s="151">
        <f>ROWS(H$10:$H51)</f>
        <v>42</v>
      </c>
      <c r="I49" s="1110" t="str">
        <f>IF(ID!$A$92=G49,H49,"")</f>
        <v/>
      </c>
      <c r="J49" s="1110" t="str">
        <f>IFERROR(SMALL($I$8:$I$98,ROWS(I$8:$I49)),"")</f>
        <v/>
      </c>
    </row>
    <row r="50" spans="1:41" ht="14.4" thickBot="1" x14ac:dyDescent="0.35">
      <c r="B50" s="1116">
        <v>230</v>
      </c>
      <c r="C50" s="1112">
        <v>0.73</v>
      </c>
      <c r="D50" s="374">
        <f t="shared" si="4"/>
        <v>2.7600000000000002</v>
      </c>
      <c r="E50" s="87"/>
      <c r="F50" s="1123"/>
      <c r="G50" s="1102" t="s">
        <v>361</v>
      </c>
      <c r="H50" s="151">
        <f>ROWS(H$10:$H52)</f>
        <v>43</v>
      </c>
      <c r="I50" s="1110" t="str">
        <f>IF(ID!$A$92=G50,H50,"")</f>
        <v/>
      </c>
      <c r="J50" s="1110" t="str">
        <f>IFERROR(SMALL($I$8:$I$98,ROWS(I$8:$I50)),"")</f>
        <v/>
      </c>
    </row>
    <row r="51" spans="1:41" x14ac:dyDescent="0.3">
      <c r="B51" s="88">
        <v>250</v>
      </c>
      <c r="C51" s="89">
        <f>C50</f>
        <v>0.73</v>
      </c>
      <c r="D51" s="374">
        <f t="shared" si="4"/>
        <v>3</v>
      </c>
      <c r="E51" s="87"/>
      <c r="F51" s="1123"/>
      <c r="G51" s="1132" t="s">
        <v>361</v>
      </c>
      <c r="H51" s="151">
        <f>ROWS(H$10:$H53)</f>
        <v>44</v>
      </c>
      <c r="I51" s="1110" t="str">
        <f>IF(ID!$A$92=G51,H51,"")</f>
        <v/>
      </c>
      <c r="J51" s="1110" t="str">
        <f>IFERROR(SMALL($I$8:$I$98,ROWS(I$8:$I51)),"")</f>
        <v/>
      </c>
    </row>
    <row r="52" spans="1:41" x14ac:dyDescent="0.3">
      <c r="D52" s="1126"/>
      <c r="H52" s="151">
        <f>ROWS(H$10:$H54)</f>
        <v>45</v>
      </c>
      <c r="I52" s="1110" t="str">
        <f>IF(ID!$A$92=G52,H52,"")</f>
        <v/>
      </c>
      <c r="J52" s="1110" t="str">
        <f>IFERROR(SMALL($I$8:$I$98,ROWS(I$8:$I52)),"")</f>
        <v/>
      </c>
    </row>
    <row r="53" spans="1:41" ht="15.6" x14ac:dyDescent="0.3">
      <c r="A53" s="1127"/>
      <c r="B53" s="1128" t="s">
        <v>180</v>
      </c>
      <c r="C53" s="1128" t="s">
        <v>181</v>
      </c>
      <c r="D53" s="1128" t="s">
        <v>211</v>
      </c>
      <c r="E53" s="1129" t="s">
        <v>56</v>
      </c>
      <c r="H53" s="151">
        <f>ROWS(H$10:$H55)</f>
        <v>46</v>
      </c>
      <c r="I53" s="1110" t="str">
        <f>IF(ID!$A$92=G53,H53,"")</f>
        <v/>
      </c>
      <c r="J53" s="1110" t="str">
        <f>IFERROR(SMALL($I$8:$I$98,ROWS(I$8:$I53)),"")</f>
        <v/>
      </c>
      <c r="AO53" s="1127"/>
    </row>
    <row r="54" spans="1:41" ht="17.55" customHeight="1" x14ac:dyDescent="0.3">
      <c r="B54" s="1108">
        <v>0</v>
      </c>
      <c r="C54" s="34">
        <v>0</v>
      </c>
      <c r="D54" s="374">
        <f t="shared" ref="D54:D60" si="5">1.2%*B54</f>
        <v>0</v>
      </c>
      <c r="E54" s="91" t="s">
        <v>739</v>
      </c>
      <c r="F54" s="1109" t="s">
        <v>406</v>
      </c>
      <c r="G54" s="1102" t="s">
        <v>362</v>
      </c>
      <c r="H54" s="151">
        <f>ROWS(H$10:$H56)</f>
        <v>47</v>
      </c>
      <c r="I54" s="1110" t="str">
        <f>IF(ID!$A$92=G54,H54,"")</f>
        <v/>
      </c>
      <c r="J54" s="1110" t="str">
        <f>IFERROR(SMALL($I$8:$I$98,ROWS(I$8:$I54)),"")</f>
        <v/>
      </c>
    </row>
    <row r="55" spans="1:41" x14ac:dyDescent="0.3">
      <c r="B55" s="1111">
        <v>150</v>
      </c>
      <c r="C55" s="34">
        <v>0.15</v>
      </c>
      <c r="D55" s="374">
        <f t="shared" si="5"/>
        <v>1.8</v>
      </c>
      <c r="E55" s="91"/>
      <c r="F55" s="1123"/>
      <c r="G55" s="1102" t="s">
        <v>362</v>
      </c>
      <c r="H55" s="151">
        <f>ROWS(H$10:$H57)</f>
        <v>48</v>
      </c>
      <c r="I55" s="1110" t="str">
        <f>IF(ID!$A$92=G55,H55,"")</f>
        <v/>
      </c>
      <c r="J55" s="1110" t="str">
        <f>IFERROR(SMALL($I$8:$I$98,ROWS(I$8:$I55)),"")</f>
        <v/>
      </c>
    </row>
    <row r="56" spans="1:41" x14ac:dyDescent="0.3">
      <c r="B56" s="1111">
        <v>180</v>
      </c>
      <c r="C56" s="1112">
        <v>0.17</v>
      </c>
      <c r="D56" s="374">
        <f t="shared" si="5"/>
        <v>2.16</v>
      </c>
      <c r="E56" s="91"/>
      <c r="F56" s="1123"/>
      <c r="G56" s="1102" t="s">
        <v>362</v>
      </c>
      <c r="H56" s="151">
        <f>ROWS(H$10:$H58)</f>
        <v>49</v>
      </c>
      <c r="I56" s="1110" t="str">
        <f>IF(ID!$A$92=G56,H56,"")</f>
        <v/>
      </c>
      <c r="J56" s="1110" t="str">
        <f>IFERROR(SMALL($I$8:$I$98,ROWS(I$8:$I56)),"")</f>
        <v/>
      </c>
    </row>
    <row r="57" spans="1:41" x14ac:dyDescent="0.3">
      <c r="B57" s="1111">
        <v>200</v>
      </c>
      <c r="C57" s="1112">
        <v>0.1</v>
      </c>
      <c r="D57" s="374">
        <f t="shared" si="5"/>
        <v>2.4</v>
      </c>
      <c r="E57" s="91"/>
      <c r="F57" s="1123"/>
      <c r="G57" s="1102" t="s">
        <v>362</v>
      </c>
      <c r="H57" s="151">
        <f>ROWS(H$10:$H59)</f>
        <v>50</v>
      </c>
      <c r="I57" s="1110" t="str">
        <f>IF(ID!$A$92=G57,H57,"")</f>
        <v/>
      </c>
      <c r="J57" s="1110" t="str">
        <f>IFERROR(SMALL($I$8:$I$98,ROWS(I$8:$I57)),"")</f>
        <v/>
      </c>
    </row>
    <row r="58" spans="1:41" x14ac:dyDescent="0.3">
      <c r="B58" s="1114">
        <v>220</v>
      </c>
      <c r="C58" s="1112">
        <v>7.0000000000000007E-2</v>
      </c>
      <c r="D58" s="374">
        <f t="shared" si="5"/>
        <v>2.64</v>
      </c>
      <c r="E58" s="91"/>
      <c r="F58" s="1123"/>
      <c r="G58" s="1102" t="s">
        <v>362</v>
      </c>
      <c r="H58" s="151">
        <f>ROWS(H$10:$H60)</f>
        <v>51</v>
      </c>
      <c r="I58" s="1110" t="str">
        <f>IF(ID!$A$92=G58,H58,"")</f>
        <v/>
      </c>
      <c r="J58" s="1110" t="str">
        <f>IFERROR(SMALL($I$8:$I$98,ROWS(I$8:$I58)),"")</f>
        <v/>
      </c>
    </row>
    <row r="59" spans="1:41" ht="14.4" thickBot="1" x14ac:dyDescent="0.35">
      <c r="B59" s="1116">
        <v>230</v>
      </c>
      <c r="C59" s="1112">
        <v>0.08</v>
      </c>
      <c r="D59" s="374">
        <f t="shared" si="5"/>
        <v>2.7600000000000002</v>
      </c>
      <c r="E59" s="91"/>
      <c r="F59" s="1123"/>
      <c r="G59" s="1102" t="s">
        <v>362</v>
      </c>
      <c r="H59" s="151">
        <f>ROWS(H$10:$H61)</f>
        <v>52</v>
      </c>
      <c r="I59" s="1110" t="str">
        <f>IF(ID!$A$92=G59,H59,"")</f>
        <v/>
      </c>
      <c r="J59" s="1110" t="str">
        <f>IFERROR(SMALL($I$8:$I$98,ROWS(I$8:$I59)),"")</f>
        <v/>
      </c>
    </row>
    <row r="60" spans="1:41" x14ac:dyDescent="0.3">
      <c r="B60" s="88">
        <v>250</v>
      </c>
      <c r="C60" s="89">
        <f>C59</f>
        <v>0.08</v>
      </c>
      <c r="D60" s="374">
        <f t="shared" si="5"/>
        <v>3</v>
      </c>
      <c r="E60" s="91"/>
      <c r="F60" s="1123"/>
      <c r="G60" s="1132" t="s">
        <v>362</v>
      </c>
      <c r="H60" s="151">
        <f>ROWS(H$10:$H62)</f>
        <v>53</v>
      </c>
      <c r="I60" s="1110" t="str">
        <f>IF(ID!$A$92=G60,H60,"")</f>
        <v/>
      </c>
      <c r="J60" s="1110" t="str">
        <f>IFERROR(SMALL($I$8:$I$98,ROWS(I$8:$I60)),"")</f>
        <v/>
      </c>
    </row>
    <row r="61" spans="1:41" x14ac:dyDescent="0.3">
      <c r="D61" s="1126"/>
      <c r="H61" s="151">
        <f>ROWS(H$10:$H63)</f>
        <v>54</v>
      </c>
      <c r="I61" s="1110" t="str">
        <f>IF(ID!$A$92=G61,H61,"")</f>
        <v/>
      </c>
      <c r="J61" s="1110" t="str">
        <f>IFERROR(SMALL($I$8:$I$98,ROWS(I$8:$I61)),"")</f>
        <v/>
      </c>
    </row>
    <row r="62" spans="1:41" ht="15.6" x14ac:dyDescent="0.3">
      <c r="A62" s="1127"/>
      <c r="B62" s="1128" t="s">
        <v>180</v>
      </c>
      <c r="C62" s="1128" t="s">
        <v>181</v>
      </c>
      <c r="D62" s="1128" t="s">
        <v>211</v>
      </c>
      <c r="E62" s="1129" t="s">
        <v>56</v>
      </c>
      <c r="H62" s="151">
        <f>ROWS(H$10:$H64)</f>
        <v>55</v>
      </c>
      <c r="I62" s="1110" t="str">
        <f>IF(ID!$A$92=G62,H62,"")</f>
        <v/>
      </c>
      <c r="J62" s="1110" t="str">
        <f>IFERROR(SMALL($I$8:$I$98,ROWS(I$8:$I62)),"")</f>
        <v/>
      </c>
      <c r="AO62" s="1127"/>
    </row>
    <row r="63" spans="1:41" ht="24.45" customHeight="1" x14ac:dyDescent="0.3">
      <c r="B63" s="1108">
        <v>0</v>
      </c>
      <c r="C63" s="34">
        <v>0</v>
      </c>
      <c r="D63" s="373">
        <f t="shared" ref="D63:D70" si="6">1.2%*B63</f>
        <v>0</v>
      </c>
      <c r="E63" s="87" t="s">
        <v>739</v>
      </c>
      <c r="F63" s="1109" t="s">
        <v>405</v>
      </c>
      <c r="G63" s="1102" t="s">
        <v>845</v>
      </c>
      <c r="H63" s="151">
        <f>ROWS(H$10:$H65)</f>
        <v>56</v>
      </c>
      <c r="I63" s="1110" t="str">
        <f>IF(ID!$A$92=G63,H63,"")</f>
        <v/>
      </c>
      <c r="J63" s="1110" t="str">
        <f>IFERROR(SMALL($I$8:$I$98,ROWS(I$8:$I63)),"")</f>
        <v/>
      </c>
    </row>
    <row r="64" spans="1:41" x14ac:dyDescent="0.3">
      <c r="B64" s="1111">
        <v>150</v>
      </c>
      <c r="C64" s="34">
        <v>0.36</v>
      </c>
      <c r="D64" s="373">
        <f t="shared" si="6"/>
        <v>1.8</v>
      </c>
      <c r="E64" s="87"/>
      <c r="F64" s="1123"/>
      <c r="G64" s="1102" t="s">
        <v>845</v>
      </c>
      <c r="H64" s="151">
        <f>ROWS(H$10:$H66)</f>
        <v>57</v>
      </c>
      <c r="I64" s="1110" t="str">
        <f>IF(ID!$A$92=G64,H64,"")</f>
        <v/>
      </c>
      <c r="J64" s="1110" t="str">
        <f>IFERROR(SMALL($I$8:$I$98,ROWS(I$8:$I64)),"")</f>
        <v/>
      </c>
    </row>
    <row r="65" spans="1:41" x14ac:dyDescent="0.3">
      <c r="B65" s="1111">
        <v>180</v>
      </c>
      <c r="C65" s="1112">
        <v>0.46</v>
      </c>
      <c r="D65" s="373">
        <f t="shared" si="6"/>
        <v>2.16</v>
      </c>
      <c r="E65" s="87"/>
      <c r="F65" s="1123"/>
      <c r="G65" s="1102" t="s">
        <v>845</v>
      </c>
      <c r="H65" s="151">
        <f>ROWS(H$10:$H67)</f>
        <v>58</v>
      </c>
      <c r="I65" s="1110" t="str">
        <f>IF(ID!$A$92=G65,H65,"")</f>
        <v/>
      </c>
      <c r="J65" s="1110" t="str">
        <f>IFERROR(SMALL($I$8:$I$98,ROWS(I$8:$I65)),"")</f>
        <v/>
      </c>
    </row>
    <row r="66" spans="1:41" x14ac:dyDescent="0.3">
      <c r="B66" s="1111">
        <v>200</v>
      </c>
      <c r="C66" s="1112">
        <v>0.52</v>
      </c>
      <c r="D66" s="373">
        <f t="shared" si="6"/>
        <v>2.4</v>
      </c>
      <c r="E66" s="87"/>
      <c r="F66" s="1123"/>
      <c r="G66" s="1102" t="s">
        <v>845</v>
      </c>
      <c r="H66" s="151">
        <f>ROWS(H$10:$H68)</f>
        <v>59</v>
      </c>
      <c r="I66" s="1110" t="str">
        <f>IF(ID!$A$92=G66,H66,"")</f>
        <v/>
      </c>
      <c r="J66" s="1110" t="str">
        <f>IFERROR(SMALL($I$8:$I$98,ROWS(I$8:$I66)),"")</f>
        <v/>
      </c>
    </row>
    <row r="67" spans="1:41" x14ac:dyDescent="0.3">
      <c r="B67" s="1114">
        <v>220</v>
      </c>
      <c r="C67" s="1112">
        <v>0.57999999999999996</v>
      </c>
      <c r="D67" s="373">
        <f t="shared" si="6"/>
        <v>2.64</v>
      </c>
      <c r="E67" s="87"/>
      <c r="F67" s="1123"/>
      <c r="G67" s="1102" t="s">
        <v>845</v>
      </c>
      <c r="H67" s="151">
        <f>ROWS(H$10:$H69)</f>
        <v>60</v>
      </c>
      <c r="I67" s="1110" t="str">
        <f>IF(ID!$A$92=G67,H67,"")</f>
        <v/>
      </c>
      <c r="J67" s="1110" t="str">
        <f>IFERROR(SMALL($I$8:$I$98,ROWS(I$8:$I67)),"")</f>
        <v/>
      </c>
    </row>
    <row r="68" spans="1:41" ht="14.4" thickBot="1" x14ac:dyDescent="0.35">
      <c r="B68" s="1116">
        <v>230</v>
      </c>
      <c r="C68" s="1112">
        <v>0.47</v>
      </c>
      <c r="D68" s="373">
        <f t="shared" si="6"/>
        <v>2.7600000000000002</v>
      </c>
      <c r="E68" s="87"/>
      <c r="F68" s="1123"/>
      <c r="G68" s="1102" t="s">
        <v>845</v>
      </c>
      <c r="H68" s="151">
        <f>ROWS(H$10:$H70)</f>
        <v>61</v>
      </c>
      <c r="I68" s="1110" t="str">
        <f>IF(ID!$A$92=G68,H68,"")</f>
        <v/>
      </c>
      <c r="J68" s="1110" t="str">
        <f>IFERROR(SMALL($I$8:$I$98,ROWS(I$8:$I68)),"")</f>
        <v/>
      </c>
    </row>
    <row r="69" spans="1:41" x14ac:dyDescent="0.3">
      <c r="B69" s="295">
        <v>250</v>
      </c>
      <c r="C69" s="296">
        <f>C68</f>
        <v>0.47</v>
      </c>
      <c r="D69" s="373">
        <f t="shared" si="6"/>
        <v>3</v>
      </c>
      <c r="E69" s="87"/>
      <c r="F69" s="1123"/>
      <c r="G69" s="1102" t="s">
        <v>845</v>
      </c>
      <c r="H69" s="151">
        <f>ROWS(H$10:$H71)</f>
        <v>62</v>
      </c>
      <c r="I69" s="1110" t="str">
        <f>IF(ID!$A$92=G69,H69,"")</f>
        <v/>
      </c>
      <c r="J69" s="1110" t="str">
        <f>IFERROR(SMALL($I$8:$I$98,ROWS(I$8:$I69)),"")</f>
        <v/>
      </c>
    </row>
    <row r="70" spans="1:41" x14ac:dyDescent="0.3">
      <c r="B70" s="275"/>
      <c r="C70" s="276"/>
      <c r="D70" s="373">
        <f t="shared" si="6"/>
        <v>0</v>
      </c>
      <c r="E70" s="1133"/>
      <c r="F70" s="31"/>
      <c r="G70" s="1102" t="s">
        <v>845</v>
      </c>
      <c r="H70" s="151">
        <f>ROWS(H$10:$H72)</f>
        <v>63</v>
      </c>
      <c r="I70" s="1110" t="str">
        <f>IF(ID!$A$92=G70,H70,"")</f>
        <v/>
      </c>
      <c r="J70" s="1110" t="str">
        <f>IFERROR(SMALL($I$8:$I$98,ROWS(I$8:$I70)),"")</f>
        <v/>
      </c>
    </row>
    <row r="71" spans="1:41" ht="15.6" x14ac:dyDescent="0.3">
      <c r="A71" s="1127"/>
      <c r="B71" s="1128" t="s">
        <v>180</v>
      </c>
      <c r="C71" s="1128" t="s">
        <v>181</v>
      </c>
      <c r="D71" s="1128" t="s">
        <v>211</v>
      </c>
      <c r="E71" s="1129" t="s">
        <v>56</v>
      </c>
      <c r="H71" s="151">
        <f>ROWS(H$10:$H73)</f>
        <v>64</v>
      </c>
      <c r="I71" s="1110" t="str">
        <f>IF(ID!$A$92=G71,H71,"")</f>
        <v/>
      </c>
      <c r="J71" s="1110" t="str">
        <f>IFERROR(SMALL($I$8:$I$98,ROWS(I$8:$I71)),"")</f>
        <v/>
      </c>
      <c r="AO71" s="1127"/>
    </row>
    <row r="72" spans="1:41" ht="19.5" customHeight="1" x14ac:dyDescent="0.3">
      <c r="A72" s="1134"/>
      <c r="B72" s="1108">
        <v>0</v>
      </c>
      <c r="C72" s="34">
        <v>0</v>
      </c>
      <c r="D72" s="373">
        <f t="shared" ref="D72:D78" si="7">0.012*B72</f>
        <v>0</v>
      </c>
      <c r="E72" s="87" t="s">
        <v>844</v>
      </c>
      <c r="F72" s="1109" t="s">
        <v>406</v>
      </c>
      <c r="G72" s="1102" t="s">
        <v>369</v>
      </c>
      <c r="H72" s="151">
        <f>ROWS(H$10:$H74)</f>
        <v>65</v>
      </c>
      <c r="I72" s="1110" t="str">
        <f>IF(ID!$A$92=G72,H72,"")</f>
        <v/>
      </c>
      <c r="J72" s="1110" t="str">
        <f>IFERROR(SMALL($I$8:$I$98,ROWS(I$8:$I72)),"")</f>
        <v/>
      </c>
      <c r="AO72" s="1134"/>
    </row>
    <row r="73" spans="1:41" x14ac:dyDescent="0.3">
      <c r="B73" s="1111">
        <v>150</v>
      </c>
      <c r="C73" s="34">
        <v>-0.17</v>
      </c>
      <c r="D73" s="373">
        <f t="shared" si="7"/>
        <v>1.8</v>
      </c>
      <c r="E73" s="87"/>
      <c r="F73" s="1123"/>
      <c r="G73" s="1102" t="s">
        <v>369</v>
      </c>
      <c r="H73" s="151">
        <f>ROWS(H$10:$H75)</f>
        <v>66</v>
      </c>
      <c r="I73" s="1110" t="str">
        <f>IF(ID!$A$92=G73,H73,"")</f>
        <v/>
      </c>
      <c r="J73" s="1110" t="str">
        <f>IFERROR(SMALL($I$8:$I$98,ROWS(I$8:$I73)),"")</f>
        <v/>
      </c>
    </row>
    <row r="74" spans="1:41" x14ac:dyDescent="0.3">
      <c r="B74" s="1111">
        <v>180</v>
      </c>
      <c r="C74" s="1112">
        <v>-0.39</v>
      </c>
      <c r="D74" s="373">
        <f t="shared" si="7"/>
        <v>2.16</v>
      </c>
      <c r="E74" s="87"/>
      <c r="F74" s="1123"/>
      <c r="G74" s="1102" t="s">
        <v>369</v>
      </c>
      <c r="H74" s="151">
        <f>ROWS(H$10:$H76)</f>
        <v>67</v>
      </c>
      <c r="I74" s="1110" t="str">
        <f>IF(ID!$A$92=G74,H74,"")</f>
        <v/>
      </c>
      <c r="J74" s="1110" t="str">
        <f>IFERROR(SMALL($I$8:$I$98,ROWS(I$8:$I74)),"")</f>
        <v/>
      </c>
    </row>
    <row r="75" spans="1:41" x14ac:dyDescent="0.3">
      <c r="B75" s="1111">
        <v>200</v>
      </c>
      <c r="C75" s="1112">
        <v>-0.23</v>
      </c>
      <c r="D75" s="373">
        <f t="shared" si="7"/>
        <v>2.4</v>
      </c>
      <c r="E75" s="87"/>
      <c r="F75" s="1123"/>
      <c r="G75" s="1102" t="s">
        <v>369</v>
      </c>
      <c r="H75" s="151">
        <f>ROWS(H$10:$H77)</f>
        <v>68</v>
      </c>
      <c r="I75" s="1110" t="str">
        <f>IF(ID!$A$92=G75,H75,"")</f>
        <v/>
      </c>
      <c r="J75" s="1110" t="str">
        <f>IFERROR(SMALL($I$8:$I$98,ROWS(I$8:$I75)),"")</f>
        <v/>
      </c>
    </row>
    <row r="76" spans="1:41" x14ac:dyDescent="0.3">
      <c r="B76" s="1114">
        <v>220</v>
      </c>
      <c r="C76" s="1112">
        <v>-0.16</v>
      </c>
      <c r="D76" s="373">
        <f t="shared" si="7"/>
        <v>2.64</v>
      </c>
      <c r="E76" s="87"/>
      <c r="F76" s="1123"/>
      <c r="G76" s="1102" t="s">
        <v>369</v>
      </c>
      <c r="H76" s="151">
        <f>ROWS(H$10:$H78)</f>
        <v>69</v>
      </c>
      <c r="I76" s="1110" t="str">
        <f>IF(ID!$A$92=G76,H76,"")</f>
        <v/>
      </c>
      <c r="J76" s="1110" t="str">
        <f>IFERROR(SMALL($I$8:$I$98,ROWS(I$8:$I76)),"")</f>
        <v/>
      </c>
    </row>
    <row r="77" spans="1:41" ht="14.4" thickBot="1" x14ac:dyDescent="0.35">
      <c r="B77" s="1116">
        <v>230</v>
      </c>
      <c r="C77" s="1112">
        <v>-0.15</v>
      </c>
      <c r="D77" s="373">
        <f t="shared" si="7"/>
        <v>2.7600000000000002</v>
      </c>
      <c r="E77" s="87"/>
      <c r="F77" s="1123"/>
      <c r="G77" s="1102" t="s">
        <v>369</v>
      </c>
      <c r="H77" s="151">
        <f>ROWS(H$10:$H79)</f>
        <v>70</v>
      </c>
      <c r="I77" s="1110" t="str">
        <f>IF(ID!$A$92=G77,H77,"")</f>
        <v/>
      </c>
      <c r="J77" s="1110" t="str">
        <f>IFERROR(SMALL($I$8:$I$98,ROWS(I$8:$I77)),"")</f>
        <v/>
      </c>
    </row>
    <row r="78" spans="1:41" x14ac:dyDescent="0.3">
      <c r="B78" s="88">
        <v>240</v>
      </c>
      <c r="C78" s="89">
        <f>C77</f>
        <v>-0.15</v>
      </c>
      <c r="D78" s="373">
        <f t="shared" si="7"/>
        <v>2.88</v>
      </c>
      <c r="E78" s="87"/>
      <c r="F78" s="1123"/>
      <c r="G78" s="1107" t="s">
        <v>369</v>
      </c>
      <c r="H78" s="151">
        <f>ROWS(H$10:$H80)</f>
        <v>71</v>
      </c>
      <c r="I78" s="1110" t="str">
        <f>IF(ID!$A$92=G78,H78,"")</f>
        <v/>
      </c>
      <c r="J78" s="1110" t="str">
        <f>IFERROR(SMALL($I$8:$I$98,ROWS(I$8:$I78)),"")</f>
        <v/>
      </c>
    </row>
    <row r="79" spans="1:41" x14ac:dyDescent="0.3">
      <c r="D79" s="1126"/>
      <c r="H79" s="151">
        <f>ROWS(H$10:$H81)</f>
        <v>72</v>
      </c>
      <c r="I79" s="1110" t="str">
        <f>IF(ID!$A$92=G79,H79,"")</f>
        <v/>
      </c>
      <c r="J79" s="1110" t="str">
        <f>IFERROR(SMALL($I$8:$I$98,ROWS(I$8:$I79)),"")</f>
        <v/>
      </c>
    </row>
    <row r="80" spans="1:41" ht="15.6" x14ac:dyDescent="0.3">
      <c r="A80" s="1127"/>
      <c r="B80" s="1128" t="s">
        <v>180</v>
      </c>
      <c r="C80" s="1128" t="s">
        <v>181</v>
      </c>
      <c r="D80" s="1128" t="s">
        <v>211</v>
      </c>
      <c r="E80" s="1129" t="s">
        <v>56</v>
      </c>
      <c r="H80" s="151">
        <f>ROWS(H$10:$H82)</f>
        <v>73</v>
      </c>
      <c r="I80" s="1110" t="str">
        <f>IF(ID!$A$92=G80,H80,"")</f>
        <v/>
      </c>
      <c r="J80" s="1110" t="str">
        <f>IFERROR(SMALL($I$8:$I$98,ROWS(I$8:$I80)),"")</f>
        <v/>
      </c>
      <c r="AO80" s="1127"/>
    </row>
    <row r="81" spans="2:10" ht="19.5" customHeight="1" x14ac:dyDescent="0.3">
      <c r="B81" s="1108">
        <v>0</v>
      </c>
      <c r="C81" s="34">
        <v>0</v>
      </c>
      <c r="D81" s="373">
        <f t="shared" ref="D81:D87" si="8">0.012*B81</f>
        <v>0</v>
      </c>
      <c r="E81" s="87" t="s">
        <v>739</v>
      </c>
      <c r="F81" s="1109" t="s">
        <v>405</v>
      </c>
      <c r="G81" s="1102" t="s">
        <v>370</v>
      </c>
      <c r="H81" s="151">
        <f>ROWS(H$10:$H83)</f>
        <v>74</v>
      </c>
      <c r="I81" s="1110">
        <f>IF(ID!$A$92=G81,H81,"")</f>
        <v>74</v>
      </c>
      <c r="J81" s="1110" t="str">
        <f>IFERROR(SMALL($I$8:$I$98,ROWS(I$8:$I81)),"")</f>
        <v/>
      </c>
    </row>
    <row r="82" spans="2:10" x14ac:dyDescent="0.3">
      <c r="B82" s="1111">
        <v>150</v>
      </c>
      <c r="C82" s="34">
        <v>-0.08</v>
      </c>
      <c r="D82" s="373">
        <f t="shared" si="8"/>
        <v>1.8</v>
      </c>
      <c r="E82" s="87"/>
      <c r="F82" s="1123"/>
      <c r="G82" s="1102" t="s">
        <v>370</v>
      </c>
      <c r="H82" s="151">
        <f>ROWS(H$10:$H84)</f>
        <v>75</v>
      </c>
      <c r="I82" s="1110">
        <f>IF(ID!$A$92=G82,H82,"")</f>
        <v>75</v>
      </c>
      <c r="J82" s="1110" t="str">
        <f>IFERROR(SMALL($I$8:$I$98,ROWS(I$8:$I82)),"")</f>
        <v/>
      </c>
    </row>
    <row r="83" spans="2:10" x14ac:dyDescent="0.3">
      <c r="B83" s="1111">
        <v>180</v>
      </c>
      <c r="C83" s="1112">
        <v>-0.2</v>
      </c>
      <c r="D83" s="373">
        <f t="shared" si="8"/>
        <v>2.16</v>
      </c>
      <c r="E83" s="87"/>
      <c r="F83" s="1123"/>
      <c r="G83" s="1102" t="s">
        <v>370</v>
      </c>
      <c r="H83" s="151">
        <f>ROWS(H$10:$H85)</f>
        <v>76</v>
      </c>
      <c r="I83" s="1110">
        <f>IF(ID!$A$92=G83,H83,"")</f>
        <v>76</v>
      </c>
      <c r="J83" s="1110" t="str">
        <f>IFERROR(SMALL($I$8:$I$98,ROWS(I$8:$I83)),"")</f>
        <v/>
      </c>
    </row>
    <row r="84" spans="2:10" x14ac:dyDescent="0.3">
      <c r="B84" s="1111">
        <v>200</v>
      </c>
      <c r="C84" s="1112">
        <v>-0.25</v>
      </c>
      <c r="D84" s="373">
        <f t="shared" si="8"/>
        <v>2.4</v>
      </c>
      <c r="E84" s="87"/>
      <c r="F84" s="1123"/>
      <c r="G84" s="1102" t="s">
        <v>370</v>
      </c>
      <c r="H84" s="151">
        <f>ROWS(H$10:$H86)</f>
        <v>77</v>
      </c>
      <c r="I84" s="1110">
        <f>IF(ID!$A$92=G84,H84,"")</f>
        <v>77</v>
      </c>
      <c r="J84" s="1110" t="str">
        <f>IFERROR(SMALL($I$8:$I$98,ROWS(I$8:$I84)),"")</f>
        <v/>
      </c>
    </row>
    <row r="85" spans="2:10" x14ac:dyDescent="0.3">
      <c r="B85" s="1114">
        <v>220</v>
      </c>
      <c r="C85" s="1112">
        <v>-0.28999999999999998</v>
      </c>
      <c r="D85" s="373">
        <f t="shared" si="8"/>
        <v>2.64</v>
      </c>
      <c r="E85" s="87"/>
      <c r="F85" s="1123"/>
      <c r="G85" s="1102" t="s">
        <v>370</v>
      </c>
      <c r="H85" s="151">
        <f>ROWS(H$10:$H87)</f>
        <v>78</v>
      </c>
      <c r="I85" s="1110">
        <f>IF(ID!$A$92=G85,H85,"")</f>
        <v>78</v>
      </c>
      <c r="J85" s="1110" t="str">
        <f>IFERROR(SMALL($I$8:$I$98,ROWS(I$8:$I85)),"")</f>
        <v/>
      </c>
    </row>
    <row r="86" spans="2:10" ht="14.4" thickBot="1" x14ac:dyDescent="0.35">
      <c r="B86" s="1116">
        <v>230</v>
      </c>
      <c r="C86" s="1112">
        <v>-0.34</v>
      </c>
      <c r="D86" s="373">
        <f t="shared" si="8"/>
        <v>2.7600000000000002</v>
      </c>
      <c r="E86" s="87"/>
      <c r="F86" s="1123"/>
      <c r="G86" s="1102" t="s">
        <v>370</v>
      </c>
      <c r="H86" s="151">
        <f>ROWS(H$10:$H88)</f>
        <v>79</v>
      </c>
      <c r="I86" s="1110">
        <f>IF(ID!$A$92=G86,H86,"")</f>
        <v>79</v>
      </c>
      <c r="J86" s="1110" t="str">
        <f>IFERROR(SMALL($I$8:$I$98,ROWS(I$8:$I86)),"")</f>
        <v/>
      </c>
    </row>
    <row r="87" spans="2:10" x14ac:dyDescent="0.3">
      <c r="B87" s="88">
        <v>240</v>
      </c>
      <c r="C87" s="89">
        <f>C86</f>
        <v>-0.34</v>
      </c>
      <c r="D87" s="373">
        <f t="shared" si="8"/>
        <v>2.88</v>
      </c>
      <c r="E87" s="87"/>
      <c r="F87" s="1123"/>
      <c r="G87" s="1107" t="s">
        <v>370</v>
      </c>
      <c r="H87" s="151">
        <f>ROWS(H$10:$H89)</f>
        <v>80</v>
      </c>
      <c r="I87" s="1110">
        <f>IF(ID!$A$92=G87,H87,"")</f>
        <v>80</v>
      </c>
      <c r="J87" s="1110" t="str">
        <f>IFERROR(SMALL($I$8:$I$98,ROWS(I$8:$I87)),"")</f>
        <v/>
      </c>
    </row>
    <row r="88" spans="2:10" x14ac:dyDescent="0.3">
      <c r="D88" s="1126"/>
      <c r="H88" s="151">
        <f>ROWS(H$10:$H90)</f>
        <v>81</v>
      </c>
      <c r="I88" s="1110" t="str">
        <f>IF(ID!$A$92=G88,H88,"")</f>
        <v/>
      </c>
      <c r="J88" s="1110" t="str">
        <f>IFERROR(SMALL($I$8:$I$98,ROWS(I$8:$I88)),"")</f>
        <v/>
      </c>
    </row>
    <row r="89" spans="2:10" x14ac:dyDescent="0.3">
      <c r="D89" s="1126"/>
      <c r="H89" s="151">
        <f>ROWS(H$10:$H91)</f>
        <v>82</v>
      </c>
      <c r="I89" s="1110" t="str">
        <f>IF(ID!$A$92=G89,H89,"")</f>
        <v/>
      </c>
      <c r="J89" s="1110" t="str">
        <f>IFERROR(SMALL($I$8:$I$98,ROWS(I$8:$I89)),"")</f>
        <v/>
      </c>
    </row>
    <row r="90" spans="2:10" ht="18" customHeight="1" x14ac:dyDescent="0.3">
      <c r="B90" s="1108">
        <v>0</v>
      </c>
      <c r="C90" s="34">
        <v>0</v>
      </c>
      <c r="D90" s="374">
        <f t="shared" ref="D90:D96" si="9">1.2%*B90</f>
        <v>0</v>
      </c>
      <c r="E90" s="334" t="s">
        <v>403</v>
      </c>
      <c r="F90" s="1109" t="s">
        <v>406</v>
      </c>
      <c r="G90" s="1102"/>
      <c r="H90" s="151">
        <f>ROWS(H$10:$H92)</f>
        <v>83</v>
      </c>
      <c r="I90" s="1110" t="str">
        <f>IF(ID!$A$92=G90,H90,"")</f>
        <v/>
      </c>
      <c r="J90" s="1110" t="str">
        <f>IFERROR(SMALL($I$8:$I$98,ROWS(I$8:$I90)),"")</f>
        <v/>
      </c>
    </row>
    <row r="91" spans="2:10" x14ac:dyDescent="0.3">
      <c r="B91" s="1111">
        <v>150</v>
      </c>
      <c r="C91" s="34">
        <v>-0.05</v>
      </c>
      <c r="D91" s="374">
        <f t="shared" si="9"/>
        <v>1.8</v>
      </c>
      <c r="E91" s="91"/>
      <c r="F91" s="1123"/>
      <c r="G91" s="1102"/>
      <c r="H91" s="151">
        <f>ROWS(H$10:$H93)</f>
        <v>84</v>
      </c>
      <c r="I91" s="1110" t="str">
        <f>IF(ID!$A$92=G91,H91,"")</f>
        <v/>
      </c>
      <c r="J91" s="1110" t="str">
        <f>IFERROR(SMALL($I$8:$I$98,ROWS(I$8:$I91)),"")</f>
        <v/>
      </c>
    </row>
    <row r="92" spans="2:10" x14ac:dyDescent="0.3">
      <c r="B92" s="1111">
        <v>180</v>
      </c>
      <c r="C92" s="1112">
        <v>-0.04</v>
      </c>
      <c r="D92" s="374">
        <f t="shared" si="9"/>
        <v>2.16</v>
      </c>
      <c r="E92" s="91"/>
      <c r="F92" s="1123"/>
      <c r="G92" s="1102"/>
      <c r="H92" s="151">
        <f>ROWS(H$10:$H94)</f>
        <v>85</v>
      </c>
      <c r="I92" s="1110" t="str">
        <f>IF(ID!$A$92=G92,H92,"")</f>
        <v/>
      </c>
      <c r="J92" s="1110" t="str">
        <f>IFERROR(SMALL($I$8:$I$98,ROWS(I$8:$I92)),"")</f>
        <v/>
      </c>
    </row>
    <row r="93" spans="2:10" x14ac:dyDescent="0.3">
      <c r="B93" s="1111">
        <v>200</v>
      </c>
      <c r="C93" s="1112">
        <v>-0.67</v>
      </c>
      <c r="D93" s="374">
        <f t="shared" si="9"/>
        <v>2.4</v>
      </c>
      <c r="E93" s="91"/>
      <c r="F93" s="1123"/>
      <c r="G93" s="1102"/>
      <c r="H93" s="151">
        <f>ROWS(H$10:$H95)</f>
        <v>86</v>
      </c>
      <c r="I93" s="1110" t="str">
        <f>IF(ID!$A$92=G93,H93,"")</f>
        <v/>
      </c>
      <c r="J93" s="1110" t="str">
        <f>IFERROR(SMALL($I$8:$I$98,ROWS(I$8:$I93)),"")</f>
        <v/>
      </c>
    </row>
    <row r="94" spans="2:10" x14ac:dyDescent="0.3">
      <c r="B94" s="1114">
        <v>220</v>
      </c>
      <c r="C94" s="1112">
        <v>0</v>
      </c>
      <c r="D94" s="374">
        <f t="shared" si="9"/>
        <v>2.64</v>
      </c>
      <c r="E94" s="91"/>
      <c r="F94" s="1123"/>
      <c r="G94" s="1102"/>
      <c r="H94" s="151">
        <f>ROWS(H$10:$H96)</f>
        <v>87</v>
      </c>
      <c r="I94" s="1110" t="str">
        <f>IF(ID!$A$92=G94,H94,"")</f>
        <v/>
      </c>
      <c r="J94" s="1110" t="str">
        <f>IFERROR(SMALL($I$8:$I$98,ROWS(I$8:$I94)),"")</f>
        <v/>
      </c>
    </row>
    <row r="95" spans="2:10" ht="14.4" thickBot="1" x14ac:dyDescent="0.35">
      <c r="B95" s="1116">
        <v>230</v>
      </c>
      <c r="C95" s="1112">
        <v>-0.11</v>
      </c>
      <c r="D95" s="374">
        <f t="shared" si="9"/>
        <v>2.7600000000000002</v>
      </c>
      <c r="E95" s="91"/>
      <c r="F95" s="1123"/>
      <c r="G95" s="1102"/>
      <c r="H95" s="151">
        <f>ROWS(H$10:$H97)</f>
        <v>88</v>
      </c>
      <c r="I95" s="1110" t="str">
        <f>IF(ID!$A$92=G95,H95,"")</f>
        <v/>
      </c>
      <c r="J95" s="1110" t="str">
        <f>IFERROR(SMALL($I$8:$I$98,ROWS(I$8:$I95)),"")</f>
        <v/>
      </c>
    </row>
    <row r="96" spans="2:10" x14ac:dyDescent="0.3">
      <c r="B96" s="88">
        <v>250</v>
      </c>
      <c r="C96" s="89">
        <f>C95</f>
        <v>-0.11</v>
      </c>
      <c r="D96" s="374">
        <f t="shared" si="9"/>
        <v>3</v>
      </c>
      <c r="E96" s="91"/>
      <c r="F96" s="1123"/>
      <c r="G96" s="1102"/>
      <c r="H96" s="151">
        <f>ROWS(H$10:$H98)</f>
        <v>89</v>
      </c>
      <c r="I96" s="1110" t="str">
        <f>IF(ID!$A$92=G96,H96,"")</f>
        <v/>
      </c>
      <c r="J96" s="1110" t="str">
        <f>IFERROR(SMALL($I$8:$I$98,ROWS(I$8:$I96)),"")</f>
        <v/>
      </c>
    </row>
    <row r="97" spans="8:10" x14ac:dyDescent="0.3">
      <c r="H97" s="151">
        <f>ROWS(H$10:$H99)</f>
        <v>90</v>
      </c>
      <c r="I97" s="1110" t="str">
        <f>IF(ID!$A$92=G97,H97,"")</f>
        <v/>
      </c>
      <c r="J97" s="1110" t="str">
        <f>IFERROR(SMALL($I$8:$I$98,ROWS(I$8:$I97)),"")</f>
        <v/>
      </c>
    </row>
    <row r="98" spans="8:10" x14ac:dyDescent="0.3">
      <c r="H98" s="151">
        <f>ROWS(H$10:$H100)</f>
        <v>91</v>
      </c>
      <c r="I98" s="1110" t="str">
        <f>IF(ID!$A$92=G98,H98,"")</f>
        <v/>
      </c>
      <c r="J98" s="1110" t="str">
        <f>IFERROR(SMALL($I$8:$I$98,ROWS(I$8:$I98)),"")</f>
        <v/>
      </c>
    </row>
  </sheetData>
  <mergeCells count="1">
    <mergeCell ref="B1:F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BB40-3C21-4EC8-9691-2CE27CCEA090}">
  <dimension ref="A2:E99"/>
  <sheetViews>
    <sheetView topLeftCell="A30" workbookViewId="0">
      <selection activeCell="C38" sqref="C38"/>
    </sheetView>
  </sheetViews>
  <sheetFormatPr defaultRowHeight="13.2" x14ac:dyDescent="0.25"/>
  <cols>
    <col min="2" max="2" width="21" customWidth="1"/>
    <col min="3" max="3" width="75.5546875" customWidth="1"/>
    <col min="4" max="4" width="66.88671875" customWidth="1"/>
    <col min="5" max="5" width="14.5546875" customWidth="1"/>
  </cols>
  <sheetData>
    <row r="2" spans="1:5" x14ac:dyDescent="0.25">
      <c r="A2" s="1438" t="s">
        <v>5</v>
      </c>
      <c r="B2" s="1438" t="s">
        <v>397</v>
      </c>
      <c r="C2" s="1438" t="s">
        <v>398</v>
      </c>
      <c r="D2" s="1438"/>
      <c r="E2" s="1439" t="s">
        <v>409</v>
      </c>
    </row>
    <row r="3" spans="1:5" x14ac:dyDescent="0.25">
      <c r="A3" s="1438"/>
      <c r="B3" s="1438"/>
      <c r="C3" s="432" t="s">
        <v>399</v>
      </c>
      <c r="D3" s="432" t="s">
        <v>400</v>
      </c>
      <c r="E3" s="1439"/>
    </row>
    <row r="4" spans="1:5" x14ac:dyDescent="0.25">
      <c r="A4" s="432">
        <v>1</v>
      </c>
      <c r="B4" s="155">
        <v>44229</v>
      </c>
      <c r="C4" s="366" t="s">
        <v>401</v>
      </c>
      <c r="D4" s="364"/>
      <c r="E4" s="368" t="s">
        <v>410</v>
      </c>
    </row>
    <row r="5" spans="1:5" x14ac:dyDescent="0.25">
      <c r="A5" s="432"/>
      <c r="B5" s="156"/>
      <c r="C5" s="366" t="s">
        <v>402</v>
      </c>
      <c r="D5" s="364"/>
      <c r="E5" s="32"/>
    </row>
    <row r="6" spans="1:5" x14ac:dyDescent="0.25">
      <c r="A6" s="432">
        <v>2</v>
      </c>
      <c r="B6" s="156" t="s">
        <v>403</v>
      </c>
      <c r="C6" s="367" t="s">
        <v>201</v>
      </c>
      <c r="D6" s="365" t="s">
        <v>412</v>
      </c>
      <c r="E6" s="371" t="s">
        <v>411</v>
      </c>
    </row>
    <row r="7" spans="1:5" x14ac:dyDescent="0.25">
      <c r="A7" s="432">
        <v>3</v>
      </c>
      <c r="B7" s="156" t="s">
        <v>407</v>
      </c>
      <c r="C7" s="367" t="s">
        <v>201</v>
      </c>
      <c r="D7" s="365" t="s">
        <v>408</v>
      </c>
      <c r="E7" s="371" t="s">
        <v>411</v>
      </c>
    </row>
    <row r="8" spans="1:5" x14ac:dyDescent="0.25">
      <c r="A8" s="432">
        <v>4</v>
      </c>
      <c r="B8" s="156" t="s">
        <v>413</v>
      </c>
      <c r="C8" s="367" t="s">
        <v>415</v>
      </c>
      <c r="D8" s="365" t="s">
        <v>414</v>
      </c>
      <c r="E8" s="369" t="s">
        <v>416</v>
      </c>
    </row>
    <row r="9" spans="1:5" x14ac:dyDescent="0.25">
      <c r="A9" s="432">
        <v>5</v>
      </c>
      <c r="B9" s="156" t="s">
        <v>429</v>
      </c>
      <c r="C9" s="367" t="s">
        <v>430</v>
      </c>
      <c r="D9" s="365" t="s">
        <v>431</v>
      </c>
      <c r="E9" s="434" t="s">
        <v>411</v>
      </c>
    </row>
    <row r="10" spans="1:5" ht="41.25" customHeight="1" x14ac:dyDescent="0.25">
      <c r="A10" s="432">
        <v>6</v>
      </c>
      <c r="B10" s="156" t="s">
        <v>434</v>
      </c>
      <c r="C10" s="367" t="s">
        <v>432</v>
      </c>
      <c r="D10" s="433" t="s">
        <v>433</v>
      </c>
      <c r="E10" s="372" t="s">
        <v>411</v>
      </c>
    </row>
    <row r="11" spans="1:5" x14ac:dyDescent="0.25">
      <c r="A11" s="432">
        <v>7</v>
      </c>
      <c r="B11" s="156" t="s">
        <v>437</v>
      </c>
      <c r="C11" s="367" t="s">
        <v>201</v>
      </c>
      <c r="D11" s="365" t="s">
        <v>203</v>
      </c>
      <c r="E11" s="370" t="s">
        <v>438</v>
      </c>
    </row>
    <row r="12" spans="1:5" x14ac:dyDescent="0.25">
      <c r="A12" s="432">
        <v>8</v>
      </c>
      <c r="B12" s="156" t="s">
        <v>451</v>
      </c>
      <c r="C12" s="367" t="s">
        <v>452</v>
      </c>
      <c r="D12" s="365" t="s">
        <v>453</v>
      </c>
      <c r="E12" s="370" t="s">
        <v>438</v>
      </c>
    </row>
    <row r="13" spans="1:5" x14ac:dyDescent="0.25">
      <c r="A13" s="432">
        <v>9</v>
      </c>
      <c r="B13" s="156" t="s">
        <v>460</v>
      </c>
      <c r="C13" s="367" t="s">
        <v>462</v>
      </c>
      <c r="D13" s="365" t="s">
        <v>461</v>
      </c>
      <c r="E13" s="434" t="s">
        <v>411</v>
      </c>
    </row>
    <row r="14" spans="1:5" x14ac:dyDescent="0.25">
      <c r="A14" s="432">
        <v>10</v>
      </c>
      <c r="B14" s="156" t="s">
        <v>460</v>
      </c>
      <c r="C14" s="367" t="s">
        <v>463</v>
      </c>
      <c r="D14" s="365" t="s">
        <v>474</v>
      </c>
      <c r="E14" s="434" t="s">
        <v>411</v>
      </c>
    </row>
    <row r="15" spans="1:5" ht="39.6" x14ac:dyDescent="0.25">
      <c r="A15" s="432">
        <v>11</v>
      </c>
      <c r="B15" s="156" t="s">
        <v>460</v>
      </c>
      <c r="C15" s="367" t="s">
        <v>465</v>
      </c>
      <c r="D15" s="433" t="s">
        <v>464</v>
      </c>
      <c r="E15" s="434" t="s">
        <v>411</v>
      </c>
    </row>
    <row r="16" spans="1:5" ht="26.4" x14ac:dyDescent="0.25">
      <c r="A16" s="432">
        <v>12</v>
      </c>
      <c r="B16" s="156" t="s">
        <v>460</v>
      </c>
      <c r="C16" s="435" t="s">
        <v>470</v>
      </c>
      <c r="D16" s="433" t="s">
        <v>471</v>
      </c>
      <c r="E16" s="434" t="s">
        <v>411</v>
      </c>
    </row>
    <row r="17" spans="1:5" ht="26.4" x14ac:dyDescent="0.25">
      <c r="A17" s="432">
        <v>13</v>
      </c>
      <c r="B17" s="156" t="s">
        <v>460</v>
      </c>
      <c r="C17" s="435" t="s">
        <v>472</v>
      </c>
      <c r="D17" s="433" t="s">
        <v>473</v>
      </c>
      <c r="E17" s="434" t="s">
        <v>411</v>
      </c>
    </row>
    <row r="18" spans="1:5" x14ac:dyDescent="0.25">
      <c r="A18" s="432">
        <v>14</v>
      </c>
      <c r="B18" s="156" t="s">
        <v>503</v>
      </c>
      <c r="C18" s="435" t="s">
        <v>504</v>
      </c>
      <c r="D18" s="433" t="s">
        <v>505</v>
      </c>
      <c r="E18" s="434" t="s">
        <v>411</v>
      </c>
    </row>
    <row r="19" spans="1:5" x14ac:dyDescent="0.25">
      <c r="A19" s="432">
        <v>15</v>
      </c>
      <c r="B19" s="156" t="s">
        <v>508</v>
      </c>
      <c r="C19" s="435" t="s">
        <v>507</v>
      </c>
      <c r="D19" s="433" t="s">
        <v>506</v>
      </c>
      <c r="E19" s="370" t="s">
        <v>438</v>
      </c>
    </row>
    <row r="20" spans="1:5" x14ac:dyDescent="0.25">
      <c r="A20" s="432">
        <v>16</v>
      </c>
      <c r="B20" s="156" t="s">
        <v>739</v>
      </c>
      <c r="C20" s="443"/>
      <c r="D20" s="433" t="s">
        <v>738</v>
      </c>
      <c r="E20" s="434" t="s">
        <v>438</v>
      </c>
    </row>
    <row r="21" spans="1:5" x14ac:dyDescent="0.25">
      <c r="A21" s="432">
        <v>17</v>
      </c>
      <c r="B21" s="156" t="s">
        <v>742</v>
      </c>
      <c r="C21" s="435" t="s">
        <v>740</v>
      </c>
      <c r="D21" s="433" t="s">
        <v>741</v>
      </c>
      <c r="E21" s="434" t="s">
        <v>411</v>
      </c>
    </row>
    <row r="22" spans="1:5" x14ac:dyDescent="0.25">
      <c r="A22" s="432">
        <v>18</v>
      </c>
      <c r="B22" s="156" t="s">
        <v>760</v>
      </c>
      <c r="C22" s="440" t="s">
        <v>758</v>
      </c>
      <c r="D22" s="433" t="s">
        <v>759</v>
      </c>
      <c r="E22" s="434" t="s">
        <v>411</v>
      </c>
    </row>
    <row r="23" spans="1:5" ht="26.4" x14ac:dyDescent="0.25">
      <c r="A23" s="432">
        <v>19</v>
      </c>
      <c r="B23" s="156" t="s">
        <v>760</v>
      </c>
      <c r="C23" s="435" t="s">
        <v>761</v>
      </c>
      <c r="D23" s="433" t="s">
        <v>762</v>
      </c>
      <c r="E23" s="434" t="s">
        <v>411</v>
      </c>
    </row>
    <row r="24" spans="1:5" x14ac:dyDescent="0.25">
      <c r="A24" s="432">
        <v>20</v>
      </c>
      <c r="B24" s="156" t="s">
        <v>760</v>
      </c>
      <c r="C24" s="435" t="s">
        <v>764</v>
      </c>
      <c r="D24" s="433" t="s">
        <v>763</v>
      </c>
      <c r="E24" s="434" t="s">
        <v>411</v>
      </c>
    </row>
    <row r="25" spans="1:5" ht="26.4" x14ac:dyDescent="0.25">
      <c r="A25" s="432">
        <v>21</v>
      </c>
      <c r="B25" s="156" t="s">
        <v>760</v>
      </c>
      <c r="C25" s="435" t="s">
        <v>765</v>
      </c>
      <c r="D25" s="433" t="s">
        <v>766</v>
      </c>
      <c r="E25" s="434" t="s">
        <v>411</v>
      </c>
    </row>
    <row r="26" spans="1:5" ht="26.4" x14ac:dyDescent="0.25">
      <c r="A26" s="432">
        <v>22</v>
      </c>
      <c r="B26" s="156" t="s">
        <v>760</v>
      </c>
      <c r="C26" s="435" t="s">
        <v>249</v>
      </c>
      <c r="D26" s="433" t="s">
        <v>767</v>
      </c>
      <c r="E26" s="434" t="s">
        <v>411</v>
      </c>
    </row>
    <row r="27" spans="1:5" ht="26.4" x14ac:dyDescent="0.25">
      <c r="A27" s="432">
        <v>23</v>
      </c>
      <c r="B27" s="156" t="s">
        <v>768</v>
      </c>
      <c r="C27" s="435" t="s">
        <v>769</v>
      </c>
      <c r="D27" s="433" t="s">
        <v>770</v>
      </c>
      <c r="E27" s="434" t="s">
        <v>411</v>
      </c>
    </row>
    <row r="28" spans="1:5" ht="26.4" x14ac:dyDescent="0.25">
      <c r="A28" s="447">
        <v>24</v>
      </c>
      <c r="B28" s="448" t="s">
        <v>777</v>
      </c>
      <c r="C28" s="435" t="s">
        <v>778</v>
      </c>
      <c r="D28" s="433" t="s">
        <v>779</v>
      </c>
      <c r="E28" s="449" t="s">
        <v>780</v>
      </c>
    </row>
    <row r="29" spans="1:5" ht="66" x14ac:dyDescent="0.25">
      <c r="A29" s="432">
        <v>23</v>
      </c>
      <c r="B29" s="156" t="s">
        <v>847</v>
      </c>
      <c r="C29" s="443"/>
      <c r="D29" s="433" t="s">
        <v>848</v>
      </c>
      <c r="E29" s="749" t="s">
        <v>849</v>
      </c>
    </row>
    <row r="30" spans="1:5" x14ac:dyDescent="0.25">
      <c r="A30" s="432">
        <v>25</v>
      </c>
      <c r="B30" s="156" t="s">
        <v>837</v>
      </c>
      <c r="C30" s="435" t="s">
        <v>201</v>
      </c>
      <c r="D30" s="433" t="s">
        <v>838</v>
      </c>
      <c r="E30" s="434" t="s">
        <v>411</v>
      </c>
    </row>
    <row r="31" spans="1:5" x14ac:dyDescent="0.25">
      <c r="A31" s="432">
        <v>26</v>
      </c>
      <c r="B31" s="156" t="s">
        <v>865</v>
      </c>
      <c r="C31" s="435" t="s">
        <v>201</v>
      </c>
      <c r="D31" s="433" t="s">
        <v>866</v>
      </c>
      <c r="E31" s="434" t="s">
        <v>411</v>
      </c>
    </row>
    <row r="32" spans="1:5" x14ac:dyDescent="0.25">
      <c r="A32" s="432">
        <v>27</v>
      </c>
      <c r="B32" s="156" t="s">
        <v>865</v>
      </c>
      <c r="C32" s="435" t="s">
        <v>201</v>
      </c>
      <c r="D32" s="433" t="s">
        <v>868</v>
      </c>
      <c r="E32" s="434" t="s">
        <v>411</v>
      </c>
    </row>
    <row r="33" spans="1:5" x14ac:dyDescent="0.25">
      <c r="A33" s="432">
        <v>28</v>
      </c>
      <c r="B33" s="156" t="s">
        <v>865</v>
      </c>
      <c r="C33" s="435" t="s">
        <v>201</v>
      </c>
      <c r="D33" s="433" t="s">
        <v>872</v>
      </c>
      <c r="E33" s="434" t="s">
        <v>411</v>
      </c>
    </row>
    <row r="34" spans="1:5" ht="26.4" x14ac:dyDescent="0.25">
      <c r="A34" s="432">
        <v>29</v>
      </c>
      <c r="B34" s="156" t="s">
        <v>865</v>
      </c>
      <c r="C34" s="435" t="s">
        <v>201</v>
      </c>
      <c r="D34" s="433" t="s">
        <v>873</v>
      </c>
      <c r="E34" s="434" t="s">
        <v>411</v>
      </c>
    </row>
    <row r="35" spans="1:5" ht="26.4" x14ac:dyDescent="0.25">
      <c r="A35" s="432">
        <v>30</v>
      </c>
      <c r="B35" s="156" t="s">
        <v>865</v>
      </c>
      <c r="C35" s="435" t="s">
        <v>201</v>
      </c>
      <c r="D35" s="433" t="s">
        <v>874</v>
      </c>
      <c r="E35" s="434" t="s">
        <v>411</v>
      </c>
    </row>
    <row r="36" spans="1:5" x14ac:dyDescent="0.25">
      <c r="A36" s="432">
        <v>31</v>
      </c>
      <c r="B36" s="156" t="s">
        <v>880</v>
      </c>
      <c r="C36" s="435" t="s">
        <v>881</v>
      </c>
      <c r="D36" s="433" t="s">
        <v>882</v>
      </c>
      <c r="E36" s="1052" t="s">
        <v>883</v>
      </c>
    </row>
    <row r="37" spans="1:5" x14ac:dyDescent="0.25">
      <c r="A37" s="432">
        <v>32</v>
      </c>
      <c r="B37" s="156" t="s">
        <v>886</v>
      </c>
      <c r="C37" s="31" t="s">
        <v>201</v>
      </c>
      <c r="D37" s="433" t="s">
        <v>887</v>
      </c>
      <c r="E37" s="434" t="s">
        <v>411</v>
      </c>
    </row>
    <row r="38" spans="1:5" s="1168" customFormat="1" ht="39.6" x14ac:dyDescent="0.25">
      <c r="A38" s="432">
        <v>33</v>
      </c>
      <c r="B38" s="156" t="s">
        <v>888</v>
      </c>
      <c r="C38" s="435" t="s">
        <v>895</v>
      </c>
      <c r="D38" s="433" t="s">
        <v>889</v>
      </c>
      <c r="E38" s="372" t="s">
        <v>411</v>
      </c>
    </row>
    <row r="39" spans="1:5" ht="39.6" x14ac:dyDescent="0.25">
      <c r="A39" s="432">
        <v>34</v>
      </c>
      <c r="B39" s="156" t="s">
        <v>888</v>
      </c>
      <c r="C39" s="435" t="s">
        <v>896</v>
      </c>
      <c r="D39" s="433" t="s">
        <v>890</v>
      </c>
      <c r="E39" s="372" t="s">
        <v>411</v>
      </c>
    </row>
    <row r="40" spans="1:5" x14ac:dyDescent="0.25">
      <c r="A40" s="432">
        <v>35</v>
      </c>
      <c r="B40" s="156" t="s">
        <v>888</v>
      </c>
      <c r="C40" s="435" t="s">
        <v>892</v>
      </c>
      <c r="D40" s="433" t="s">
        <v>891</v>
      </c>
      <c r="E40" s="372" t="s">
        <v>411</v>
      </c>
    </row>
    <row r="41" spans="1:5" ht="26.4" x14ac:dyDescent="0.25">
      <c r="A41" s="432">
        <v>36</v>
      </c>
      <c r="B41" s="156" t="s">
        <v>888</v>
      </c>
      <c r="C41" s="435" t="s">
        <v>893</v>
      </c>
      <c r="D41" s="433" t="s">
        <v>894</v>
      </c>
      <c r="E41" s="372" t="s">
        <v>411</v>
      </c>
    </row>
    <row r="42" spans="1:5" ht="26.4" x14ac:dyDescent="0.25">
      <c r="A42" s="432">
        <v>37</v>
      </c>
      <c r="B42" s="156" t="s">
        <v>888</v>
      </c>
      <c r="C42" s="435" t="s">
        <v>897</v>
      </c>
      <c r="D42" s="433" t="s">
        <v>898</v>
      </c>
      <c r="E42" s="372" t="s">
        <v>411</v>
      </c>
    </row>
    <row r="99" spans="1:1" x14ac:dyDescent="0.25">
      <c r="A99" s="360" t="s">
        <v>859</v>
      </c>
    </row>
  </sheetData>
  <mergeCells count="4">
    <mergeCell ref="A2:A3"/>
    <mergeCell ref="B2:B3"/>
    <mergeCell ref="C2:D2"/>
    <mergeCell ref="E2:E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1"/>
  <sheetViews>
    <sheetView view="pageBreakPreview" zoomScale="50" zoomScaleNormal="100" zoomScaleSheetLayoutView="50" workbookViewId="0">
      <selection activeCell="G26" sqref="G26"/>
    </sheetView>
  </sheetViews>
  <sheetFormatPr defaultColWidth="9.21875" defaultRowHeight="15.6" x14ac:dyDescent="0.25"/>
  <cols>
    <col min="1" max="1" width="26.44140625" style="58" customWidth="1"/>
    <col min="2" max="2" width="11.88671875" style="58" customWidth="1"/>
    <col min="3" max="3" width="12.88671875" style="58" customWidth="1"/>
    <col min="4" max="4" width="10" style="58" customWidth="1"/>
    <col min="5" max="5" width="13.33203125" style="58" customWidth="1"/>
    <col min="6" max="7" width="12.109375" style="58" customWidth="1"/>
    <col min="8" max="8" width="10.5546875" style="58" customWidth="1"/>
    <col min="9" max="9" width="14.44140625" style="58" customWidth="1"/>
    <col min="10" max="10" width="6.77734375" style="58" customWidth="1"/>
    <col min="11" max="11" width="10.5546875" style="58" customWidth="1"/>
    <col min="12" max="12" width="6.21875" style="58" customWidth="1"/>
    <col min="13" max="13" width="18.6640625" style="58" customWidth="1"/>
    <col min="14" max="14" width="14.77734375" style="58" customWidth="1"/>
    <col min="15" max="16" width="12.6640625" style="58" customWidth="1"/>
    <col min="17" max="17" width="13.6640625" style="58" customWidth="1"/>
    <col min="18" max="18" width="11.21875" style="58" customWidth="1"/>
    <col min="19" max="19" width="12.5546875" style="58" customWidth="1"/>
    <col min="20" max="20" width="10.33203125" style="58" customWidth="1"/>
    <col min="21" max="21" width="11.109375" style="58" customWidth="1"/>
    <col min="22" max="221" width="9.21875" style="58" customWidth="1"/>
    <col min="222" max="222" width="7.6640625" style="58" customWidth="1"/>
    <col min="223" max="226" width="8.77734375" style="58" customWidth="1"/>
    <col min="227" max="227" width="0.21875" style="58" customWidth="1"/>
    <col min="228" max="228" width="8.6640625" style="58" customWidth="1"/>
    <col min="229" max="234" width="8.77734375" style="58" customWidth="1"/>
    <col min="235" max="16384" width="9.21875" style="58"/>
  </cols>
  <sheetData>
    <row r="1" spans="1:22" x14ac:dyDescent="0.25">
      <c r="A1" s="1449" t="s">
        <v>909</v>
      </c>
      <c r="B1" s="1449"/>
      <c r="C1" s="1449"/>
      <c r="D1" s="1449"/>
      <c r="E1" s="1449"/>
      <c r="F1" s="1449"/>
      <c r="G1" s="1449"/>
      <c r="H1" s="1449"/>
      <c r="I1" s="1449"/>
      <c r="J1" s="909"/>
      <c r="K1" s="97"/>
      <c r="L1" s="97"/>
      <c r="M1" s="97"/>
      <c r="N1" s="97"/>
      <c r="O1" s="97"/>
      <c r="P1" s="97"/>
      <c r="V1" s="58" t="s">
        <v>57</v>
      </c>
    </row>
    <row r="2" spans="1:22" x14ac:dyDescent="0.25">
      <c r="A2" s="1458" t="s">
        <v>908</v>
      </c>
      <c r="B2" s="1458"/>
      <c r="C2" s="1458"/>
      <c r="D2" s="1458"/>
      <c r="E2" s="1458"/>
      <c r="F2" s="1458"/>
      <c r="G2" s="1458"/>
      <c r="H2" s="1458"/>
      <c r="I2" s="1458"/>
      <c r="J2" s="910"/>
      <c r="K2" s="911"/>
      <c r="L2" s="911"/>
      <c r="M2" s="912"/>
      <c r="N2" s="912"/>
      <c r="O2" s="912"/>
      <c r="P2" s="912"/>
      <c r="V2" s="58" t="s">
        <v>58</v>
      </c>
    </row>
    <row r="3" spans="1:22" x14ac:dyDescent="0.25">
      <c r="A3" s="913"/>
      <c r="B3" s="914"/>
      <c r="C3" s="914"/>
      <c r="D3" s="914"/>
      <c r="E3" s="914"/>
      <c r="F3" s="914"/>
      <c r="G3" s="914"/>
      <c r="H3" s="914"/>
      <c r="I3" s="914"/>
      <c r="J3" s="915"/>
      <c r="K3" s="915"/>
      <c r="L3" s="915"/>
      <c r="M3" s="912"/>
      <c r="N3" s="912"/>
      <c r="O3" s="912"/>
      <c r="P3" s="912"/>
    </row>
    <row r="4" spans="1:22" x14ac:dyDescent="0.25">
      <c r="A4" s="916" t="s">
        <v>21</v>
      </c>
      <c r="B4" s="192" t="s">
        <v>0</v>
      </c>
      <c r="C4" s="916" t="s">
        <v>260</v>
      </c>
      <c r="D4" s="917"/>
      <c r="E4" s="914"/>
      <c r="F4" s="914"/>
      <c r="G4" s="914"/>
      <c r="H4" s="914"/>
      <c r="I4" s="914"/>
      <c r="J4" s="915"/>
      <c r="K4" s="915"/>
      <c r="L4" s="915"/>
      <c r="M4" s="912"/>
      <c r="N4" s="912"/>
      <c r="O4" s="912"/>
      <c r="P4" s="912"/>
    </row>
    <row r="5" spans="1:22" x14ac:dyDescent="0.25">
      <c r="A5" s="916" t="s">
        <v>204</v>
      </c>
      <c r="B5" s="192" t="s">
        <v>0</v>
      </c>
      <c r="C5" s="916" t="s">
        <v>260</v>
      </c>
      <c r="D5" s="917"/>
      <c r="E5" s="917"/>
      <c r="F5" s="917"/>
      <c r="G5" s="917"/>
      <c r="H5" s="917"/>
      <c r="I5" s="917"/>
      <c r="T5" s="97"/>
      <c r="U5" s="97"/>
      <c r="V5" s="97"/>
    </row>
    <row r="6" spans="1:22" x14ac:dyDescent="0.25">
      <c r="A6" s="916" t="s">
        <v>8</v>
      </c>
      <c r="B6" s="192" t="s">
        <v>0</v>
      </c>
      <c r="C6" s="916" t="s">
        <v>260</v>
      </c>
      <c r="D6" s="917"/>
      <c r="E6" s="917"/>
      <c r="F6" s="917"/>
      <c r="G6" s="917"/>
      <c r="H6" s="917"/>
      <c r="I6" s="917"/>
    </row>
    <row r="7" spans="1:22" x14ac:dyDescent="0.25">
      <c r="A7" s="916" t="s">
        <v>70</v>
      </c>
      <c r="B7" s="192" t="s">
        <v>0</v>
      </c>
      <c r="C7" s="916" t="s">
        <v>310</v>
      </c>
      <c r="D7" s="917" t="s">
        <v>311</v>
      </c>
      <c r="E7" s="916"/>
      <c r="F7" s="917"/>
      <c r="G7" s="916"/>
      <c r="H7" s="916"/>
      <c r="I7" s="916"/>
      <c r="J7" s="96"/>
      <c r="K7" s="96"/>
      <c r="L7" s="96"/>
    </row>
    <row r="8" spans="1:22" x14ac:dyDescent="0.25">
      <c r="A8" s="917" t="s">
        <v>203</v>
      </c>
      <c r="B8" s="192" t="s">
        <v>0</v>
      </c>
      <c r="C8" s="916" t="s">
        <v>260</v>
      </c>
      <c r="D8" s="917"/>
      <c r="E8" s="917"/>
      <c r="F8" s="917"/>
      <c r="G8" s="917"/>
      <c r="H8" s="917"/>
      <c r="I8" s="917"/>
    </row>
    <row r="9" spans="1:22" x14ac:dyDescent="0.25">
      <c r="A9" s="916" t="s">
        <v>3</v>
      </c>
      <c r="B9" s="192" t="s">
        <v>0</v>
      </c>
      <c r="C9" s="916" t="s">
        <v>260</v>
      </c>
      <c r="D9" s="917"/>
      <c r="E9" s="917"/>
      <c r="F9" s="917"/>
      <c r="G9" s="917"/>
      <c r="H9" s="917"/>
      <c r="I9" s="917"/>
    </row>
    <row r="10" spans="1:22" x14ac:dyDescent="0.25">
      <c r="A10" s="916" t="s">
        <v>4</v>
      </c>
      <c r="B10" s="192" t="s">
        <v>0</v>
      </c>
      <c r="C10" s="916" t="s">
        <v>260</v>
      </c>
      <c r="D10" s="917"/>
      <c r="E10" s="917"/>
      <c r="F10" s="917"/>
      <c r="G10" s="917"/>
      <c r="H10" s="917"/>
      <c r="I10" s="917"/>
      <c r="K10" s="918"/>
    </row>
    <row r="11" spans="1:22" x14ac:dyDescent="0.25">
      <c r="A11" s="917" t="s">
        <v>22</v>
      </c>
      <c r="B11" s="192" t="s">
        <v>0</v>
      </c>
      <c r="C11" s="916" t="s">
        <v>260</v>
      </c>
      <c r="D11" s="917"/>
      <c r="E11" s="917"/>
      <c r="F11" s="917"/>
      <c r="G11" s="917"/>
      <c r="H11" s="917"/>
      <c r="I11" s="917"/>
      <c r="T11" s="919"/>
      <c r="U11" s="919"/>
      <c r="V11" s="919"/>
    </row>
    <row r="12" spans="1:22" ht="24" hidden="1" customHeight="1" x14ac:dyDescent="0.25">
      <c r="A12" s="917"/>
      <c r="B12" s="917"/>
      <c r="C12" s="917"/>
      <c r="D12" s="917"/>
      <c r="E12" s="917"/>
      <c r="F12" s="916"/>
      <c r="G12" s="917"/>
      <c r="H12" s="917"/>
      <c r="I12" s="917"/>
    </row>
    <row r="13" spans="1:22" hidden="1" x14ac:dyDescent="0.25">
      <c r="A13" s="917"/>
      <c r="B13" s="917"/>
      <c r="C13" s="917"/>
      <c r="D13" s="917"/>
      <c r="E13" s="917"/>
      <c r="F13" s="917"/>
      <c r="G13" s="917"/>
      <c r="H13" s="917"/>
      <c r="I13" s="917"/>
    </row>
    <row r="14" spans="1:22" hidden="1" x14ac:dyDescent="0.25">
      <c r="A14" s="917"/>
      <c r="B14" s="917"/>
      <c r="C14" s="917"/>
      <c r="D14" s="917"/>
      <c r="E14" s="917"/>
      <c r="F14" s="917"/>
      <c r="G14" s="917"/>
      <c r="H14" s="917"/>
      <c r="I14" s="917"/>
    </row>
    <row r="15" spans="1:22" hidden="1" x14ac:dyDescent="0.25">
      <c r="A15" s="916" t="s">
        <v>59</v>
      </c>
      <c r="B15" s="192" t="s">
        <v>0</v>
      </c>
      <c r="C15" s="920">
        <v>9</v>
      </c>
      <c r="D15" s="921"/>
      <c r="E15" s="922"/>
      <c r="F15" s="916"/>
      <c r="G15" s="916"/>
      <c r="H15" s="923"/>
      <c r="I15" s="917"/>
    </row>
    <row r="16" spans="1:22" hidden="1" x14ac:dyDescent="0.25">
      <c r="A16" s="916" t="s">
        <v>62</v>
      </c>
      <c r="B16" s="192" t="s">
        <v>0</v>
      </c>
      <c r="C16" s="924"/>
      <c r="D16" s="917">
        <f>$K$60</f>
        <v>0</v>
      </c>
      <c r="E16" s="922"/>
      <c r="F16" s="916"/>
      <c r="G16" s="916"/>
      <c r="H16" s="923"/>
      <c r="I16" s="917"/>
    </row>
    <row r="17" spans="1:27" hidden="1" x14ac:dyDescent="0.25">
      <c r="A17" s="917"/>
      <c r="B17" s="917"/>
      <c r="C17" s="917"/>
      <c r="D17" s="917"/>
      <c r="E17" s="917"/>
      <c r="F17" s="917"/>
      <c r="G17" s="917"/>
      <c r="H17" s="917"/>
      <c r="I17" s="917"/>
    </row>
    <row r="18" spans="1:27" hidden="1" x14ac:dyDescent="0.25">
      <c r="A18" s="917" t="s">
        <v>281</v>
      </c>
      <c r="B18" s="192" t="s">
        <v>0</v>
      </c>
      <c r="C18" s="917" t="s">
        <v>282</v>
      </c>
      <c r="D18" s="917"/>
      <c r="E18" s="917"/>
      <c r="F18" s="917"/>
      <c r="G18" s="917"/>
      <c r="H18" s="917"/>
      <c r="I18" s="917"/>
    </row>
    <row r="19" spans="1:27" hidden="1" x14ac:dyDescent="0.25">
      <c r="A19" s="923" t="s">
        <v>324</v>
      </c>
      <c r="B19" s="923"/>
      <c r="C19" s="923"/>
      <c r="D19" s="923"/>
      <c r="E19" s="923"/>
      <c r="F19" s="923"/>
      <c r="G19" s="917"/>
      <c r="H19" s="917"/>
      <c r="I19" s="917"/>
      <c r="M19" s="925"/>
    </row>
    <row r="20" spans="1:27" ht="27.6" hidden="1" x14ac:dyDescent="0.25">
      <c r="A20" s="926" t="s">
        <v>46</v>
      </c>
      <c r="B20" s="927" t="s">
        <v>66</v>
      </c>
      <c r="C20" s="928" t="s">
        <v>66</v>
      </c>
      <c r="D20" s="929"/>
      <c r="E20" s="930"/>
      <c r="F20" s="930"/>
      <c r="G20" s="917"/>
      <c r="H20" s="917"/>
      <c r="I20" s="917"/>
      <c r="X20" s="1490"/>
      <c r="Y20" s="1491"/>
      <c r="Z20" s="1492"/>
      <c r="AA20" s="931"/>
    </row>
    <row r="21" spans="1:27" hidden="1" x14ac:dyDescent="0.25">
      <c r="A21" s="926"/>
      <c r="B21" s="928"/>
      <c r="C21" s="928"/>
      <c r="D21" s="929"/>
      <c r="E21" s="930"/>
      <c r="F21" s="930"/>
      <c r="G21" s="917"/>
      <c r="H21" s="917"/>
      <c r="I21" s="917"/>
    </row>
    <row r="22" spans="1:27" hidden="1" x14ac:dyDescent="0.25">
      <c r="A22" s="932"/>
      <c r="B22" s="933"/>
      <c r="C22" s="926" t="s">
        <v>38</v>
      </c>
      <c r="D22" s="934"/>
      <c r="E22" s="935"/>
      <c r="F22" s="935"/>
      <c r="G22" s="917"/>
      <c r="H22" s="917"/>
      <c r="I22" s="917"/>
    </row>
    <row r="23" spans="1:27" x14ac:dyDescent="0.25">
      <c r="A23" s="917" t="s">
        <v>209</v>
      </c>
      <c r="B23" s="936" t="s">
        <v>448</v>
      </c>
      <c r="C23" s="924" t="s">
        <v>264</v>
      </c>
      <c r="D23" s="937" t="s">
        <v>449</v>
      </c>
      <c r="E23" s="924" t="s">
        <v>264</v>
      </c>
      <c r="F23" s="938"/>
      <c r="G23" s="935"/>
      <c r="H23" s="917"/>
      <c r="I23" s="917"/>
    </row>
    <row r="24" spans="1:27" ht="15.75" customHeight="1" x14ac:dyDescent="0.3">
      <c r="A24" s="917" t="s">
        <v>208</v>
      </c>
      <c r="B24" s="936" t="s">
        <v>448</v>
      </c>
      <c r="C24" s="924" t="s">
        <v>264</v>
      </c>
      <c r="D24" s="937" t="s">
        <v>449</v>
      </c>
      <c r="E24" s="924" t="s">
        <v>264</v>
      </c>
      <c r="F24" s="938"/>
      <c r="G24" s="935"/>
      <c r="H24" s="917"/>
      <c r="I24" s="917"/>
      <c r="J24" s="939"/>
    </row>
    <row r="25" spans="1:27" ht="15.75" customHeight="1" x14ac:dyDescent="0.3">
      <c r="A25" s="917" t="s">
        <v>261</v>
      </c>
      <c r="B25" s="192" t="s">
        <v>0</v>
      </c>
      <c r="C25" s="924" t="s">
        <v>264</v>
      </c>
      <c r="D25" s="940"/>
      <c r="E25" s="940"/>
      <c r="F25" s="941"/>
      <c r="G25" s="1481"/>
      <c r="H25" s="1481"/>
      <c r="I25" s="1481"/>
      <c r="J25" s="939"/>
    </row>
    <row r="26" spans="1:27" ht="15.75" customHeight="1" x14ac:dyDescent="0.3">
      <c r="A26" s="917" t="s">
        <v>262</v>
      </c>
      <c r="B26" s="192" t="s">
        <v>0</v>
      </c>
      <c r="C26" s="924" t="s">
        <v>264</v>
      </c>
      <c r="D26" s="917"/>
      <c r="E26" s="917"/>
      <c r="F26" s="942"/>
      <c r="G26" s="935"/>
      <c r="H26" s="930"/>
      <c r="I26" s="943"/>
      <c r="J26" s="939"/>
      <c r="K26" s="944"/>
      <c r="L26" s="944"/>
      <c r="M26" s="99"/>
    </row>
    <row r="27" spans="1:27" ht="15.75" hidden="1" customHeight="1" x14ac:dyDescent="0.3">
      <c r="A27" s="917"/>
      <c r="B27" s="945"/>
      <c r="C27" s="943"/>
      <c r="D27" s="943"/>
      <c r="E27" s="943"/>
      <c r="F27" s="943"/>
      <c r="G27" s="935"/>
      <c r="H27" s="930"/>
      <c r="I27" s="943"/>
      <c r="J27" s="939"/>
      <c r="K27" s="944"/>
      <c r="L27" s="944"/>
      <c r="M27" s="100"/>
    </row>
    <row r="28" spans="1:27" ht="18" customHeight="1" x14ac:dyDescent="0.3">
      <c r="A28" s="946" t="s">
        <v>334</v>
      </c>
      <c r="B28" s="945"/>
      <c r="C28" s="943"/>
      <c r="D28" s="943"/>
      <c r="E28" s="947"/>
      <c r="F28" s="943"/>
      <c r="G28" s="935"/>
      <c r="H28" s="930"/>
      <c r="I28" s="943"/>
      <c r="J28" s="948" t="s">
        <v>278</v>
      </c>
      <c r="K28" s="939"/>
      <c r="L28" s="944"/>
      <c r="M28" s="100"/>
    </row>
    <row r="29" spans="1:27" x14ac:dyDescent="0.25">
      <c r="A29" s="917" t="s">
        <v>60</v>
      </c>
      <c r="B29" s="192" t="s">
        <v>0</v>
      </c>
      <c r="C29" s="917" t="s">
        <v>263</v>
      </c>
      <c r="D29" s="917"/>
      <c r="E29" s="917"/>
      <c r="F29" s="916"/>
      <c r="G29" s="916"/>
      <c r="H29" s="923"/>
      <c r="I29" s="917"/>
      <c r="J29" s="949">
        <v>5</v>
      </c>
    </row>
    <row r="30" spans="1:27" x14ac:dyDescent="0.25">
      <c r="A30" s="917" t="s">
        <v>61</v>
      </c>
      <c r="B30" s="192" t="s">
        <v>0</v>
      </c>
      <c r="C30" s="917" t="s">
        <v>263</v>
      </c>
      <c r="D30" s="917"/>
      <c r="E30" s="917"/>
      <c r="F30" s="916"/>
      <c r="G30" s="916"/>
      <c r="H30" s="923"/>
      <c r="I30" s="917"/>
      <c r="J30" s="949">
        <v>5</v>
      </c>
    </row>
    <row r="31" spans="1:27" hidden="1" x14ac:dyDescent="0.25">
      <c r="A31" s="917"/>
      <c r="B31" s="192"/>
      <c r="C31" s="917"/>
      <c r="D31" s="917"/>
      <c r="E31" s="917"/>
      <c r="F31" s="916"/>
      <c r="G31" s="916"/>
      <c r="H31" s="923"/>
      <c r="I31" s="917"/>
      <c r="J31" s="950"/>
    </row>
    <row r="32" spans="1:27" s="954" customFormat="1" ht="16.2" x14ac:dyDescent="0.25">
      <c r="A32" s="178" t="s">
        <v>275</v>
      </c>
      <c r="B32" s="178"/>
      <c r="C32" s="178"/>
      <c r="D32" s="951"/>
      <c r="E32" s="102"/>
      <c r="F32" s="102"/>
      <c r="G32" s="102"/>
      <c r="H32" s="952"/>
      <c r="I32" s="102"/>
      <c r="J32" s="953"/>
    </row>
    <row r="33" spans="1:15" s="954" customFormat="1" ht="55.5" customHeight="1" x14ac:dyDescent="0.25">
      <c r="A33" s="1484" t="s">
        <v>46</v>
      </c>
      <c r="B33" s="1485"/>
      <c r="C33" s="1485"/>
      <c r="D33" s="1486"/>
      <c r="E33" s="775" t="s">
        <v>157</v>
      </c>
      <c r="F33" s="174" t="s">
        <v>205</v>
      </c>
      <c r="G33" s="102"/>
      <c r="H33" s="102"/>
      <c r="I33" s="102"/>
      <c r="J33" s="948" t="s">
        <v>278</v>
      </c>
      <c r="K33" s="955"/>
      <c r="N33" s="955"/>
      <c r="O33" s="955"/>
    </row>
    <row r="34" spans="1:15" s="954" customFormat="1" x14ac:dyDescent="0.25">
      <c r="A34" s="956" t="s">
        <v>323</v>
      </c>
      <c r="B34" s="957"/>
      <c r="C34" s="957"/>
      <c r="D34" s="957"/>
      <c r="E34" s="958" t="s">
        <v>344</v>
      </c>
      <c r="F34" s="177" t="s">
        <v>276</v>
      </c>
      <c r="G34" s="102"/>
      <c r="H34" s="102"/>
      <c r="I34" s="102"/>
      <c r="J34" s="959">
        <v>10</v>
      </c>
      <c r="K34" s="960"/>
      <c r="N34" s="955"/>
      <c r="O34" s="955"/>
    </row>
    <row r="35" spans="1:15" s="954" customFormat="1" x14ac:dyDescent="0.25">
      <c r="A35" s="70" t="s">
        <v>752</v>
      </c>
      <c r="B35" s="957"/>
      <c r="C35" s="957"/>
      <c r="D35" s="957"/>
      <c r="E35" s="961" t="s">
        <v>159</v>
      </c>
      <c r="F35" s="177" t="s">
        <v>210</v>
      </c>
      <c r="G35" s="102"/>
      <c r="H35" s="102"/>
      <c r="I35" s="102"/>
      <c r="J35" s="1488">
        <v>10</v>
      </c>
      <c r="K35" s="962"/>
      <c r="O35" s="963"/>
    </row>
    <row r="36" spans="1:15" s="954" customFormat="1" x14ac:dyDescent="0.3">
      <c r="A36" s="70" t="s">
        <v>753</v>
      </c>
      <c r="B36" s="957"/>
      <c r="C36" s="957"/>
      <c r="D36" s="957"/>
      <c r="E36" s="961" t="s">
        <v>159</v>
      </c>
      <c r="F36" s="964" t="s">
        <v>754</v>
      </c>
      <c r="G36" s="102"/>
      <c r="H36" s="102"/>
      <c r="I36" s="102"/>
      <c r="J36" s="1489"/>
      <c r="K36" s="962"/>
      <c r="O36" s="963"/>
    </row>
    <row r="37" spans="1:15" s="954" customFormat="1" x14ac:dyDescent="0.25">
      <c r="A37" s="965" t="s">
        <v>321</v>
      </c>
      <c r="B37" s="965"/>
      <c r="C37" s="965"/>
      <c r="D37" s="965"/>
      <c r="E37" s="958" t="s">
        <v>345</v>
      </c>
      <c r="F37" s="762" t="s">
        <v>170</v>
      </c>
      <c r="G37" s="102"/>
      <c r="H37" s="102"/>
      <c r="I37" s="102"/>
      <c r="J37" s="1480">
        <v>20</v>
      </c>
      <c r="K37" s="966"/>
    </row>
    <row r="38" spans="1:15" x14ac:dyDescent="0.3">
      <c r="A38" s="965" t="s">
        <v>322</v>
      </c>
      <c r="B38" s="967"/>
      <c r="C38" s="968"/>
      <c r="D38" s="968"/>
      <c r="E38" s="958" t="s">
        <v>345</v>
      </c>
      <c r="F38" s="1047" t="s">
        <v>856</v>
      </c>
      <c r="G38" s="916"/>
      <c r="H38" s="923"/>
      <c r="I38" s="917"/>
      <c r="J38" s="1480"/>
    </row>
    <row r="39" spans="1:15" hidden="1" x14ac:dyDescent="0.25">
      <c r="A39" s="969" t="s">
        <v>212</v>
      </c>
      <c r="B39" s="192"/>
      <c r="C39" s="917"/>
      <c r="D39" s="917"/>
      <c r="E39" s="917"/>
      <c r="F39" s="916"/>
      <c r="G39" s="916"/>
      <c r="H39" s="923"/>
      <c r="I39" s="917"/>
      <c r="J39" s="950"/>
    </row>
    <row r="40" spans="1:15" hidden="1" x14ac:dyDescent="0.25">
      <c r="A40" s="917"/>
      <c r="B40" s="192"/>
      <c r="C40" s="917"/>
      <c r="D40" s="917"/>
      <c r="E40" s="917"/>
      <c r="F40" s="916"/>
      <c r="G40" s="916"/>
      <c r="H40" s="923"/>
      <c r="I40" s="917"/>
      <c r="J40" s="950"/>
    </row>
    <row r="41" spans="1:15" hidden="1" x14ac:dyDescent="0.25">
      <c r="A41" s="917"/>
      <c r="B41" s="192"/>
      <c r="C41" s="917"/>
      <c r="D41" s="917"/>
      <c r="E41" s="917"/>
      <c r="F41" s="916"/>
      <c r="G41" s="916"/>
      <c r="H41" s="923"/>
      <c r="I41" s="917"/>
      <c r="J41" s="950"/>
    </row>
    <row r="42" spans="1:15" hidden="1" x14ac:dyDescent="0.25">
      <c r="A42" s="917"/>
      <c r="B42" s="192"/>
      <c r="C42" s="917"/>
      <c r="D42" s="917"/>
      <c r="E42" s="917"/>
      <c r="F42" s="916"/>
      <c r="G42" s="916"/>
      <c r="H42" s="923"/>
      <c r="I42" s="917"/>
      <c r="J42" s="950"/>
    </row>
    <row r="43" spans="1:15" hidden="1" x14ac:dyDescent="0.25">
      <c r="A43" s="917"/>
      <c r="B43" s="192"/>
      <c r="C43" s="917"/>
      <c r="D43" s="917"/>
      <c r="E43" s="917"/>
      <c r="F43" s="916"/>
      <c r="G43" s="916"/>
      <c r="H43" s="923"/>
      <c r="I43" s="917"/>
      <c r="J43" s="950"/>
    </row>
    <row r="44" spans="1:15" hidden="1" x14ac:dyDescent="0.25">
      <c r="A44" s="917"/>
      <c r="B44" s="945"/>
      <c r="C44" s="943"/>
      <c r="D44" s="943"/>
      <c r="E44" s="943"/>
      <c r="F44" s="943"/>
      <c r="G44" s="935"/>
      <c r="H44" s="930"/>
      <c r="I44" s="943"/>
      <c r="J44" s="970"/>
      <c r="K44" s="944"/>
      <c r="L44" s="944"/>
      <c r="M44" s="100"/>
    </row>
    <row r="45" spans="1:15" hidden="1" x14ac:dyDescent="0.25">
      <c r="A45" s="902" t="s">
        <v>172</v>
      </c>
      <c r="B45" s="902"/>
      <c r="C45" s="971"/>
      <c r="D45" s="971"/>
      <c r="E45" s="971"/>
      <c r="F45" s="971"/>
      <c r="G45" s="971"/>
      <c r="H45" s="971"/>
      <c r="I45" s="971"/>
      <c r="J45" s="972"/>
      <c r="K45" s="106"/>
      <c r="L45" s="106"/>
      <c r="M45" s="106"/>
    </row>
    <row r="46" spans="1:15" ht="46.8" hidden="1" x14ac:dyDescent="0.25">
      <c r="A46" s="1450" t="s">
        <v>46</v>
      </c>
      <c r="B46" s="1451"/>
      <c r="C46" s="1451"/>
      <c r="D46" s="1451"/>
      <c r="E46" s="1451"/>
      <c r="F46" s="1452"/>
      <c r="G46" s="1453" t="s">
        <v>157</v>
      </c>
      <c r="H46" s="1454"/>
      <c r="I46" s="973" t="s">
        <v>197</v>
      </c>
      <c r="J46" s="974" t="s">
        <v>32</v>
      </c>
      <c r="L46" s="106"/>
      <c r="M46" s="767" t="s">
        <v>198</v>
      </c>
    </row>
    <row r="47" spans="1:15" hidden="1" x14ac:dyDescent="0.25">
      <c r="A47" s="975" t="s">
        <v>162</v>
      </c>
      <c r="B47" s="976"/>
      <c r="C47" s="976"/>
      <c r="D47" s="976"/>
      <c r="E47" s="976"/>
      <c r="F47" s="977"/>
      <c r="G47" s="978">
        <v>0.1</v>
      </c>
      <c r="H47" s="977" t="s">
        <v>159</v>
      </c>
      <c r="I47" s="979">
        <f t="shared" ref="I47:I53" ca="1" si="0">IF(G47="-","-",IF(G47="NC","NC",IF(G47="OL","OL",IF(G47=G47,M47))))</f>
        <v>0.10102040816326531</v>
      </c>
      <c r="J47" s="980" t="s">
        <v>169</v>
      </c>
      <c r="L47" s="106"/>
      <c r="M47" s="981">
        <f ca="1">(FORECAST(G47,OFFSET('RESISTANCE Ohm'!L8:L14,MATCH(G47,'RESISTANCE Ohm'!K8:K14,1)-1,0,2),OFFSET('RESISTANCE Ohm'!K8:K14,MATCH(G47,'RESISTANCE Ohm'!K8:K14,1)-1,0,2)))+$G$47</f>
        <v>0.10102040816326531</v>
      </c>
      <c r="N47" s="982"/>
    </row>
    <row r="48" spans="1:15" hidden="1" x14ac:dyDescent="0.25">
      <c r="A48" s="975" t="s">
        <v>439</v>
      </c>
      <c r="B48" s="976"/>
      <c r="C48" s="976"/>
      <c r="D48" s="976"/>
      <c r="E48" s="976"/>
      <c r="F48" s="977"/>
      <c r="G48" s="983">
        <v>1</v>
      </c>
      <c r="H48" s="977" t="s">
        <v>161</v>
      </c>
      <c r="I48" s="984">
        <f t="shared" ca="1" si="0"/>
        <v>1.3266666666666667</v>
      </c>
      <c r="J48" s="985" t="s">
        <v>447</v>
      </c>
      <c r="L48" s="106"/>
      <c r="M48" s="931">
        <f ca="1">(FORECAST(G48,OFFSET('EARTH LEAKAGE'!$L$8:$L$14,MATCH(G48,'EARTH LEAKAGE'!$K$8:$K$14,1)-1,0,2),OFFSET('EARTH LEAKAGE'!$K$8:$K$14,MATCH(G48,'EARTH LEAKAGE'!$K$8:$K$14,1)-1,0,2)))+$G$48</f>
        <v>1.3266666666666667</v>
      </c>
      <c r="N48" s="982"/>
    </row>
    <row r="49" spans="1:22" hidden="1" x14ac:dyDescent="0.25">
      <c r="A49" s="975" t="s">
        <v>440</v>
      </c>
      <c r="B49" s="976"/>
      <c r="C49" s="976"/>
      <c r="D49" s="976"/>
      <c r="E49" s="976"/>
      <c r="F49" s="977"/>
      <c r="G49" s="983">
        <v>2</v>
      </c>
      <c r="H49" s="977" t="s">
        <v>161</v>
      </c>
      <c r="I49" s="984">
        <f t="shared" ca="1" si="0"/>
        <v>2.6533333333333333</v>
      </c>
      <c r="J49" s="985" t="s">
        <v>447</v>
      </c>
      <c r="L49" s="106"/>
      <c r="M49" s="931">
        <f ca="1">(FORECAST(G49,OFFSET('EARTH LEAKAGE'!$L$8:$L$14,MATCH(G49,'EARTH LEAKAGE'!$K$8:$K$14,1)-1,0,2),OFFSET('EARTH LEAKAGE'!$K$8:$K$14,MATCH(G49,'EARTH LEAKAGE'!$K$8:$K$14,1)-1,0,2)))+$G$49</f>
        <v>2.6533333333333333</v>
      </c>
      <c r="N49" s="982"/>
      <c r="O49" s="982"/>
      <c r="P49" s="982"/>
    </row>
    <row r="50" spans="1:22" hidden="1" x14ac:dyDescent="0.25">
      <c r="A50" s="975" t="s">
        <v>441</v>
      </c>
      <c r="B50" s="976"/>
      <c r="C50" s="976"/>
      <c r="D50" s="976"/>
      <c r="E50" s="976"/>
      <c r="F50" s="977"/>
      <c r="G50" s="983">
        <v>3</v>
      </c>
      <c r="H50" s="977" t="s">
        <v>161</v>
      </c>
      <c r="I50" s="984">
        <f t="shared" ca="1" si="0"/>
        <v>3.98</v>
      </c>
      <c r="J50" s="985" t="s">
        <v>447</v>
      </c>
      <c r="L50" s="106"/>
      <c r="M50" s="931">
        <f ca="1">(FORECAST(G50,OFFSET('EARTH LEAKAGE'!$L$8:$L$14,MATCH(G50,'EARTH LEAKAGE'!$K$8:$K$14,1)-1,0,2),OFFSET('EARTH LEAKAGE'!$K$8:$K$14,MATCH(G50,'EARTH LEAKAGE'!$K$8:$K$14,1)-1,0,2)))+$G$50</f>
        <v>3.98</v>
      </c>
      <c r="N50" s="982"/>
      <c r="O50" s="982"/>
      <c r="P50" s="982"/>
    </row>
    <row r="51" spans="1:22" hidden="1" x14ac:dyDescent="0.25">
      <c r="A51" s="986" t="s">
        <v>442</v>
      </c>
      <c r="B51" s="986"/>
      <c r="C51" s="986"/>
      <c r="D51" s="986"/>
      <c r="E51" s="986"/>
      <c r="F51" s="986"/>
      <c r="G51" s="983">
        <v>4</v>
      </c>
      <c r="H51" s="977" t="s">
        <v>161</v>
      </c>
      <c r="I51" s="984">
        <f t="shared" ca="1" si="0"/>
        <v>5.3066666666666666</v>
      </c>
      <c r="J51" s="985" t="s">
        <v>447</v>
      </c>
      <c r="L51" s="106"/>
      <c r="M51" s="931">
        <f ca="1">(FORECAST(G51,OFFSET('EARTH LEAKAGE'!$L$8:$L$14,MATCH(G51,'EARTH LEAKAGE'!$K$8:$K$14,1)-1,0,2),OFFSET('EARTH LEAKAGE'!$K$8:$K$14,MATCH(G51,'EARTH LEAKAGE'!$K$8:$K$14,1)-1,0,2)))+$G$51</f>
        <v>5.3066666666666666</v>
      </c>
      <c r="N51" s="982"/>
      <c r="O51" s="982"/>
      <c r="P51" s="982"/>
    </row>
    <row r="52" spans="1:22" hidden="1" x14ac:dyDescent="0.25">
      <c r="A52" s="986" t="s">
        <v>443</v>
      </c>
      <c r="B52" s="986"/>
      <c r="C52" s="986"/>
      <c r="D52" s="986"/>
      <c r="E52" s="986"/>
      <c r="F52" s="986"/>
      <c r="G52" s="983">
        <v>5</v>
      </c>
      <c r="H52" s="977" t="s">
        <v>161</v>
      </c>
      <c r="I52" s="984">
        <f t="shared" ca="1" si="0"/>
        <v>6.6333333333333329</v>
      </c>
      <c r="J52" s="985" t="s">
        <v>447</v>
      </c>
      <c r="L52" s="106"/>
      <c r="M52" s="931">
        <f ca="1">(FORECAST(G52,OFFSET('EARTH LEAKAGE'!$L$8:$L$14,MATCH(G52,'EARTH LEAKAGE'!$K$8:$K$14,1)-1,0,2),OFFSET('EARTH LEAKAGE'!$K$8:$K$14,MATCH(G52,'EARTH LEAKAGE'!$K$8:$K$14,1)-1,0,2)))+$G$52</f>
        <v>6.6333333333333329</v>
      </c>
      <c r="N52" s="982"/>
      <c r="O52" s="982"/>
      <c r="P52" s="982"/>
    </row>
    <row r="53" spans="1:22" hidden="1" x14ac:dyDescent="0.25">
      <c r="A53" s="986" t="s">
        <v>444</v>
      </c>
      <c r="B53" s="986"/>
      <c r="C53" s="986"/>
      <c r="D53" s="986"/>
      <c r="E53" s="986"/>
      <c r="F53" s="986"/>
      <c r="G53" s="983">
        <v>6</v>
      </c>
      <c r="H53" s="977" t="s">
        <v>161</v>
      </c>
      <c r="I53" s="984">
        <f t="shared" ca="1" si="0"/>
        <v>7.96</v>
      </c>
      <c r="J53" s="985" t="s">
        <v>447</v>
      </c>
      <c r="L53" s="106"/>
      <c r="M53" s="931">
        <f ca="1">(FORECAST(G53,OFFSET('EARTH LEAKAGE'!$L$8:$L$14,MATCH(G53,'EARTH LEAKAGE'!$K$8:$K$14,1)-1,0,2),OFFSET('EARTH LEAKAGE'!$K$8:$K$14,MATCH(G53,'EARTH LEAKAGE'!$K$8:$K$14,1)-1,0,2)))+$G$53</f>
        <v>7.96</v>
      </c>
      <c r="N53" s="982"/>
      <c r="O53" s="982"/>
      <c r="P53" s="982"/>
    </row>
    <row r="54" spans="1:22" hidden="1" x14ac:dyDescent="0.25">
      <c r="A54" s="917"/>
      <c r="B54" s="943"/>
      <c r="C54" s="943"/>
      <c r="D54" s="943"/>
      <c r="E54" s="943"/>
      <c r="F54" s="943"/>
      <c r="G54" s="935"/>
      <c r="H54" s="930"/>
      <c r="I54" s="943"/>
      <c r="J54" s="970"/>
      <c r="K54" s="944"/>
      <c r="L54" s="944"/>
      <c r="M54" s="100"/>
      <c r="N54" s="982"/>
      <c r="O54" s="982"/>
      <c r="P54" s="982"/>
    </row>
    <row r="55" spans="1:22" s="106" customFormat="1" hidden="1" x14ac:dyDescent="0.25">
      <c r="A55" s="969" t="s">
        <v>174</v>
      </c>
      <c r="B55" s="969"/>
      <c r="C55" s="969"/>
      <c r="D55" s="969"/>
      <c r="E55" s="969"/>
      <c r="F55" s="969"/>
      <c r="G55" s="917"/>
      <c r="H55" s="917"/>
      <c r="I55" s="917"/>
      <c r="J55" s="950"/>
      <c r="K55" s="58"/>
      <c r="L55" s="58"/>
      <c r="M55" s="925"/>
      <c r="Q55" s="101"/>
      <c r="R55" s="101"/>
      <c r="S55" s="101"/>
      <c r="T55" s="101"/>
      <c r="U55" s="101"/>
      <c r="V55" s="101"/>
    </row>
    <row r="56" spans="1:22" s="106" customFormat="1" hidden="1" x14ac:dyDescent="0.25">
      <c r="A56" s="969" t="s">
        <v>213</v>
      </c>
      <c r="B56" s="969"/>
      <c r="C56" s="969"/>
      <c r="D56" s="969"/>
      <c r="E56" s="969"/>
      <c r="F56" s="969"/>
      <c r="G56" s="917"/>
      <c r="H56" s="917"/>
      <c r="I56" s="917"/>
      <c r="J56" s="950"/>
      <c r="K56" s="58"/>
      <c r="L56" s="58"/>
      <c r="M56" s="925"/>
      <c r="Q56" s="101"/>
      <c r="R56" s="101"/>
      <c r="S56" s="101"/>
      <c r="T56" s="101"/>
      <c r="U56" s="101"/>
      <c r="V56" s="101"/>
    </row>
    <row r="57" spans="1:22" s="106" customFormat="1" ht="23.25" customHeight="1" x14ac:dyDescent="0.25">
      <c r="A57" s="969" t="s">
        <v>325</v>
      </c>
      <c r="B57" s="969"/>
      <c r="C57" s="969"/>
      <c r="D57" s="969"/>
      <c r="E57" s="969"/>
      <c r="F57" s="969"/>
      <c r="G57" s="917"/>
      <c r="H57" s="917"/>
      <c r="I57" s="917"/>
      <c r="J57" s="950"/>
      <c r="K57" s="58"/>
      <c r="L57" s="58"/>
      <c r="M57" s="925"/>
      <c r="Q57" s="101"/>
      <c r="R57" s="101"/>
      <c r="S57" s="101"/>
      <c r="T57" s="101"/>
      <c r="U57" s="101"/>
      <c r="V57" s="101"/>
    </row>
    <row r="58" spans="1:22" ht="15.75" customHeight="1" x14ac:dyDescent="0.25">
      <c r="A58" s="1487" t="s">
        <v>326</v>
      </c>
      <c r="B58" s="1487"/>
      <c r="C58" s="1487"/>
      <c r="D58" s="987"/>
      <c r="E58" s="987"/>
      <c r="F58" s="987"/>
      <c r="G58" s="987"/>
      <c r="H58" s="930"/>
      <c r="I58" s="988"/>
      <c r="J58" s="989"/>
      <c r="K58" s="990"/>
      <c r="L58" s="991"/>
      <c r="M58" s="990"/>
      <c r="N58" s="982"/>
      <c r="O58" s="982"/>
      <c r="P58" s="982"/>
    </row>
    <row r="59" spans="1:22" ht="8.25" customHeight="1" x14ac:dyDescent="0.25">
      <c r="A59" s="992"/>
      <c r="B59" s="1482"/>
      <c r="C59" s="1482"/>
      <c r="D59" s="1483"/>
      <c r="E59" s="1483"/>
      <c r="F59" s="1483"/>
      <c r="G59" s="1483"/>
      <c r="H59" s="993"/>
      <c r="I59" s="917"/>
      <c r="J59" s="950"/>
      <c r="K59" s="1461"/>
      <c r="L59" s="1461"/>
      <c r="M59" s="990"/>
      <c r="N59" s="982"/>
      <c r="O59" s="982"/>
      <c r="P59" s="982"/>
    </row>
    <row r="60" spans="1:22" ht="32.25" customHeight="1" x14ac:dyDescent="0.25">
      <c r="A60" s="1459" t="s">
        <v>445</v>
      </c>
      <c r="B60" s="1465" t="s">
        <v>446</v>
      </c>
      <c r="C60" s="1466"/>
      <c r="D60" s="1466"/>
      <c r="E60" s="1466"/>
      <c r="F60" s="1466"/>
      <c r="G60" s="1467"/>
      <c r="H60" s="994" t="s">
        <v>270</v>
      </c>
      <c r="I60" s="917"/>
      <c r="J60" s="1478" t="s">
        <v>278</v>
      </c>
      <c r="K60" s="1461"/>
      <c r="L60" s="1461"/>
    </row>
    <row r="61" spans="1:22" ht="14.25" customHeight="1" x14ac:dyDescent="0.25">
      <c r="A61" s="1460"/>
      <c r="B61" s="995" t="s">
        <v>220</v>
      </c>
      <c r="C61" s="995" t="s">
        <v>221</v>
      </c>
      <c r="D61" s="995" t="s">
        <v>220</v>
      </c>
      <c r="E61" s="995" t="s">
        <v>221</v>
      </c>
      <c r="F61" s="995" t="s">
        <v>220</v>
      </c>
      <c r="G61" s="995" t="s">
        <v>221</v>
      </c>
      <c r="H61" s="996"/>
      <c r="I61" s="917"/>
      <c r="J61" s="1479"/>
      <c r="K61" s="997"/>
      <c r="L61" s="997"/>
    </row>
    <row r="62" spans="1:22" x14ac:dyDescent="0.25">
      <c r="A62" s="998" t="s">
        <v>265</v>
      </c>
      <c r="B62" s="999" t="s">
        <v>201</v>
      </c>
      <c r="C62" s="999" t="s">
        <v>201</v>
      </c>
      <c r="D62" s="999" t="s">
        <v>201</v>
      </c>
      <c r="E62" s="999" t="s">
        <v>201</v>
      </c>
      <c r="F62" s="999" t="s">
        <v>201</v>
      </c>
      <c r="G62" s="999" t="s">
        <v>201</v>
      </c>
      <c r="H62" s="1472">
        <v>10</v>
      </c>
      <c r="I62" s="917"/>
      <c r="J62" s="1475">
        <v>45</v>
      </c>
      <c r="K62" s="1461"/>
      <c r="L62" s="1461"/>
    </row>
    <row r="63" spans="1:22" x14ac:dyDescent="0.25">
      <c r="A63" s="998" t="s">
        <v>266</v>
      </c>
      <c r="B63" s="999" t="s">
        <v>201</v>
      </c>
      <c r="C63" s="999" t="s">
        <v>201</v>
      </c>
      <c r="D63" s="999" t="s">
        <v>201</v>
      </c>
      <c r="E63" s="999" t="s">
        <v>201</v>
      </c>
      <c r="F63" s="999" t="s">
        <v>201</v>
      </c>
      <c r="G63" s="999" t="s">
        <v>201</v>
      </c>
      <c r="H63" s="1473"/>
      <c r="I63" s="917"/>
      <c r="J63" s="1476"/>
      <c r="K63" s="1461"/>
      <c r="L63" s="1461"/>
    </row>
    <row r="64" spans="1:22" x14ac:dyDescent="0.25">
      <c r="A64" s="998" t="s">
        <v>267</v>
      </c>
      <c r="B64" s="999" t="s">
        <v>201</v>
      </c>
      <c r="C64" s="999" t="s">
        <v>201</v>
      </c>
      <c r="D64" s="999" t="s">
        <v>201</v>
      </c>
      <c r="E64" s="999" t="s">
        <v>201</v>
      </c>
      <c r="F64" s="999" t="s">
        <v>201</v>
      </c>
      <c r="G64" s="999" t="s">
        <v>201</v>
      </c>
      <c r="H64" s="1473"/>
      <c r="I64" s="917"/>
      <c r="J64" s="1476"/>
      <c r="K64" s="1462"/>
      <c r="L64" s="1462"/>
    </row>
    <row r="65" spans="1:22" x14ac:dyDescent="0.25">
      <c r="A65" s="998" t="s">
        <v>268</v>
      </c>
      <c r="B65" s="999" t="s">
        <v>201</v>
      </c>
      <c r="C65" s="999" t="s">
        <v>201</v>
      </c>
      <c r="D65" s="999" t="s">
        <v>201</v>
      </c>
      <c r="E65" s="999" t="s">
        <v>201</v>
      </c>
      <c r="F65" s="999" t="s">
        <v>201</v>
      </c>
      <c r="G65" s="999" t="s">
        <v>201</v>
      </c>
      <c r="H65" s="1473"/>
      <c r="I65" s="917"/>
      <c r="J65" s="1476"/>
    </row>
    <row r="66" spans="1:22" x14ac:dyDescent="0.25">
      <c r="A66" s="998" t="s">
        <v>269</v>
      </c>
      <c r="B66" s="999" t="s">
        <v>201</v>
      </c>
      <c r="C66" s="999" t="s">
        <v>201</v>
      </c>
      <c r="D66" s="999" t="s">
        <v>201</v>
      </c>
      <c r="E66" s="999" t="s">
        <v>201</v>
      </c>
      <c r="F66" s="999" t="s">
        <v>201</v>
      </c>
      <c r="G66" s="999" t="s">
        <v>201</v>
      </c>
      <c r="H66" s="1474"/>
      <c r="I66" s="917"/>
      <c r="J66" s="1477"/>
      <c r="L66" s="1000"/>
      <c r="M66" s="1000"/>
    </row>
    <row r="67" spans="1:22" hidden="1" x14ac:dyDescent="0.25">
      <c r="A67" s="1001"/>
      <c r="B67" s="1002"/>
      <c r="C67" s="1002"/>
      <c r="D67" s="1002"/>
      <c r="E67" s="1002"/>
      <c r="F67" s="1002"/>
      <c r="G67" s="1002"/>
      <c r="H67" s="930"/>
      <c r="I67" s="917"/>
      <c r="J67" s="1003"/>
      <c r="L67" s="1000"/>
      <c r="M67" s="1000"/>
    </row>
    <row r="68" spans="1:22" s="106" customFormat="1" hidden="1" x14ac:dyDescent="0.25">
      <c r="A68" s="1455"/>
      <c r="B68" s="1468"/>
      <c r="C68" s="1469"/>
      <c r="D68" s="1469"/>
      <c r="E68" s="1469"/>
      <c r="F68" s="1469"/>
      <c r="G68" s="1469"/>
      <c r="H68" s="1470"/>
      <c r="I68" s="1470"/>
      <c r="J68" s="1496"/>
      <c r="K68" s="1463"/>
      <c r="N68" s="1463"/>
      <c r="O68" s="1463"/>
      <c r="P68" s="1463"/>
      <c r="Q68" s="1463"/>
      <c r="R68" s="1463"/>
      <c r="S68" s="1463"/>
      <c r="T68" s="1463"/>
      <c r="U68" s="1463"/>
      <c r="V68" s="1004"/>
    </row>
    <row r="69" spans="1:22" s="106" customFormat="1" hidden="1" x14ac:dyDescent="0.25">
      <c r="A69" s="1456"/>
      <c r="B69" s="968"/>
      <c r="C69" s="968"/>
      <c r="D69" s="1005"/>
      <c r="E69" s="1006"/>
      <c r="F69" s="1007"/>
      <c r="G69" s="1008"/>
      <c r="H69" s="1471"/>
      <c r="I69" s="1471"/>
      <c r="J69" s="1497"/>
      <c r="K69" s="1464"/>
      <c r="N69" s="1493"/>
      <c r="O69" s="1493"/>
      <c r="P69" s="1493"/>
      <c r="Q69" s="1493"/>
      <c r="R69" s="1493"/>
      <c r="S69" s="1493"/>
      <c r="T69" s="1493"/>
      <c r="U69" s="1493"/>
    </row>
    <row r="70" spans="1:22" s="106" customFormat="1" hidden="1" x14ac:dyDescent="0.25">
      <c r="A70" s="1457"/>
      <c r="B70" s="1009"/>
      <c r="C70" s="1009"/>
      <c r="D70" s="1009"/>
      <c r="E70" s="1009"/>
      <c r="F70" s="1009"/>
      <c r="G70" s="1009"/>
      <c r="H70" s="1009"/>
      <c r="I70" s="1009"/>
      <c r="J70" s="1010"/>
      <c r="K70" s="1011"/>
      <c r="N70" s="1464"/>
      <c r="O70" s="1464"/>
      <c r="P70" s="1464"/>
      <c r="Q70" s="1464"/>
      <c r="R70" s="1464"/>
      <c r="S70" s="1464"/>
      <c r="T70" s="1464"/>
      <c r="U70" s="1464"/>
      <c r="V70" s="1012"/>
    </row>
    <row r="71" spans="1:22" s="106" customFormat="1" hidden="1" x14ac:dyDescent="0.25">
      <c r="A71" s="1013"/>
      <c r="B71" s="1013"/>
      <c r="C71" s="1013"/>
      <c r="D71" s="1013"/>
      <c r="E71" s="1013"/>
      <c r="F71" s="1013"/>
      <c r="G71" s="1013"/>
      <c r="H71" s="1013"/>
      <c r="I71" s="1013"/>
      <c r="J71" s="1014"/>
      <c r="K71" s="1015"/>
      <c r="N71" s="1016"/>
      <c r="O71" s="1017"/>
      <c r="P71" s="1016"/>
      <c r="Q71" s="1017"/>
      <c r="R71" s="1016"/>
      <c r="S71" s="1017"/>
      <c r="T71" s="1016"/>
      <c r="U71" s="1017"/>
    </row>
    <row r="72" spans="1:22" s="106" customFormat="1" hidden="1" x14ac:dyDescent="0.25">
      <c r="A72" s="1013"/>
      <c r="B72" s="1013"/>
      <c r="C72" s="1013"/>
      <c r="D72" s="1013"/>
      <c r="E72" s="1013"/>
      <c r="F72" s="1013"/>
      <c r="G72" s="1013"/>
      <c r="H72" s="1013"/>
      <c r="I72" s="1013"/>
      <c r="J72" s="1014"/>
      <c r="K72" s="1015"/>
      <c r="N72" s="1016"/>
      <c r="O72" s="1017"/>
      <c r="P72" s="1016"/>
      <c r="Q72" s="1017"/>
      <c r="R72" s="1016"/>
      <c r="S72" s="1017"/>
      <c r="T72" s="1016"/>
      <c r="U72" s="1017"/>
    </row>
    <row r="73" spans="1:22" s="106" customFormat="1" hidden="1" x14ac:dyDescent="0.25">
      <c r="A73" s="1013"/>
      <c r="B73" s="1013"/>
      <c r="C73" s="1013"/>
      <c r="D73" s="1013"/>
      <c r="E73" s="1013"/>
      <c r="F73" s="1013"/>
      <c r="G73" s="1013"/>
      <c r="H73" s="1013"/>
      <c r="I73" s="1013"/>
      <c r="J73" s="1014"/>
      <c r="K73" s="1015"/>
      <c r="N73" s="1016"/>
      <c r="O73" s="1017"/>
      <c r="P73" s="1016"/>
      <c r="Q73" s="1017"/>
      <c r="R73" s="1016"/>
      <c r="S73" s="1017"/>
      <c r="T73" s="1016"/>
      <c r="U73" s="1017"/>
    </row>
    <row r="74" spans="1:22" s="106" customFormat="1" hidden="1" x14ac:dyDescent="0.25">
      <c r="A74" s="1013"/>
      <c r="B74" s="1013"/>
      <c r="C74" s="1013"/>
      <c r="D74" s="1013"/>
      <c r="E74" s="1013"/>
      <c r="F74" s="1013"/>
      <c r="G74" s="1013"/>
      <c r="H74" s="1013"/>
      <c r="I74" s="1013"/>
      <c r="J74" s="1014"/>
      <c r="K74" s="1015"/>
      <c r="N74" s="1016"/>
      <c r="O74" s="1017"/>
      <c r="P74" s="1016"/>
      <c r="Q74" s="1017"/>
      <c r="R74" s="1016"/>
      <c r="S74" s="1017"/>
      <c r="T74" s="1016"/>
      <c r="U74" s="1017"/>
    </row>
    <row r="75" spans="1:22" s="106" customFormat="1" hidden="1" x14ac:dyDescent="0.25">
      <c r="A75" s="1013"/>
      <c r="B75" s="1013"/>
      <c r="C75" s="1013"/>
      <c r="D75" s="1013"/>
      <c r="E75" s="1013"/>
      <c r="F75" s="1013"/>
      <c r="G75" s="1013"/>
      <c r="H75" s="1013"/>
      <c r="I75" s="1013"/>
      <c r="J75" s="1014"/>
      <c r="K75" s="1015"/>
      <c r="N75" s="1016"/>
      <c r="O75" s="1017"/>
      <c r="P75" s="1016"/>
      <c r="Q75" s="1017"/>
      <c r="R75" s="1016"/>
      <c r="S75" s="1017"/>
      <c r="T75" s="1016"/>
      <c r="U75" s="1017"/>
    </row>
    <row r="76" spans="1:22" s="106" customFormat="1" hidden="1" x14ac:dyDescent="0.25">
      <c r="A76" s="1018"/>
      <c r="B76" s="1018"/>
      <c r="C76" s="206"/>
      <c r="D76" s="206"/>
      <c r="E76" s="206"/>
      <c r="F76" s="206"/>
      <c r="G76" s="206"/>
      <c r="H76" s="1019"/>
      <c r="I76" s="1019"/>
      <c r="J76" s="1020"/>
      <c r="K76" s="1021"/>
      <c r="L76" s="1021"/>
      <c r="M76" s="1021"/>
      <c r="O76" s="1022"/>
      <c r="P76" s="1022"/>
    </row>
    <row r="77" spans="1:22" s="106" customFormat="1" ht="22.5" customHeight="1" x14ac:dyDescent="0.25">
      <c r="A77" s="202" t="s">
        <v>328</v>
      </c>
      <c r="B77" s="203"/>
      <c r="C77" s="203"/>
      <c r="D77" s="203"/>
      <c r="E77" s="203"/>
      <c r="F77" s="203"/>
      <c r="G77" s="203"/>
      <c r="H77" s="1019"/>
      <c r="I77" s="1019"/>
      <c r="J77" s="1020"/>
      <c r="K77" s="1021"/>
      <c r="L77" s="1021"/>
      <c r="M77" s="1021"/>
      <c r="O77" s="1022"/>
      <c r="P77" s="1022"/>
    </row>
    <row r="78" spans="1:22" s="106" customFormat="1" x14ac:dyDescent="0.25">
      <c r="A78" s="1499"/>
      <c r="B78" s="1499"/>
      <c r="C78" s="1499"/>
      <c r="D78" s="1499"/>
      <c r="E78" s="1499"/>
      <c r="F78" s="1487"/>
      <c r="G78" s="1487"/>
      <c r="H78" s="1019"/>
      <c r="I78" s="1019"/>
      <c r="J78" s="1020"/>
      <c r="K78" s="1021"/>
      <c r="L78" s="1021"/>
      <c r="M78" s="1021"/>
      <c r="O78" s="1022"/>
      <c r="P78" s="1022"/>
    </row>
    <row r="79" spans="1:22" s="106" customFormat="1" ht="18" customHeight="1" x14ac:dyDescent="0.25">
      <c r="A79" s="778" t="s">
        <v>46</v>
      </c>
      <c r="B79" s="1501" t="s">
        <v>302</v>
      </c>
      <c r="C79" s="1501"/>
      <c r="D79" s="1501"/>
      <c r="E79" s="1443" t="s">
        <v>217</v>
      </c>
      <c r="F79" s="1444"/>
      <c r="G79" s="1445"/>
      <c r="H79" s="1019"/>
      <c r="I79" s="1019"/>
      <c r="J79" s="948" t="s">
        <v>278</v>
      </c>
      <c r="M79" s="1022"/>
      <c r="N79" s="1022"/>
    </row>
    <row r="80" spans="1:22" s="106" customFormat="1" ht="27.6" x14ac:dyDescent="0.25">
      <c r="A80" s="1023" t="s">
        <v>218</v>
      </c>
      <c r="B80" s="1502" t="s">
        <v>201</v>
      </c>
      <c r="C80" s="1503"/>
      <c r="D80" s="1504"/>
      <c r="E80" s="1446" t="s">
        <v>219</v>
      </c>
      <c r="F80" s="1447"/>
      <c r="G80" s="1448"/>
      <c r="H80" s="1019"/>
      <c r="I80" s="971"/>
      <c r="J80" s="949">
        <v>5</v>
      </c>
      <c r="M80" s="1022"/>
      <c r="N80" s="1022"/>
    </row>
    <row r="81" spans="1:17" s="106" customFormat="1" ht="30.75" customHeight="1" x14ac:dyDescent="0.3">
      <c r="A81" s="1024" t="s">
        <v>331</v>
      </c>
      <c r="B81" s="102"/>
      <c r="C81" s="971"/>
      <c r="D81" s="971"/>
      <c r="E81" s="971"/>
      <c r="F81" s="971"/>
      <c r="G81" s="971"/>
      <c r="H81" s="971"/>
      <c r="I81" s="971"/>
      <c r="K81" s="1021"/>
      <c r="M81" s="217"/>
      <c r="N81" s="211"/>
      <c r="O81" s="58"/>
      <c r="P81" s="58"/>
      <c r="Q81" s="1021"/>
    </row>
    <row r="82" spans="1:17" s="106" customFormat="1" ht="15" customHeight="1" x14ac:dyDescent="0.3">
      <c r="A82" s="1025" t="s">
        <v>383</v>
      </c>
      <c r="B82" s="917"/>
      <c r="C82" s="971"/>
      <c r="D82" s="971"/>
      <c r="E82" s="971"/>
      <c r="F82" s="971"/>
      <c r="G82" s="971"/>
      <c r="H82" s="971"/>
      <c r="I82" s="971"/>
      <c r="J82" s="58"/>
      <c r="K82" s="1021"/>
      <c r="L82" s="1026"/>
      <c r="M82" s="108"/>
      <c r="N82" s="108"/>
      <c r="O82" s="108"/>
      <c r="P82" s="108"/>
      <c r="Q82" s="108"/>
    </row>
    <row r="83" spans="1:17" s="106" customFormat="1" ht="15" customHeight="1" x14ac:dyDescent="0.3">
      <c r="A83" s="1025" t="s">
        <v>384</v>
      </c>
      <c r="B83" s="917"/>
      <c r="C83" s="971"/>
      <c r="D83" s="971"/>
      <c r="E83" s="971"/>
      <c r="F83" s="971"/>
      <c r="G83" s="971"/>
      <c r="H83" s="971"/>
      <c r="I83" s="971"/>
      <c r="J83" s="58"/>
      <c r="K83" s="1021"/>
      <c r="L83" s="1026"/>
      <c r="M83" s="270"/>
      <c r="N83" s="108"/>
      <c r="O83" s="108"/>
      <c r="P83" s="108"/>
      <c r="Q83" s="108"/>
    </row>
    <row r="84" spans="1:17" s="106" customFormat="1" ht="15" hidden="1" customHeight="1" x14ac:dyDescent="0.3">
      <c r="A84" s="1025" t="s">
        <v>357</v>
      </c>
      <c r="B84" s="917"/>
      <c r="C84" s="971"/>
      <c r="D84" s="971"/>
      <c r="E84" s="971"/>
      <c r="F84" s="971"/>
      <c r="G84" s="971"/>
      <c r="H84" s="971"/>
      <c r="I84" s="971"/>
      <c r="J84" s="58"/>
      <c r="K84" s="1021"/>
      <c r="L84" s="1027"/>
      <c r="N84" s="108"/>
      <c r="O84" s="108"/>
      <c r="P84" s="108"/>
      <c r="Q84" s="108"/>
    </row>
    <row r="85" spans="1:17" s="106" customFormat="1" ht="15" customHeight="1" x14ac:dyDescent="0.25">
      <c r="A85" s="1028" t="s">
        <v>385</v>
      </c>
      <c r="B85" s="917"/>
      <c r="C85" s="917"/>
      <c r="D85" s="917"/>
      <c r="E85" s="917"/>
      <c r="F85" s="971"/>
      <c r="G85" s="971"/>
      <c r="H85" s="971"/>
      <c r="I85" s="971"/>
      <c r="J85" s="58"/>
      <c r="K85" s="1021"/>
      <c r="L85" s="1029"/>
      <c r="M85" s="290"/>
      <c r="N85" s="108"/>
      <c r="O85" s="108"/>
      <c r="P85" s="108"/>
      <c r="Q85" s="108"/>
    </row>
    <row r="86" spans="1:17" ht="15" customHeight="1" x14ac:dyDescent="0.25">
      <c r="A86" s="1028" t="s">
        <v>419</v>
      </c>
      <c r="B86" s="917"/>
      <c r="C86" s="917"/>
      <c r="D86" s="917"/>
      <c r="E86" s="917"/>
      <c r="F86" s="917"/>
      <c r="G86" s="917"/>
      <c r="H86" s="917"/>
      <c r="I86" s="917"/>
      <c r="L86" s="1029"/>
      <c r="M86" s="290"/>
    </row>
    <row r="87" spans="1:17" ht="15" customHeight="1" x14ac:dyDescent="0.25">
      <c r="A87" s="361" t="s">
        <v>364</v>
      </c>
      <c r="B87" s="917"/>
      <c r="C87" s="917"/>
      <c r="D87" s="917"/>
      <c r="E87" s="917"/>
      <c r="F87" s="917"/>
      <c r="G87" s="917"/>
      <c r="H87" s="917"/>
      <c r="I87" s="917"/>
      <c r="L87" s="1029"/>
      <c r="M87" s="290"/>
    </row>
    <row r="88" spans="1:17" ht="15" customHeight="1" x14ac:dyDescent="0.25">
      <c r="A88" s="361" t="s">
        <v>386</v>
      </c>
      <c r="B88" s="917"/>
      <c r="C88" s="917"/>
      <c r="D88" s="917"/>
      <c r="E88" s="917"/>
      <c r="F88" s="917"/>
      <c r="G88" s="917"/>
      <c r="H88" s="917"/>
      <c r="I88" s="917"/>
      <c r="L88" s="1029"/>
      <c r="M88" s="290"/>
    </row>
    <row r="89" spans="1:17" ht="15" customHeight="1" x14ac:dyDescent="0.25">
      <c r="A89" s="361" t="s">
        <v>387</v>
      </c>
      <c r="B89" s="917"/>
      <c r="C89" s="917"/>
      <c r="D89" s="917"/>
      <c r="E89" s="917"/>
      <c r="F89" s="917"/>
      <c r="G89" s="917"/>
      <c r="H89" s="917"/>
      <c r="I89" s="917"/>
      <c r="L89" s="1029"/>
      <c r="M89" s="290"/>
    </row>
    <row r="90" spans="1:17" ht="15" customHeight="1" x14ac:dyDescent="0.25">
      <c r="A90" s="361" t="s">
        <v>427</v>
      </c>
      <c r="B90" s="917"/>
      <c r="C90" s="917"/>
      <c r="D90" s="917"/>
      <c r="E90" s="917"/>
      <c r="F90" s="917"/>
      <c r="G90" s="917"/>
      <c r="H90" s="917"/>
      <c r="I90" s="917"/>
      <c r="L90" s="1029"/>
      <c r="M90" s="290"/>
    </row>
    <row r="91" spans="1:17" ht="19.5" customHeight="1" x14ac:dyDescent="0.25">
      <c r="A91" s="917" t="s">
        <v>277</v>
      </c>
      <c r="B91" s="917"/>
      <c r="C91" s="917"/>
      <c r="D91" s="917"/>
      <c r="E91" s="917"/>
      <c r="F91" s="917"/>
      <c r="G91" s="917"/>
      <c r="H91" s="917"/>
      <c r="I91" s="163"/>
    </row>
    <row r="92" spans="1:17" ht="21.75" customHeight="1" x14ac:dyDescent="0.25">
      <c r="A92" s="891" t="s">
        <v>342</v>
      </c>
      <c r="B92" s="917"/>
      <c r="C92" s="917"/>
      <c r="D92" s="1442"/>
      <c r="E92" s="917"/>
      <c r="F92" s="917"/>
      <c r="G92" s="917"/>
      <c r="H92" s="917"/>
      <c r="I92" s="917"/>
    </row>
    <row r="93" spans="1:17" x14ac:dyDescent="0.25">
      <c r="A93" s="917"/>
      <c r="B93" s="917"/>
      <c r="C93" s="917"/>
      <c r="D93" s="1442"/>
      <c r="E93" s="917"/>
      <c r="F93" s="917"/>
      <c r="G93" s="917"/>
      <c r="H93" s="917"/>
      <c r="I93" s="917"/>
    </row>
    <row r="94" spans="1:17" ht="7.5" customHeight="1" x14ac:dyDescent="0.25">
      <c r="I94" s="1030"/>
    </row>
    <row r="95" spans="1:17" x14ac:dyDescent="0.25">
      <c r="A95" s="1500" t="s">
        <v>128</v>
      </c>
      <c r="B95" s="1500"/>
      <c r="C95" s="1500"/>
      <c r="D95" s="1500"/>
      <c r="E95" s="1500"/>
      <c r="F95" s="1500"/>
      <c r="G95" s="1500"/>
      <c r="H95" s="1500"/>
      <c r="I95" s="1500"/>
    </row>
    <row r="96" spans="1:17" x14ac:dyDescent="0.2">
      <c r="A96" s="1031" t="s">
        <v>123</v>
      </c>
      <c r="B96" s="1032">
        <v>1</v>
      </c>
      <c r="C96" s="1031" t="s">
        <v>298</v>
      </c>
      <c r="D96" s="1032">
        <v>51.714928</v>
      </c>
      <c r="E96" s="1440" t="s">
        <v>123</v>
      </c>
      <c r="F96" s="1441"/>
      <c r="G96" s="1032">
        <v>1</v>
      </c>
      <c r="H96" s="1031" t="s">
        <v>130</v>
      </c>
      <c r="I96" s="1033">
        <v>1.9336721269668001E-2</v>
      </c>
    </row>
    <row r="97" spans="1:22" x14ac:dyDescent="0.2">
      <c r="A97" s="1031" t="s">
        <v>293</v>
      </c>
      <c r="B97" s="1032">
        <v>10</v>
      </c>
      <c r="C97" s="1031" t="s">
        <v>125</v>
      </c>
      <c r="D97" s="1032">
        <v>1</v>
      </c>
      <c r="E97" s="1440" t="s">
        <v>124</v>
      </c>
      <c r="F97" s="1441"/>
      <c r="G97" s="1032">
        <v>0.1</v>
      </c>
      <c r="H97" s="1031" t="s">
        <v>125</v>
      </c>
      <c r="I97" s="1034">
        <v>1</v>
      </c>
    </row>
    <row r="98" spans="1:22" x14ac:dyDescent="0.2">
      <c r="A98" s="1031" t="s">
        <v>294</v>
      </c>
      <c r="B98" s="1032">
        <v>7.5006170000000001</v>
      </c>
      <c r="C98" s="1031" t="s">
        <v>299</v>
      </c>
      <c r="D98" s="1032">
        <v>1000</v>
      </c>
      <c r="E98" s="1440" t="s">
        <v>134</v>
      </c>
      <c r="F98" s="1441"/>
      <c r="G98" s="1032">
        <v>0.133322</v>
      </c>
      <c r="H98" s="1031" t="s">
        <v>129</v>
      </c>
      <c r="I98" s="1034">
        <v>1E-3</v>
      </c>
    </row>
    <row r="99" spans="1:22" x14ac:dyDescent="0.2">
      <c r="A99" s="1031" t="s">
        <v>295</v>
      </c>
      <c r="B99" s="1032">
        <v>7500.6168299999999</v>
      </c>
      <c r="C99" s="1031" t="s">
        <v>126</v>
      </c>
      <c r="D99" s="1032">
        <v>1</v>
      </c>
      <c r="E99" s="1440" t="s">
        <v>135</v>
      </c>
      <c r="F99" s="1441"/>
      <c r="G99" s="1032">
        <v>1.3332200000000001E-4</v>
      </c>
      <c r="H99" s="1031" t="s">
        <v>126</v>
      </c>
      <c r="I99" s="1034">
        <v>1</v>
      </c>
      <c r="O99" s="1498"/>
      <c r="P99" s="1498"/>
      <c r="Q99" s="1498"/>
      <c r="R99" s="1035"/>
      <c r="S99" s="1035"/>
      <c r="T99" s="96"/>
      <c r="U99" s="96"/>
      <c r="V99" s="1035"/>
    </row>
    <row r="100" spans="1:22" x14ac:dyDescent="0.2">
      <c r="A100" s="1031" t="s">
        <v>296</v>
      </c>
      <c r="B100" s="1032">
        <v>0.75006200000000001</v>
      </c>
      <c r="C100" s="1031" t="s">
        <v>300</v>
      </c>
      <c r="D100" s="1032">
        <v>1000</v>
      </c>
      <c r="E100" s="1440" t="s">
        <v>136</v>
      </c>
      <c r="F100" s="1441"/>
      <c r="G100" s="1032">
        <v>1.3332200000000001</v>
      </c>
      <c r="H100" s="1031" t="s">
        <v>127</v>
      </c>
      <c r="I100" s="1034">
        <v>1E-3</v>
      </c>
      <c r="O100" s="919"/>
      <c r="P100" s="919"/>
      <c r="Q100" s="991"/>
      <c r="R100" s="919"/>
      <c r="S100" s="919"/>
      <c r="T100" s="105"/>
      <c r="U100" s="105"/>
      <c r="V100" s="991"/>
    </row>
    <row r="101" spans="1:22" x14ac:dyDescent="0.2">
      <c r="A101" s="1031" t="s">
        <v>297</v>
      </c>
      <c r="B101" s="1032">
        <v>750.06168300000002</v>
      </c>
      <c r="C101" s="1031" t="s">
        <v>131</v>
      </c>
      <c r="D101" s="1032">
        <v>1</v>
      </c>
      <c r="E101" s="1440" t="s">
        <v>137</v>
      </c>
      <c r="F101" s="1441"/>
      <c r="G101" s="1032">
        <v>1.33322E-3</v>
      </c>
      <c r="H101" s="1031" t="s">
        <v>131</v>
      </c>
      <c r="I101" s="1034">
        <v>1</v>
      </c>
      <c r="O101" s="1021"/>
      <c r="P101" s="1021"/>
      <c r="Q101" s="1021"/>
      <c r="R101" s="1021"/>
      <c r="S101" s="1021"/>
      <c r="V101" s="944"/>
    </row>
    <row r="102" spans="1:22" x14ac:dyDescent="0.25">
      <c r="C102" s="1036" t="s">
        <v>352</v>
      </c>
      <c r="D102" s="1037">
        <v>1</v>
      </c>
      <c r="E102" s="1494" t="s">
        <v>353</v>
      </c>
      <c r="F102" s="1495"/>
      <c r="G102" s="1037">
        <v>1.3595090000000001</v>
      </c>
      <c r="H102" s="1039" t="s">
        <v>869</v>
      </c>
      <c r="I102" s="1040">
        <v>3.9370078275118001E-2</v>
      </c>
      <c r="O102" s="1021"/>
      <c r="P102" s="1021"/>
      <c r="Q102" s="1021"/>
      <c r="R102" s="1021"/>
      <c r="S102" s="1021"/>
      <c r="V102" s="944"/>
    </row>
    <row r="103" spans="1:22" x14ac:dyDescent="0.25">
      <c r="O103" s="1021"/>
      <c r="P103" s="1021"/>
      <c r="Q103" s="1021"/>
      <c r="R103" s="1021"/>
      <c r="S103" s="1021"/>
      <c r="V103" s="944"/>
    </row>
    <row r="104" spans="1:22" x14ac:dyDescent="0.25">
      <c r="O104" s="1021"/>
      <c r="P104" s="1021"/>
      <c r="Q104" s="1021"/>
      <c r="R104" s="1021"/>
      <c r="S104" s="1021"/>
      <c r="V104" s="944"/>
    </row>
    <row r="105" spans="1:22" x14ac:dyDescent="0.25">
      <c r="O105" s="1021"/>
      <c r="P105" s="1021"/>
      <c r="Q105" s="1021"/>
      <c r="R105" s="1021"/>
      <c r="S105" s="1021"/>
      <c r="V105" s="944"/>
    </row>
    <row r="106" spans="1:22" x14ac:dyDescent="0.25">
      <c r="O106" s="1021"/>
      <c r="P106" s="1021"/>
      <c r="Q106" s="1021"/>
      <c r="R106" s="1021"/>
      <c r="S106" s="1021"/>
      <c r="V106" s="944"/>
    </row>
    <row r="107" spans="1:22" x14ac:dyDescent="0.25">
      <c r="O107" s="1021"/>
      <c r="P107" s="1021"/>
      <c r="Q107" s="1021"/>
      <c r="R107" s="1021"/>
      <c r="S107" s="1021"/>
      <c r="V107" s="944"/>
    </row>
    <row r="108" spans="1:22" x14ac:dyDescent="0.25">
      <c r="O108" s="1021"/>
      <c r="P108" s="1021"/>
      <c r="Q108" s="1021"/>
      <c r="R108" s="1021"/>
      <c r="S108" s="1021"/>
      <c r="V108" s="73"/>
    </row>
    <row r="109" spans="1:22" x14ac:dyDescent="0.25">
      <c r="O109" s="1021"/>
      <c r="P109" s="1021"/>
      <c r="Q109" s="1021"/>
      <c r="R109" s="1021"/>
      <c r="S109" s="1021"/>
      <c r="T109" s="1038"/>
      <c r="U109" s="1038"/>
      <c r="V109" s="1038"/>
    </row>
    <row r="110" spans="1:22" x14ac:dyDescent="0.25">
      <c r="O110" s="1021"/>
      <c r="P110" s="1021"/>
      <c r="Q110" s="1021"/>
      <c r="R110" s="1021"/>
      <c r="S110" s="1021"/>
    </row>
    <row r="111" spans="1:22" x14ac:dyDescent="0.25">
      <c r="O111" s="1021"/>
      <c r="P111" s="1021"/>
      <c r="Q111" s="1021"/>
      <c r="R111" s="1021"/>
      <c r="S111" s="1021"/>
    </row>
  </sheetData>
  <mergeCells count="52">
    <mergeCell ref="E102:F102"/>
    <mergeCell ref="P68:P70"/>
    <mergeCell ref="O68:O70"/>
    <mergeCell ref="I68:I69"/>
    <mergeCell ref="J68:J69"/>
    <mergeCell ref="O99:Q99"/>
    <mergeCell ref="A78:G78"/>
    <mergeCell ref="N68:N70"/>
    <mergeCell ref="A95:I95"/>
    <mergeCell ref="B79:D79"/>
    <mergeCell ref="B80:D80"/>
    <mergeCell ref="E101:F101"/>
    <mergeCell ref="E100:F100"/>
    <mergeCell ref="E99:F99"/>
    <mergeCell ref="E98:F98"/>
    <mergeCell ref="E97:F97"/>
    <mergeCell ref="X20:Z20"/>
    <mergeCell ref="T68:T70"/>
    <mergeCell ref="U68:U70"/>
    <mergeCell ref="Q68:Q70"/>
    <mergeCell ref="R68:R70"/>
    <mergeCell ref="S68:S70"/>
    <mergeCell ref="J37:J38"/>
    <mergeCell ref="G25:I25"/>
    <mergeCell ref="B59:C59"/>
    <mergeCell ref="D59:E59"/>
    <mergeCell ref="F59:G59"/>
    <mergeCell ref="A33:D33"/>
    <mergeCell ref="A58:C58"/>
    <mergeCell ref="J35:J36"/>
    <mergeCell ref="K63:L63"/>
    <mergeCell ref="K64:L64"/>
    <mergeCell ref="K68:K69"/>
    <mergeCell ref="K59:L59"/>
    <mergeCell ref="B60:G60"/>
    <mergeCell ref="K60:L60"/>
    <mergeCell ref="K62:L62"/>
    <mergeCell ref="B68:G68"/>
    <mergeCell ref="H68:H69"/>
    <mergeCell ref="H62:H66"/>
    <mergeCell ref="J62:J66"/>
    <mergeCell ref="J60:J61"/>
    <mergeCell ref="E96:F96"/>
    <mergeCell ref="D92:D93"/>
    <mergeCell ref="E79:G79"/>
    <mergeCell ref="E80:G80"/>
    <mergeCell ref="A1:I1"/>
    <mergeCell ref="A46:F46"/>
    <mergeCell ref="G46:H46"/>
    <mergeCell ref="A68:A70"/>
    <mergeCell ref="A2:I2"/>
    <mergeCell ref="A60:A61"/>
  </mergeCells>
  <dataValidations count="3">
    <dataValidation type="list" allowBlank="1" showInputMessage="1" showErrorMessage="1" sqref="I15:I16" xr:uid="{00000000-0002-0000-0100-000000000000}">
      <formula1>$HM$1:$HM$11</formula1>
    </dataValidation>
    <dataValidation type="list" allowBlank="1" showInputMessage="1" showErrorMessage="1" sqref="C38:C43 C31" xr:uid="{00000000-0002-0000-0100-000001000000}">
      <formula1>$V$1:$V$2</formula1>
    </dataValidation>
    <dataValidation allowBlank="1" showInputMessage="1" sqref="B59:C59 F59:G59" xr:uid="{00000000-0002-0000-0100-000002000000}"/>
  </dataValidations>
  <printOptions horizontalCentered="1"/>
  <pageMargins left="0.51181102362204722" right="0.23622047244094491" top="0.55118110236220474" bottom="0.55118110236220474" header="0.23622047244094491" footer="0.23622047244094491"/>
  <pageSetup paperSize="9" scale="70" orientation="portrait" r:id="rId1"/>
  <headerFooter>
    <oddHeader>&amp;R&amp;8T.LK046-18/REV:1</oddHeader>
  </headerFooter>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6000000}">
          <x14:formula1>
            <xm:f>'KONVERSI SATUAN'!$H$22:$H$28</xm:f>
          </x14:formula1>
          <xm:sqref>K64:L64</xm:sqref>
        </x14:dataValidation>
        <x14:dataValidation type="list" allowBlank="1" showInputMessage="1" xr:uid="{00000000-0002-0000-0100-000007000000}">
          <x14:formula1>
            <xm:f>KETERANGAN!$F$8:$F$9</xm:f>
          </x14:formula1>
          <xm:sqref>M2:M4 K2:L2</xm:sqref>
        </x14:dataValidation>
        <x14:dataValidation type="list" allowBlank="1" showInputMessage="1" showErrorMessage="1" xr:uid="{00000000-0002-0000-0100-000004000000}">
          <x14:formula1>
            <xm:f>'SERTIFIKAT DPM'!#REF!</xm:f>
          </x14:formula1>
          <xm:sqref>G7:L7</xm:sqref>
        </x14:dataValidation>
        <x14:dataValidation type="list" allowBlank="1" showInputMessage="1" showErrorMessage="1" xr:uid="{00000000-0002-0000-0100-000003000000}">
          <x14:formula1>
            <xm:f>'SERTIFIKAT THERMOHYGROMETER'!#REF!</xm:f>
          </x14:formula1>
          <xm:sqref>E9 G9:L9</xm:sqref>
        </x14:dataValidation>
        <x14:dataValidation type="list" allowBlank="1" showInputMessage="1" showErrorMessage="1" xr:uid="{00000000-0002-0000-0100-000005000000}">
          <x14:formula1>
            <xm:f>'ESA VOLT'!$S$3:$S$8</xm:f>
          </x14:formula1>
          <xm:sqref>E8:L8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U106"/>
  <sheetViews>
    <sheetView showGridLines="0" view="pageBreakPreview" topLeftCell="A58" zoomScale="60" zoomScaleNormal="100" workbookViewId="0">
      <selection activeCell="J22" sqref="J22"/>
    </sheetView>
  </sheetViews>
  <sheetFormatPr defaultColWidth="9.21875" defaultRowHeight="15.6" x14ac:dyDescent="0.25"/>
  <cols>
    <col min="1" max="1" width="26.44140625" style="1029" customWidth="1"/>
    <col min="2" max="2" width="9.44140625" style="1029" customWidth="1"/>
    <col min="3" max="3" width="10.109375" style="1029" customWidth="1"/>
    <col min="4" max="4" width="9.109375" style="1029" customWidth="1"/>
    <col min="5" max="5" width="8.44140625" style="1029" customWidth="1"/>
    <col min="6" max="6" width="9.21875" style="1029" customWidth="1"/>
    <col min="7" max="7" width="9.33203125" style="1029" customWidth="1"/>
    <col min="8" max="8" width="8.77734375" style="1029" customWidth="1"/>
    <col min="9" max="9" width="9.5546875" style="1029" customWidth="1"/>
    <col min="10" max="11" width="8.21875" style="1029" customWidth="1"/>
    <col min="12" max="12" width="9.21875" style="1029" customWidth="1"/>
    <col min="13" max="13" width="10.5546875" style="1029" customWidth="1"/>
    <col min="14" max="14" width="11.33203125" style="1029" customWidth="1"/>
    <col min="15" max="15" width="12.21875" style="1029" customWidth="1"/>
    <col min="16" max="16" width="18.6640625" style="1029" customWidth="1"/>
    <col min="17" max="18" width="14.77734375" style="1029" customWidth="1"/>
    <col min="19" max="19" width="19.5546875" style="1029" customWidth="1"/>
    <col min="20" max="20" width="13.109375" style="1029" customWidth="1"/>
    <col min="21" max="21" width="12.21875" style="1029" customWidth="1"/>
    <col min="22" max="22" width="14" style="1029" customWidth="1"/>
    <col min="23" max="23" width="11.77734375" style="1029" customWidth="1"/>
    <col min="24" max="24" width="19.44140625" style="1029" customWidth="1"/>
    <col min="25" max="25" width="10.77734375" style="1029" customWidth="1"/>
    <col min="26" max="26" width="11.33203125" style="1029" customWidth="1"/>
    <col min="27" max="32" width="9.21875" style="1029" customWidth="1"/>
    <col min="33" max="36" width="16.5546875" style="1029" customWidth="1"/>
    <col min="37" max="40" width="18.6640625" style="1029" customWidth="1"/>
    <col min="41" max="62" width="9.21875" style="1029" customWidth="1"/>
    <col min="63" max="63" width="18.77734375" style="1185" customWidth="1"/>
    <col min="64" max="64" width="26.21875" style="1185" customWidth="1"/>
    <col min="65" max="65" width="13.33203125" style="1029" customWidth="1"/>
    <col min="66" max="66" width="11.88671875" style="1029" customWidth="1"/>
    <col min="67" max="67" width="11.109375" style="1029" customWidth="1"/>
    <col min="68" max="71" width="9.21875" style="1029" customWidth="1"/>
    <col min="72" max="72" width="17.77734375" style="1029" customWidth="1"/>
    <col min="73" max="73" width="24.5546875" style="1029" customWidth="1"/>
    <col min="74" max="225" width="9.21875" style="1029" customWidth="1"/>
    <col min="226" max="226" width="7.6640625" style="1029" customWidth="1"/>
    <col min="227" max="230" width="8.77734375" style="1029" customWidth="1"/>
    <col min="231" max="231" width="0.21875" style="1029" customWidth="1"/>
    <col min="232" max="232" width="8.6640625" style="1029" customWidth="1"/>
    <col min="233" max="238" width="8.77734375" style="1029" customWidth="1"/>
    <col min="239" max="16384" width="9.21875" style="1029"/>
  </cols>
  <sheetData>
    <row r="1" spans="1:25" ht="18" x14ac:dyDescent="0.25">
      <c r="A1" s="1576" t="s">
        <v>911</v>
      </c>
      <c r="B1" s="1576"/>
      <c r="C1" s="1576"/>
      <c r="D1" s="1576"/>
      <c r="E1" s="1576"/>
      <c r="F1" s="1576"/>
      <c r="G1" s="1576"/>
      <c r="H1" s="1576"/>
      <c r="I1" s="1576"/>
      <c r="J1" s="1576"/>
      <c r="K1" s="1576"/>
      <c r="L1" s="1576"/>
      <c r="M1" s="1576"/>
      <c r="N1" s="1576"/>
      <c r="O1" s="1576"/>
      <c r="P1" s="1184"/>
      <c r="Q1" s="1184"/>
      <c r="R1" s="1184"/>
      <c r="S1" s="1184"/>
      <c r="Y1" s="1029" t="s">
        <v>57</v>
      </c>
    </row>
    <row r="2" spans="1:25" ht="17.399999999999999" x14ac:dyDescent="0.25">
      <c r="B2" s="1186"/>
      <c r="C2" s="1186"/>
      <c r="D2" s="1186"/>
      <c r="E2" s="1186"/>
      <c r="F2" s="1187" t="str">
        <f ca="1">IF(Q86&gt;=70,KETERANGAN!F8,KETERANGAN!F9)</f>
        <v>Nomor Sertifikat : 59 /</v>
      </c>
      <c r="I2" s="1186"/>
      <c r="J2" s="1186"/>
      <c r="K2" s="1186"/>
      <c r="L2" s="1408" t="s">
        <v>737</v>
      </c>
      <c r="M2" s="1186"/>
      <c r="N2" s="1186"/>
      <c r="O2" s="1186"/>
      <c r="P2" s="1188"/>
      <c r="Q2" s="1188"/>
      <c r="R2" s="1188"/>
      <c r="S2" s="1188"/>
      <c r="Y2" s="1029" t="s">
        <v>58</v>
      </c>
    </row>
    <row r="3" spans="1:25" ht="17.399999999999999" hidden="1" x14ac:dyDescent="0.25">
      <c r="A3" s="1189"/>
      <c r="B3" s="1190"/>
      <c r="C3" s="1190"/>
      <c r="D3" s="1190"/>
      <c r="E3" s="1190"/>
      <c r="F3" s="1190"/>
      <c r="G3" s="1190"/>
      <c r="H3" s="1190"/>
      <c r="I3" s="1190"/>
      <c r="J3" s="1190"/>
      <c r="K3" s="1190"/>
      <c r="L3" s="1190"/>
      <c r="M3" s="1190"/>
      <c r="N3" s="1190"/>
      <c r="O3" s="1190"/>
      <c r="P3" s="1188"/>
      <c r="Q3" s="1188"/>
      <c r="R3" s="1188"/>
      <c r="S3" s="1188"/>
    </row>
    <row r="4" spans="1:25" ht="17.399999999999999" x14ac:dyDescent="0.25">
      <c r="A4" s="1191" t="s">
        <v>21</v>
      </c>
      <c r="B4" s="1192" t="s">
        <v>0</v>
      </c>
      <c r="C4" s="1193" t="s">
        <v>346</v>
      </c>
      <c r="E4" s="1190"/>
      <c r="F4" s="1190"/>
      <c r="G4" s="1190"/>
      <c r="H4" s="1190"/>
      <c r="I4" s="1190"/>
      <c r="J4" s="1190"/>
      <c r="K4" s="1190"/>
      <c r="L4" s="1190"/>
      <c r="M4" s="1190"/>
      <c r="N4" s="1190"/>
      <c r="O4" s="1190"/>
      <c r="P4" s="1188"/>
      <c r="Q4" s="1188"/>
      <c r="R4" s="1188"/>
      <c r="S4" s="1188"/>
    </row>
    <row r="5" spans="1:25" x14ac:dyDescent="0.25">
      <c r="A5" s="1191" t="s">
        <v>204</v>
      </c>
      <c r="B5" s="1192" t="s">
        <v>0</v>
      </c>
      <c r="C5" s="1194" t="s">
        <v>347</v>
      </c>
      <c r="W5" s="1195"/>
      <c r="X5" s="1195"/>
      <c r="Y5" s="1195"/>
    </row>
    <row r="6" spans="1:25" ht="15.75" customHeight="1" x14ac:dyDescent="0.25">
      <c r="A6" s="1191" t="s">
        <v>8</v>
      </c>
      <c r="B6" s="1192" t="s">
        <v>0</v>
      </c>
      <c r="C6" s="1193" t="s">
        <v>348</v>
      </c>
    </row>
    <row r="7" spans="1:25" x14ac:dyDescent="0.25">
      <c r="A7" s="1191" t="s">
        <v>70</v>
      </c>
      <c r="B7" s="1192" t="s">
        <v>0</v>
      </c>
      <c r="C7" s="1407">
        <v>-5.0000000000000001E-3</v>
      </c>
      <c r="D7" s="1029" t="str">
        <f>$O$60</f>
        <v>(mmHg)</v>
      </c>
    </row>
    <row r="8" spans="1:25" x14ac:dyDescent="0.25">
      <c r="A8" s="1029" t="s">
        <v>203</v>
      </c>
      <c r="B8" s="1185" t="s">
        <v>0</v>
      </c>
      <c r="C8" s="1538">
        <v>44631</v>
      </c>
      <c r="D8" s="1538"/>
      <c r="P8" s="1029" t="s">
        <v>284</v>
      </c>
    </row>
    <row r="9" spans="1:25" x14ac:dyDescent="0.25">
      <c r="A9" s="1191" t="s">
        <v>3</v>
      </c>
      <c r="B9" s="1192" t="s">
        <v>0</v>
      </c>
      <c r="C9" s="1538" t="s">
        <v>905</v>
      </c>
      <c r="D9" s="1538"/>
      <c r="P9" s="1029" t="s">
        <v>283</v>
      </c>
    </row>
    <row r="10" spans="1:25" x14ac:dyDescent="0.25">
      <c r="A10" s="1191" t="s">
        <v>4</v>
      </c>
      <c r="B10" s="1192" t="s">
        <v>0</v>
      </c>
      <c r="C10" s="1193" t="s">
        <v>349</v>
      </c>
      <c r="D10" s="1196"/>
    </row>
    <row r="11" spans="1:25" x14ac:dyDescent="0.25">
      <c r="A11" s="1029" t="s">
        <v>22</v>
      </c>
      <c r="B11" s="1192" t="s">
        <v>0</v>
      </c>
      <c r="C11" s="1193" t="s">
        <v>349</v>
      </c>
      <c r="D11" s="1196"/>
      <c r="N11" s="52"/>
    </row>
    <row r="12" spans="1:25" x14ac:dyDescent="0.25">
      <c r="A12" s="1029" t="str">
        <f>LK!A18</f>
        <v>Klasifikasi Suction Pump</v>
      </c>
      <c r="B12" s="1192" t="s">
        <v>0</v>
      </c>
      <c r="C12" s="1552" t="s">
        <v>283</v>
      </c>
      <c r="D12" s="1552"/>
      <c r="E12" s="1552"/>
      <c r="W12" s="1197"/>
      <c r="X12" s="1197"/>
      <c r="Y12" s="1197"/>
    </row>
    <row r="13" spans="1:25" hidden="1" x14ac:dyDescent="0.25">
      <c r="B13" s="1192" t="s">
        <v>0</v>
      </c>
      <c r="F13" s="1191"/>
    </row>
    <row r="14" spans="1:25" hidden="1" x14ac:dyDescent="0.25">
      <c r="B14" s="1192" t="s">
        <v>0</v>
      </c>
    </row>
    <row r="15" spans="1:25" hidden="1" x14ac:dyDescent="0.25">
      <c r="B15" s="1192" t="s">
        <v>0</v>
      </c>
    </row>
    <row r="16" spans="1:25" hidden="1" x14ac:dyDescent="0.25">
      <c r="A16" s="1191" t="s">
        <v>59</v>
      </c>
      <c r="B16" s="1192" t="s">
        <v>0</v>
      </c>
      <c r="C16" s="1198">
        <v>9</v>
      </c>
      <c r="D16" s="1199"/>
      <c r="E16" s="1200"/>
      <c r="F16" s="1191"/>
      <c r="G16" s="1191"/>
      <c r="H16" s="1191"/>
      <c r="I16" s="1201"/>
      <c r="J16" s="1201"/>
      <c r="K16" s="1201"/>
    </row>
    <row r="17" spans="1:73" hidden="1" x14ac:dyDescent="0.25">
      <c r="A17" s="1191" t="s">
        <v>62</v>
      </c>
      <c r="B17" s="1192" t="s">
        <v>0</v>
      </c>
      <c r="C17" s="1202">
        <f>(1/10)*C7</f>
        <v>-5.0000000000000001E-4</v>
      </c>
      <c r="D17" s="1029" t="str">
        <f>$O$60</f>
        <v>(mmHg)</v>
      </c>
      <c r="E17" s="1200"/>
      <c r="F17" s="1191"/>
      <c r="G17" s="1191"/>
      <c r="H17" s="1191"/>
      <c r="I17" s="1201"/>
      <c r="J17" s="1201"/>
      <c r="K17" s="1201"/>
    </row>
    <row r="18" spans="1:73" ht="23.25" hidden="1" customHeight="1" x14ac:dyDescent="0.25">
      <c r="B18" s="1192" t="s">
        <v>0</v>
      </c>
    </row>
    <row r="20" spans="1:73" ht="15.75" customHeight="1" x14ac:dyDescent="0.25">
      <c r="A20" s="1203" t="str">
        <f>LK!A19</f>
        <v>I. Kondisi Ruang</v>
      </c>
      <c r="B20" s="1203"/>
      <c r="C20" s="1203"/>
      <c r="D20" s="1203"/>
      <c r="E20" s="1203"/>
      <c r="F20" s="1203"/>
    </row>
    <row r="21" spans="1:73" ht="38.25" customHeight="1" x14ac:dyDescent="0.25">
      <c r="A21" s="1204" t="s">
        <v>46</v>
      </c>
      <c r="B21" s="1205" t="s">
        <v>66</v>
      </c>
      <c r="C21" s="1205" t="s">
        <v>66</v>
      </c>
      <c r="D21" s="1205" t="s">
        <v>67</v>
      </c>
      <c r="E21" s="1205" t="s">
        <v>68</v>
      </c>
      <c r="F21" s="1205" t="s">
        <v>69</v>
      </c>
      <c r="M21" s="1206"/>
      <c r="AA21" s="1520"/>
      <c r="AB21" s="1521"/>
      <c r="AC21" s="1522"/>
      <c r="AD21" s="1207"/>
    </row>
    <row r="22" spans="1:73" x14ac:dyDescent="0.25">
      <c r="A22" s="1208"/>
      <c r="B22" s="1209"/>
      <c r="C22" s="1209"/>
      <c r="D22" s="1209"/>
      <c r="E22" s="1209"/>
      <c r="F22" s="1209"/>
      <c r="Q22" s="1210">
        <f>B24</f>
        <v>24.6</v>
      </c>
      <c r="R22" s="1211">
        <f>C24</f>
        <v>24.8</v>
      </c>
      <c r="S22" s="1212">
        <f>AVERAGE(Q22:R22)</f>
        <v>24.700000000000003</v>
      </c>
      <c r="T22" s="1213">
        <f>'SERTIFIKAT THERMOHYGROMETER'!T9</f>
        <v>20</v>
      </c>
      <c r="U22" s="1214">
        <f>'SERTIFIKAT THERMOHYGROMETER'!U9</f>
        <v>0.1</v>
      </c>
      <c r="V22" s="1215">
        <f>'SERTIFIKAT THERMOHYGROMETER'!T10</f>
        <v>25</v>
      </c>
      <c r="W22" s="1216">
        <f>'SERTIFIKAT THERMOHYGROMETER'!U10</f>
        <v>0</v>
      </c>
      <c r="X22" s="1217">
        <f>((((W22-U22)*(S22-T22)))/(V22-T22))+U22</f>
        <v>5.9999999999999498E-3</v>
      </c>
      <c r="Y22" s="1218">
        <f>X22+S22</f>
        <v>24.706000000000003</v>
      </c>
      <c r="Z22" s="1219">
        <f>F24</f>
        <v>24.700001</v>
      </c>
    </row>
    <row r="23" spans="1:73" x14ac:dyDescent="0.25">
      <c r="A23" s="1220"/>
      <c r="B23" s="1221" t="s">
        <v>37</v>
      </c>
      <c r="C23" s="1221" t="s">
        <v>38</v>
      </c>
      <c r="D23" s="1221" t="s">
        <v>43</v>
      </c>
      <c r="E23" s="1221" t="s">
        <v>40</v>
      </c>
      <c r="F23" s="1221" t="s">
        <v>40</v>
      </c>
      <c r="Q23" s="1210">
        <f>B25</f>
        <v>82.3</v>
      </c>
      <c r="R23" s="1211">
        <f>C25</f>
        <v>82.5</v>
      </c>
      <c r="S23" s="1212">
        <f>AVERAGE(Q23:R23)</f>
        <v>82.4</v>
      </c>
      <c r="T23" s="1213">
        <f>'SERTIFIKAT THERMOHYGROMETER'!W13</f>
        <v>80</v>
      </c>
      <c r="U23" s="1214">
        <f>'SERTIFIKAT THERMOHYGROMETER'!X13</f>
        <v>-0.8</v>
      </c>
      <c r="V23" s="1215">
        <f>'SERTIFIKAT THERMOHYGROMETER'!W14</f>
        <v>90</v>
      </c>
      <c r="W23" s="1216">
        <f>'SERTIFIKAT THERMOHYGROMETER'!X14</f>
        <v>-1.4</v>
      </c>
      <c r="X23" s="1217">
        <f>((((W23-U23)*(S23-T23)))/(V23-T23))+U23</f>
        <v>-0.94400000000000039</v>
      </c>
      <c r="Y23" s="1218">
        <f>X23+S23</f>
        <v>81.456000000000003</v>
      </c>
      <c r="Z23" s="1219">
        <f>F25</f>
        <v>81.455999999999989</v>
      </c>
    </row>
    <row r="24" spans="1:73" x14ac:dyDescent="0.25">
      <c r="A24" s="1222" t="s">
        <v>209</v>
      </c>
      <c r="B24" s="1409">
        <v>24.6</v>
      </c>
      <c r="C24" s="1409">
        <v>24.8</v>
      </c>
      <c r="D24" s="1223">
        <f>B24+INTERPOLASI!DM18</f>
        <v>24.600001000000002</v>
      </c>
      <c r="E24" s="1223">
        <f>C24+INTERPOLASI!DM24</f>
        <v>24.800001000000002</v>
      </c>
      <c r="F24" s="1223">
        <f>(D24+E24)/2</f>
        <v>24.700001</v>
      </c>
      <c r="G24" s="1224" t="s">
        <v>773</v>
      </c>
      <c r="H24" s="1224"/>
      <c r="BK24" s="1225" t="s">
        <v>480</v>
      </c>
      <c r="BL24" s="1225" t="s">
        <v>481</v>
      </c>
      <c r="BM24" s="1226">
        <v>24.6</v>
      </c>
      <c r="BN24" s="1227">
        <v>24.8</v>
      </c>
      <c r="BO24" s="1228">
        <f>AVERAGE(BM24:BN24)</f>
        <v>24.700000000000003</v>
      </c>
      <c r="BP24" s="1229">
        <v>20</v>
      </c>
      <c r="BQ24" s="1230">
        <v>0</v>
      </c>
      <c r="BR24" s="1231">
        <v>25</v>
      </c>
      <c r="BS24" s="1232">
        <v>-0.1</v>
      </c>
      <c r="BT24" s="1233">
        <f>((((BS24-BQ24)*(BO24-BP24)))/(BR24-BP24))+BQ24</f>
        <v>-9.4000000000000056E-2</v>
      </c>
      <c r="BU24" s="1234">
        <f>BO24+BT24</f>
        <v>24.606000000000002</v>
      </c>
    </row>
    <row r="25" spans="1:73" ht="16.2" thickBot="1" x14ac:dyDescent="0.3">
      <c r="A25" s="1222" t="s">
        <v>208</v>
      </c>
      <c r="B25" s="1409">
        <v>82.3</v>
      </c>
      <c r="C25" s="1409">
        <v>82.5</v>
      </c>
      <c r="D25" s="1223">
        <f>B25+INTERPOLASI!DX18</f>
        <v>81.361999999999995</v>
      </c>
      <c r="E25" s="1223">
        <f>C25+INTERPOLASI!DX24</f>
        <v>81.55</v>
      </c>
      <c r="F25" s="1223">
        <f>(D25+E25)/2</f>
        <v>81.455999999999989</v>
      </c>
      <c r="G25" s="1029" t="s">
        <v>774</v>
      </c>
      <c r="BL25" s="1235" t="s">
        <v>482</v>
      </c>
      <c r="BM25" s="1226">
        <v>82.3</v>
      </c>
      <c r="BN25" s="1227">
        <v>82.5</v>
      </c>
      <c r="BO25" s="1228">
        <f>AVERAGE(BM25:BN25)</f>
        <v>82.4</v>
      </c>
      <c r="BP25" s="1229">
        <v>80</v>
      </c>
      <c r="BQ25" s="1236">
        <v>-4.5</v>
      </c>
      <c r="BR25" s="1231">
        <v>90</v>
      </c>
      <c r="BS25" s="1232">
        <v>-4.9000000000000004</v>
      </c>
      <c r="BT25" s="1233">
        <f>((((BS25-BQ25)*(BO25-BP25)))/(BR25-BP25))+BQ25</f>
        <v>-4.5960000000000001</v>
      </c>
      <c r="BU25" s="1234">
        <f>BO25+BT25</f>
        <v>77.804000000000002</v>
      </c>
    </row>
    <row r="26" spans="1:73" ht="16.2" thickBot="1" x14ac:dyDescent="0.3">
      <c r="A26" s="1237" t="s">
        <v>207</v>
      </c>
      <c r="B26" s="1410">
        <v>200</v>
      </c>
      <c r="C26" s="1546" t="s">
        <v>173</v>
      </c>
      <c r="D26" s="1547"/>
      <c r="E26" s="1547"/>
      <c r="F26" s="753">
        <f>IF(B26="-","-",Q26)</f>
        <v>199.75</v>
      </c>
      <c r="G26" s="1238" t="s">
        <v>775</v>
      </c>
      <c r="H26" s="1239"/>
      <c r="I26" s="1239"/>
      <c r="J26" s="1239"/>
      <c r="K26" s="1239"/>
      <c r="L26" s="1239"/>
      <c r="M26" s="1239"/>
      <c r="Q26" s="1240">
        <f>B26+INTERPOLASI!FB18</f>
        <v>199.75</v>
      </c>
      <c r="BK26" s="1225" t="s">
        <v>489</v>
      </c>
      <c r="BL26" s="1235" t="s">
        <v>483</v>
      </c>
      <c r="BM26" s="1241" t="s">
        <v>488</v>
      </c>
      <c r="BN26" s="1227"/>
      <c r="BO26" s="1228">
        <v>220</v>
      </c>
      <c r="BP26" s="1229">
        <v>220</v>
      </c>
      <c r="BQ26" s="1236">
        <v>-0.13</v>
      </c>
      <c r="BR26" s="1231">
        <v>230</v>
      </c>
      <c r="BS26" s="1242">
        <v>-0.15</v>
      </c>
      <c r="BT26" s="1233">
        <f>((((BS26-BQ26)*(BO26-BP26)))/(BR26-BP26))+BQ26</f>
        <v>-0.13</v>
      </c>
      <c r="BU26" s="1234">
        <f>BO26+BT26</f>
        <v>219.87</v>
      </c>
    </row>
    <row r="27" spans="1:73" x14ac:dyDescent="0.25">
      <c r="A27" s="1222" t="s">
        <v>206</v>
      </c>
      <c r="B27" s="1410">
        <v>1007.5</v>
      </c>
      <c r="C27" s="1548" t="s">
        <v>235</v>
      </c>
      <c r="D27" s="1549"/>
      <c r="E27" s="1549"/>
      <c r="F27" s="1243">
        <f>B27+INTERPOLASI!EK18</f>
        <v>1006.9</v>
      </c>
      <c r="G27" s="1029" t="s">
        <v>776</v>
      </c>
      <c r="I27" s="1244"/>
      <c r="J27" s="1244"/>
      <c r="K27" s="1244"/>
      <c r="L27" s="1245"/>
      <c r="M27" s="1245"/>
      <c r="N27" s="1245"/>
      <c r="O27" s="1245"/>
      <c r="P27" s="1246"/>
      <c r="BK27" s="1225" t="s">
        <v>480</v>
      </c>
      <c r="BL27" s="1235" t="s">
        <v>484</v>
      </c>
      <c r="BM27" s="1241" t="s">
        <v>485</v>
      </c>
      <c r="BN27" s="1227"/>
      <c r="BO27" s="1228">
        <v>1007.5</v>
      </c>
      <c r="BP27" s="1229">
        <v>1000</v>
      </c>
      <c r="BQ27" s="1236">
        <v>-3.5</v>
      </c>
      <c r="BR27" s="1231">
        <v>1010</v>
      </c>
      <c r="BS27" s="1242">
        <v>-3.4</v>
      </c>
      <c r="BT27" s="1233">
        <f>((((BS27-BQ27)*(BO27-BP27)))/(BR27-BP27))+BQ27</f>
        <v>-3.4249999999999998</v>
      </c>
      <c r="BU27" s="1234">
        <f>BO27+BT27</f>
        <v>1004.075</v>
      </c>
    </row>
    <row r="28" spans="1:73" ht="7.5" customHeight="1" x14ac:dyDescent="0.25">
      <c r="A28" s="1247"/>
      <c r="B28" s="1248"/>
      <c r="C28" s="1245"/>
      <c r="D28" s="1245"/>
      <c r="E28" s="1245"/>
      <c r="F28" s="1245"/>
      <c r="G28" s="1197"/>
      <c r="H28" s="1197"/>
      <c r="I28" s="1244"/>
      <c r="J28" s="1244"/>
      <c r="K28" s="1244"/>
      <c r="L28" s="1245"/>
      <c r="M28" s="1245"/>
      <c r="N28" s="1245"/>
      <c r="O28" s="1245"/>
      <c r="P28" s="1249"/>
      <c r="W28" s="1250"/>
    </row>
    <row r="29" spans="1:73" ht="21" customHeight="1" x14ac:dyDescent="0.3">
      <c r="A29" s="1251" t="str">
        <f>LK!A28</f>
        <v>II. Pemeriksaan Kondisi Fisik dan Fungsi Alat</v>
      </c>
      <c r="B29" s="1248"/>
      <c r="C29" s="1245"/>
      <c r="D29" s="1245"/>
      <c r="E29" s="1245"/>
      <c r="F29" s="1245"/>
      <c r="G29" s="1197"/>
      <c r="H29" s="1197"/>
      <c r="I29" s="1244"/>
      <c r="J29" s="1244"/>
      <c r="K29" s="1244"/>
      <c r="L29" s="1245"/>
      <c r="M29" s="1245"/>
      <c r="N29" s="1245"/>
      <c r="O29" s="1245"/>
      <c r="P29" s="1252"/>
    </row>
    <row r="30" spans="1:73" x14ac:dyDescent="0.25">
      <c r="A30" s="1029" t="s">
        <v>60</v>
      </c>
      <c r="B30" s="1192" t="s">
        <v>0</v>
      </c>
      <c r="C30" s="1415" t="s">
        <v>57</v>
      </c>
      <c r="F30" s="1191"/>
      <c r="G30" s="1191"/>
      <c r="H30" s="1191"/>
      <c r="I30" s="1201"/>
      <c r="J30" s="1201"/>
      <c r="K30" s="1201"/>
      <c r="P30" s="1224"/>
    </row>
    <row r="31" spans="1:73" x14ac:dyDescent="0.25">
      <c r="A31" s="1029" t="s">
        <v>61</v>
      </c>
      <c r="B31" s="1192" t="s">
        <v>0</v>
      </c>
      <c r="C31" s="1415" t="s">
        <v>57</v>
      </c>
      <c r="F31" s="1191"/>
      <c r="G31" s="1253"/>
      <c r="H31" s="1253"/>
      <c r="I31" s="1201"/>
      <c r="J31" s="1201"/>
      <c r="K31" s="1201"/>
    </row>
    <row r="32" spans="1:73" ht="15.75" hidden="1" customHeight="1" x14ac:dyDescent="0.25">
      <c r="B32" s="1192"/>
      <c r="F32" s="1191"/>
      <c r="G32" s="1191"/>
      <c r="H32" s="1191"/>
      <c r="I32" s="1201"/>
      <c r="J32" s="1201"/>
      <c r="K32" s="1201"/>
    </row>
    <row r="33" spans="1:73" s="903" customFormat="1" ht="21.75" customHeight="1" x14ac:dyDescent="0.3">
      <c r="A33" s="1250" t="str">
        <f>LK!A32</f>
        <v>III. Pengujian Keselamatan Listrik</v>
      </c>
      <c r="B33" s="1254"/>
      <c r="C33" s="1254"/>
      <c r="D33" s="1255"/>
      <c r="E33" s="1256"/>
      <c r="F33" s="1256"/>
      <c r="G33" s="1256"/>
      <c r="H33" s="1256"/>
      <c r="I33" s="1257"/>
      <c r="J33" s="1257"/>
      <c r="K33" s="1257"/>
      <c r="L33" s="1256"/>
      <c r="M33" s="1258"/>
      <c r="Z33" s="1259"/>
      <c r="AA33" s="1259"/>
      <c r="AB33" s="1260" t="s">
        <v>750</v>
      </c>
      <c r="AC33" s="1259"/>
      <c r="AD33" s="1259"/>
      <c r="AE33" s="1259"/>
      <c r="AF33" s="1259"/>
      <c r="AG33" s="1259"/>
      <c r="AH33" s="1259"/>
      <c r="AI33" s="1259"/>
      <c r="AJ33" s="1259"/>
      <c r="BK33" s="1261"/>
      <c r="BL33" s="1261"/>
    </row>
    <row r="34" spans="1:73" s="903" customFormat="1" ht="30" customHeight="1" thickBot="1" x14ac:dyDescent="0.35">
      <c r="A34" s="1550" t="s">
        <v>46</v>
      </c>
      <c r="B34" s="1551"/>
      <c r="C34" s="1551"/>
      <c r="D34" s="1551"/>
      <c r="E34" s="1262"/>
      <c r="F34" s="1263"/>
      <c r="G34" s="1550" t="s">
        <v>157</v>
      </c>
      <c r="H34" s="1551"/>
      <c r="I34" s="1551"/>
      <c r="J34" s="1573"/>
      <c r="K34" s="1263"/>
      <c r="L34" s="1599" t="s">
        <v>197</v>
      </c>
      <c r="M34" s="1599"/>
      <c r="N34" s="1535" t="s">
        <v>205</v>
      </c>
      <c r="O34" s="1535"/>
      <c r="R34" s="1264"/>
      <c r="S34" s="1259"/>
      <c r="T34" s="1265" t="s">
        <v>745</v>
      </c>
      <c r="U34" s="1266">
        <f>ID!G37</f>
        <v>120</v>
      </c>
      <c r="V34" s="1259"/>
      <c r="W34" s="1259"/>
      <c r="Z34" s="1259"/>
      <c r="AA34" s="1259"/>
      <c r="AB34" s="1267">
        <f>IF(V36&lt;=100,20,0)</f>
        <v>20</v>
      </c>
      <c r="AC34" s="1259"/>
      <c r="AD34" s="1259"/>
      <c r="AE34" s="1259"/>
      <c r="AF34" s="1259"/>
      <c r="AG34" s="1259"/>
      <c r="AH34" s="1259"/>
      <c r="AI34" s="1259"/>
      <c r="AJ34" s="1259"/>
      <c r="BK34" s="1261"/>
      <c r="BL34" s="1261"/>
    </row>
    <row r="35" spans="1:73" s="903" customFormat="1" ht="18" customHeight="1" thickBot="1" x14ac:dyDescent="0.35">
      <c r="A35" s="1539" t="s">
        <v>850</v>
      </c>
      <c r="B35" s="1540"/>
      <c r="C35" s="1540"/>
      <c r="D35" s="1540"/>
      <c r="E35" s="1540"/>
      <c r="F35" s="1541"/>
      <c r="G35" s="1411" t="s">
        <v>858</v>
      </c>
      <c r="H35" s="1574" t="s">
        <v>344</v>
      </c>
      <c r="I35" s="1574"/>
      <c r="J35" s="1575"/>
      <c r="K35" s="1432"/>
      <c r="L35" s="1270" t="str">
        <f>IF(G35="",Q35,G35)</f>
        <v>OL</v>
      </c>
      <c r="M35" s="1269" t="s">
        <v>755</v>
      </c>
      <c r="N35" s="1600" t="str">
        <f>KETERANGAN!G148</f>
        <v>&gt; 2 MΩ</v>
      </c>
      <c r="O35" s="1600"/>
      <c r="P35" s="1029">
        <f>PENYELIA!T24</f>
        <v>10</v>
      </c>
      <c r="Q35" s="1272" t="str">
        <f>IF(G35="","DI ISI",IF(G35="OL","OL",G35+INTERPOLASI!FB24))</f>
        <v>OL</v>
      </c>
      <c r="R35" s="1264"/>
      <c r="S35" s="1259"/>
      <c r="T35" s="1259"/>
      <c r="U35" s="1259"/>
      <c r="V35" s="1273" t="s">
        <v>746</v>
      </c>
      <c r="W35" s="1259"/>
      <c r="Z35" s="1259"/>
      <c r="AA35" s="1259"/>
      <c r="AB35" s="1510" t="str">
        <f>IF(AND(PENYELIA!I26&lt;=PENYELIA!R26,PENYELIA!T26=20),"",IF(AND(PENYELIA!I26="-",PENYELIA!T26=0),"Tidak terdapat grounding di ruangan",IF(AND(PENYELIA!I26&gt;PENYELIA!R26,AB34=20),"Alat tidak boleh digunakan pada instalasi tanpa dilengkapi grounding","")))</f>
        <v/>
      </c>
      <c r="AC35" s="1510"/>
      <c r="AD35" s="1510"/>
      <c r="AE35" s="1510"/>
      <c r="AF35" s="1510"/>
      <c r="AG35" s="1510"/>
      <c r="AH35" s="1510"/>
      <c r="AI35" s="1510"/>
      <c r="AJ35" s="1510"/>
      <c r="BK35" s="1225" t="s">
        <v>489</v>
      </c>
      <c r="BL35" s="1235" t="s">
        <v>486</v>
      </c>
      <c r="BM35" s="1241"/>
      <c r="BN35" s="1227"/>
      <c r="BO35" s="1228">
        <v>1</v>
      </c>
      <c r="BP35" s="1229">
        <v>1</v>
      </c>
      <c r="BQ35" s="1236">
        <v>0</v>
      </c>
      <c r="BR35" s="1231">
        <v>2</v>
      </c>
      <c r="BS35" s="1232">
        <v>0</v>
      </c>
      <c r="BT35" s="1233">
        <f>((((BS35-BQ35)*(BO35-BP35)))/(BR35-BP35))+BQ35</f>
        <v>0</v>
      </c>
      <c r="BU35" s="1234">
        <f>BO35+BT35</f>
        <v>1</v>
      </c>
    </row>
    <row r="36" spans="1:73" s="903" customFormat="1" ht="16.8" thickTop="1" thickBot="1" x14ac:dyDescent="0.35">
      <c r="A36" s="1542" t="s">
        <v>855</v>
      </c>
      <c r="B36" s="1543"/>
      <c r="C36" s="1543"/>
      <c r="D36" s="1543"/>
      <c r="E36" s="1543"/>
      <c r="F36" s="1544"/>
      <c r="G36" s="1412">
        <v>0.1</v>
      </c>
      <c r="H36" s="1574" t="s">
        <v>159</v>
      </c>
      <c r="I36" s="1574"/>
      <c r="J36" s="1575"/>
      <c r="K36" s="1432"/>
      <c r="L36" s="1274">
        <f>IF(G36="",Q36,G36)</f>
        <v>0.1</v>
      </c>
      <c r="M36" s="1269" t="s">
        <v>756</v>
      </c>
      <c r="N36" s="1600" t="str">
        <f ca="1">LOOKUP(A36,KETERANGAN!F149:F150,KETERANGAN!G149:G1503)</f>
        <v>≤ 0.2 Ω</v>
      </c>
      <c r="O36" s="1600"/>
      <c r="P36" s="1029">
        <f ca="1">PENYELIA!T25</f>
        <v>10</v>
      </c>
      <c r="Q36" s="1275">
        <f>IF(G36="","DI ISI",G36+INTERPOLASI!FM18)</f>
        <v>0.10102040816326531</v>
      </c>
      <c r="R36" s="1276"/>
      <c r="S36" s="1277" t="s">
        <v>743</v>
      </c>
      <c r="T36" s="1278" t="s">
        <v>744</v>
      </c>
      <c r="U36" s="1279">
        <v>10</v>
      </c>
      <c r="V36" s="1280">
        <f>$U$36+INTERPOLASI!FZ18</f>
        <v>13.266666666666666</v>
      </c>
      <c r="W36" s="1281">
        <v>100</v>
      </c>
      <c r="Z36" s="1282" t="s">
        <v>749</v>
      </c>
      <c r="AA36" s="1283">
        <v>100</v>
      </c>
      <c r="AB36" s="1513" t="s">
        <v>748</v>
      </c>
      <c r="AC36" s="1514"/>
      <c r="AD36" s="1514"/>
      <c r="AE36" s="1514"/>
      <c r="AF36" s="1514"/>
      <c r="AG36" s="1514"/>
      <c r="AH36" s="1514"/>
      <c r="AI36" s="1514"/>
      <c r="AJ36" s="1515"/>
      <c r="BK36" s="1261"/>
      <c r="BL36" s="1235" t="s">
        <v>487</v>
      </c>
      <c r="BM36" s="1241" t="s">
        <v>490</v>
      </c>
      <c r="BN36" s="1227"/>
      <c r="BO36" s="1228">
        <v>0.19900000000000001</v>
      </c>
      <c r="BP36" s="1230">
        <v>0.1</v>
      </c>
      <c r="BQ36" s="1284">
        <v>-2E-3</v>
      </c>
      <c r="BR36" s="1285">
        <v>1</v>
      </c>
      <c r="BS36" s="1284">
        <v>-1E-3</v>
      </c>
      <c r="BT36" s="1233">
        <f>((((BS36-BQ36)*(BO36-BP36)))/(BR36-BP36))+BQ36</f>
        <v>-1.89E-3</v>
      </c>
      <c r="BU36" s="1234">
        <f>BO36+BT36</f>
        <v>0.19711000000000001</v>
      </c>
    </row>
    <row r="37" spans="1:73" s="903" customFormat="1" ht="15.75" customHeight="1" thickTop="1" thickBot="1" x14ac:dyDescent="0.35">
      <c r="A37" s="1545" t="s">
        <v>904</v>
      </c>
      <c r="B37" s="1545"/>
      <c r="C37" s="1545"/>
      <c r="D37" s="1545"/>
      <c r="E37" s="1545"/>
      <c r="F37" s="1545"/>
      <c r="G37" s="1411">
        <v>120</v>
      </c>
      <c r="H37" s="1540" t="s">
        <v>345</v>
      </c>
      <c r="I37" s="1540"/>
      <c r="J37" s="1541"/>
      <c r="K37" s="1423"/>
      <c r="L37" s="1270">
        <f>IF(G37="",Q37,G37)</f>
        <v>120</v>
      </c>
      <c r="M37" s="1268" t="s">
        <v>757</v>
      </c>
      <c r="N37" s="1600" t="str">
        <f>LOOKUP(A37,KETERANGAN!F12:F13,KETERANGAN!G12:G13)</f>
        <v>≤ 500 µA</v>
      </c>
      <c r="O37" s="1600"/>
      <c r="P37" s="1029">
        <f>PENYELIA!T26</f>
        <v>20</v>
      </c>
      <c r="Q37" s="1286">
        <f>IF(G37="","DI ISI",G37+INTERPOLASI!FM24)</f>
        <v>126.12</v>
      </c>
      <c r="S37" s="1287" t="s">
        <v>751</v>
      </c>
      <c r="T37" s="1529" t="str">
        <f>AB35</f>
        <v/>
      </c>
      <c r="U37" s="1530"/>
      <c r="V37" s="1530"/>
      <c r="W37" s="1530"/>
      <c r="X37" s="1531"/>
      <c r="Z37" s="1259"/>
      <c r="AA37" s="1259"/>
      <c r="AB37" s="1516" t="s">
        <v>747</v>
      </c>
      <c r="AC37" s="1517"/>
      <c r="AD37" s="1517"/>
      <c r="AE37" s="1517"/>
      <c r="AF37" s="1517"/>
      <c r="AG37" s="1517"/>
      <c r="AH37" s="1517"/>
      <c r="AI37" s="1517"/>
      <c r="AJ37" s="1518"/>
      <c r="BK37" s="1261"/>
      <c r="BL37" s="1235" t="s">
        <v>491</v>
      </c>
      <c r="BM37" s="1241" t="s">
        <v>492</v>
      </c>
      <c r="BN37" s="1227"/>
      <c r="BO37" s="1228">
        <v>500</v>
      </c>
      <c r="BP37" s="1230">
        <v>200</v>
      </c>
      <c r="BQ37" s="1284">
        <v>3.1</v>
      </c>
      <c r="BR37" s="1285">
        <v>500</v>
      </c>
      <c r="BS37" s="1284">
        <v>3.9</v>
      </c>
      <c r="BT37" s="1233">
        <f>((((BS37-BQ37)*(BO37-BP37)))/(BR37-BP37))+BQ37</f>
        <v>3.9</v>
      </c>
      <c r="BU37" s="1234">
        <f>BO37+BT37</f>
        <v>503.9</v>
      </c>
    </row>
    <row r="38" spans="1:73" ht="15.75" customHeight="1" x14ac:dyDescent="0.3">
      <c r="B38" s="1192"/>
      <c r="F38" s="1191"/>
      <c r="G38" s="1191"/>
      <c r="H38" s="1191"/>
      <c r="I38" s="1201"/>
      <c r="J38" s="1201"/>
      <c r="K38" s="1201"/>
      <c r="T38" s="1291" t="s">
        <v>249</v>
      </c>
      <c r="U38" s="1292"/>
      <c r="V38" s="1292"/>
      <c r="W38" s="1292"/>
      <c r="X38" s="1293"/>
      <c r="AB38" s="1512"/>
      <c r="AC38" s="1512"/>
      <c r="AD38" s="1512"/>
      <c r="AE38" s="1512"/>
      <c r="AF38" s="1512"/>
      <c r="AG38" s="1512"/>
      <c r="AH38" s="1512"/>
      <c r="AI38" s="1512"/>
      <c r="AJ38" s="1512"/>
    </row>
    <row r="39" spans="1:73" ht="15.75" customHeight="1" x14ac:dyDescent="0.25">
      <c r="A39" s="1250" t="s">
        <v>212</v>
      </c>
      <c r="B39" s="1192"/>
      <c r="F39" s="1191"/>
      <c r="G39" s="1191"/>
      <c r="H39" s="1191"/>
      <c r="I39" s="1201"/>
      <c r="J39" s="1201"/>
      <c r="K39" s="1201"/>
      <c r="O39" s="1206"/>
    </row>
    <row r="40" spans="1:73" ht="15.75" customHeight="1" x14ac:dyDescent="0.25">
      <c r="A40" s="1250" t="str">
        <f>LK!A58</f>
        <v xml:space="preserve">     A. Pengukuran Akurasi Vacuum Gauge</v>
      </c>
      <c r="B40" s="1192"/>
      <c r="F40" s="1191"/>
      <c r="G40" s="1191"/>
      <c r="H40" s="1191"/>
      <c r="I40" s="1201"/>
      <c r="J40" s="1201"/>
      <c r="K40" s="1201"/>
    </row>
    <row r="41" spans="1:73" ht="15.75" hidden="1" customHeight="1" x14ac:dyDescent="0.25">
      <c r="B41" s="1192"/>
      <c r="F41" s="1191"/>
      <c r="G41" s="1191"/>
      <c r="H41" s="1191"/>
      <c r="I41" s="1201"/>
      <c r="J41" s="1201"/>
      <c r="K41" s="1201"/>
    </row>
    <row r="42" spans="1:73" ht="15.75" hidden="1" customHeight="1" x14ac:dyDescent="0.25">
      <c r="B42" s="1192"/>
      <c r="F42" s="1191"/>
      <c r="G42" s="1191"/>
      <c r="H42" s="1191"/>
      <c r="I42" s="1201"/>
      <c r="J42" s="1201"/>
      <c r="K42" s="1201"/>
    </row>
    <row r="43" spans="1:73" ht="15.75" hidden="1" customHeight="1" x14ac:dyDescent="0.25">
      <c r="B43" s="1192"/>
      <c r="F43" s="1191"/>
      <c r="G43" s="1191"/>
      <c r="H43" s="1191"/>
      <c r="I43" s="1201"/>
      <c r="J43" s="1201"/>
      <c r="K43" s="1201"/>
    </row>
    <row r="44" spans="1:73" ht="15.75" hidden="1" customHeight="1" x14ac:dyDescent="0.25">
      <c r="A44" s="1247"/>
      <c r="B44" s="1248"/>
      <c r="C44" s="1245"/>
      <c r="D44" s="1245"/>
      <c r="E44" s="1245"/>
      <c r="F44" s="1245"/>
      <c r="G44" s="1197"/>
      <c r="H44" s="1197"/>
      <c r="I44" s="1244"/>
      <c r="J44" s="1244"/>
      <c r="K44" s="1244"/>
      <c r="L44" s="1245"/>
      <c r="M44" s="1245"/>
      <c r="N44" s="1245"/>
      <c r="O44" s="1245"/>
      <c r="P44" s="1249"/>
    </row>
    <row r="45" spans="1:73" hidden="1" x14ac:dyDescent="0.25">
      <c r="A45" s="223" t="s">
        <v>172</v>
      </c>
      <c r="B45" s="223"/>
      <c r="C45" s="173"/>
      <c r="D45" s="173"/>
      <c r="E45" s="173"/>
      <c r="F45" s="173"/>
      <c r="G45" s="173"/>
      <c r="H45" s="173"/>
      <c r="I45" s="173"/>
      <c r="J45" s="173"/>
      <c r="K45" s="173"/>
      <c r="L45" s="173"/>
      <c r="M45" s="173"/>
      <c r="N45" s="173"/>
      <c r="O45" s="173"/>
      <c r="P45" s="173"/>
    </row>
    <row r="46" spans="1:73" ht="31.5" hidden="1" customHeight="1" x14ac:dyDescent="0.25">
      <c r="A46" s="1562" t="s">
        <v>46</v>
      </c>
      <c r="B46" s="1563"/>
      <c r="C46" s="1563"/>
      <c r="D46" s="1563"/>
      <c r="E46" s="1563"/>
      <c r="F46" s="1564"/>
      <c r="G46" s="1565" t="s">
        <v>157</v>
      </c>
      <c r="H46" s="1566"/>
      <c r="I46" s="1567"/>
      <c r="J46" s="1422"/>
      <c r="K46" s="1422"/>
      <c r="L46" s="1294" t="s">
        <v>197</v>
      </c>
      <c r="M46" s="1295" t="s">
        <v>32</v>
      </c>
      <c r="O46" s="1296"/>
      <c r="P46" s="1297" t="s">
        <v>198</v>
      </c>
    </row>
    <row r="47" spans="1:73" ht="18.75" hidden="1" customHeight="1" x14ac:dyDescent="0.25">
      <c r="A47" s="1288" t="s">
        <v>162</v>
      </c>
      <c r="B47" s="1289"/>
      <c r="C47" s="1289"/>
      <c r="D47" s="1289"/>
      <c r="E47" s="1289"/>
      <c r="F47" s="1290"/>
      <c r="G47" s="1298">
        <v>0.1</v>
      </c>
      <c r="H47" s="1427"/>
      <c r="I47" s="1290" t="s">
        <v>159</v>
      </c>
      <c r="J47" s="1290"/>
      <c r="K47" s="1290"/>
      <c r="L47" s="1299">
        <f t="shared" ref="L47:L53" ca="1" si="0">IF(G47="-","-",IF(G47="NC","NC",IF(G47="OL","OL",IF(G47=G47,P47))))</f>
        <v>0.10102040816326531</v>
      </c>
      <c r="M47" s="235" t="s">
        <v>160</v>
      </c>
      <c r="O47" s="1296"/>
      <c r="P47" s="1299">
        <f ca="1">(FORECAST(G47,OFFSET('RESISTANCE Ohm'!L8:L14,MATCH(G47,'RESISTANCE Ohm'!K8:K14,1)-1,0,2),OFFSET('RESISTANCE Ohm'!K8:K14,MATCH(G47,'RESISTANCE Ohm'!K8:K14,1)-1,0,2)))+$G$47</f>
        <v>0.10102040816326531</v>
      </c>
      <c r="Q47" s="1185"/>
    </row>
    <row r="48" spans="1:73" ht="18.75" hidden="1" customHeight="1" x14ac:dyDescent="0.25">
      <c r="A48" s="1288" t="s">
        <v>163</v>
      </c>
      <c r="B48" s="1289"/>
      <c r="C48" s="1289"/>
      <c r="D48" s="1289"/>
      <c r="E48" s="1289"/>
      <c r="F48" s="1290"/>
      <c r="G48" s="1300">
        <v>1</v>
      </c>
      <c r="H48" s="1428"/>
      <c r="I48" s="1290" t="s">
        <v>161</v>
      </c>
      <c r="J48" s="1290"/>
      <c r="K48" s="1290"/>
      <c r="L48" s="1301">
        <f t="shared" ca="1" si="0"/>
        <v>1.3266666666666667</v>
      </c>
      <c r="M48" s="1271" t="s">
        <v>901</v>
      </c>
      <c r="O48" s="1296"/>
      <c r="P48" s="1301">
        <f ca="1">(FORECAST(G48,OFFSET('EARTH LEAKAGE'!$L$8:$L$14,MATCH(G48,'EARTH LEAKAGE'!$K$8:$K$14,1)-1,0,2),OFFSET('EARTH LEAKAGE'!$K$8:$K$14,MATCH(G48,'EARTH LEAKAGE'!$K$8:$K$14,1)-1,0,2)))+$G$48</f>
        <v>1.3266666666666667</v>
      </c>
      <c r="Q48" s="1185"/>
    </row>
    <row r="49" spans="1:64" ht="18.75" hidden="1" customHeight="1" x14ac:dyDescent="0.25">
      <c r="A49" s="1288" t="s">
        <v>164</v>
      </c>
      <c r="B49" s="1289"/>
      <c r="C49" s="1289"/>
      <c r="D49" s="1289"/>
      <c r="E49" s="1289"/>
      <c r="F49" s="1290"/>
      <c r="G49" s="1300">
        <v>2</v>
      </c>
      <c r="H49" s="1428"/>
      <c r="I49" s="1290" t="s">
        <v>161</v>
      </c>
      <c r="J49" s="1290"/>
      <c r="K49" s="1290"/>
      <c r="L49" s="1301">
        <f t="shared" ca="1" si="0"/>
        <v>2.6533333333333333</v>
      </c>
      <c r="M49" s="1271" t="s">
        <v>901</v>
      </c>
      <c r="O49" s="1296"/>
      <c r="P49" s="1301">
        <f ca="1">(FORECAST(G49,OFFSET('EARTH LEAKAGE'!$L$8:$L$14,MATCH(G49,'EARTH LEAKAGE'!$K$8:$K$14,1)-1,0,2),OFFSET('EARTH LEAKAGE'!$K$8:$K$14,MATCH(G49,'EARTH LEAKAGE'!$K$8:$K$14,1)-1,0,2)))+$G$49</f>
        <v>2.6533333333333333</v>
      </c>
      <c r="Q49" s="1185"/>
      <c r="R49" s="1185"/>
      <c r="S49" s="1185"/>
    </row>
    <row r="50" spans="1:64" ht="18.75" hidden="1" customHeight="1" x14ac:dyDescent="0.25">
      <c r="A50" s="1288" t="s">
        <v>165</v>
      </c>
      <c r="B50" s="1289"/>
      <c r="C50" s="1289"/>
      <c r="D50" s="1289"/>
      <c r="E50" s="1289"/>
      <c r="F50" s="1290"/>
      <c r="G50" s="1300">
        <v>3</v>
      </c>
      <c r="H50" s="1428"/>
      <c r="I50" s="1290" t="s">
        <v>161</v>
      </c>
      <c r="J50" s="1290"/>
      <c r="K50" s="1290"/>
      <c r="L50" s="1301">
        <f t="shared" ca="1" si="0"/>
        <v>3.98</v>
      </c>
      <c r="M50" s="1271" t="s">
        <v>901</v>
      </c>
      <c r="O50" s="1296"/>
      <c r="P50" s="1301">
        <f ca="1">(FORECAST(G50,OFFSET('EARTH LEAKAGE'!$L$8:$L$14,MATCH(G50,'EARTH LEAKAGE'!$K$8:$K$14,1)-1,0,2),OFFSET('EARTH LEAKAGE'!$K$8:$K$14,MATCH(G50,'EARTH LEAKAGE'!$K$8:$K$14,1)-1,0,2)))+$G$50</f>
        <v>3.98</v>
      </c>
      <c r="Q50" s="1185"/>
      <c r="R50" s="1185"/>
      <c r="S50" s="1185"/>
    </row>
    <row r="51" spans="1:64" ht="18.75" hidden="1" customHeight="1" x14ac:dyDescent="0.25">
      <c r="A51" s="1302" t="s">
        <v>166</v>
      </c>
      <c r="B51" s="1302"/>
      <c r="C51" s="1302"/>
      <c r="D51" s="1302"/>
      <c r="E51" s="1302"/>
      <c r="F51" s="1302"/>
      <c r="G51" s="1300">
        <v>4</v>
      </c>
      <c r="H51" s="1428"/>
      <c r="I51" s="1290" t="s">
        <v>161</v>
      </c>
      <c r="J51" s="1290"/>
      <c r="K51" s="1290"/>
      <c r="L51" s="1301">
        <f t="shared" ca="1" si="0"/>
        <v>5.3066666666666666</v>
      </c>
      <c r="M51" s="1271" t="s">
        <v>901</v>
      </c>
      <c r="O51" s="1296"/>
      <c r="P51" s="1301">
        <f ca="1">(FORECAST(G51,OFFSET('EARTH LEAKAGE'!$L$8:$L$14,MATCH(G51,'EARTH LEAKAGE'!$K$8:$K$14,1)-1,0,2),OFFSET('EARTH LEAKAGE'!$K$8:$K$14,MATCH(G51,'EARTH LEAKAGE'!$K$8:$K$14,1)-1,0,2)))+$G$51</f>
        <v>5.3066666666666666</v>
      </c>
      <c r="Q51" s="1185"/>
      <c r="R51" s="1185"/>
      <c r="S51" s="1185"/>
    </row>
    <row r="52" spans="1:64" ht="18.75" hidden="1" customHeight="1" x14ac:dyDescent="0.25">
      <c r="A52" s="1302" t="s">
        <v>167</v>
      </c>
      <c r="B52" s="1302"/>
      <c r="C52" s="1302"/>
      <c r="D52" s="1302"/>
      <c r="E52" s="1302"/>
      <c r="F52" s="1302"/>
      <c r="G52" s="1300">
        <v>5</v>
      </c>
      <c r="H52" s="1428"/>
      <c r="I52" s="1290" t="s">
        <v>161</v>
      </c>
      <c r="J52" s="1290"/>
      <c r="K52" s="1290"/>
      <c r="L52" s="1301">
        <f t="shared" ca="1" si="0"/>
        <v>6.6333333333333329</v>
      </c>
      <c r="M52" s="1271" t="s">
        <v>901</v>
      </c>
      <c r="O52" s="1296"/>
      <c r="P52" s="1301">
        <f ca="1">(FORECAST(G52,OFFSET('EARTH LEAKAGE'!$L$8:$L$14,MATCH(G52,'EARTH LEAKAGE'!$K$8:$K$14,1)-1,0,2),OFFSET('EARTH LEAKAGE'!$K$8:$K$14,MATCH(G52,'EARTH LEAKAGE'!$K$8:$K$14,1)-1,0,2)))+$G$52</f>
        <v>6.6333333333333329</v>
      </c>
      <c r="Q52" s="1185"/>
      <c r="R52" s="1185"/>
      <c r="S52" s="1185"/>
    </row>
    <row r="53" spans="1:64" ht="18.75" hidden="1" customHeight="1" x14ac:dyDescent="0.25">
      <c r="A53" s="1302" t="s">
        <v>168</v>
      </c>
      <c r="B53" s="1302"/>
      <c r="C53" s="1302"/>
      <c r="D53" s="1302"/>
      <c r="E53" s="1302"/>
      <c r="F53" s="1302"/>
      <c r="G53" s="1300">
        <v>6</v>
      </c>
      <c r="H53" s="1428"/>
      <c r="I53" s="1290" t="s">
        <v>161</v>
      </c>
      <c r="J53" s="1290"/>
      <c r="K53" s="1290"/>
      <c r="L53" s="1301">
        <f t="shared" ca="1" si="0"/>
        <v>7.96</v>
      </c>
      <c r="M53" s="1271" t="s">
        <v>901</v>
      </c>
      <c r="O53" s="1296"/>
      <c r="P53" s="1301">
        <f ca="1">(FORECAST(G53,OFFSET('EARTH LEAKAGE'!$L$8:$L$14,MATCH(G53,'EARTH LEAKAGE'!$K$8:$K$14,1)-1,0,2),OFFSET('EARTH LEAKAGE'!$K$8:$K$14,MATCH(G53,'EARTH LEAKAGE'!$K$8:$K$14,1)-1,0,2)))+$G$53</f>
        <v>7.96</v>
      </c>
      <c r="Q53" s="1185"/>
      <c r="R53" s="1185"/>
      <c r="S53" s="1185"/>
    </row>
    <row r="54" spans="1:64" ht="17.25" hidden="1" customHeight="1" x14ac:dyDescent="0.25">
      <c r="B54" s="1245"/>
      <c r="C54" s="1245"/>
      <c r="D54" s="1245"/>
      <c r="E54" s="1245"/>
      <c r="F54" s="1245"/>
      <c r="G54" s="1197"/>
      <c r="H54" s="1197"/>
      <c r="I54" s="1244"/>
      <c r="J54" s="1244"/>
      <c r="K54" s="1244"/>
      <c r="L54" s="1245"/>
      <c r="M54" s="1245"/>
      <c r="N54" s="1245"/>
      <c r="O54" s="1245"/>
      <c r="P54" s="1249"/>
      <c r="Q54" s="1185"/>
      <c r="R54" s="1185"/>
      <c r="S54" s="1185"/>
    </row>
    <row r="55" spans="1:64" s="1296" customFormat="1" ht="46.8" hidden="1" x14ac:dyDescent="0.25">
      <c r="A55" s="1303" t="s">
        <v>174</v>
      </c>
      <c r="B55" s="1303"/>
      <c r="C55" s="1303"/>
      <c r="D55" s="1303"/>
      <c r="E55" s="1303"/>
      <c r="F55" s="1303"/>
      <c r="G55" s="1304"/>
      <c r="H55" s="1304"/>
      <c r="I55" s="1029"/>
      <c r="J55" s="1029"/>
      <c r="K55" s="1029"/>
      <c r="L55" s="1029"/>
      <c r="M55" s="1029"/>
      <c r="N55" s="1029"/>
      <c r="O55" s="1029"/>
      <c r="P55" s="1219"/>
      <c r="Q55" s="173"/>
      <c r="T55" s="1250"/>
      <c r="U55" s="1250"/>
      <c r="V55" s="1250"/>
      <c r="W55" s="1250"/>
      <c r="X55" s="1250"/>
      <c r="Y55" s="1250"/>
      <c r="BK55" s="1305"/>
      <c r="BL55" s="1305"/>
    </row>
    <row r="56" spans="1:64" s="1296" customFormat="1" ht="31.2" hidden="1" x14ac:dyDescent="0.25">
      <c r="A56" s="1303" t="s">
        <v>213</v>
      </c>
      <c r="B56" s="1303"/>
      <c r="C56" s="1303"/>
      <c r="D56" s="1303"/>
      <c r="E56" s="1303"/>
      <c r="F56" s="1303"/>
      <c r="G56" s="1304"/>
      <c r="H56" s="1304"/>
      <c r="I56" s="1029"/>
      <c r="J56" s="1029"/>
      <c r="K56" s="1029"/>
      <c r="L56" s="1029"/>
      <c r="M56" s="1029"/>
      <c r="N56" s="1029"/>
      <c r="O56" s="1029"/>
      <c r="P56" s="1219"/>
      <c r="Q56" s="173"/>
      <c r="T56" s="1250"/>
      <c r="U56" s="1250"/>
      <c r="V56" s="1250"/>
      <c r="W56" s="1250"/>
      <c r="X56" s="1250"/>
      <c r="Y56" s="1250"/>
      <c r="BK56" s="1305"/>
      <c r="BL56" s="1305"/>
    </row>
    <row r="57" spans="1:64" s="1296" customFormat="1" ht="22.5" hidden="1" customHeight="1" x14ac:dyDescent="0.2">
      <c r="A57" s="1303" t="str">
        <f>LK!A57</f>
        <v>IV. Pengujian Kinerja</v>
      </c>
      <c r="B57" s="1303"/>
      <c r="C57" s="1303"/>
      <c r="D57" s="1303"/>
      <c r="E57" s="1303"/>
      <c r="F57" s="1303"/>
      <c r="G57" s="1304"/>
      <c r="H57" s="1304"/>
      <c r="I57" s="1029"/>
      <c r="J57" s="1029"/>
      <c r="K57" s="1029"/>
      <c r="L57" s="1029"/>
      <c r="M57" s="1029"/>
      <c r="N57" s="1029"/>
      <c r="O57" s="1029"/>
      <c r="P57" s="1219"/>
      <c r="Q57" s="173"/>
      <c r="T57" s="1250"/>
      <c r="U57" s="1250"/>
      <c r="V57" s="1250"/>
      <c r="W57" s="1250"/>
      <c r="X57" s="1250"/>
      <c r="Y57" s="1250"/>
      <c r="AA57" s="1306" t="s">
        <v>41</v>
      </c>
      <c r="AB57" s="1306" t="s">
        <v>226</v>
      </c>
      <c r="AC57" s="1306"/>
      <c r="BK57" s="1305"/>
      <c r="BL57" s="1305"/>
    </row>
    <row r="58" spans="1:64" ht="15" customHeight="1" thickBot="1" x14ac:dyDescent="0.3">
      <c r="A58" s="1596" t="s">
        <v>340</v>
      </c>
      <c r="B58" s="1596"/>
      <c r="C58" s="1597"/>
      <c r="D58" s="1597"/>
      <c r="E58" s="1307"/>
      <c r="F58" s="1307"/>
      <c r="G58" s="1598" t="s">
        <v>341</v>
      </c>
      <c r="H58" s="1598"/>
      <c r="I58" s="1598"/>
      <c r="J58" s="1433"/>
      <c r="K58" s="1433"/>
      <c r="L58" s="1308"/>
      <c r="M58" s="1244"/>
      <c r="N58" s="1308"/>
      <c r="O58" s="1244"/>
      <c r="P58" s="1308"/>
      <c r="Q58" s="1185"/>
      <c r="R58" s="1185"/>
      <c r="S58" s="1185"/>
      <c r="U58" s="1505" t="s">
        <v>902</v>
      </c>
      <c r="V58" s="1505" t="s">
        <v>902</v>
      </c>
      <c r="AA58" s="1309"/>
      <c r="AB58" s="1310"/>
      <c r="AC58" s="1311"/>
    </row>
    <row r="59" spans="1:64" ht="30" customHeight="1" x14ac:dyDescent="0.25">
      <c r="A59" s="1399" t="s">
        <v>900</v>
      </c>
      <c r="B59" s="1400" t="str">
        <f>"0.00"</f>
        <v>0.00</v>
      </c>
      <c r="C59" s="1312" t="s">
        <v>336</v>
      </c>
      <c r="D59" s="1313" t="s">
        <v>123</v>
      </c>
      <c r="E59" s="1314" t="s">
        <v>320</v>
      </c>
      <c r="F59" s="1313" t="s">
        <v>123</v>
      </c>
      <c r="G59" s="1315" t="s">
        <v>317</v>
      </c>
      <c r="H59" s="1429"/>
      <c r="I59" s="1316" t="s">
        <v>123</v>
      </c>
      <c r="J59" s="1434"/>
      <c r="K59" s="1434"/>
      <c r="M59" s="1592" t="s">
        <v>338</v>
      </c>
      <c r="N59" s="1593"/>
      <c r="O59" s="1317">
        <f>HLOOKUP(M59,'KONVERSI SATUAN'!I21:I36,MATCH(ID!D59,'KONVERSI SATUAN'!H22:H36,0)+1,FALSE)</f>
        <v>1</v>
      </c>
      <c r="P59" s="1308"/>
      <c r="S59" s="1185"/>
      <c r="U59" s="1506"/>
      <c r="V59" s="1506"/>
      <c r="AA59" s="1309"/>
      <c r="AB59" s="1310"/>
      <c r="AC59" s="1311"/>
    </row>
    <row r="60" spans="1:64" ht="34.5" customHeight="1" x14ac:dyDescent="0.25">
      <c r="A60" s="1208" t="s">
        <v>45</v>
      </c>
      <c r="B60" s="1568" t="s">
        <v>76</v>
      </c>
      <c r="C60" s="1569"/>
      <c r="D60" s="1569"/>
      <c r="E60" s="1569"/>
      <c r="F60" s="1569"/>
      <c r="G60" s="1569"/>
      <c r="H60" s="1569"/>
      <c r="I60" s="1569"/>
      <c r="J60" s="1569"/>
      <c r="K60" s="1569"/>
      <c r="L60" s="1508"/>
      <c r="M60" s="1590" t="s">
        <v>337</v>
      </c>
      <c r="N60" s="1591"/>
      <c r="O60" s="1318" t="str">
        <f>HLOOKUP(M60,'KONVERSI SATUAN'!J21:J36,MATCH(ID!D59,'KONVERSI SATUAN'!H22:H36,0)+1,FALSE)</f>
        <v>(mmHg)</v>
      </c>
      <c r="U60" s="1507"/>
      <c r="V60" s="1507"/>
      <c r="AA60" s="1309"/>
      <c r="AB60" s="1310"/>
      <c r="AC60" s="1311"/>
    </row>
    <row r="61" spans="1:64" ht="19.5" customHeight="1" thickBot="1" x14ac:dyDescent="0.3">
      <c r="A61" s="1410">
        <v>200</v>
      </c>
      <c r="B61" s="1409">
        <v>200</v>
      </c>
      <c r="C61" s="1409">
        <v>200</v>
      </c>
      <c r="D61" s="1409">
        <v>200</v>
      </c>
      <c r="E61" s="1409">
        <v>200</v>
      </c>
      <c r="F61" s="1409">
        <v>200</v>
      </c>
      <c r="G61" s="1409">
        <v>200</v>
      </c>
      <c r="H61" s="1409">
        <v>200</v>
      </c>
      <c r="I61" s="1409">
        <v>200</v>
      </c>
      <c r="J61" s="1409">
        <v>200</v>
      </c>
      <c r="K61" s="1409">
        <v>200</v>
      </c>
      <c r="M61" s="1588" t="s">
        <v>149</v>
      </c>
      <c r="N61" s="1589"/>
      <c r="O61" s="1319" t="s">
        <v>142</v>
      </c>
      <c r="U61" s="1320">
        <f>((ABS(S70)+ABS(W70))/A70)*100</f>
        <v>0</v>
      </c>
      <c r="V61" s="1321">
        <f>((ABS(T70)+ABS(X70))/A70)*100</f>
        <v>0</v>
      </c>
      <c r="AA61" s="1309"/>
      <c r="AB61" s="1310"/>
      <c r="AC61" s="1311"/>
    </row>
    <row r="62" spans="1:64" ht="19.5" customHeight="1" x14ac:dyDescent="0.25">
      <c r="A62" s="1426">
        <v>300</v>
      </c>
      <c r="B62" s="1409">
        <v>304</v>
      </c>
      <c r="C62" s="1409">
        <v>304</v>
      </c>
      <c r="D62" s="1409">
        <v>304</v>
      </c>
      <c r="E62" s="1409">
        <v>304</v>
      </c>
      <c r="F62" s="1409">
        <v>304</v>
      </c>
      <c r="G62" s="1409">
        <v>304</v>
      </c>
      <c r="H62" s="1409">
        <v>304</v>
      </c>
      <c r="I62" s="1409">
        <v>304</v>
      </c>
      <c r="J62" s="1409">
        <v>304</v>
      </c>
      <c r="K62" s="1409">
        <v>304</v>
      </c>
      <c r="M62" s="1586" t="s">
        <v>191</v>
      </c>
      <c r="N62" s="1587"/>
      <c r="O62" s="1322">
        <f>HLOOKUP(M62,'KONVERSI SATUAN'!I20:I30,MATCH(F59,'KONVERSI SATUAN'!H21:H30,0)+1,FALSE)</f>
        <v>1</v>
      </c>
      <c r="U62" s="1320">
        <f>((ABS(S71)+ABS(W71))/A71)*100</f>
        <v>-1.3333333333333335</v>
      </c>
      <c r="V62" s="1321">
        <f>((ABS(T71)+ABS(X71))/A71)*100</f>
        <v>-1.3333333333333335</v>
      </c>
      <c r="AA62" s="1309"/>
      <c r="AB62" s="1310"/>
      <c r="AC62" s="1311"/>
    </row>
    <row r="63" spans="1:64" ht="16.2" thickBot="1" x14ac:dyDescent="0.3">
      <c r="A63" s="1426">
        <v>400</v>
      </c>
      <c r="B63" s="1409">
        <v>400</v>
      </c>
      <c r="C63" s="1409">
        <v>400</v>
      </c>
      <c r="D63" s="1409">
        <v>400</v>
      </c>
      <c r="E63" s="1409">
        <v>400</v>
      </c>
      <c r="F63" s="1409">
        <v>400</v>
      </c>
      <c r="G63" s="1409">
        <v>400</v>
      </c>
      <c r="H63" s="1409">
        <v>400</v>
      </c>
      <c r="I63" s="1409">
        <v>400</v>
      </c>
      <c r="J63" s="1409">
        <v>400</v>
      </c>
      <c r="K63" s="1409">
        <v>400</v>
      </c>
      <c r="M63" s="1594" t="s">
        <v>319</v>
      </c>
      <c r="N63" s="1595"/>
      <c r="O63" s="1323" t="str">
        <f>HLOOKUP(M63,'KONVERSI SATUAN'!J19:J37,MATCH(ID!F59,'KONVERSI SATUAN'!H20:H30,0)+1,FALSE)</f>
        <v>(mmHg)</v>
      </c>
      <c r="U63" s="1320">
        <f>((ABS(S72)+ABS(W72))/A72)*100</f>
        <v>0</v>
      </c>
      <c r="V63" s="1321">
        <f>((ABS(T72)+ABS(X72))/A72)*100</f>
        <v>0</v>
      </c>
      <c r="AA63" s="1309"/>
      <c r="AB63" s="1310"/>
      <c r="AC63" s="1311"/>
    </row>
    <row r="64" spans="1:64" ht="18" customHeight="1" x14ac:dyDescent="0.25">
      <c r="A64" s="1426">
        <v>500</v>
      </c>
      <c r="B64" s="1413">
        <v>504</v>
      </c>
      <c r="C64" s="1413">
        <v>504</v>
      </c>
      <c r="D64" s="1413">
        <v>504</v>
      </c>
      <c r="E64" s="1413">
        <v>504</v>
      </c>
      <c r="F64" s="1413">
        <v>504</v>
      </c>
      <c r="G64" s="1413">
        <v>504</v>
      </c>
      <c r="H64" s="1413">
        <v>504</v>
      </c>
      <c r="I64" s="1413">
        <v>504</v>
      </c>
      <c r="J64" s="1413">
        <v>504</v>
      </c>
      <c r="K64" s="1413">
        <v>504</v>
      </c>
      <c r="M64" s="1584" t="s">
        <v>339</v>
      </c>
      <c r="N64" s="1585"/>
      <c r="O64" s="1322">
        <f>HLOOKUP(M64,'KONVERSI SATUAN'!I19:I30,MATCH(I59,'KONVERSI SATUAN'!H20:H30,0)+1,FALSE)</f>
        <v>1</v>
      </c>
      <c r="U64" s="1320">
        <f>((ABS(S73)+ABS(W73))/A73)*100</f>
        <v>-0.8</v>
      </c>
      <c r="V64" s="1321">
        <f>((ABS(T73)+ABS(X73))/A73)*100</f>
        <v>-0.8</v>
      </c>
      <c r="AA64" s="1309"/>
      <c r="AB64" s="1310"/>
      <c r="AC64" s="1311"/>
    </row>
    <row r="65" spans="1:73" ht="16.2" thickBot="1" x14ac:dyDescent="0.3">
      <c r="A65" s="1426">
        <v>600</v>
      </c>
      <c r="B65" s="1413">
        <v>608</v>
      </c>
      <c r="C65" s="1413">
        <v>608</v>
      </c>
      <c r="D65" s="1413">
        <v>608</v>
      </c>
      <c r="E65" s="1413">
        <v>608</v>
      </c>
      <c r="F65" s="1413">
        <v>608</v>
      </c>
      <c r="G65" s="1413">
        <v>608</v>
      </c>
      <c r="H65" s="1413">
        <v>608</v>
      </c>
      <c r="I65" s="1413">
        <v>608</v>
      </c>
      <c r="J65" s="1413">
        <v>608</v>
      </c>
      <c r="K65" s="1413">
        <v>608</v>
      </c>
      <c r="M65" s="1582" t="s">
        <v>318</v>
      </c>
      <c r="N65" s="1583"/>
      <c r="O65" s="1323" t="str">
        <f>HLOOKUP(M65,'KONVERSI SATUAN'!J20:J37,MATCH(ID!I59,'KONVERSI SATUAN'!H21:H30,0)+1,FALSE)</f>
        <v>(mmHg)</v>
      </c>
      <c r="P65" s="1324"/>
      <c r="U65" s="1320">
        <f>((ABS(S74)+ABS(W74))/A74)*100</f>
        <v>-1.3333333333333335</v>
      </c>
      <c r="V65" s="1321">
        <f>((ABS(T74)+ABS(X74))/A74)*100</f>
        <v>-1.3333333333333335</v>
      </c>
      <c r="AA65" s="134"/>
      <c r="AB65" s="1325"/>
      <c r="AC65" s="1311"/>
    </row>
    <row r="66" spans="1:73" x14ac:dyDescent="0.25">
      <c r="A66" s="1326"/>
      <c r="B66" s="1327"/>
      <c r="C66" s="1327"/>
      <c r="D66" s="1327"/>
      <c r="E66" s="1327"/>
      <c r="F66" s="1327"/>
      <c r="G66" s="1327"/>
      <c r="H66" s="1430"/>
      <c r="I66" s="1328"/>
      <c r="J66" s="1328"/>
      <c r="K66" s="1328"/>
      <c r="O66" s="1324"/>
      <c r="P66" s="1324"/>
    </row>
    <row r="67" spans="1:73" s="1296" customFormat="1" ht="30.75" customHeight="1" x14ac:dyDescent="0.25">
      <c r="A67" s="1577" t="s">
        <v>175</v>
      </c>
      <c r="B67" s="1570" t="s">
        <v>192</v>
      </c>
      <c r="C67" s="1571"/>
      <c r="D67" s="1571"/>
      <c r="E67" s="1571"/>
      <c r="F67" s="1571"/>
      <c r="G67" s="1571"/>
      <c r="H67" s="1571"/>
      <c r="I67" s="1571"/>
      <c r="J67" s="1571"/>
      <c r="K67" s="1572"/>
      <c r="L67" s="1580" t="s">
        <v>88</v>
      </c>
      <c r="M67" s="1580" t="s">
        <v>88</v>
      </c>
      <c r="N67" s="1505" t="s">
        <v>39</v>
      </c>
      <c r="O67" s="1505" t="s">
        <v>39</v>
      </c>
      <c r="Q67" s="1505" t="s">
        <v>74</v>
      </c>
      <c r="R67" s="1505" t="s">
        <v>74</v>
      </c>
      <c r="S67" s="1505" t="s">
        <v>226</v>
      </c>
      <c r="T67" s="1505" t="s">
        <v>226</v>
      </c>
      <c r="U67" s="1505" t="s">
        <v>312</v>
      </c>
      <c r="V67" s="1505" t="s">
        <v>312</v>
      </c>
      <c r="W67" s="1519"/>
      <c r="X67" s="1508"/>
      <c r="Y67" s="1329"/>
      <c r="AA67" s="1508"/>
      <c r="AB67" s="1508"/>
      <c r="AC67" s="1511"/>
      <c r="AD67" s="1511"/>
      <c r="AE67" s="1508"/>
      <c r="AF67" s="1508"/>
      <c r="AG67" s="1508"/>
      <c r="AH67" s="1508"/>
      <c r="AI67" s="1508"/>
      <c r="AJ67" s="1508"/>
      <c r="AK67" s="1508"/>
      <c r="AL67" s="1508"/>
      <c r="AM67" s="1508"/>
      <c r="AN67" s="1508"/>
      <c r="BK67" s="1305"/>
      <c r="BL67" s="1305"/>
    </row>
    <row r="68" spans="1:73" s="1296" customFormat="1" ht="17.25" customHeight="1" x14ac:dyDescent="0.25">
      <c r="A68" s="1578"/>
      <c r="B68" s="1292"/>
      <c r="C68" s="1292"/>
      <c r="D68" s="1330" t="s">
        <v>178</v>
      </c>
      <c r="E68" s="1268">
        <v>-1</v>
      </c>
      <c r="F68" s="1331" t="s">
        <v>179</v>
      </c>
      <c r="G68" s="1332" t="str">
        <f>O60</f>
        <v>(mmHg)</v>
      </c>
      <c r="H68" s="1222"/>
      <c r="I68" s="1435"/>
      <c r="J68" s="1436"/>
      <c r="K68" s="1436"/>
      <c r="L68" s="1581"/>
      <c r="M68" s="1581"/>
      <c r="N68" s="1507"/>
      <c r="O68" s="1507"/>
      <c r="Q68" s="1506"/>
      <c r="R68" s="1506"/>
      <c r="S68" s="1506"/>
      <c r="T68" s="1506"/>
      <c r="U68" s="1506"/>
      <c r="V68" s="1506"/>
      <c r="W68" s="1519"/>
      <c r="X68" s="1508"/>
      <c r="AA68" s="1508"/>
      <c r="AB68" s="1508"/>
      <c r="AC68" s="1511"/>
      <c r="AD68" s="1511"/>
      <c r="AE68" s="1508"/>
      <c r="AF68" s="1508"/>
      <c r="AG68" s="1508"/>
      <c r="AH68" s="1508"/>
      <c r="AI68" s="1508"/>
      <c r="AJ68" s="1508"/>
      <c r="AK68" s="1508"/>
      <c r="AL68" s="1508"/>
      <c r="AM68" s="1508"/>
      <c r="AN68" s="1508"/>
      <c r="BK68" s="1305"/>
      <c r="BL68" s="1305"/>
    </row>
    <row r="69" spans="1:73" s="1296" customFormat="1" ht="12.75" customHeight="1" x14ac:dyDescent="0.25">
      <c r="A69" s="1579"/>
      <c r="B69" s="1333" t="s">
        <v>220</v>
      </c>
      <c r="C69" s="1333" t="s">
        <v>221</v>
      </c>
      <c r="D69" s="1333" t="s">
        <v>220</v>
      </c>
      <c r="E69" s="1333" t="s">
        <v>221</v>
      </c>
      <c r="F69" s="1333" t="s">
        <v>220</v>
      </c>
      <c r="G69" s="1333" t="s">
        <v>221</v>
      </c>
      <c r="H69" s="1333" t="s">
        <v>220</v>
      </c>
      <c r="I69" s="1333" t="s">
        <v>221</v>
      </c>
      <c r="J69" s="1333" t="s">
        <v>220</v>
      </c>
      <c r="K69" s="1333" t="s">
        <v>221</v>
      </c>
      <c r="L69" s="1333" t="s">
        <v>220</v>
      </c>
      <c r="M69" s="1333" t="s">
        <v>221</v>
      </c>
      <c r="N69" s="1333" t="s">
        <v>220</v>
      </c>
      <c r="O69" s="1333" t="s">
        <v>221</v>
      </c>
      <c r="Q69" s="1507"/>
      <c r="R69" s="1507"/>
      <c r="S69" s="1507"/>
      <c r="T69" s="1507"/>
      <c r="U69" s="1507"/>
      <c r="V69" s="1507"/>
      <c r="W69" s="1519"/>
      <c r="X69" s="1508"/>
      <c r="Y69" s="1334"/>
      <c r="AA69" s="1335"/>
      <c r="AB69" s="1335"/>
      <c r="AC69" s="1335"/>
      <c r="AD69" s="1335"/>
      <c r="AE69" s="1335"/>
      <c r="AF69" s="1335"/>
      <c r="AG69" s="1508"/>
      <c r="AH69" s="1508"/>
      <c r="AI69" s="1508"/>
      <c r="AJ69" s="1508"/>
      <c r="AK69" s="1508"/>
      <c r="AL69" s="1508"/>
      <c r="AM69" s="1508"/>
      <c r="AN69" s="1508"/>
      <c r="BK69" s="1305"/>
      <c r="BL69" s="1305"/>
    </row>
    <row r="70" spans="1:73" s="1296" customFormat="1" x14ac:dyDescent="0.25">
      <c r="A70" s="1336">
        <f>A61*$E$68</f>
        <v>-200</v>
      </c>
      <c r="B70" s="1336">
        <f t="shared" ref="B70:K70" si="1">B61*$E$68*$O$59</f>
        <v>-200</v>
      </c>
      <c r="C70" s="1336">
        <f t="shared" si="1"/>
        <v>-200</v>
      </c>
      <c r="D70" s="1336">
        <f t="shared" si="1"/>
        <v>-200</v>
      </c>
      <c r="E70" s="1336">
        <f t="shared" si="1"/>
        <v>-200</v>
      </c>
      <c r="F70" s="1336">
        <f t="shared" si="1"/>
        <v>-200</v>
      </c>
      <c r="G70" s="1336">
        <f t="shared" si="1"/>
        <v>-200</v>
      </c>
      <c r="H70" s="1336">
        <f t="shared" si="1"/>
        <v>-200</v>
      </c>
      <c r="I70" s="1336">
        <f t="shared" si="1"/>
        <v>-200</v>
      </c>
      <c r="J70" s="1336">
        <f t="shared" si="1"/>
        <v>-200</v>
      </c>
      <c r="K70" s="1336">
        <f t="shared" si="1"/>
        <v>-200</v>
      </c>
      <c r="L70" s="1336">
        <f>AVERAGE(B70,D70,F70,H70,J70)</f>
        <v>-200</v>
      </c>
      <c r="M70" s="1336">
        <f t="shared" ref="L70:M74" si="2">AVERAGE(C70,E70,G70,I70,K70)</f>
        <v>-200</v>
      </c>
      <c r="N70" s="1336">
        <f>L70+INTERPOLASI!V18</f>
        <v>-200.5</v>
      </c>
      <c r="O70" s="1360">
        <f>M70+INTERPOLASI!V18</f>
        <v>-200.5</v>
      </c>
      <c r="Q70" s="1320">
        <f>STDEV(B70,D70,F70,H70,J70)</f>
        <v>0</v>
      </c>
      <c r="R70" s="1321">
        <f>STDEV(C70,E70,G70,I70,K70)</f>
        <v>0</v>
      </c>
      <c r="S70" s="1320">
        <f>L70-A70</f>
        <v>0</v>
      </c>
      <c r="T70" s="1321">
        <f>M70-A70</f>
        <v>0</v>
      </c>
      <c r="U70" s="1337">
        <f>(S70/M70)*100</f>
        <v>0</v>
      </c>
      <c r="V70" s="1337">
        <f>(T70/N70)*100</f>
        <v>0</v>
      </c>
      <c r="W70" s="1338"/>
      <c r="X70" s="1339"/>
      <c r="AA70" s="1340"/>
      <c r="AB70" s="1340"/>
      <c r="AC70" s="1341"/>
      <c r="AD70" s="1341"/>
      <c r="AE70" s="1340"/>
      <c r="AF70" s="1340"/>
      <c r="AG70" s="1342"/>
      <c r="AH70" s="1343"/>
      <c r="AI70" s="1339"/>
      <c r="AJ70" s="1339"/>
      <c r="AK70" s="1342"/>
      <c r="AL70" s="1343"/>
      <c r="AM70" s="1342"/>
      <c r="AN70" s="1343"/>
      <c r="BK70" s="1225" t="s">
        <v>493</v>
      </c>
      <c r="BL70" s="1235" t="s">
        <v>498</v>
      </c>
      <c r="BM70" s="1344" t="s">
        <v>494</v>
      </c>
      <c r="BN70" s="1227"/>
      <c r="BO70" s="1228">
        <v>-190</v>
      </c>
      <c r="BP70" s="1229">
        <v>-100</v>
      </c>
      <c r="BQ70" s="1236">
        <v>-0.6</v>
      </c>
      <c r="BR70" s="1231">
        <v>-200</v>
      </c>
      <c r="BS70" s="1232">
        <v>-0.3</v>
      </c>
      <c r="BT70" s="1233">
        <f t="shared" ref="BT70:BT79" si="3">((((BS70-BQ70)*(BO70-BP70)))/(BR70-BP70))+BQ70</f>
        <v>-0.32999999999999996</v>
      </c>
      <c r="BU70" s="1345">
        <f t="shared" ref="BU70:BU79" si="4">BO70+BT70</f>
        <v>-190.33</v>
      </c>
    </row>
    <row r="71" spans="1:73" s="1296" customFormat="1" ht="14.4" x14ac:dyDescent="0.25">
      <c r="A71" s="1336">
        <f>A62*$E$68</f>
        <v>-300</v>
      </c>
      <c r="B71" s="1336">
        <f t="shared" ref="B71:K71" si="5">B62*$E$68*$O$59</f>
        <v>-304</v>
      </c>
      <c r="C71" s="1336">
        <f t="shared" si="5"/>
        <v>-304</v>
      </c>
      <c r="D71" s="1336">
        <f t="shared" si="5"/>
        <v>-304</v>
      </c>
      <c r="E71" s="1336">
        <f t="shared" si="5"/>
        <v>-304</v>
      </c>
      <c r="F71" s="1336">
        <f t="shared" si="5"/>
        <v>-304</v>
      </c>
      <c r="G71" s="1336">
        <f t="shared" si="5"/>
        <v>-304</v>
      </c>
      <c r="H71" s="1336">
        <f t="shared" si="5"/>
        <v>-304</v>
      </c>
      <c r="I71" s="1336">
        <f t="shared" si="5"/>
        <v>-304</v>
      </c>
      <c r="J71" s="1336">
        <f t="shared" si="5"/>
        <v>-304</v>
      </c>
      <c r="K71" s="1336">
        <f t="shared" si="5"/>
        <v>-304</v>
      </c>
      <c r="L71" s="1336">
        <f t="shared" si="2"/>
        <v>-304</v>
      </c>
      <c r="M71" s="1336">
        <f t="shared" si="2"/>
        <v>-304</v>
      </c>
      <c r="N71" s="1336">
        <f>L71+INTERPOLASI!V19</f>
        <v>-304.70800000000003</v>
      </c>
      <c r="O71" s="1360">
        <f>M71+INTERPOLASI!V19</f>
        <v>-304.70800000000003</v>
      </c>
      <c r="Q71" s="1320">
        <f t="shared" ref="Q71:R74" si="6">STDEV(B71,D71,F71,H71,J71)</f>
        <v>0</v>
      </c>
      <c r="R71" s="1321">
        <f t="shared" si="6"/>
        <v>0</v>
      </c>
      <c r="S71" s="1320">
        <f t="shared" ref="S71:S73" si="7">L71-A71</f>
        <v>-4</v>
      </c>
      <c r="T71" s="1321">
        <f t="shared" ref="T71:T74" si="8">M71-A71</f>
        <v>-4</v>
      </c>
      <c r="U71" s="1337">
        <f t="shared" ref="U71:V74" si="9">(S71/M71)*100</f>
        <v>1.3157894736842104</v>
      </c>
      <c r="V71" s="1337">
        <f t="shared" si="9"/>
        <v>1.3127321895060189</v>
      </c>
      <c r="W71" s="1338"/>
      <c r="X71" s="1339"/>
      <c r="AA71" s="1340"/>
      <c r="AB71" s="1340"/>
      <c r="AC71" s="1346"/>
      <c r="AD71" s="1341"/>
      <c r="AE71" s="1340"/>
      <c r="AF71" s="1340"/>
      <c r="AG71" s="1342"/>
      <c r="AH71" s="1343"/>
      <c r="AI71" s="1339"/>
      <c r="AJ71" s="1339"/>
      <c r="AK71" s="1342"/>
      <c r="AL71" s="1343"/>
      <c r="AM71" s="1342"/>
      <c r="AN71" s="1343"/>
      <c r="BK71" s="1305"/>
      <c r="BL71" s="1305"/>
      <c r="BM71" s="1344" t="s">
        <v>495</v>
      </c>
      <c r="BN71" s="1227"/>
      <c r="BO71" s="1228">
        <v>-280</v>
      </c>
      <c r="BP71" s="1229">
        <v>-200</v>
      </c>
      <c r="BQ71" s="1236">
        <v>-0.3</v>
      </c>
      <c r="BR71" s="1231">
        <v>-300</v>
      </c>
      <c r="BS71" s="1232">
        <v>-0.1</v>
      </c>
      <c r="BT71" s="1233">
        <f t="shared" si="3"/>
        <v>-0.14000000000000001</v>
      </c>
      <c r="BU71" s="1345">
        <f t="shared" si="4"/>
        <v>-280.14</v>
      </c>
    </row>
    <row r="72" spans="1:73" s="1296" customFormat="1" ht="14.4" x14ac:dyDescent="0.25">
      <c r="A72" s="1336">
        <f>A63*$E$68</f>
        <v>-400</v>
      </c>
      <c r="B72" s="1336">
        <f t="shared" ref="B72:K72" si="10">B63*$E$68*$O$59</f>
        <v>-400</v>
      </c>
      <c r="C72" s="1336">
        <f t="shared" si="10"/>
        <v>-400</v>
      </c>
      <c r="D72" s="1336">
        <f t="shared" si="10"/>
        <v>-400</v>
      </c>
      <c r="E72" s="1336">
        <f t="shared" si="10"/>
        <v>-400</v>
      </c>
      <c r="F72" s="1336">
        <f t="shared" si="10"/>
        <v>-400</v>
      </c>
      <c r="G72" s="1336">
        <f t="shared" si="10"/>
        <v>-400</v>
      </c>
      <c r="H72" s="1336">
        <f t="shared" si="10"/>
        <v>-400</v>
      </c>
      <c r="I72" s="1336">
        <f t="shared" si="10"/>
        <v>-400</v>
      </c>
      <c r="J72" s="1336">
        <f t="shared" si="10"/>
        <v>-400</v>
      </c>
      <c r="K72" s="1336">
        <f t="shared" si="10"/>
        <v>-400</v>
      </c>
      <c r="L72" s="1336">
        <f t="shared" si="2"/>
        <v>-400</v>
      </c>
      <c r="M72" s="1336">
        <f t="shared" si="2"/>
        <v>-400</v>
      </c>
      <c r="N72" s="1336">
        <f>L72+INTERPOLASI!V20</f>
        <v>-400.9</v>
      </c>
      <c r="O72" s="1360">
        <f>M72+INTERPOLASI!V20</f>
        <v>-400.9</v>
      </c>
      <c r="Q72" s="1320">
        <f t="shared" si="6"/>
        <v>0</v>
      </c>
      <c r="R72" s="1321">
        <f t="shared" si="6"/>
        <v>0</v>
      </c>
      <c r="S72" s="1320">
        <f t="shared" si="7"/>
        <v>0</v>
      </c>
      <c r="T72" s="1321">
        <f t="shared" si="8"/>
        <v>0</v>
      </c>
      <c r="U72" s="1337">
        <f t="shared" si="9"/>
        <v>0</v>
      </c>
      <c r="V72" s="1337">
        <f t="shared" si="9"/>
        <v>0</v>
      </c>
      <c r="W72" s="1338"/>
      <c r="X72" s="1339"/>
      <c r="AA72" s="1340"/>
      <c r="AB72" s="1340"/>
      <c r="AC72" s="1346"/>
      <c r="AD72" s="1341"/>
      <c r="AE72" s="1340"/>
      <c r="AF72" s="1340"/>
      <c r="AG72" s="1342"/>
      <c r="AH72" s="1343"/>
      <c r="AI72" s="1339"/>
      <c r="AJ72" s="1339"/>
      <c r="AK72" s="1342"/>
      <c r="AL72" s="1343"/>
      <c r="AM72" s="1342"/>
      <c r="AN72" s="1343"/>
      <c r="BK72" s="1305"/>
      <c r="BL72" s="1305"/>
      <c r="BM72" s="1344" t="s">
        <v>496</v>
      </c>
      <c r="BN72" s="1227"/>
      <c r="BO72" s="1228">
        <v>-370</v>
      </c>
      <c r="BP72" s="1229">
        <v>-300</v>
      </c>
      <c r="BQ72" s="1236">
        <v>-0.1</v>
      </c>
      <c r="BR72" s="1231">
        <v>-400</v>
      </c>
      <c r="BS72" s="1232">
        <v>0.3</v>
      </c>
      <c r="BT72" s="1233">
        <f t="shared" si="3"/>
        <v>0.18000000000000002</v>
      </c>
      <c r="BU72" s="1345">
        <f t="shared" si="4"/>
        <v>-369.82</v>
      </c>
    </row>
    <row r="73" spans="1:73" s="1296" customFormat="1" ht="14.4" x14ac:dyDescent="0.25">
      <c r="A73" s="1336">
        <f>A64*$E$68</f>
        <v>-500</v>
      </c>
      <c r="B73" s="1336">
        <f t="shared" ref="B73:K73" si="11">B64*$E$68*$O$59</f>
        <v>-504</v>
      </c>
      <c r="C73" s="1336">
        <f t="shared" si="11"/>
        <v>-504</v>
      </c>
      <c r="D73" s="1336">
        <f t="shared" si="11"/>
        <v>-504</v>
      </c>
      <c r="E73" s="1336">
        <f t="shared" si="11"/>
        <v>-504</v>
      </c>
      <c r="F73" s="1336">
        <f t="shared" si="11"/>
        <v>-504</v>
      </c>
      <c r="G73" s="1336">
        <f t="shared" si="11"/>
        <v>-504</v>
      </c>
      <c r="H73" s="1336">
        <f t="shared" si="11"/>
        <v>-504</v>
      </c>
      <c r="I73" s="1336">
        <f t="shared" si="11"/>
        <v>-504</v>
      </c>
      <c r="J73" s="1336">
        <f t="shared" si="11"/>
        <v>-504</v>
      </c>
      <c r="K73" s="1336">
        <f t="shared" si="11"/>
        <v>-504</v>
      </c>
      <c r="L73" s="1336">
        <f t="shared" si="2"/>
        <v>-504</v>
      </c>
      <c r="M73" s="1336">
        <f t="shared" si="2"/>
        <v>-504</v>
      </c>
      <c r="N73" s="1336">
        <f>L73+INTERPOLASI!V21</f>
        <v>-505.10399999999998</v>
      </c>
      <c r="O73" s="1360">
        <f>M73+INTERPOLASI!V21</f>
        <v>-505.10399999999998</v>
      </c>
      <c r="Q73" s="1320">
        <f t="shared" si="6"/>
        <v>0</v>
      </c>
      <c r="R73" s="1321">
        <f t="shared" si="6"/>
        <v>0</v>
      </c>
      <c r="S73" s="1320">
        <f t="shared" si="7"/>
        <v>-4</v>
      </c>
      <c r="T73" s="1321">
        <f t="shared" si="8"/>
        <v>-4</v>
      </c>
      <c r="U73" s="1337">
        <f t="shared" si="9"/>
        <v>0.79365079365079361</v>
      </c>
      <c r="V73" s="1337">
        <f t="shared" si="9"/>
        <v>0.79191612024454361</v>
      </c>
      <c r="W73" s="1338"/>
      <c r="X73" s="1339"/>
      <c r="AA73" s="1340"/>
      <c r="AB73" s="1340"/>
      <c r="AC73" s="1346"/>
      <c r="AD73" s="1341"/>
      <c r="AE73" s="1340"/>
      <c r="AF73" s="1340"/>
      <c r="AG73" s="1342"/>
      <c r="AH73" s="1343"/>
      <c r="AI73" s="1339"/>
      <c r="AJ73" s="1339"/>
      <c r="AK73" s="1342"/>
      <c r="AL73" s="1343"/>
      <c r="AM73" s="1342"/>
      <c r="AN73" s="1343"/>
      <c r="BK73" s="1305"/>
      <c r="BL73" s="1305"/>
      <c r="BM73" s="1344" t="s">
        <v>496</v>
      </c>
      <c r="BN73" s="1227"/>
      <c r="BO73" s="1228">
        <v>-307</v>
      </c>
      <c r="BP73" s="1229">
        <v>-300</v>
      </c>
      <c r="BQ73" s="1236">
        <v>-0.1</v>
      </c>
      <c r="BR73" s="1231">
        <v>-400</v>
      </c>
      <c r="BS73" s="1232">
        <v>0.3</v>
      </c>
      <c r="BT73" s="1233">
        <f t="shared" si="3"/>
        <v>-7.2000000000000008E-2</v>
      </c>
      <c r="BU73" s="1345">
        <f t="shared" si="4"/>
        <v>-307.072</v>
      </c>
    </row>
    <row r="74" spans="1:73" s="1296" customFormat="1" ht="14.4" x14ac:dyDescent="0.25">
      <c r="A74" s="1336">
        <f>A65*$E$68</f>
        <v>-600</v>
      </c>
      <c r="B74" s="1336">
        <f t="shared" ref="B74:K74" si="12">B65*$E$68*$O$59</f>
        <v>-608</v>
      </c>
      <c r="C74" s="1336">
        <f t="shared" si="12"/>
        <v>-608</v>
      </c>
      <c r="D74" s="1336">
        <f t="shared" si="12"/>
        <v>-608</v>
      </c>
      <c r="E74" s="1336">
        <f t="shared" si="12"/>
        <v>-608</v>
      </c>
      <c r="F74" s="1336">
        <f t="shared" si="12"/>
        <v>-608</v>
      </c>
      <c r="G74" s="1336">
        <f t="shared" si="12"/>
        <v>-608</v>
      </c>
      <c r="H74" s="1336">
        <f t="shared" si="12"/>
        <v>-608</v>
      </c>
      <c r="I74" s="1336">
        <f t="shared" si="12"/>
        <v>-608</v>
      </c>
      <c r="J74" s="1336">
        <f t="shared" si="12"/>
        <v>-608</v>
      </c>
      <c r="K74" s="1336">
        <f t="shared" si="12"/>
        <v>-608</v>
      </c>
      <c r="L74" s="1336">
        <f t="shared" si="2"/>
        <v>-608</v>
      </c>
      <c r="M74" s="1336">
        <f t="shared" si="2"/>
        <v>-608</v>
      </c>
      <c r="N74" s="1336">
        <f>L74+INTERPOLASI!V22</f>
        <v>-609.20799999999997</v>
      </c>
      <c r="O74" s="1360">
        <f>M74+INTERPOLASI!V22</f>
        <v>-609.20799999999997</v>
      </c>
      <c r="Q74" s="1320">
        <f t="shared" si="6"/>
        <v>0</v>
      </c>
      <c r="R74" s="1321">
        <f t="shared" si="6"/>
        <v>0</v>
      </c>
      <c r="S74" s="1320">
        <f>L74-A74</f>
        <v>-8</v>
      </c>
      <c r="T74" s="1321">
        <f t="shared" si="8"/>
        <v>-8</v>
      </c>
      <c r="U74" s="1337">
        <f t="shared" si="9"/>
        <v>1.3157894736842104</v>
      </c>
      <c r="V74" s="1337">
        <f t="shared" si="9"/>
        <v>1.3131803915903928</v>
      </c>
      <c r="W74" s="1338"/>
      <c r="X74" s="1339"/>
      <c r="AA74" s="1340"/>
      <c r="AB74" s="1340"/>
      <c r="AC74" s="1346"/>
      <c r="AD74" s="1341"/>
      <c r="AE74" s="1340"/>
      <c r="AF74" s="1340"/>
      <c r="AG74" s="1342"/>
      <c r="AH74" s="1343"/>
      <c r="AI74" s="1339"/>
      <c r="AJ74" s="1339"/>
      <c r="AK74" s="1342"/>
      <c r="AL74" s="1343"/>
      <c r="AM74" s="1342"/>
      <c r="AN74" s="1343"/>
      <c r="BK74" s="1305"/>
      <c r="BL74" s="1305"/>
      <c r="BM74" s="1344" t="s">
        <v>497</v>
      </c>
      <c r="BN74" s="1227"/>
      <c r="BO74" s="1228">
        <v>-1</v>
      </c>
      <c r="BP74" s="1229">
        <v>0</v>
      </c>
      <c r="BQ74" s="1236">
        <v>0</v>
      </c>
      <c r="BR74" s="1231">
        <v>-100</v>
      </c>
      <c r="BS74" s="1232">
        <v>-0.6</v>
      </c>
      <c r="BT74" s="1233">
        <f t="shared" si="3"/>
        <v>-6.0000000000000001E-3</v>
      </c>
      <c r="BU74" s="1345">
        <f t="shared" si="4"/>
        <v>-1.006</v>
      </c>
    </row>
    <row r="75" spans="1:73" s="1296" customFormat="1" ht="14.4" x14ac:dyDescent="0.25">
      <c r="A75" s="1347"/>
      <c r="B75" s="1347"/>
      <c r="C75" s="1348"/>
      <c r="D75" s="1348"/>
      <c r="E75" s="1348"/>
      <c r="F75" s="1348"/>
      <c r="G75" s="1348"/>
      <c r="H75" s="1348"/>
      <c r="I75" s="1349"/>
      <c r="J75" s="1349"/>
      <c r="K75" s="1349"/>
      <c r="L75" s="1349"/>
      <c r="M75" s="1349"/>
      <c r="N75" s="1349"/>
      <c r="O75" s="1349"/>
      <c r="P75" s="1349"/>
      <c r="R75" s="1350"/>
      <c r="S75" s="1350"/>
      <c r="BK75" s="1305"/>
      <c r="BL75" s="1305"/>
      <c r="BM75" s="1344" t="s">
        <v>494</v>
      </c>
      <c r="BN75" s="1227"/>
      <c r="BO75" s="1228">
        <v>-190</v>
      </c>
      <c r="BP75" s="1229">
        <v>-100</v>
      </c>
      <c r="BQ75" s="1236">
        <v>-0.5</v>
      </c>
      <c r="BR75" s="1231">
        <v>-200</v>
      </c>
      <c r="BS75" s="1232">
        <v>-0.3</v>
      </c>
      <c r="BT75" s="1233">
        <f t="shared" si="3"/>
        <v>-0.32</v>
      </c>
      <c r="BU75" s="1345">
        <f t="shared" si="4"/>
        <v>-190.32</v>
      </c>
    </row>
    <row r="76" spans="1:73" s="1296" customFormat="1" x14ac:dyDescent="0.25">
      <c r="A76" s="1351" t="str">
        <f>LK!A77</f>
        <v xml:space="preserve">     B. Pengukuran Tekanan Hisap Maksimum</v>
      </c>
      <c r="B76" s="1352"/>
      <c r="C76" s="1352"/>
      <c r="D76" s="1352"/>
      <c r="E76" s="1352"/>
      <c r="F76" s="1352"/>
      <c r="G76" s="1352"/>
      <c r="H76" s="1352"/>
      <c r="I76" s="1349"/>
      <c r="J76" s="1349"/>
      <c r="K76" s="1349"/>
      <c r="L76" s="1349"/>
      <c r="M76" s="1349"/>
      <c r="N76" s="1349"/>
      <c r="O76" s="1349"/>
      <c r="P76" s="1349"/>
      <c r="S76" s="1350" t="s">
        <v>876</v>
      </c>
      <c r="U76" s="1353"/>
      <c r="BK76" s="1305"/>
      <c r="BL76" s="1305"/>
      <c r="BM76" s="1344" t="s">
        <v>495</v>
      </c>
      <c r="BN76" s="1227"/>
      <c r="BO76" s="1228">
        <v>-280</v>
      </c>
      <c r="BP76" s="1229">
        <v>-200</v>
      </c>
      <c r="BQ76" s="1236">
        <v>-0.3</v>
      </c>
      <c r="BR76" s="1231">
        <v>-300</v>
      </c>
      <c r="BS76" s="1232">
        <v>0</v>
      </c>
      <c r="BT76" s="1233">
        <f t="shared" si="3"/>
        <v>-0.06</v>
      </c>
      <c r="BU76" s="1345">
        <f t="shared" si="4"/>
        <v>-280.06</v>
      </c>
    </row>
    <row r="77" spans="1:73" s="1296" customFormat="1" ht="15.75" customHeight="1" x14ac:dyDescent="0.25">
      <c r="A77" s="1553" t="s">
        <v>176</v>
      </c>
      <c r="B77" s="1553"/>
      <c r="C77" s="1553"/>
      <c r="D77" s="1553"/>
      <c r="E77" s="1307"/>
      <c r="F77" s="1307"/>
      <c r="G77" s="1307"/>
      <c r="H77" s="1303"/>
      <c r="I77" s="1349"/>
      <c r="J77" s="1349"/>
      <c r="K77" s="1349"/>
      <c r="L77" s="1349"/>
      <c r="M77" s="1349"/>
      <c r="N77" s="1349"/>
      <c r="O77" s="1349"/>
      <c r="Q77" s="1511" t="s">
        <v>877</v>
      </c>
      <c r="R77" s="1511"/>
      <c r="S77" s="1354">
        <f t="shared" ref="S77:S84" si="13">I70</f>
        <v>-200</v>
      </c>
      <c r="T77" s="1355">
        <f>'SERTIFIKAT DPM'!AJ28</f>
        <v>-200</v>
      </c>
      <c r="U77" s="1356">
        <f>'SERTIFIKAT DPM'!AK28</f>
        <v>-0.5</v>
      </c>
      <c r="V77" s="1357">
        <f>'SERTIFIKAT DPM'!AJ29</f>
        <v>-300</v>
      </c>
      <c r="W77" s="1358">
        <f>'SERTIFIKAT DPM'!AK29</f>
        <v>-0.7</v>
      </c>
      <c r="X77" s="1359">
        <f>((((W77-U77)*(S77-T77)))/(V77-T77))+U77</f>
        <v>-0.5</v>
      </c>
      <c r="Y77" s="1360">
        <f>X77+S77</f>
        <v>-200.5</v>
      </c>
      <c r="Z77" s="1346">
        <f>M70</f>
        <v>-200</v>
      </c>
      <c r="BK77" s="1305"/>
      <c r="BL77" s="1305"/>
      <c r="BM77" s="1344" t="s">
        <v>496</v>
      </c>
      <c r="BN77" s="1227"/>
      <c r="BO77" s="1228">
        <v>-370</v>
      </c>
      <c r="BP77" s="1229">
        <v>-300</v>
      </c>
      <c r="BQ77" s="1236">
        <v>0</v>
      </c>
      <c r="BR77" s="1231">
        <v>-400</v>
      </c>
      <c r="BS77" s="1232">
        <v>0.5</v>
      </c>
      <c r="BT77" s="1233">
        <f t="shared" si="3"/>
        <v>0.35</v>
      </c>
      <c r="BU77" s="1345">
        <f t="shared" si="4"/>
        <v>-369.65</v>
      </c>
    </row>
    <row r="78" spans="1:73" s="1296" customFormat="1" ht="27.6" x14ac:dyDescent="0.25">
      <c r="A78" s="1361" t="s">
        <v>46</v>
      </c>
      <c r="B78" s="1362" t="s">
        <v>157</v>
      </c>
      <c r="C78" s="1362" t="s">
        <v>234</v>
      </c>
      <c r="D78" s="1362" t="s">
        <v>216</v>
      </c>
      <c r="E78" s="1556" t="s">
        <v>217</v>
      </c>
      <c r="F78" s="1557"/>
      <c r="G78" s="1558"/>
      <c r="H78" s="1431"/>
      <c r="I78" s="1349"/>
      <c r="J78" s="1349"/>
      <c r="K78" s="1349"/>
      <c r="L78" s="1525" t="s">
        <v>177</v>
      </c>
      <c r="M78" s="1526"/>
      <c r="N78" s="1527" t="s">
        <v>123</v>
      </c>
      <c r="O78" s="1528"/>
      <c r="S78" s="1354">
        <f t="shared" si="13"/>
        <v>-304</v>
      </c>
      <c r="T78" s="1355">
        <f>'SERTIFIKAT DPM'!AJ29</f>
        <v>-300</v>
      </c>
      <c r="U78" s="1356">
        <f>'SERTIFIKAT DPM'!AK29</f>
        <v>-0.7</v>
      </c>
      <c r="V78" s="1357">
        <f>'SERTIFIKAT DPM'!AJ30</f>
        <v>-400</v>
      </c>
      <c r="W78" s="1358">
        <f>'SERTIFIKAT DPM'!AK30</f>
        <v>-0.9</v>
      </c>
      <c r="X78" s="1359">
        <f t="shared" ref="X78:X85" si="14">((((W78-U78)*(S78-T78)))/(V78-T78))+U78</f>
        <v>-0.70799999999999996</v>
      </c>
      <c r="Y78" s="1360">
        <f t="shared" ref="Y78:Y85" si="15">X78+S78</f>
        <v>-304.70800000000003</v>
      </c>
      <c r="Z78" s="1346">
        <f t="shared" ref="Z78:Z84" si="16">M71</f>
        <v>-304</v>
      </c>
      <c r="BK78" s="1305"/>
      <c r="BL78" s="1305"/>
      <c r="BM78" s="1344" t="s">
        <v>496</v>
      </c>
      <c r="BN78" s="1227"/>
      <c r="BO78" s="1228">
        <v>-307</v>
      </c>
      <c r="BP78" s="1229">
        <v>-300</v>
      </c>
      <c r="BQ78" s="1236">
        <v>0</v>
      </c>
      <c r="BR78" s="1231">
        <v>-400</v>
      </c>
      <c r="BS78" s="1232">
        <v>0.5</v>
      </c>
      <c r="BT78" s="1233">
        <f t="shared" si="3"/>
        <v>3.5000000000000003E-2</v>
      </c>
      <c r="BU78" s="1345">
        <f t="shared" si="4"/>
        <v>-306.96499999999997</v>
      </c>
    </row>
    <row r="79" spans="1:73" s="1296" customFormat="1" ht="38.25" customHeight="1" x14ac:dyDescent="0.25">
      <c r="A79" s="1363" t="s">
        <v>218</v>
      </c>
      <c r="B79" s="1414">
        <v>620</v>
      </c>
      <c r="C79" s="1363">
        <f>B79*E68*N79</f>
        <v>-620</v>
      </c>
      <c r="D79" s="1336">
        <f>C79+INTERPOLASI!AJ18</f>
        <v>-621.22</v>
      </c>
      <c r="E79" s="1559" t="s">
        <v>912</v>
      </c>
      <c r="F79" s="1560"/>
      <c r="G79" s="1561"/>
      <c r="H79" s="1348"/>
      <c r="I79" s="1349"/>
      <c r="J79" s="1349"/>
      <c r="K79" s="1349"/>
      <c r="L79" s="1534" t="s">
        <v>301</v>
      </c>
      <c r="M79" s="1525"/>
      <c r="N79" s="1532">
        <f>HLOOKUP(L79,'KONVERSI SATUAN'!I41:I54,MATCH(N78,'KONVERSI SATUAN'!H41:H54,0)+0,FALSE)</f>
        <v>1</v>
      </c>
      <c r="O79" s="1533"/>
      <c r="S79" s="1354">
        <f t="shared" si="13"/>
        <v>-400</v>
      </c>
      <c r="T79" s="1355">
        <f>'SERTIFIKAT DPM'!AJ30</f>
        <v>-400</v>
      </c>
      <c r="U79" s="1356">
        <f>'SERTIFIKAT DPM'!AK30</f>
        <v>-0.9</v>
      </c>
      <c r="V79" s="1357">
        <f>'SERTIFIKAT DPM'!AJ31</f>
        <v>-500</v>
      </c>
      <c r="W79" s="1358">
        <f>'SERTIFIKAT DPM'!AK31</f>
        <v>-1.1000000000000001</v>
      </c>
      <c r="X79" s="1359">
        <f t="shared" si="14"/>
        <v>-0.9</v>
      </c>
      <c r="Y79" s="1360">
        <f t="shared" si="15"/>
        <v>-400.9</v>
      </c>
      <c r="Z79" s="1346">
        <f t="shared" si="16"/>
        <v>-400</v>
      </c>
      <c r="BK79" s="1305"/>
      <c r="BL79" s="1305"/>
      <c r="BM79" s="1344" t="s">
        <v>497</v>
      </c>
      <c r="BN79" s="1227"/>
      <c r="BO79" s="1228">
        <v>-1</v>
      </c>
      <c r="BP79" s="1229">
        <v>0</v>
      </c>
      <c r="BQ79" s="1236">
        <v>0</v>
      </c>
      <c r="BR79" s="1231">
        <v>-100</v>
      </c>
      <c r="BS79" s="1232">
        <v>-0.5</v>
      </c>
      <c r="BT79" s="1233">
        <f t="shared" si="3"/>
        <v>-5.0000000000000001E-3</v>
      </c>
      <c r="BU79" s="1345">
        <f t="shared" si="4"/>
        <v>-1.0049999999999999</v>
      </c>
    </row>
    <row r="80" spans="1:73" s="1296" customFormat="1" x14ac:dyDescent="0.25">
      <c r="A80" s="1201" t="s">
        <v>11</v>
      </c>
      <c r="B80" s="1192" t="s">
        <v>0</v>
      </c>
      <c r="C80" s="1555" t="s">
        <v>253</v>
      </c>
      <c r="D80" s="1555"/>
      <c r="E80" s="1555"/>
      <c r="F80" s="1349"/>
      <c r="G80" s="1364"/>
      <c r="H80" s="1364"/>
      <c r="I80" s="1349"/>
      <c r="J80" s="1349"/>
      <c r="K80" s="1349"/>
      <c r="L80" s="1349"/>
      <c r="M80" s="1349"/>
      <c r="N80" s="1349"/>
      <c r="O80" s="1349"/>
      <c r="P80" s="1349"/>
      <c r="S80" s="1354">
        <f t="shared" si="13"/>
        <v>-504</v>
      </c>
      <c r="T80" s="1355">
        <f>'SERTIFIKAT DPM'!AJ31</f>
        <v>-500</v>
      </c>
      <c r="U80" s="1356">
        <f>'SERTIFIKAT DPM'!AK31</f>
        <v>-1.1000000000000001</v>
      </c>
      <c r="V80" s="1357">
        <f>'SERTIFIKAT DPM'!AJ32</f>
        <v>-600</v>
      </c>
      <c r="W80" s="1358">
        <f>'SERTIFIKAT DPM'!AK32</f>
        <v>-1.2</v>
      </c>
      <c r="X80" s="1359">
        <f t="shared" si="14"/>
        <v>-1.1040000000000001</v>
      </c>
      <c r="Y80" s="1360">
        <f t="shared" si="15"/>
        <v>-505.10399999999998</v>
      </c>
      <c r="Z80" s="1346">
        <f t="shared" si="16"/>
        <v>-504</v>
      </c>
      <c r="BK80" s="1305"/>
      <c r="BL80" s="1305"/>
    </row>
    <row r="81" spans="1:73" s="1296" customFormat="1" ht="12.75" hidden="1" customHeight="1" x14ac:dyDescent="0.25">
      <c r="A81" s="1365"/>
      <c r="B81" s="1364"/>
      <c r="C81" s="1364"/>
      <c r="D81" s="1364"/>
      <c r="E81" s="1364"/>
      <c r="F81" s="1364"/>
      <c r="G81" s="1364"/>
      <c r="H81" s="1364"/>
      <c r="I81" s="1349"/>
      <c r="J81" s="1349"/>
      <c r="K81" s="1349"/>
      <c r="L81" s="1349"/>
      <c r="M81" s="1349"/>
      <c r="N81" s="1349"/>
      <c r="O81" s="1349"/>
      <c r="P81" s="1349"/>
      <c r="S81" s="1354">
        <f t="shared" si="13"/>
        <v>-608</v>
      </c>
      <c r="T81" s="1366"/>
      <c r="U81" s="1367"/>
      <c r="V81" s="1368"/>
      <c r="W81" s="1367"/>
      <c r="X81" s="1359"/>
      <c r="Y81" s="1360"/>
      <c r="Z81" s="1346">
        <f t="shared" si="16"/>
        <v>-608</v>
      </c>
      <c r="BK81" s="1305"/>
      <c r="BL81" s="1305"/>
    </row>
    <row r="82" spans="1:73" s="1296" customFormat="1" ht="12.75" hidden="1" customHeight="1" x14ac:dyDescent="0.25">
      <c r="A82" s="1365"/>
      <c r="B82" s="1364"/>
      <c r="C82" s="1364"/>
      <c r="D82" s="1364"/>
      <c r="E82" s="1364"/>
      <c r="F82" s="1364"/>
      <c r="G82" s="1364"/>
      <c r="H82" s="1364"/>
      <c r="I82" s="1349"/>
      <c r="J82" s="1349"/>
      <c r="K82" s="1349"/>
      <c r="L82" s="1349"/>
      <c r="M82" s="1349"/>
      <c r="N82" s="1349"/>
      <c r="O82" s="1349"/>
      <c r="P82" s="1349"/>
      <c r="S82" s="1354">
        <f t="shared" si="13"/>
        <v>0</v>
      </c>
      <c r="T82" s="1366"/>
      <c r="U82" s="1367"/>
      <c r="V82" s="1368"/>
      <c r="W82" s="1367"/>
      <c r="X82" s="1359"/>
      <c r="Y82" s="1360"/>
      <c r="Z82" s="1346">
        <f t="shared" si="16"/>
        <v>0</v>
      </c>
      <c r="BK82" s="1305"/>
      <c r="BL82" s="1305"/>
    </row>
    <row r="83" spans="1:73" s="1296" customFormat="1" ht="13.8" hidden="1" x14ac:dyDescent="0.25">
      <c r="A83" s="1365"/>
      <c r="B83" s="1364"/>
      <c r="C83" s="1364"/>
      <c r="D83" s="1364"/>
      <c r="E83" s="1364"/>
      <c r="F83" s="1364"/>
      <c r="G83" s="1364"/>
      <c r="H83" s="1364"/>
      <c r="I83" s="1349"/>
      <c r="J83" s="1349"/>
      <c r="K83" s="1349"/>
      <c r="L83" s="1349"/>
      <c r="M83" s="1349"/>
      <c r="N83" s="1349"/>
      <c r="O83" s="1349"/>
      <c r="P83" s="1349"/>
      <c r="S83" s="1354">
        <f t="shared" si="13"/>
        <v>0</v>
      </c>
      <c r="T83" s="1366"/>
      <c r="U83" s="1367"/>
      <c r="V83" s="1368"/>
      <c r="W83" s="1367"/>
      <c r="X83" s="1359"/>
      <c r="Y83" s="1360"/>
      <c r="Z83" s="1346">
        <f t="shared" si="16"/>
        <v>0</v>
      </c>
      <c r="BK83" s="1305"/>
      <c r="BL83" s="1305"/>
    </row>
    <row r="84" spans="1:73" s="1296" customFormat="1" ht="13.8" hidden="1" x14ac:dyDescent="0.25">
      <c r="A84" s="1364"/>
      <c r="B84" s="1364"/>
      <c r="C84" s="1364"/>
      <c r="D84" s="1364"/>
      <c r="E84" s="1364"/>
      <c r="F84" s="1364"/>
      <c r="G84" s="1364"/>
      <c r="H84" s="1364"/>
      <c r="I84" s="1349"/>
      <c r="J84" s="1349"/>
      <c r="K84" s="1349"/>
      <c r="L84" s="1349"/>
      <c r="M84" s="1349"/>
      <c r="N84" s="1349"/>
      <c r="O84" s="1349"/>
      <c r="P84" s="1349"/>
      <c r="S84" s="1354">
        <f t="shared" si="13"/>
        <v>0</v>
      </c>
      <c r="T84" s="1366"/>
      <c r="U84" s="1367"/>
      <c r="V84" s="1368"/>
      <c r="W84" s="1367"/>
      <c r="X84" s="1359"/>
      <c r="Y84" s="1360"/>
      <c r="Z84" s="1346">
        <f t="shared" si="16"/>
        <v>0</v>
      </c>
      <c r="BK84" s="1305"/>
      <c r="BL84" s="1305"/>
    </row>
    <row r="85" spans="1:73" ht="15.75" customHeight="1" x14ac:dyDescent="0.25">
      <c r="A85" s="1250" t="s">
        <v>190</v>
      </c>
      <c r="P85" s="1369" t="s">
        <v>274</v>
      </c>
      <c r="Q85" s="1370" t="s">
        <v>273</v>
      </c>
      <c r="S85" s="1354">
        <f>I74</f>
        <v>-608</v>
      </c>
      <c r="T85" s="1371">
        <f>'SERTIFIKAT DPM'!AJ32</f>
        <v>-600</v>
      </c>
      <c r="U85" s="1372">
        <f>'SERTIFIKAT DPM'!AK32</f>
        <v>-1.2</v>
      </c>
      <c r="V85" s="1373">
        <f>'SERTIFIKAT DPM'!AJ33</f>
        <v>-700</v>
      </c>
      <c r="W85" s="1374">
        <f>'SERTIFIKAT DPM'!AK33</f>
        <v>-1.3</v>
      </c>
      <c r="X85" s="1359">
        <f t="shared" si="14"/>
        <v>-1.208</v>
      </c>
      <c r="Y85" s="1360">
        <f t="shared" si="15"/>
        <v>-609.20799999999997</v>
      </c>
      <c r="Z85" s="1346">
        <f>M74</f>
        <v>-608</v>
      </c>
      <c r="BK85" s="1225" t="s">
        <v>493</v>
      </c>
      <c r="BL85" s="1235" t="s">
        <v>499</v>
      </c>
      <c r="BM85" s="1344" t="s">
        <v>500</v>
      </c>
      <c r="BN85" s="1227"/>
      <c r="BO85" s="1228">
        <v>-500</v>
      </c>
      <c r="BP85" s="1229">
        <v>-500</v>
      </c>
      <c r="BQ85" s="1236">
        <v>0.7</v>
      </c>
      <c r="BR85" s="1231">
        <v>-600</v>
      </c>
      <c r="BS85" s="1232">
        <v>0.7</v>
      </c>
      <c r="BT85" s="1233">
        <f>((((BS85-BQ85)*(BO85-BP85)))/(BR85-BP85))+BQ85</f>
        <v>0.7</v>
      </c>
      <c r="BU85" s="1375">
        <f>BO85+BT85</f>
        <v>-499.3</v>
      </c>
    </row>
    <row r="86" spans="1:73" ht="15.75" customHeight="1" x14ac:dyDescent="0.25">
      <c r="A86" s="1554" t="str">
        <f>T37</f>
        <v/>
      </c>
      <c r="B86" s="1554"/>
      <c r="C86" s="1554"/>
      <c r="D86" s="1554"/>
      <c r="E86" s="1554"/>
      <c r="F86" s="1554"/>
      <c r="P86" s="1536" t="str">
        <f ca="1">IF(Q86&gt;=70,"HIJAU","MERAH")</f>
        <v>HIJAU</v>
      </c>
      <c r="Q86" s="1536">
        <f ca="1">PENYELIA!K81</f>
        <v>100</v>
      </c>
      <c r="R86" s="1509"/>
      <c r="S86" s="1376"/>
      <c r="X86" s="1377"/>
      <c r="Y86" s="1346"/>
    </row>
    <row r="87" spans="1:73" ht="15.75" customHeight="1" x14ac:dyDescent="0.25">
      <c r="A87" s="1554"/>
      <c r="B87" s="1554"/>
      <c r="C87" s="1554"/>
      <c r="D87" s="1554"/>
      <c r="E87" s="1554"/>
      <c r="F87" s="1401"/>
      <c r="P87" s="1537"/>
      <c r="Q87" s="1537"/>
      <c r="R87" s="1509"/>
      <c r="X87" s="1377"/>
      <c r="Y87" s="1346"/>
    </row>
    <row r="88" spans="1:73" ht="9.4499999999999993" customHeight="1" x14ac:dyDescent="0.25">
      <c r="A88" s="1378"/>
      <c r="B88" s="1378"/>
      <c r="C88" s="1378"/>
      <c r="D88" s="1379"/>
      <c r="E88" s="1379"/>
      <c r="R88" s="1380" t="s">
        <v>95</v>
      </c>
      <c r="S88" s="1380"/>
      <c r="X88" s="1377"/>
      <c r="Y88" s="1346"/>
    </row>
    <row r="89" spans="1:73" ht="9.4499999999999993" customHeight="1" x14ac:dyDescent="0.25">
      <c r="A89" s="1378"/>
      <c r="B89" s="1378"/>
      <c r="C89" s="1378"/>
      <c r="D89" s="1379"/>
      <c r="E89" s="1379"/>
      <c r="Q89" s="1247" t="s">
        <v>878</v>
      </c>
      <c r="S89" s="1381">
        <f>L70</f>
        <v>-200</v>
      </c>
      <c r="T89" s="1382">
        <f>'SERTIFIKAT DPM'!AJ28</f>
        <v>-200</v>
      </c>
      <c r="U89" s="1383">
        <f>'SERTIFIKAT DPM'!AP28</f>
        <v>-0.5</v>
      </c>
      <c r="V89" s="1384">
        <f>'SERTIFIKAT DPM'!AJ29</f>
        <v>-300</v>
      </c>
      <c r="W89" s="1385">
        <f>'SERTIFIKAT DPM'!AP29</f>
        <v>-0.7</v>
      </c>
      <c r="X89" s="1386">
        <f t="shared" ref="X89:X97" si="17">((((W89-U89)*(S89-T89)))/(V89-T89))+U89</f>
        <v>-0.5</v>
      </c>
      <c r="Y89" s="1387">
        <f>X89+S89</f>
        <v>-200.5</v>
      </c>
      <c r="Z89" s="1341">
        <f>N70</f>
        <v>-200.5</v>
      </c>
      <c r="AA89" s="1388"/>
    </row>
    <row r="90" spans="1:73" ht="15.75" customHeight="1" x14ac:dyDescent="0.25">
      <c r="A90" s="1201" t="s">
        <v>335</v>
      </c>
      <c r="S90" s="1381">
        <f>L71</f>
        <v>-304</v>
      </c>
      <c r="T90" s="1382">
        <f>'SERTIFIKAT DPM'!AJ29</f>
        <v>-300</v>
      </c>
      <c r="U90" s="1383">
        <f>'SERTIFIKAT DPM'!AP29</f>
        <v>-0.7</v>
      </c>
      <c r="V90" s="1384">
        <f>'SERTIFIKAT DPM'!AJ30</f>
        <v>-400</v>
      </c>
      <c r="W90" s="1385">
        <f>'SERTIFIKAT DPM'!AP30</f>
        <v>-0.9</v>
      </c>
      <c r="X90" s="1386">
        <f t="shared" si="17"/>
        <v>-0.70799999999999996</v>
      </c>
      <c r="Y90" s="1387">
        <f>X90+S90</f>
        <v>-304.70800000000003</v>
      </c>
      <c r="Z90" s="1341">
        <f>N71</f>
        <v>-304.70800000000003</v>
      </c>
      <c r="AA90" s="1388"/>
    </row>
    <row r="91" spans="1:73" ht="15.75" customHeight="1" x14ac:dyDescent="0.25">
      <c r="A91" s="1524" t="s">
        <v>379</v>
      </c>
      <c r="B91" s="1524"/>
      <c r="C91" s="1524"/>
      <c r="D91" s="1524"/>
      <c r="E91" s="1524"/>
      <c r="F91" s="1524"/>
      <c r="G91" s="1524"/>
      <c r="H91" s="1524"/>
      <c r="I91" s="1524"/>
      <c r="J91" s="1407"/>
      <c r="K91" s="1407"/>
      <c r="S91" s="1381">
        <f>L72</f>
        <v>-400</v>
      </c>
      <c r="T91" s="1382">
        <f>'SERTIFIKAT DPM'!AJ30</f>
        <v>-400</v>
      </c>
      <c r="U91" s="1383">
        <f>'SERTIFIKAT DPM'!AP30</f>
        <v>-0.9</v>
      </c>
      <c r="V91" s="1384">
        <f>'SERTIFIKAT DPM'!AJ31</f>
        <v>-500</v>
      </c>
      <c r="W91" s="1385">
        <f>'SERTIFIKAT DPM'!AP31</f>
        <v>-1.1000000000000001</v>
      </c>
      <c r="X91" s="1386">
        <f t="shared" si="17"/>
        <v>-0.9</v>
      </c>
      <c r="Y91" s="1387">
        <f>X91+S91</f>
        <v>-400.9</v>
      </c>
      <c r="Z91" s="1341">
        <f>N72</f>
        <v>-400.9</v>
      </c>
      <c r="AA91" s="1388"/>
    </row>
    <row r="92" spans="1:73" ht="15.75" customHeight="1" x14ac:dyDescent="0.25">
      <c r="A92" s="1523" t="s">
        <v>370</v>
      </c>
      <c r="B92" s="1523"/>
      <c r="C92" s="1523"/>
      <c r="D92" s="1523"/>
      <c r="E92" s="1523"/>
      <c r="F92" s="1523"/>
      <c r="G92" s="1523"/>
      <c r="H92" s="1523"/>
      <c r="I92" s="1523"/>
      <c r="J92" s="1415"/>
      <c r="K92" s="1415"/>
      <c r="S92" s="1381">
        <f>L73</f>
        <v>-504</v>
      </c>
      <c r="T92" s="1382">
        <f>'SERTIFIKAT DPM'!AJ31</f>
        <v>-500</v>
      </c>
      <c r="U92" s="1383">
        <f>'SERTIFIKAT DPM'!AP31</f>
        <v>-1.1000000000000001</v>
      </c>
      <c r="V92" s="1384">
        <f>'SERTIFIKAT DPM'!AJ32</f>
        <v>-600</v>
      </c>
      <c r="W92" s="1385">
        <f>'SERTIFIKAT DPM'!AP32</f>
        <v>-1.2</v>
      </c>
      <c r="X92" s="1386">
        <f t="shared" si="17"/>
        <v>-1.1040000000000001</v>
      </c>
      <c r="Y92" s="1387">
        <f>X92+S92</f>
        <v>-505.10399999999998</v>
      </c>
      <c r="Z92" s="1341">
        <f>N73</f>
        <v>-505.10399999999998</v>
      </c>
      <c r="AA92" s="1388"/>
    </row>
    <row r="93" spans="1:73" ht="19.5" customHeight="1" x14ac:dyDescent="0.25">
      <c r="A93" s="1552" t="s">
        <v>424</v>
      </c>
      <c r="B93" s="1552"/>
      <c r="C93" s="1552"/>
      <c r="D93" s="1552"/>
      <c r="E93" s="1552"/>
      <c r="F93" s="1552"/>
      <c r="G93" s="1552"/>
      <c r="H93" s="1552"/>
      <c r="I93" s="1552"/>
      <c r="J93" s="1194"/>
      <c r="K93" s="1194"/>
      <c r="R93" s="1389"/>
      <c r="S93" s="1381">
        <f>L74</f>
        <v>-608</v>
      </c>
      <c r="T93" s="1382">
        <f>'SERTIFIKAT DPM'!AJ32</f>
        <v>-600</v>
      </c>
      <c r="U93" s="1383">
        <f>'SERTIFIKAT DPM'!AP32</f>
        <v>-1.2</v>
      </c>
      <c r="V93" s="1384">
        <f>'SERTIFIKAT DPM'!AJ33</f>
        <v>-700</v>
      </c>
      <c r="W93" s="1385">
        <f>'SERTIFIKAT DPM'!AP33</f>
        <v>-1.3</v>
      </c>
      <c r="X93" s="1386">
        <f t="shared" si="17"/>
        <v>-1.208</v>
      </c>
      <c r="Y93" s="1387">
        <f>X93+S93</f>
        <v>-609.20799999999997</v>
      </c>
      <c r="Z93" s="1341">
        <f>N74</f>
        <v>-609.20799999999997</v>
      </c>
      <c r="AA93" s="1388"/>
    </row>
    <row r="94" spans="1:73" ht="16.5" customHeight="1" x14ac:dyDescent="0.25">
      <c r="A94" s="1378"/>
      <c r="B94" s="1378"/>
      <c r="C94" s="1378"/>
      <c r="D94" s="1379"/>
      <c r="E94" s="1379"/>
      <c r="R94" s="1335"/>
      <c r="S94" s="1335"/>
      <c r="T94" s="1328"/>
      <c r="U94" s="1335"/>
      <c r="V94" s="1335"/>
      <c r="W94" s="1250"/>
      <c r="X94" s="1390"/>
      <c r="Y94" s="1391"/>
    </row>
    <row r="95" spans="1:73" x14ac:dyDescent="0.25">
      <c r="R95" s="1349"/>
      <c r="S95" s="1349"/>
      <c r="T95" s="1349"/>
      <c r="U95" s="1349"/>
      <c r="V95" s="1349"/>
      <c r="X95" s="1390"/>
      <c r="Y95" s="1391"/>
    </row>
    <row r="96" spans="1:73" x14ac:dyDescent="0.25">
      <c r="R96" s="1349"/>
      <c r="S96" s="1349"/>
      <c r="T96" s="1349"/>
      <c r="U96" s="1349"/>
      <c r="V96" s="1349"/>
      <c r="X96" s="1390"/>
      <c r="Y96" s="1391"/>
    </row>
    <row r="97" spans="1:26" x14ac:dyDescent="0.25">
      <c r="Q97" s="1247" t="s">
        <v>879</v>
      </c>
      <c r="R97" s="1349"/>
      <c r="S97" s="1392">
        <f>C79</f>
        <v>-620</v>
      </c>
      <c r="T97" s="1393">
        <f>'SERTIFIKAT DPM'!AJ15</f>
        <v>-500</v>
      </c>
      <c r="U97" s="1394">
        <f>'SERTIFIKAT DPM'!AK15</f>
        <v>-1.1000000000000001</v>
      </c>
      <c r="V97" s="1395">
        <f>'SERTIFIKAT DPM'!AJ16</f>
        <v>-600</v>
      </c>
      <c r="W97" s="1374">
        <f>'SERTIFIKAT DPM'!AK16</f>
        <v>-1.2</v>
      </c>
      <c r="X97" s="1386">
        <f t="shared" si="17"/>
        <v>-1.22</v>
      </c>
      <c r="Y97" s="1387">
        <f>X97+S97</f>
        <v>-621.22</v>
      </c>
      <c r="Z97" s="1396">
        <f>D79</f>
        <v>-621.22</v>
      </c>
    </row>
    <row r="98" spans="1:26" x14ac:dyDescent="0.25">
      <c r="R98" s="1349"/>
      <c r="S98" s="1349"/>
      <c r="T98" s="1349"/>
      <c r="U98" s="1349"/>
      <c r="V98" s="1349"/>
      <c r="Y98" s="1340"/>
    </row>
    <row r="99" spans="1:26" x14ac:dyDescent="0.25">
      <c r="R99" s="1349"/>
      <c r="S99" s="1349"/>
      <c r="T99" s="1349"/>
      <c r="U99" s="1349"/>
      <c r="V99" s="1349"/>
      <c r="Y99" s="1340"/>
    </row>
    <row r="100" spans="1:26" x14ac:dyDescent="0.25">
      <c r="R100" s="1349"/>
      <c r="S100" s="1349"/>
      <c r="T100" s="1349"/>
      <c r="U100" s="1349"/>
      <c r="V100" s="1349"/>
      <c r="Y100" s="1340"/>
    </row>
    <row r="101" spans="1:26" x14ac:dyDescent="0.25">
      <c r="R101" s="1349"/>
      <c r="S101" s="1349"/>
      <c r="T101" s="1349"/>
      <c r="U101" s="1349"/>
      <c r="V101" s="1349"/>
      <c r="Y101" s="1340"/>
    </row>
    <row r="102" spans="1:26" x14ac:dyDescent="0.25">
      <c r="R102" s="1349"/>
      <c r="S102" s="1349"/>
      <c r="T102" s="1349"/>
      <c r="U102" s="1349"/>
      <c r="V102" s="1349"/>
      <c r="Y102" s="1376"/>
    </row>
    <row r="103" spans="1:26" x14ac:dyDescent="0.25">
      <c r="R103" s="1349"/>
      <c r="S103" s="1349"/>
      <c r="T103" s="1349"/>
      <c r="U103" s="1349"/>
      <c r="V103" s="1349"/>
      <c r="W103" s="1397"/>
      <c r="X103" s="1397"/>
      <c r="Y103" s="1397"/>
    </row>
    <row r="104" spans="1:26" x14ac:dyDescent="0.25">
      <c r="R104" s="1349"/>
      <c r="S104" s="1349"/>
      <c r="T104" s="1349"/>
      <c r="U104" s="1349"/>
      <c r="V104" s="1349"/>
    </row>
    <row r="105" spans="1:26" x14ac:dyDescent="0.25">
      <c r="R105" s="1349"/>
      <c r="S105" s="1349"/>
      <c r="T105" s="1349"/>
      <c r="U105" s="1349"/>
      <c r="V105" s="1349"/>
    </row>
    <row r="106" spans="1:26" x14ac:dyDescent="0.25">
      <c r="A106" s="1029" t="s">
        <v>343</v>
      </c>
    </row>
  </sheetData>
  <sheetProtection formatCells="0" formatColumns="0" formatRows="0" insertColumns="0" insertRows="0" deleteColumns="0" deleteRows="0"/>
  <mergeCells count="84">
    <mergeCell ref="Q77:R77"/>
    <mergeCell ref="N35:O35"/>
    <mergeCell ref="M67:M68"/>
    <mergeCell ref="O67:O68"/>
    <mergeCell ref="T67:T69"/>
    <mergeCell ref="A1:O1"/>
    <mergeCell ref="A67:A69"/>
    <mergeCell ref="L67:L68"/>
    <mergeCell ref="M65:N65"/>
    <mergeCell ref="M64:N64"/>
    <mergeCell ref="M62:N62"/>
    <mergeCell ref="M61:N61"/>
    <mergeCell ref="M60:N60"/>
    <mergeCell ref="M59:N59"/>
    <mergeCell ref="M63:N63"/>
    <mergeCell ref="A58:D58"/>
    <mergeCell ref="G58:I58"/>
    <mergeCell ref="L34:M34"/>
    <mergeCell ref="N37:O37"/>
    <mergeCell ref="N36:O36"/>
    <mergeCell ref="C9:D9"/>
    <mergeCell ref="A93:I93"/>
    <mergeCell ref="C12:E12"/>
    <mergeCell ref="A77:D77"/>
    <mergeCell ref="A87:E87"/>
    <mergeCell ref="A86:F86"/>
    <mergeCell ref="C80:E80"/>
    <mergeCell ref="E78:G78"/>
    <mergeCell ref="E79:G79"/>
    <mergeCell ref="A46:F46"/>
    <mergeCell ref="G46:I46"/>
    <mergeCell ref="B60:L60"/>
    <mergeCell ref="B67:K67"/>
    <mergeCell ref="G34:J34"/>
    <mergeCell ref="H35:J35"/>
    <mergeCell ref="H36:J36"/>
    <mergeCell ref="H37:J37"/>
    <mergeCell ref="C8:D8"/>
    <mergeCell ref="A35:F35"/>
    <mergeCell ref="A36:F36"/>
    <mergeCell ref="A37:F37"/>
    <mergeCell ref="C26:E26"/>
    <mergeCell ref="C27:E27"/>
    <mergeCell ref="A34:D34"/>
    <mergeCell ref="AA21:AC21"/>
    <mergeCell ref="A92:I92"/>
    <mergeCell ref="A91:I91"/>
    <mergeCell ref="L78:M78"/>
    <mergeCell ref="N78:O78"/>
    <mergeCell ref="X67:X69"/>
    <mergeCell ref="T37:X37"/>
    <mergeCell ref="N79:O79"/>
    <mergeCell ref="L79:M79"/>
    <mergeCell ref="N34:O34"/>
    <mergeCell ref="U67:U69"/>
    <mergeCell ref="V67:V69"/>
    <mergeCell ref="N67:N68"/>
    <mergeCell ref="Q67:Q69"/>
    <mergeCell ref="P86:P87"/>
    <mergeCell ref="Q86:Q87"/>
    <mergeCell ref="R86:R87"/>
    <mergeCell ref="R67:R69"/>
    <mergeCell ref="S67:S69"/>
    <mergeCell ref="AB35:AJ35"/>
    <mergeCell ref="AL67:AL69"/>
    <mergeCell ref="AB67:AB68"/>
    <mergeCell ref="AE67:AE68"/>
    <mergeCell ref="AF67:AF68"/>
    <mergeCell ref="AD67:AD68"/>
    <mergeCell ref="AC67:AC68"/>
    <mergeCell ref="AB38:AJ38"/>
    <mergeCell ref="AB36:AJ36"/>
    <mergeCell ref="AB37:AJ37"/>
    <mergeCell ref="AA67:AA68"/>
    <mergeCell ref="U58:U60"/>
    <mergeCell ref="W67:W69"/>
    <mergeCell ref="V58:V60"/>
    <mergeCell ref="AM67:AM69"/>
    <mergeCell ref="AN67:AN69"/>
    <mergeCell ref="AG67:AG69"/>
    <mergeCell ref="AH67:AH69"/>
    <mergeCell ref="AI67:AI69"/>
    <mergeCell ref="AJ67:AJ69"/>
    <mergeCell ref="AK67:AK69"/>
  </mergeCells>
  <phoneticPr fontId="8" type="noConversion"/>
  <dataValidations count="5">
    <dataValidation type="list" allowBlank="1" showInputMessage="1" showErrorMessage="1" sqref="C30:C32 C38:C43" xr:uid="{00000000-0002-0000-0200-000000000000}">
      <formula1>$Y$1:$Y$2</formula1>
    </dataValidation>
    <dataValidation type="list" allowBlank="1" showInputMessage="1" showErrorMessage="1" sqref="L16:L17" xr:uid="{00000000-0002-0000-0200-000001000000}">
      <formula1>$HQ$1:$HQ$12</formula1>
    </dataValidation>
    <dataValidation type="list" allowBlank="1" showInputMessage="1" showErrorMessage="1" sqref="C12:E12" xr:uid="{00000000-0002-0000-0200-000002000000}">
      <formula1>$P$8:$P$9</formula1>
    </dataValidation>
    <dataValidation type="list" allowBlank="1" showInputMessage="1" sqref="A87" xr:uid="{00000000-0002-0000-0200-00000B000000}">
      <formula1>$T$38:$T$39</formula1>
    </dataValidation>
    <dataValidation allowBlank="1" showInputMessage="1" sqref="B2:F2 I2:O2" xr:uid="{2927AEB1-CC24-4C63-A736-33BDFD899966}"/>
  </dataValidations>
  <printOptions horizontalCentered="1"/>
  <pageMargins left="0.511811023622047" right="0.23622047244094499" top="0.74803149606299202" bottom="0.23622047244094499" header="0.23622047244094499" footer="0.23622047244094499"/>
  <pageSetup paperSize="9" scale="55" orientation="portrait" horizontalDpi="4294967294" r:id="rId1"/>
  <headerFooter>
    <oddHeader>&amp;R&amp;"-,Regular"&amp;8T.ID 046-18/REV:1</oddHeader>
    <oddFooter>&amp;R&amp;8&amp;K00-032Software Suction Pump 2018</oddFooter>
  </headerFooter>
  <legacyDrawing r:id="rId2"/>
  <extLst>
    <ext xmlns:x14="http://schemas.microsoft.com/office/spreadsheetml/2009/9/main" uri="{CCE6A557-97BC-4b89-ADB6-D9C93CAAB3DF}">
      <x14:dataValidations xmlns:xm="http://schemas.microsoft.com/office/excel/2006/main" count="10">
        <x14:dataValidation type="list" allowBlank="1" showInputMessage="1" xr:uid="{00000000-0002-0000-0200-000003000000}">
          <x14:formula1>
            <xm:f>KETERANGAN!$F$8:$F$9</xm:f>
          </x14:formula1>
          <xm:sqref>P2:P4</xm:sqref>
        </x14:dataValidation>
        <x14:dataValidation type="list" allowBlank="1" showInputMessage="1" showErrorMessage="1" xr:uid="{00000000-0002-0000-0200-000006000000}">
          <x14:formula1>
            <xm:f>'KONVERSI SATUAN'!$H$22:$H$30</xm:f>
          </x14:formula1>
          <xm:sqref>I59:K59 F59</xm:sqref>
        </x14:dataValidation>
        <x14:dataValidation type="list" allowBlank="1" showInputMessage="1" showErrorMessage="1" xr:uid="{00000000-0002-0000-0200-000008000000}">
          <x14:formula1>
            <xm:f>KETERANGAN!$F$12:$F$13</xm:f>
          </x14:formula1>
          <xm:sqref>A37:F37</xm:sqref>
        </x14:dataValidation>
        <x14:dataValidation type="list" allowBlank="1" showInputMessage="1" showErrorMessage="1" xr:uid="{00000000-0002-0000-0200-00000D000000}">
          <x14:formula1>
            <xm:f>'KONVERSI SATUAN'!$H$43:$H$54</xm:f>
          </x14:formula1>
          <xm:sqref>N78:O78</xm:sqref>
        </x14:dataValidation>
        <x14:dataValidation type="list" allowBlank="1" showInputMessage="1" showErrorMessage="1" xr:uid="{00000000-0002-0000-0200-000005000000}">
          <x14:formula1>
            <xm:f>'KONVERSI SATUAN'!$H$22:$H$36</xm:f>
          </x14:formula1>
          <xm:sqref>D59</xm:sqref>
        </x14:dataValidation>
        <x14:dataValidation type="list" allowBlank="1" showInputMessage="1" showErrorMessage="1" xr:uid="{7EEAEDC7-EFFE-47CB-8FE3-D53F86DADDE0}">
          <x14:formula1>
            <xm:f>KETERANGAN!$F$149:$F$150</xm:f>
          </x14:formula1>
          <xm:sqref>A36:F36</xm:sqref>
        </x14:dataValidation>
        <x14:dataValidation type="list" allowBlank="1" showInputMessage="1" showErrorMessage="1" xr:uid="{00000000-0002-0000-0200-00000A000000}">
          <x14:formula1>
            <xm:f>'SERTIFIKAT THERMOHYGROMETER'!$AG$3:$AG$14</xm:f>
          </x14:formula1>
          <xm:sqref>A93:K93</xm:sqref>
        </x14:dataValidation>
        <x14:dataValidation type="list" allowBlank="1" showInputMessage="1" showErrorMessage="1" xr:uid="{00000000-0002-0000-0200-000007000000}">
          <x14:formula1>
            <xm:f>'ESA VOLT'!$S$3:$S$12</xm:f>
          </x14:formula1>
          <xm:sqref>A92:K92</xm:sqref>
        </x14:dataValidation>
        <x14:dataValidation type="list" allowBlank="1" showInputMessage="1" showErrorMessage="1" xr:uid="{00000000-0002-0000-0200-00000C000000}">
          <x14:formula1>
            <xm:f>KETERANGAN!$F$35:$F$63</xm:f>
          </x14:formula1>
          <xm:sqref>C80:E80</xm:sqref>
        </x14:dataValidation>
        <x14:dataValidation type="list" allowBlank="1" showInputMessage="1" showErrorMessage="1" xr:uid="{00000000-0002-0000-0200-000009000000}">
          <x14:formula1>
            <xm:f>'SERTIFIKAT DPM'!$AW$4:$AW$15</xm:f>
          </x14:formula1>
          <xm:sqref>A91:K91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A5E4-119B-4457-91C3-930A363DD251}">
  <dimension ref="F9:AU49"/>
  <sheetViews>
    <sheetView topLeftCell="F22" zoomScale="70" zoomScaleNormal="70" workbookViewId="0">
      <selection activeCell="J28" sqref="J28"/>
    </sheetView>
  </sheetViews>
  <sheetFormatPr defaultRowHeight="13.2" x14ac:dyDescent="0.25"/>
  <cols>
    <col min="7" max="7" width="13.33203125" customWidth="1"/>
    <col min="8" max="13" width="18.33203125" customWidth="1"/>
    <col min="22" max="25" width="11.109375" customWidth="1"/>
    <col min="26" max="26" width="14.21875" customWidth="1"/>
    <col min="27" max="30" width="11.109375" customWidth="1"/>
    <col min="32" max="36" width="2.21875" customWidth="1"/>
  </cols>
  <sheetData>
    <row r="9" spans="6:47" ht="13.8" thickBot="1" x14ac:dyDescent="0.3"/>
    <row r="10" spans="6:47" ht="13.8" thickBot="1" x14ac:dyDescent="0.3">
      <c r="U10" s="1604" t="s">
        <v>820</v>
      </c>
      <c r="V10" s="1605"/>
      <c r="W10" s="1605"/>
      <c r="X10" s="1605"/>
      <c r="Y10" s="1605"/>
      <c r="Z10" s="1605"/>
      <c r="AA10" s="1605"/>
      <c r="AB10" s="1605"/>
      <c r="AC10" s="1605"/>
      <c r="AD10" s="1605"/>
      <c r="AE10" s="1606"/>
      <c r="AK10" s="1604" t="s">
        <v>828</v>
      </c>
      <c r="AL10" s="1605"/>
      <c r="AM10" s="1605"/>
      <c r="AN10" s="1605"/>
      <c r="AO10" s="1605"/>
      <c r="AP10" s="1605"/>
      <c r="AQ10" s="1605"/>
      <c r="AR10" s="1605"/>
      <c r="AS10" s="1605"/>
      <c r="AT10" s="1605"/>
      <c r="AU10" s="1606"/>
    </row>
    <row r="11" spans="6:47" ht="13.8" thickBot="1" x14ac:dyDescent="0.3">
      <c r="F11" s="1604" t="s">
        <v>875</v>
      </c>
      <c r="G11" s="1605"/>
      <c r="H11" s="1605"/>
      <c r="I11" s="1605"/>
      <c r="J11" s="1605"/>
      <c r="K11" s="1605"/>
      <c r="L11" s="1605"/>
      <c r="M11" s="1605"/>
      <c r="N11" s="1606"/>
      <c r="U11" s="1607"/>
      <c r="V11" s="1608"/>
      <c r="W11" s="1608"/>
      <c r="X11" s="1608"/>
      <c r="Y11" s="1608"/>
      <c r="Z11" s="1608"/>
      <c r="AA11" s="1608"/>
      <c r="AB11" s="1608"/>
      <c r="AC11" s="1608"/>
      <c r="AD11" s="1608"/>
      <c r="AE11" s="1609"/>
      <c r="AK11" s="1607"/>
      <c r="AL11" s="1608"/>
      <c r="AM11" s="1608"/>
      <c r="AN11" s="1608"/>
      <c r="AO11" s="1608"/>
      <c r="AP11" s="1608"/>
      <c r="AQ11" s="1608"/>
      <c r="AR11" s="1608"/>
      <c r="AS11" s="1608"/>
      <c r="AT11" s="1608"/>
      <c r="AU11" s="1609"/>
    </row>
    <row r="12" spans="6:47" ht="13.8" thickBot="1" x14ac:dyDescent="0.3">
      <c r="F12" s="1607"/>
      <c r="G12" s="1608"/>
      <c r="H12" s="1608"/>
      <c r="I12" s="1608"/>
      <c r="J12" s="1608"/>
      <c r="K12" s="1608"/>
      <c r="L12" s="1608"/>
      <c r="M12" s="1608"/>
      <c r="N12" s="1609"/>
      <c r="U12" s="518"/>
      <c r="V12" s="1619" t="s">
        <v>240</v>
      </c>
      <c r="W12" s="1619"/>
      <c r="X12" s="1619"/>
      <c r="Y12" s="1620" t="s">
        <v>831</v>
      </c>
      <c r="Z12" s="1620"/>
      <c r="AA12" s="1620"/>
      <c r="AB12" s="1603" t="s">
        <v>242</v>
      </c>
      <c r="AC12" s="1603"/>
      <c r="AD12" s="1603"/>
      <c r="AE12" s="519"/>
      <c r="AK12" s="518"/>
      <c r="AL12" s="1610" t="s">
        <v>827</v>
      </c>
      <c r="AM12" s="1610"/>
      <c r="AN12" s="1610"/>
      <c r="AO12" s="1611" t="s">
        <v>487</v>
      </c>
      <c r="AP12" s="1612"/>
      <c r="AQ12" s="1613" t="s">
        <v>829</v>
      </c>
      <c r="AR12" s="1614"/>
      <c r="AS12" s="1601" t="s">
        <v>830</v>
      </c>
      <c r="AT12" s="1602"/>
      <c r="AU12" s="519"/>
    </row>
    <row r="13" spans="6:47" x14ac:dyDescent="0.25">
      <c r="F13" s="518"/>
      <c r="G13" s="515" t="s">
        <v>41</v>
      </c>
      <c r="H13" s="514" t="s">
        <v>816</v>
      </c>
      <c r="I13" s="514" t="s">
        <v>222</v>
      </c>
      <c r="J13" s="515" t="s">
        <v>223</v>
      </c>
      <c r="K13" s="516" t="s">
        <v>817</v>
      </c>
      <c r="L13" s="516" t="s">
        <v>224</v>
      </c>
      <c r="M13" s="517" t="s">
        <v>225</v>
      </c>
      <c r="N13" s="519"/>
      <c r="U13" s="518"/>
      <c r="V13" s="539" t="s">
        <v>50</v>
      </c>
      <c r="W13" s="539" t="s">
        <v>52</v>
      </c>
      <c r="X13" s="539" t="s">
        <v>54</v>
      </c>
      <c r="Y13" s="562" t="s">
        <v>51</v>
      </c>
      <c r="Z13" s="562" t="s">
        <v>53</v>
      </c>
      <c r="AA13" s="562" t="s">
        <v>55</v>
      </c>
      <c r="AB13" s="353" t="s">
        <v>236</v>
      </c>
      <c r="AC13" s="353" t="s">
        <v>238</v>
      </c>
      <c r="AD13" s="353" t="s">
        <v>237</v>
      </c>
      <c r="AE13" s="519"/>
      <c r="AK13" s="518"/>
      <c r="AL13" s="61" t="s">
        <v>180</v>
      </c>
      <c r="AM13" s="61" t="s">
        <v>181</v>
      </c>
      <c r="AN13" s="61" t="s">
        <v>211</v>
      </c>
      <c r="AO13" s="549" t="s">
        <v>214</v>
      </c>
      <c r="AP13" s="549" t="s">
        <v>181</v>
      </c>
      <c r="AQ13" s="551" t="s">
        <v>183</v>
      </c>
      <c r="AR13" s="551" t="s">
        <v>181</v>
      </c>
      <c r="AS13" s="558" t="s">
        <v>182</v>
      </c>
      <c r="AT13" s="558" t="s">
        <v>181</v>
      </c>
      <c r="AU13" s="519"/>
    </row>
    <row r="14" spans="6:47" x14ac:dyDescent="0.25">
      <c r="F14" s="518"/>
      <c r="G14" s="792">
        <f>'SERTIFIKAT DPM'!AJ26</f>
        <v>0</v>
      </c>
      <c r="H14" s="757">
        <f>'SERTIFIKAT DPM'!AK26</f>
        <v>0</v>
      </c>
      <c r="I14" s="789">
        <f>'SERTIFIKAT DPM'!AN26</f>
        <v>0</v>
      </c>
      <c r="J14" s="526">
        <f>'SERTIFIKAT DPM'!AO26</f>
        <v>0.6</v>
      </c>
      <c r="K14" s="757">
        <f>'SERTIFIKAT DPM'!AP26</f>
        <v>0</v>
      </c>
      <c r="L14" s="757">
        <f>'SERTIFIKAT DPM'!AS26</f>
        <v>0</v>
      </c>
      <c r="M14" s="526">
        <f>J14</f>
        <v>0.6</v>
      </c>
      <c r="N14" s="519"/>
      <c r="U14" s="518"/>
      <c r="V14" s="540">
        <f>'SERTIFIKAT THERMOHYGROMETER'!T8</f>
        <v>15</v>
      </c>
      <c r="W14" s="540">
        <f>'SERTIFIKAT THERMOHYGROMETER'!U8</f>
        <v>0.1</v>
      </c>
      <c r="X14" s="540">
        <f>'SERTIFIKAT THERMOHYGROMETER'!V8</f>
        <v>0.3</v>
      </c>
      <c r="Y14" s="550">
        <f>'SERTIFIKAT THERMOHYGROMETER'!W8</f>
        <v>30</v>
      </c>
      <c r="Z14" s="550">
        <f>'SERTIFIKAT THERMOHYGROMETER'!X8</f>
        <v>0.1</v>
      </c>
      <c r="AA14" s="550">
        <f>'SERTIFIKAT THERMOHYGROMETER'!Y8</f>
        <v>2.8</v>
      </c>
      <c r="AB14" s="543">
        <f>'SERTIFIKAT THERMOHYGROMETER'!Z8</f>
        <v>990</v>
      </c>
      <c r="AC14" s="543">
        <f>'SERTIFIKAT THERMOHYGROMETER'!AA8</f>
        <v>-0.6</v>
      </c>
      <c r="AD14" s="543">
        <f>'SERTIFIKAT THERMOHYGROMETER'!AD8</f>
        <v>2.1</v>
      </c>
      <c r="AE14" s="519"/>
      <c r="AK14" s="518"/>
      <c r="AL14" s="540">
        <f>'ESA VOLT'!M8</f>
        <v>0</v>
      </c>
      <c r="AM14" s="540">
        <f>'ESA VOLT'!N8</f>
        <v>0</v>
      </c>
      <c r="AN14" s="540">
        <f>'ESA VOLT'!O8</f>
        <v>0</v>
      </c>
      <c r="AO14" s="550">
        <f>'PE MOhm'!K8</f>
        <v>0</v>
      </c>
      <c r="AP14" s="550">
        <f>'PE MOhm'!L8</f>
        <v>0</v>
      </c>
      <c r="AQ14" s="552">
        <f>'RESISTANCE Ohm'!K8</f>
        <v>0</v>
      </c>
      <c r="AR14" s="552">
        <f>'RESISTANCE Ohm'!L8</f>
        <v>0</v>
      </c>
      <c r="AS14" s="559">
        <f>'EARTH LEAKAGE'!K8</f>
        <v>0</v>
      </c>
      <c r="AT14" s="559">
        <f>'EARTH LEAKAGE'!L8</f>
        <v>0</v>
      </c>
      <c r="AU14" s="519"/>
    </row>
    <row r="15" spans="6:47" x14ac:dyDescent="0.25">
      <c r="F15" s="518"/>
      <c r="G15" s="528">
        <f>'SERTIFIKAT DPM'!AJ27</f>
        <v>-100</v>
      </c>
      <c r="H15" s="790">
        <f>'SERTIFIKAT DPM'!AK27</f>
        <v>-0.2</v>
      </c>
      <c r="I15" s="790">
        <f>'SERTIFIKAT DPM'!AN27</f>
        <v>0</v>
      </c>
      <c r="J15" s="528">
        <f>'SERTIFIKAT DPM'!AO27</f>
        <v>0.6</v>
      </c>
      <c r="K15" s="791">
        <f>'SERTIFIKAT DPM'!AP27</f>
        <v>-0.2</v>
      </c>
      <c r="L15" s="791">
        <f>'SERTIFIKAT DPM'!AS27</f>
        <v>0.1</v>
      </c>
      <c r="M15" s="526">
        <f t="shared" ref="M15:M21" si="0">J15</f>
        <v>0.6</v>
      </c>
      <c r="N15" s="519"/>
      <c r="U15" s="518"/>
      <c r="V15" s="541">
        <f>'SERTIFIKAT THERMOHYGROMETER'!T9</f>
        <v>20</v>
      </c>
      <c r="W15" s="541">
        <f>'SERTIFIKAT THERMOHYGROMETER'!U9</f>
        <v>0.1</v>
      </c>
      <c r="X15" s="541">
        <f>'SERTIFIKAT THERMOHYGROMETER'!V9</f>
        <v>0.3</v>
      </c>
      <c r="Y15" s="553">
        <f>'SERTIFIKAT THERMOHYGROMETER'!W9</f>
        <v>40</v>
      </c>
      <c r="Z15" s="553">
        <f>'SERTIFIKAT THERMOHYGROMETER'!X9</f>
        <v>0.2</v>
      </c>
      <c r="AA15" s="553">
        <f>'SERTIFIKAT THERMOHYGROMETER'!Y9</f>
        <v>2.8</v>
      </c>
      <c r="AB15" s="544">
        <f>'SERTIFIKAT THERMOHYGROMETER'!Z9</f>
        <v>1000</v>
      </c>
      <c r="AC15" s="544">
        <f>'SERTIFIKAT THERMOHYGROMETER'!AA9</f>
        <v>-0.6</v>
      </c>
      <c r="AD15" s="544">
        <f>'SERTIFIKAT THERMOHYGROMETER'!AD9</f>
        <v>2.1</v>
      </c>
      <c r="AE15" s="519"/>
      <c r="AK15" s="518"/>
      <c r="AL15" s="540">
        <f>'ESA VOLT'!M9</f>
        <v>150</v>
      </c>
      <c r="AM15" s="540">
        <f>'ESA VOLT'!N9</f>
        <v>-0.08</v>
      </c>
      <c r="AN15" s="540">
        <f>'ESA VOLT'!O9</f>
        <v>1.8</v>
      </c>
      <c r="AO15" s="553">
        <f>'PE MOhm'!K9</f>
        <v>1</v>
      </c>
      <c r="AP15" s="553">
        <f>'PE MOhm'!L9</f>
        <v>0</v>
      </c>
      <c r="AQ15" s="554">
        <f>'RESISTANCE Ohm'!K9</f>
        <v>2E-3</v>
      </c>
      <c r="AR15" s="554">
        <f>'RESISTANCE Ohm'!L9</f>
        <v>-2E-3</v>
      </c>
      <c r="AS15" s="560">
        <f>'EARTH LEAKAGE'!K9</f>
        <v>15</v>
      </c>
      <c r="AT15" s="560">
        <f>'EARTH LEAKAGE'!L9</f>
        <v>4.9000000000000004</v>
      </c>
      <c r="AU15" s="519"/>
    </row>
    <row r="16" spans="6:47" x14ac:dyDescent="0.25">
      <c r="F16" s="518"/>
      <c r="G16" s="528">
        <f>'SERTIFIKAT DPM'!AJ28</f>
        <v>-200</v>
      </c>
      <c r="H16" s="790">
        <f>'SERTIFIKAT DPM'!AK28</f>
        <v>-0.5</v>
      </c>
      <c r="I16" s="790">
        <f>'SERTIFIKAT DPM'!AN28</f>
        <v>0.15000000000000002</v>
      </c>
      <c r="J16" s="528">
        <f>'SERTIFIKAT DPM'!AO28</f>
        <v>0.6</v>
      </c>
      <c r="K16" s="791">
        <f>'SERTIFIKAT DPM'!AP28</f>
        <v>-0.5</v>
      </c>
      <c r="L16" s="791">
        <f>'SERTIFIKAT DPM'!AS28</f>
        <v>0</v>
      </c>
      <c r="M16" s="526">
        <f>J16</f>
        <v>0.6</v>
      </c>
      <c r="N16" s="519"/>
      <c r="U16" s="518"/>
      <c r="V16" s="541">
        <f>'SERTIFIKAT THERMOHYGROMETER'!T10</f>
        <v>25</v>
      </c>
      <c r="W16" s="541">
        <f>'SERTIFIKAT THERMOHYGROMETER'!U10</f>
        <v>0</v>
      </c>
      <c r="X16" s="541">
        <f>'SERTIFIKAT THERMOHYGROMETER'!V10</f>
        <v>0.3</v>
      </c>
      <c r="Y16" s="553">
        <f>'SERTIFIKAT THERMOHYGROMETER'!W10</f>
        <v>50</v>
      </c>
      <c r="Z16" s="553">
        <f>'SERTIFIKAT THERMOHYGROMETER'!X10</f>
        <v>0.2</v>
      </c>
      <c r="AA16" s="553">
        <f>'SERTIFIKAT THERMOHYGROMETER'!Y10</f>
        <v>2.8</v>
      </c>
      <c r="AB16" s="544">
        <f>'SERTIFIKAT THERMOHYGROMETER'!Z10</f>
        <v>1005</v>
      </c>
      <c r="AC16" s="544">
        <f>'SERTIFIKAT THERMOHYGROMETER'!AA10</f>
        <v>-0.6</v>
      </c>
      <c r="AD16" s="544">
        <f>'SERTIFIKAT THERMOHYGROMETER'!AD10</f>
        <v>2.1</v>
      </c>
      <c r="AE16" s="519"/>
      <c r="AK16" s="518"/>
      <c r="AL16" s="540">
        <f>'ESA VOLT'!M10</f>
        <v>180</v>
      </c>
      <c r="AM16" s="540">
        <f>'ESA VOLT'!N10</f>
        <v>-0.2</v>
      </c>
      <c r="AN16" s="540">
        <f>'ESA VOLT'!O10</f>
        <v>2.16</v>
      </c>
      <c r="AO16" s="553">
        <f>'PE MOhm'!K10</f>
        <v>2</v>
      </c>
      <c r="AP16" s="553">
        <f>'PE MOhm'!L10</f>
        <v>0</v>
      </c>
      <c r="AQ16" s="554">
        <f>'RESISTANCE Ohm'!K10</f>
        <v>9.9000000000000005E-2</v>
      </c>
      <c r="AR16" s="554">
        <f>'RESISTANCE Ohm'!L10</f>
        <v>1E-3</v>
      </c>
      <c r="AS16" s="560">
        <f>'EARTH LEAKAGE'!K10</f>
        <v>50</v>
      </c>
      <c r="AT16" s="560">
        <f>'EARTH LEAKAGE'!L10</f>
        <v>9.1999999999999993</v>
      </c>
      <c r="AU16" s="519"/>
    </row>
    <row r="17" spans="6:47" x14ac:dyDescent="0.25">
      <c r="F17" s="518"/>
      <c r="G17" s="793">
        <f>'SERTIFIKAT DPM'!AJ29</f>
        <v>-300</v>
      </c>
      <c r="H17" s="790">
        <f>'SERTIFIKAT DPM'!AK29</f>
        <v>-0.7</v>
      </c>
      <c r="I17" s="790">
        <f>'SERTIFIKAT DPM'!AN29</f>
        <v>0.25</v>
      </c>
      <c r="J17" s="528">
        <f>'SERTIFIKAT DPM'!AO29</f>
        <v>0.6</v>
      </c>
      <c r="K17" s="791">
        <f>'SERTIFIKAT DPM'!AP29</f>
        <v>-0.7</v>
      </c>
      <c r="L17" s="791">
        <f>'SERTIFIKAT DPM'!AS29</f>
        <v>0.10000000000000003</v>
      </c>
      <c r="M17" s="526">
        <f t="shared" si="0"/>
        <v>0.6</v>
      </c>
      <c r="N17" s="519"/>
      <c r="U17" s="518"/>
      <c r="V17" s="541">
        <f>'SERTIFIKAT THERMOHYGROMETER'!T11</f>
        <v>30</v>
      </c>
      <c r="W17" s="541">
        <f>'SERTIFIKAT THERMOHYGROMETER'!U11</f>
        <v>-0.2</v>
      </c>
      <c r="X17" s="541">
        <f>'SERTIFIKAT THERMOHYGROMETER'!V11</f>
        <v>0.3</v>
      </c>
      <c r="Y17" s="553">
        <f>'SERTIFIKAT THERMOHYGROMETER'!W11</f>
        <v>60</v>
      </c>
      <c r="Z17" s="553">
        <f>'SERTIFIKAT THERMOHYGROMETER'!X11</f>
        <v>0</v>
      </c>
      <c r="AA17" s="553">
        <f>'SERTIFIKAT THERMOHYGROMETER'!Y11</f>
        <v>2.8</v>
      </c>
      <c r="AB17" s="544">
        <f>'SERTIFIKAT THERMOHYGROMETER'!Z11</f>
        <v>1015</v>
      </c>
      <c r="AC17" s="544">
        <f>'SERTIFIKAT THERMOHYGROMETER'!AA11</f>
        <v>-0.6</v>
      </c>
      <c r="AD17" s="544">
        <f>'SERTIFIKAT THERMOHYGROMETER'!AD11</f>
        <v>2.1</v>
      </c>
      <c r="AE17" s="519"/>
      <c r="AK17" s="518"/>
      <c r="AL17" s="540">
        <f>'ESA VOLT'!M11</f>
        <v>200</v>
      </c>
      <c r="AM17" s="540">
        <f>'ESA VOLT'!N11</f>
        <v>-0.25</v>
      </c>
      <c r="AN17" s="540">
        <f>'ESA VOLT'!O11</f>
        <v>2.4</v>
      </c>
      <c r="AO17" s="553">
        <f>'PE MOhm'!K11</f>
        <v>5</v>
      </c>
      <c r="AP17" s="553">
        <f>'PE MOhm'!L11</f>
        <v>0</v>
      </c>
      <c r="AQ17" s="554">
        <f>'RESISTANCE Ohm'!K11</f>
        <v>0.19700000000000001</v>
      </c>
      <c r="AR17" s="554">
        <f>'RESISTANCE Ohm'!L11</f>
        <v>3.0000000000000001E-3</v>
      </c>
      <c r="AS17" s="560">
        <f>'EARTH LEAKAGE'!K11</f>
        <v>100</v>
      </c>
      <c r="AT17" s="560">
        <f>'EARTH LEAKAGE'!L11</f>
        <v>7.7</v>
      </c>
      <c r="AU17" s="519"/>
    </row>
    <row r="18" spans="6:47" x14ac:dyDescent="0.25">
      <c r="F18" s="518"/>
      <c r="G18" s="528">
        <f>'SERTIFIKAT DPM'!AJ30</f>
        <v>-400</v>
      </c>
      <c r="H18" s="757">
        <f>'SERTIFIKAT DPM'!AK30</f>
        <v>-0.9</v>
      </c>
      <c r="I18" s="790">
        <f>'SERTIFIKAT DPM'!AN30</f>
        <v>0.2</v>
      </c>
      <c r="J18" s="528">
        <f>'SERTIFIKAT DPM'!AO30</f>
        <v>0.6</v>
      </c>
      <c r="K18" s="791">
        <f>'SERTIFIKAT DPM'!AP30</f>
        <v>-0.9</v>
      </c>
      <c r="L18" s="791">
        <f>'SERTIFIKAT DPM'!AS30</f>
        <v>4.9999999999999989E-2</v>
      </c>
      <c r="M18" s="526">
        <f t="shared" si="0"/>
        <v>0.6</v>
      </c>
      <c r="N18" s="519"/>
      <c r="U18" s="518"/>
      <c r="V18" s="541">
        <f>'SERTIFIKAT THERMOHYGROMETER'!T12</f>
        <v>35</v>
      </c>
      <c r="W18" s="541">
        <f>'SERTIFIKAT THERMOHYGROMETER'!U12</f>
        <v>-0.5</v>
      </c>
      <c r="X18" s="541">
        <f>'SERTIFIKAT THERMOHYGROMETER'!V12</f>
        <v>0.3</v>
      </c>
      <c r="Y18" s="553">
        <f>'SERTIFIKAT THERMOHYGROMETER'!W12</f>
        <v>70</v>
      </c>
      <c r="Z18" s="553">
        <f>'SERTIFIKAT THERMOHYGROMETER'!X12</f>
        <v>-0.3</v>
      </c>
      <c r="AA18" s="553">
        <f>'SERTIFIKAT THERMOHYGROMETER'!Y12</f>
        <v>2.8</v>
      </c>
      <c r="AB18" s="544" t="str">
        <f>'SERTIFIKAT THERMOHYGROMETER'!Z12</f>
        <v>-</v>
      </c>
      <c r="AC18" s="544" t="str">
        <f>'SERTIFIKAT THERMOHYGROMETER'!AA12</f>
        <v>-</v>
      </c>
      <c r="AD18" s="544" t="str">
        <f>'SERTIFIKAT THERMOHYGROMETER'!AD12</f>
        <v>-</v>
      </c>
      <c r="AE18" s="519"/>
      <c r="AK18" s="518"/>
      <c r="AL18" s="540">
        <f>'ESA VOLT'!M12</f>
        <v>220</v>
      </c>
      <c r="AM18" s="540">
        <f>'ESA VOLT'!N12</f>
        <v>-0.28999999999999998</v>
      </c>
      <c r="AN18" s="540">
        <f>'ESA VOLT'!O12</f>
        <v>2.64</v>
      </c>
      <c r="AO18" s="553">
        <f>'PE MOhm'!K12</f>
        <v>10</v>
      </c>
      <c r="AP18" s="553">
        <f>'PE MOhm'!L12</f>
        <v>0</v>
      </c>
      <c r="AQ18" s="554">
        <f>'RESISTANCE Ohm'!K12</f>
        <v>0.496</v>
      </c>
      <c r="AR18" s="554">
        <f>'RESISTANCE Ohm'!L12</f>
        <v>4.0000000000000001E-3</v>
      </c>
      <c r="AS18" s="560">
        <f>'EARTH LEAKAGE'!K12</f>
        <v>200</v>
      </c>
      <c r="AT18" s="560">
        <f>'EARTH LEAKAGE'!L12</f>
        <v>-0.2</v>
      </c>
      <c r="AU18" s="519"/>
    </row>
    <row r="19" spans="6:47" x14ac:dyDescent="0.25">
      <c r="F19" s="518"/>
      <c r="G19" s="793">
        <f>'SERTIFIKAT DPM'!AJ31</f>
        <v>-500</v>
      </c>
      <c r="H19" s="790">
        <f>'SERTIFIKAT DPM'!AK31</f>
        <v>-1.1000000000000001</v>
      </c>
      <c r="I19" s="790">
        <f>'SERTIFIKAT DPM'!AN31</f>
        <v>0.25</v>
      </c>
      <c r="J19" s="528">
        <f>'SERTIFIKAT DPM'!AO31</f>
        <v>0.6</v>
      </c>
      <c r="K19" s="791">
        <f>'SERTIFIKAT DPM'!AP31</f>
        <v>-1.1000000000000001</v>
      </c>
      <c r="L19" s="791">
        <f>'SERTIFIKAT DPM'!AS31</f>
        <v>0.14999999999999991</v>
      </c>
      <c r="M19" s="526">
        <f t="shared" si="0"/>
        <v>0.6</v>
      </c>
      <c r="N19" s="519"/>
      <c r="U19" s="518"/>
      <c r="V19" s="541">
        <f>'SERTIFIKAT THERMOHYGROMETER'!T13</f>
        <v>37</v>
      </c>
      <c r="W19" s="541">
        <f>'SERTIFIKAT THERMOHYGROMETER'!U13</f>
        <v>-0.6</v>
      </c>
      <c r="X19" s="541">
        <f>'SERTIFIKAT THERMOHYGROMETER'!V13</f>
        <v>0.3</v>
      </c>
      <c r="Y19" s="553">
        <f>'SERTIFIKAT THERMOHYGROMETER'!W13</f>
        <v>80</v>
      </c>
      <c r="Z19" s="553">
        <f>'SERTIFIKAT THERMOHYGROMETER'!X13</f>
        <v>-0.8</v>
      </c>
      <c r="AA19" s="553">
        <f>'SERTIFIKAT THERMOHYGROMETER'!Y13</f>
        <v>2.8</v>
      </c>
      <c r="AB19" s="544" t="str">
        <f>'SERTIFIKAT THERMOHYGROMETER'!Z13</f>
        <v>-</v>
      </c>
      <c r="AC19" s="544" t="str">
        <f>'SERTIFIKAT THERMOHYGROMETER'!AA13</f>
        <v>-</v>
      </c>
      <c r="AD19" s="544" t="str">
        <f>'SERTIFIKAT THERMOHYGROMETER'!AD13</f>
        <v>-</v>
      </c>
      <c r="AE19" s="519"/>
      <c r="AK19" s="518"/>
      <c r="AL19" s="540">
        <f>'ESA VOLT'!M13</f>
        <v>230</v>
      </c>
      <c r="AM19" s="540">
        <f>'ESA VOLT'!N13</f>
        <v>-0.34</v>
      </c>
      <c r="AN19" s="540">
        <f>'ESA VOLT'!O13</f>
        <v>2.7600000000000002</v>
      </c>
      <c r="AO19" s="553">
        <f>'PE MOhm'!K13</f>
        <v>20</v>
      </c>
      <c r="AP19" s="553">
        <f>'PE MOhm'!L13</f>
        <v>0</v>
      </c>
      <c r="AQ19" s="554">
        <f>'RESISTANCE Ohm'!K13</f>
        <v>1</v>
      </c>
      <c r="AR19" s="554">
        <f>'RESISTANCE Ohm'!L13</f>
        <v>0</v>
      </c>
      <c r="AS19" s="560">
        <f>'EARTH LEAKAGE'!K13</f>
        <v>500</v>
      </c>
      <c r="AT19" s="560">
        <f>'EARTH LEAKAGE'!L13</f>
        <v>-25.1</v>
      </c>
      <c r="AU19" s="519"/>
    </row>
    <row r="20" spans="6:47" x14ac:dyDescent="0.25">
      <c r="F20" s="518"/>
      <c r="G20" s="528">
        <f>'SERTIFIKAT DPM'!AJ32</f>
        <v>-600</v>
      </c>
      <c r="H20" s="790">
        <f>'SERTIFIKAT DPM'!AK32</f>
        <v>-1.2</v>
      </c>
      <c r="I20" s="790">
        <f>'SERTIFIKAT DPM'!AN32</f>
        <v>0.30000000000000004</v>
      </c>
      <c r="J20" s="528">
        <f>'SERTIFIKAT DPM'!AO32</f>
        <v>0.6</v>
      </c>
      <c r="K20" s="791">
        <f>'SERTIFIKAT DPM'!AP32</f>
        <v>-1.2</v>
      </c>
      <c r="L20" s="791">
        <f>'SERTIFIKAT DPM'!AS32</f>
        <v>0.15000000000000002</v>
      </c>
      <c r="M20" s="526">
        <f t="shared" si="0"/>
        <v>0.6</v>
      </c>
      <c r="N20" s="519"/>
      <c r="U20" s="518"/>
      <c r="V20" s="541">
        <f>'SERTIFIKAT THERMOHYGROMETER'!T14</f>
        <v>40</v>
      </c>
      <c r="W20" s="541">
        <f>'SERTIFIKAT THERMOHYGROMETER'!U14</f>
        <v>-0.8</v>
      </c>
      <c r="X20" s="541">
        <f>'SERTIFIKAT THERMOHYGROMETER'!V14</f>
        <v>0.3</v>
      </c>
      <c r="Y20" s="553">
        <f>'SERTIFIKAT THERMOHYGROMETER'!W14</f>
        <v>90</v>
      </c>
      <c r="Z20" s="553">
        <f>'SERTIFIKAT THERMOHYGROMETER'!X14</f>
        <v>-1.4</v>
      </c>
      <c r="AA20" s="553">
        <f>'SERTIFIKAT THERMOHYGROMETER'!Y14</f>
        <v>2.8</v>
      </c>
      <c r="AB20" s="544" t="str">
        <f>'SERTIFIKAT THERMOHYGROMETER'!Z14</f>
        <v>-</v>
      </c>
      <c r="AC20" s="544" t="str">
        <f>'SERTIFIKAT THERMOHYGROMETER'!AA14</f>
        <v>-</v>
      </c>
      <c r="AD20" s="544" t="str">
        <f>'SERTIFIKAT THERMOHYGROMETER'!AD14</f>
        <v>-</v>
      </c>
      <c r="AE20" s="519"/>
      <c r="AK20" s="518"/>
      <c r="AL20" s="540">
        <f>'ESA VOLT'!M14</f>
        <v>240</v>
      </c>
      <c r="AM20" s="540">
        <f>'ESA VOLT'!N14</f>
        <v>-0.34</v>
      </c>
      <c r="AN20" s="540">
        <f>'ESA VOLT'!O14</f>
        <v>2.88</v>
      </c>
      <c r="AO20" s="553">
        <f>'PE MOhm'!K14</f>
        <v>49.8</v>
      </c>
      <c r="AP20" s="553">
        <f>'PE MOhm'!L14</f>
        <v>0.2</v>
      </c>
      <c r="AQ20" s="554">
        <f>'RESISTANCE Ohm'!K14</f>
        <v>2</v>
      </c>
      <c r="AR20" s="554">
        <f>'RESISTANCE Ohm'!L14</f>
        <v>0</v>
      </c>
      <c r="AS20" s="561">
        <f>'EARTH LEAKAGE'!K14</f>
        <v>700</v>
      </c>
      <c r="AT20" s="561">
        <f>'EARTH LEAKAGE'!L14</f>
        <v>-25.1</v>
      </c>
      <c r="AU20" s="519"/>
    </row>
    <row r="21" spans="6:47" x14ac:dyDescent="0.25">
      <c r="F21" s="518"/>
      <c r="G21" s="528">
        <f>'SERTIFIKAT DPM'!AJ33</f>
        <v>-700</v>
      </c>
      <c r="H21" s="790">
        <f>'SERTIFIKAT DPM'!AK33</f>
        <v>-1.3</v>
      </c>
      <c r="I21" s="790">
        <f>'SERTIFIKAT DPM'!AN33</f>
        <v>0.25</v>
      </c>
      <c r="J21" s="528">
        <f>'SERTIFIKAT DPM'!AO33</f>
        <v>0.6</v>
      </c>
      <c r="K21" s="791">
        <f>'SERTIFIKAT DPM'!AP33</f>
        <v>-1.3</v>
      </c>
      <c r="L21" s="791">
        <f>'SERTIFIKAT DPM'!AS33</f>
        <v>9.9999999999999978E-2</v>
      </c>
      <c r="M21" s="526">
        <f t="shared" si="0"/>
        <v>0.6</v>
      </c>
      <c r="N21" s="519"/>
      <c r="U21" s="518"/>
      <c r="V21" s="541"/>
      <c r="W21" s="541"/>
      <c r="X21" s="541"/>
      <c r="Y21" s="553"/>
      <c r="Z21" s="553"/>
      <c r="AA21" s="553"/>
      <c r="AB21" s="544"/>
      <c r="AC21" s="544"/>
      <c r="AD21" s="544"/>
      <c r="AE21" s="519"/>
      <c r="AK21" s="518"/>
      <c r="AL21" s="540">
        <f>'ESA VOLT'!M15</f>
        <v>0</v>
      </c>
      <c r="AM21" s="540">
        <f>'ESA VOLT'!N15</f>
        <v>0</v>
      </c>
      <c r="AN21" s="540">
        <f>'ESA VOLT'!O15</f>
        <v>0</v>
      </c>
      <c r="AO21" s="553">
        <f>'PE MOhm'!K15</f>
        <v>99.4</v>
      </c>
      <c r="AP21" s="553">
        <f>'PE MOhm'!L15</f>
        <v>0.6</v>
      </c>
      <c r="AQ21" s="554" t="str">
        <f>'RESISTANCE Ohm'!K15</f>
        <v/>
      </c>
      <c r="AR21" s="554" t="str">
        <f>'RESISTANCE Ohm'!L15</f>
        <v/>
      </c>
      <c r="AS21" s="557"/>
      <c r="AT21" s="557"/>
      <c r="AU21" s="519"/>
    </row>
    <row r="22" spans="6:47" x14ac:dyDescent="0.25">
      <c r="F22" s="518"/>
      <c r="G22" s="528">
        <f>'SERTIFIKAT DPM'!AJ34</f>
        <v>0</v>
      </c>
      <c r="H22" s="529">
        <f>'SERTIFIKAT DPM'!AK34</f>
        <v>0</v>
      </c>
      <c r="I22" s="529">
        <f>'SERTIFIKAT DPM'!AN34</f>
        <v>0</v>
      </c>
      <c r="J22" s="528">
        <f>'SERTIFIKAT DPM'!AO34</f>
        <v>0</v>
      </c>
      <c r="K22" s="530">
        <f>'SERTIFIKAT DPM'!AP34</f>
        <v>0</v>
      </c>
      <c r="L22" s="530">
        <f>'SERTIFIKAT DPM'!AS34</f>
        <v>0</v>
      </c>
      <c r="M22" s="527">
        <f>'SERTIFIKAT DPM'!AT18</f>
        <v>0</v>
      </c>
      <c r="N22" s="519"/>
      <c r="U22" s="518"/>
      <c r="V22" s="541"/>
      <c r="W22" s="541"/>
      <c r="X22" s="541"/>
      <c r="Y22" s="553"/>
      <c r="Z22" s="553"/>
      <c r="AA22" s="553"/>
      <c r="AB22" s="544"/>
      <c r="AC22" s="544"/>
      <c r="AD22" s="544"/>
      <c r="AE22" s="519"/>
      <c r="AK22" s="518"/>
      <c r="AL22" s="540">
        <f>'ESA VOLT'!M16</f>
        <v>0</v>
      </c>
      <c r="AM22" s="540">
        <f>'ESA VOLT'!N16</f>
        <v>0</v>
      </c>
      <c r="AN22" s="540">
        <f>'ESA VOLT'!O16</f>
        <v>0</v>
      </c>
      <c r="AO22" s="553">
        <f>'PE MOhm'!K16</f>
        <v>200</v>
      </c>
      <c r="AP22" s="553">
        <f>'PE MOhm'!L16</f>
        <v>0.6</v>
      </c>
      <c r="AQ22" s="556" t="str">
        <f>'RESISTANCE Ohm'!K16</f>
        <v/>
      </c>
      <c r="AR22" s="556" t="str">
        <f>'RESISTANCE Ohm'!L16</f>
        <v/>
      </c>
      <c r="AS22" s="546"/>
      <c r="AT22" s="546"/>
      <c r="AU22" s="519"/>
    </row>
    <row r="23" spans="6:47" x14ac:dyDescent="0.25">
      <c r="F23" s="518"/>
      <c r="G23" s="528">
        <f>'SERTIFIKAT DPM'!AJ35</f>
        <v>0</v>
      </c>
      <c r="H23" s="529">
        <f>'SERTIFIKAT DPM'!AK35</f>
        <v>0</v>
      </c>
      <c r="I23" s="529">
        <f>'SERTIFIKAT DPM'!AN35</f>
        <v>0</v>
      </c>
      <c r="J23" s="528">
        <f>'SERTIFIKAT DPM'!AO35</f>
        <v>0</v>
      </c>
      <c r="K23" s="530">
        <f>'SERTIFIKAT DPM'!AP35</f>
        <v>0</v>
      </c>
      <c r="L23" s="530">
        <f>'SERTIFIKAT DPM'!AS35</f>
        <v>0</v>
      </c>
      <c r="M23" s="527">
        <f>'SERTIFIKAT DPM'!AT19</f>
        <v>0</v>
      </c>
      <c r="N23" s="519"/>
      <c r="U23" s="518"/>
      <c r="V23" s="541"/>
      <c r="W23" s="541"/>
      <c r="X23" s="541"/>
      <c r="Y23" s="553"/>
      <c r="Z23" s="553"/>
      <c r="AA23" s="553"/>
      <c r="AB23" s="544"/>
      <c r="AC23" s="544"/>
      <c r="AD23" s="544"/>
      <c r="AE23" s="519"/>
      <c r="AK23" s="518"/>
      <c r="AL23" s="546"/>
      <c r="AM23" s="546"/>
      <c r="AN23" s="546"/>
      <c r="AO23" s="555" t="str">
        <f>'PE MOhm'!K17</f>
        <v/>
      </c>
      <c r="AP23" s="555" t="str">
        <f>'PE MOhm'!L17</f>
        <v/>
      </c>
      <c r="AQ23" s="547"/>
      <c r="AR23" s="546"/>
      <c r="AS23" s="546"/>
      <c r="AT23" s="546"/>
      <c r="AU23" s="519"/>
    </row>
    <row r="24" spans="6:47" x14ac:dyDescent="0.25">
      <c r="F24" s="518"/>
      <c r="G24" s="528">
        <f>'SERTIFIKAT DPM'!AJ36</f>
        <v>0</v>
      </c>
      <c r="H24" s="529">
        <f>'SERTIFIKAT DPM'!AK36</f>
        <v>0</v>
      </c>
      <c r="I24" s="529">
        <f>'SERTIFIKAT DPM'!AN36</f>
        <v>0</v>
      </c>
      <c r="J24" s="528">
        <f>'SERTIFIKAT DPM'!AO36</f>
        <v>0</v>
      </c>
      <c r="K24" s="530">
        <f>'SERTIFIKAT DPM'!AP36</f>
        <v>0</v>
      </c>
      <c r="L24" s="530">
        <f>'SERTIFIKAT DPM'!AS36</f>
        <v>0</v>
      </c>
      <c r="M24" s="527">
        <f>'SERTIFIKAT DPM'!AT20</f>
        <v>0</v>
      </c>
      <c r="N24" s="519"/>
      <c r="U24" s="518"/>
      <c r="V24" s="541"/>
      <c r="W24" s="541"/>
      <c r="X24" s="541"/>
      <c r="Y24" s="553"/>
      <c r="Z24" s="553"/>
      <c r="AA24" s="553"/>
      <c r="AB24" s="544"/>
      <c r="AC24" s="544"/>
      <c r="AD24" s="544"/>
      <c r="AE24" s="519"/>
      <c r="AK24" s="518"/>
      <c r="AL24" s="546"/>
      <c r="AM24" s="546"/>
      <c r="AN24" s="546"/>
      <c r="AO24" s="548"/>
      <c r="AP24" s="548"/>
      <c r="AQ24" s="547"/>
      <c r="AR24" s="546"/>
      <c r="AS24" s="546"/>
      <c r="AT24" s="546"/>
      <c r="AU24" s="519"/>
    </row>
    <row r="25" spans="6:47" x14ac:dyDescent="0.25">
      <c r="F25" s="518"/>
      <c r="G25" s="531">
        <f>'SERTIFIKAT DPM'!AJ37</f>
        <v>0</v>
      </c>
      <c r="H25" s="532">
        <f>'SERTIFIKAT DPM'!AK37</f>
        <v>0</v>
      </c>
      <c r="I25" s="532">
        <f>'SERTIFIKAT DPM'!AN37</f>
        <v>0</v>
      </c>
      <c r="J25" s="531">
        <f>'SERTIFIKAT DPM'!AO37</f>
        <v>0</v>
      </c>
      <c r="K25" s="533">
        <f>'SERTIFIKAT DPM'!AP37</f>
        <v>0</v>
      </c>
      <c r="L25" s="533">
        <f>'SERTIFIKAT DPM'!AS37</f>
        <v>0</v>
      </c>
      <c r="M25" s="527">
        <f>'SERTIFIKAT DPM'!AT21</f>
        <v>0</v>
      </c>
      <c r="N25" s="519"/>
      <c r="U25" s="518"/>
      <c r="V25" s="541"/>
      <c r="W25" s="541"/>
      <c r="X25" s="541"/>
      <c r="Y25" s="553"/>
      <c r="Z25" s="553"/>
      <c r="AA25" s="553"/>
      <c r="AB25" s="544"/>
      <c r="AC25" s="544"/>
      <c r="AD25" s="544"/>
      <c r="AE25" s="519"/>
      <c r="AK25" s="518"/>
      <c r="AL25" s="546"/>
      <c r="AM25" s="546"/>
      <c r="AN25" s="546"/>
      <c r="AO25" s="547"/>
      <c r="AP25" s="547"/>
      <c r="AQ25" s="547"/>
      <c r="AR25" s="546"/>
      <c r="AS25" s="546"/>
      <c r="AT25" s="546"/>
      <c r="AU25" s="519"/>
    </row>
    <row r="26" spans="6:47" x14ac:dyDescent="0.25">
      <c r="F26" s="518"/>
      <c r="G26" s="69"/>
      <c r="H26" s="69"/>
      <c r="I26" s="69"/>
      <c r="J26" s="69"/>
      <c r="K26" s="524"/>
      <c r="L26" s="524"/>
      <c r="M26" s="524"/>
      <c r="N26" s="519"/>
      <c r="U26" s="518"/>
      <c r="V26" s="541"/>
      <c r="W26" s="541"/>
      <c r="X26" s="541"/>
      <c r="Y26" s="553"/>
      <c r="Z26" s="553"/>
      <c r="AA26" s="553"/>
      <c r="AB26" s="544"/>
      <c r="AC26" s="544"/>
      <c r="AD26" s="544"/>
      <c r="AE26" s="519"/>
      <c r="AK26" s="518"/>
      <c r="AL26" s="546"/>
      <c r="AM26" s="546"/>
      <c r="AN26" s="546"/>
      <c r="AO26" s="547"/>
      <c r="AP26" s="547"/>
      <c r="AQ26" s="547"/>
      <c r="AR26" s="546"/>
      <c r="AS26" s="546"/>
      <c r="AT26" s="546"/>
      <c r="AU26" s="519"/>
    </row>
    <row r="27" spans="6:47" ht="13.8" thickBot="1" x14ac:dyDescent="0.3">
      <c r="F27" s="520"/>
      <c r="G27" s="523"/>
      <c r="H27" s="523"/>
      <c r="I27" s="523"/>
      <c r="J27" s="523"/>
      <c r="K27" s="525"/>
      <c r="L27" s="525"/>
      <c r="M27" s="525"/>
      <c r="N27" s="522"/>
      <c r="U27" s="518"/>
      <c r="V27" s="542"/>
      <c r="W27" s="542"/>
      <c r="X27" s="542"/>
      <c r="Y27" s="555"/>
      <c r="Z27" s="555"/>
      <c r="AA27" s="555"/>
      <c r="AB27" s="545"/>
      <c r="AC27" s="545"/>
      <c r="AD27" s="545"/>
      <c r="AE27" s="519"/>
      <c r="AK27" s="518"/>
      <c r="AL27" s="546"/>
      <c r="AM27" s="546"/>
      <c r="AN27" s="546"/>
      <c r="AO27" s="547"/>
      <c r="AP27" s="547"/>
      <c r="AQ27" s="547"/>
      <c r="AR27" s="546"/>
      <c r="AS27" s="546"/>
      <c r="AT27" s="546"/>
      <c r="AU27" s="519"/>
    </row>
    <row r="28" spans="6:47" x14ac:dyDescent="0.25">
      <c r="U28" s="518"/>
      <c r="AE28" s="519"/>
      <c r="AK28" s="518"/>
      <c r="AU28" s="519"/>
    </row>
    <row r="29" spans="6:47" ht="13.8" thickBot="1" x14ac:dyDescent="0.3">
      <c r="U29" s="520"/>
      <c r="V29" s="521"/>
      <c r="W29" s="521"/>
      <c r="X29" s="521"/>
      <c r="Y29" s="521"/>
      <c r="Z29" s="521"/>
      <c r="AA29" s="521"/>
      <c r="AB29" s="521"/>
      <c r="AC29" s="521"/>
      <c r="AD29" s="521"/>
      <c r="AE29" s="522"/>
      <c r="AK29" s="520"/>
      <c r="AL29" s="521"/>
      <c r="AM29" s="521"/>
      <c r="AN29" s="521"/>
      <c r="AO29" s="521"/>
      <c r="AP29" s="521"/>
      <c r="AQ29" s="521"/>
      <c r="AR29" s="521"/>
      <c r="AS29" s="521"/>
      <c r="AT29" s="521"/>
      <c r="AU29" s="522"/>
    </row>
    <row r="32" spans="6:47" ht="13.8" thickBot="1" x14ac:dyDescent="0.3"/>
    <row r="33" spans="6:16" x14ac:dyDescent="0.25">
      <c r="F33" s="1604" t="s">
        <v>860</v>
      </c>
      <c r="G33" s="1605"/>
      <c r="H33" s="1605"/>
      <c r="I33" s="1605"/>
      <c r="J33" s="1605"/>
      <c r="K33" s="1605"/>
      <c r="L33" s="1606"/>
      <c r="M33" s="1615" t="s">
        <v>33</v>
      </c>
      <c r="N33" s="1616"/>
    </row>
    <row r="34" spans="6:16" ht="13.8" thickBot="1" x14ac:dyDescent="0.3">
      <c r="F34" s="1607"/>
      <c r="G34" s="1608"/>
      <c r="H34" s="1608"/>
      <c r="I34" s="1608"/>
      <c r="J34" s="1608"/>
      <c r="K34" s="1608"/>
      <c r="L34" s="1609"/>
      <c r="M34" s="1617"/>
      <c r="N34" s="1618"/>
    </row>
    <row r="35" spans="6:16" x14ac:dyDescent="0.25">
      <c r="F35" s="518"/>
      <c r="G35" s="515" t="s">
        <v>41</v>
      </c>
      <c r="H35" s="514" t="s">
        <v>816</v>
      </c>
      <c r="I35" s="514" t="s">
        <v>222</v>
      </c>
      <c r="J35" s="515" t="s">
        <v>223</v>
      </c>
      <c r="K35" s="516" t="s">
        <v>817</v>
      </c>
      <c r="L35" s="516" t="s">
        <v>224</v>
      </c>
      <c r="M35" s="517" t="s">
        <v>225</v>
      </c>
      <c r="N35" s="519"/>
      <c r="P35">
        <f>IF(ID!N78="mmHg ke mmHg",'KONVERSI SATUAN'!I22,"REVISI")</f>
        <v>1</v>
      </c>
    </row>
    <row r="36" spans="6:16" x14ac:dyDescent="0.25">
      <c r="F36" s="518"/>
      <c r="G36" s="795">
        <f>IFERROR('SERTIFIKAT DPM'!AJ10,"-")</f>
        <v>0</v>
      </c>
      <c r="H36" s="795">
        <f>IFERROR('SERTIFIKAT DPM'!AK10,"-")</f>
        <v>0</v>
      </c>
      <c r="I36" s="795">
        <f>IFERROR('SERTIFIKAT DPM'!AN10,"-")</f>
        <v>0</v>
      </c>
      <c r="J36" s="795">
        <f>IFERROR('SERTIFIKAT DPM'!AO10,"-")</f>
        <v>0.6</v>
      </c>
      <c r="K36" s="796">
        <f>IFERROR('SERTIFIKAT DPM'!AP10,"-")</f>
        <v>0</v>
      </c>
      <c r="L36" s="796">
        <f>IFERROR('SERTIFIKAT DPM'!AS10,"-")</f>
        <v>0</v>
      </c>
      <c r="M36" s="796"/>
      <c r="N36" s="519"/>
    </row>
    <row r="37" spans="6:16" x14ac:dyDescent="0.25">
      <c r="F37" s="518"/>
      <c r="G37" s="795">
        <f>IFERROR('SERTIFIKAT DPM'!AJ11,"-")</f>
        <v>-100</v>
      </c>
      <c r="H37" s="795">
        <f>IFERROR('SERTIFIKAT DPM'!AK11,"-")</f>
        <v>-0.2</v>
      </c>
      <c r="I37" s="795">
        <f>IFERROR('SERTIFIKAT DPM'!AN11,"-")</f>
        <v>0</v>
      </c>
      <c r="J37" s="795">
        <f>IFERROR('SERTIFIKAT DPM'!AO11,"-")</f>
        <v>0.6</v>
      </c>
      <c r="K37" s="796">
        <f>IFERROR('SERTIFIKAT DPM'!AP11,"-")</f>
        <v>-0.2</v>
      </c>
      <c r="L37" s="796">
        <f>IFERROR('SERTIFIKAT DPM'!AS11,"-")</f>
        <v>0.1</v>
      </c>
      <c r="M37" s="796"/>
      <c r="N37" s="519"/>
    </row>
    <row r="38" spans="6:16" x14ac:dyDescent="0.25">
      <c r="F38" s="518"/>
      <c r="G38" s="795">
        <f>IFERROR('SERTIFIKAT DPM'!AJ12,"-")</f>
        <v>-200</v>
      </c>
      <c r="H38" s="795">
        <f>IFERROR('SERTIFIKAT DPM'!AK12,"-")</f>
        <v>-0.5</v>
      </c>
      <c r="I38" s="795">
        <f>IFERROR('SERTIFIKAT DPM'!AN12,"-")</f>
        <v>0.15000000000000002</v>
      </c>
      <c r="J38" s="795">
        <f>IFERROR('SERTIFIKAT DPM'!AO12,"-")</f>
        <v>0.6</v>
      </c>
      <c r="K38" s="796">
        <f>IFERROR('SERTIFIKAT DPM'!AP12,"-")</f>
        <v>-0.5</v>
      </c>
      <c r="L38" s="796">
        <f>IFERROR('SERTIFIKAT DPM'!AS12,"-")</f>
        <v>0</v>
      </c>
      <c r="M38" s="796"/>
      <c r="N38" s="519"/>
    </row>
    <row r="39" spans="6:16" x14ac:dyDescent="0.25">
      <c r="F39" s="518"/>
      <c r="G39" s="795">
        <f>IFERROR('SERTIFIKAT DPM'!AJ13,"-")</f>
        <v>-300</v>
      </c>
      <c r="H39" s="795">
        <f>IFERROR('SERTIFIKAT DPM'!AK13,"-")</f>
        <v>-0.7</v>
      </c>
      <c r="I39" s="795">
        <f>IFERROR('SERTIFIKAT DPM'!AN13,"-")</f>
        <v>0.25</v>
      </c>
      <c r="J39" s="795">
        <f>IFERROR('SERTIFIKAT DPM'!AO13,"-")</f>
        <v>0.6</v>
      </c>
      <c r="K39" s="796">
        <f>IFERROR('SERTIFIKAT DPM'!AP13,"-")</f>
        <v>-0.7</v>
      </c>
      <c r="L39" s="796">
        <f>IFERROR('SERTIFIKAT DPM'!AS13,"-")</f>
        <v>0.10000000000000003</v>
      </c>
      <c r="M39" s="796"/>
      <c r="N39" s="519"/>
    </row>
    <row r="40" spans="6:16" x14ac:dyDescent="0.25">
      <c r="F40" s="518"/>
      <c r="G40" s="795">
        <f>IFERROR('SERTIFIKAT DPM'!AJ14,"-")</f>
        <v>-400</v>
      </c>
      <c r="H40" s="795">
        <f>IFERROR('SERTIFIKAT DPM'!AK14,"-")</f>
        <v>-0.9</v>
      </c>
      <c r="I40" s="795">
        <f>IFERROR('SERTIFIKAT DPM'!AN14,"-")</f>
        <v>0.2</v>
      </c>
      <c r="J40" s="795">
        <f>IFERROR('SERTIFIKAT DPM'!AO14,"-")</f>
        <v>0.6</v>
      </c>
      <c r="K40" s="796">
        <f>IFERROR('SERTIFIKAT DPM'!AP14,"-")</f>
        <v>-0.9</v>
      </c>
      <c r="L40" s="796">
        <f>IFERROR('SERTIFIKAT DPM'!AS14,"-")</f>
        <v>4.9999999999999989E-2</v>
      </c>
      <c r="M40" s="796"/>
      <c r="N40" s="519"/>
    </row>
    <row r="41" spans="6:16" x14ac:dyDescent="0.25">
      <c r="F41" s="518"/>
      <c r="G41" s="795">
        <f>IFERROR('SERTIFIKAT DPM'!AJ15,"-")</f>
        <v>-500</v>
      </c>
      <c r="H41" s="795">
        <f>IFERROR('SERTIFIKAT DPM'!AK15,"-")</f>
        <v>-1.1000000000000001</v>
      </c>
      <c r="I41" s="795">
        <f>IFERROR('SERTIFIKAT DPM'!AN15,"-")</f>
        <v>0.25</v>
      </c>
      <c r="J41" s="795">
        <f>IFERROR('SERTIFIKAT DPM'!AO15,"-")</f>
        <v>0.6</v>
      </c>
      <c r="K41" s="796">
        <f>IFERROR('SERTIFIKAT DPM'!AP15,"-")</f>
        <v>-1.1000000000000001</v>
      </c>
      <c r="L41" s="796">
        <f>IFERROR('SERTIFIKAT DPM'!AS15,"-")</f>
        <v>0.14999999999999991</v>
      </c>
      <c r="M41" s="796"/>
      <c r="N41" s="519"/>
    </row>
    <row r="42" spans="6:16" x14ac:dyDescent="0.25">
      <c r="F42" s="518"/>
      <c r="G42" s="795">
        <f>IFERROR('SERTIFIKAT DPM'!AJ16,"-")</f>
        <v>-600</v>
      </c>
      <c r="H42" s="795">
        <f>IFERROR('SERTIFIKAT DPM'!AK16,"-")</f>
        <v>-1.2</v>
      </c>
      <c r="I42" s="795">
        <f>IFERROR('SERTIFIKAT DPM'!AN16,"-")</f>
        <v>0.30000000000000004</v>
      </c>
      <c r="J42" s="795">
        <f>IFERROR('SERTIFIKAT DPM'!AO16,"-")</f>
        <v>0.6</v>
      </c>
      <c r="K42" s="796">
        <f>IFERROR('SERTIFIKAT DPM'!AP16,"-")</f>
        <v>-1.2</v>
      </c>
      <c r="L42" s="796">
        <f>IFERROR('SERTIFIKAT DPM'!AS16,"-")</f>
        <v>0.15000000000000002</v>
      </c>
      <c r="M42" s="796"/>
      <c r="N42" s="519"/>
    </row>
    <row r="43" spans="6:16" x14ac:dyDescent="0.25">
      <c r="F43" s="518"/>
      <c r="G43" s="795">
        <f>IFERROR('SERTIFIKAT DPM'!AJ17,"-")</f>
        <v>-700</v>
      </c>
      <c r="H43" s="795">
        <f>IFERROR('SERTIFIKAT DPM'!AK17,"-")</f>
        <v>-1.3</v>
      </c>
      <c r="I43" s="795">
        <f>IFERROR('SERTIFIKAT DPM'!AN17,"-")</f>
        <v>0.25</v>
      </c>
      <c r="J43" s="795">
        <f>IFERROR('SERTIFIKAT DPM'!AO17,"-")</f>
        <v>0.6</v>
      </c>
      <c r="K43" s="796">
        <f>IFERROR('SERTIFIKAT DPM'!AP17,"-")</f>
        <v>-1.3</v>
      </c>
      <c r="L43" s="796">
        <f>IFERROR('SERTIFIKAT DPM'!AS17,"-")</f>
        <v>9.9999999999999978E-2</v>
      </c>
      <c r="M43" s="796"/>
      <c r="N43" s="519"/>
    </row>
    <row r="44" spans="6:16" x14ac:dyDescent="0.25">
      <c r="F44" s="518"/>
      <c r="G44" s="797">
        <f>IFERROR('SERTIFIKAT DPM'!AJ18,"-")</f>
        <v>0</v>
      </c>
      <c r="H44" s="797">
        <f>IFERROR('SERTIFIKAT DPM'!AK18,"-")</f>
        <v>0</v>
      </c>
      <c r="I44" s="797">
        <f>IFERROR('SERTIFIKAT DPM'!AN18,"-")</f>
        <v>0</v>
      </c>
      <c r="J44" s="797">
        <f>IFERROR('SERTIFIKAT DPM'!AO18,"-")</f>
        <v>0</v>
      </c>
      <c r="K44" s="798">
        <f>IFERROR('SERTIFIKAT DPM'!AP18,"-")</f>
        <v>0</v>
      </c>
      <c r="L44" s="798">
        <f>IFERROR('SERTIFIKAT DPM'!AS18,"-")</f>
        <v>0</v>
      </c>
      <c r="M44" s="798"/>
      <c r="N44" s="519"/>
    </row>
    <row r="45" spans="6:16" x14ac:dyDescent="0.25">
      <c r="F45" s="518"/>
      <c r="G45" s="797">
        <f>IFERROR('SERTIFIKAT DPM'!AJ19,"-")</f>
        <v>0</v>
      </c>
      <c r="H45" s="797">
        <f>IFERROR('SERTIFIKAT DPM'!AK19,"-")</f>
        <v>0</v>
      </c>
      <c r="I45" s="797">
        <f>IFERROR('SERTIFIKAT DPM'!AN19,"-")</f>
        <v>0</v>
      </c>
      <c r="J45" s="797">
        <f>IFERROR('SERTIFIKAT DPM'!AO19,"-")</f>
        <v>0</v>
      </c>
      <c r="K45" s="798">
        <f>IFERROR('SERTIFIKAT DPM'!AP19,"-")</f>
        <v>0</v>
      </c>
      <c r="L45" s="798">
        <f>IFERROR('SERTIFIKAT DPM'!AS19,"-")</f>
        <v>0</v>
      </c>
      <c r="M45" s="798"/>
      <c r="N45" s="519"/>
    </row>
    <row r="46" spans="6:16" x14ac:dyDescent="0.25">
      <c r="F46" s="518"/>
      <c r="G46" s="797">
        <f>IFERROR('SERTIFIKAT DPM'!AJ20,"-")</f>
        <v>0</v>
      </c>
      <c r="H46" s="797">
        <f>IFERROR('SERTIFIKAT DPM'!AK20,"-")</f>
        <v>0</v>
      </c>
      <c r="I46" s="797">
        <f>IFERROR('SERTIFIKAT DPM'!AN20,"-")</f>
        <v>0</v>
      </c>
      <c r="J46" s="797">
        <f>IFERROR('SERTIFIKAT DPM'!AO20,"-")</f>
        <v>0</v>
      </c>
      <c r="K46" s="798">
        <f>IFERROR('SERTIFIKAT DPM'!AP20,"-")</f>
        <v>0</v>
      </c>
      <c r="L46" s="798">
        <f>IFERROR('SERTIFIKAT DPM'!AS20,"-")</f>
        <v>0</v>
      </c>
      <c r="M46" s="798"/>
      <c r="N46" s="519"/>
    </row>
    <row r="47" spans="6:16" x14ac:dyDescent="0.25">
      <c r="F47" s="518"/>
      <c r="G47" s="797">
        <f>IFERROR('SERTIFIKAT DPM'!AJ21,"-")</f>
        <v>0</v>
      </c>
      <c r="H47" s="797">
        <f>IFERROR('SERTIFIKAT DPM'!AK21,"-")</f>
        <v>0</v>
      </c>
      <c r="I47" s="797">
        <f>IFERROR('SERTIFIKAT DPM'!AN21,"-")</f>
        <v>0</v>
      </c>
      <c r="J47" s="797">
        <f>IFERROR('SERTIFIKAT DPM'!AO21,"-")</f>
        <v>0</v>
      </c>
      <c r="K47" s="798">
        <f>IFERROR('SERTIFIKAT DPM'!AP21,"-")</f>
        <v>0</v>
      </c>
      <c r="L47" s="798">
        <f>IFERROR('SERTIFIKAT DPM'!AS21,"-")</f>
        <v>0</v>
      </c>
      <c r="M47" s="798"/>
      <c r="N47" s="519"/>
    </row>
    <row r="48" spans="6:16" x14ac:dyDescent="0.25">
      <c r="F48" s="518"/>
      <c r="G48" s="69"/>
      <c r="H48" s="69"/>
      <c r="I48" s="69"/>
      <c r="J48" s="69"/>
      <c r="K48" s="524"/>
      <c r="L48" s="524"/>
      <c r="M48" s="524"/>
      <c r="N48" s="519"/>
    </row>
    <row r="49" spans="6:14" ht="13.8" thickBot="1" x14ac:dyDescent="0.3">
      <c r="F49" s="520"/>
      <c r="G49" s="523"/>
      <c r="H49" s="523"/>
      <c r="I49" s="523"/>
      <c r="J49" s="523"/>
      <c r="K49" s="525"/>
      <c r="L49" s="525"/>
      <c r="M49" s="525"/>
      <c r="N49" s="522"/>
    </row>
  </sheetData>
  <mergeCells count="12">
    <mergeCell ref="F33:L34"/>
    <mergeCell ref="M33:N34"/>
    <mergeCell ref="F11:N12"/>
    <mergeCell ref="V12:X12"/>
    <mergeCell ref="Y12:AA12"/>
    <mergeCell ref="AS12:AT12"/>
    <mergeCell ref="AB12:AD12"/>
    <mergeCell ref="U10:AE11"/>
    <mergeCell ref="AK10:AU11"/>
    <mergeCell ref="AL12:AN12"/>
    <mergeCell ref="AO12:AP12"/>
    <mergeCell ref="AQ12:AR12"/>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68C4-2992-40D6-BC4B-BF071E202337}">
  <sheetPr>
    <tabColor rgb="FFFF0000"/>
  </sheetPr>
  <dimension ref="A10:GB38"/>
  <sheetViews>
    <sheetView topLeftCell="Z1" zoomScale="70" zoomScaleNormal="70" workbookViewId="0">
      <selection activeCell="AP16" activeCellId="1" sqref="AE15:AJ15 AP16:AP17"/>
    </sheetView>
  </sheetViews>
  <sheetFormatPr defaultColWidth="8.88671875" defaultRowHeight="13.8" x14ac:dyDescent="0.25"/>
  <cols>
    <col min="1" max="6" width="8.88671875" style="496"/>
    <col min="7" max="7" width="12.6640625" style="496" customWidth="1"/>
    <col min="8" max="8" width="8.88671875" style="496"/>
    <col min="9" max="9" width="11.88671875" style="496" customWidth="1"/>
    <col min="10" max="10" width="12.6640625" style="496" customWidth="1"/>
    <col min="11" max="11" width="11.109375" style="496" customWidth="1"/>
    <col min="12" max="16" width="0.88671875" style="496" customWidth="1"/>
    <col min="17" max="17" width="13.77734375" style="496" bestFit="1" customWidth="1"/>
    <col min="18" max="19" width="8.88671875" style="496"/>
    <col min="20" max="20" width="11.109375" style="496" customWidth="1"/>
    <col min="21" max="22" width="10.6640625" style="496" customWidth="1"/>
    <col min="23" max="23" width="8.88671875" style="496"/>
    <col min="24" max="29" width="1.88671875" style="496" customWidth="1"/>
    <col min="30" max="34" width="8.88671875" style="496"/>
    <col min="35" max="35" width="9.21875" style="496" bestFit="1" customWidth="1"/>
    <col min="36" max="36" width="12.33203125" style="496" customWidth="1"/>
    <col min="37" max="60" width="2.21875" style="496" customWidth="1"/>
    <col min="61" max="66" width="8.88671875" style="496"/>
    <col min="67" max="67" width="11.33203125" style="496" customWidth="1"/>
    <col min="68" max="68" width="10.6640625" style="496" customWidth="1"/>
    <col min="69" max="73" width="1.6640625" style="496" customWidth="1"/>
    <col min="74" max="77" width="8.88671875" style="496"/>
    <col min="78" max="78" width="10.6640625" style="496" customWidth="1"/>
    <col min="79" max="79" width="11.77734375" style="496" customWidth="1"/>
    <col min="80" max="80" width="8.88671875" style="496"/>
    <col min="81" max="85" width="2.44140625" style="496" customWidth="1"/>
    <col min="86" max="86" width="8.88671875" style="496"/>
    <col min="87" max="87" width="10.109375" style="496" customWidth="1"/>
    <col min="88" max="89" width="8.88671875" style="496"/>
    <col min="90" max="90" width="9.21875" style="496" customWidth="1"/>
    <col min="91" max="91" width="8.88671875" style="496"/>
    <col min="92" max="92" width="12.109375" style="496" customWidth="1"/>
    <col min="93" max="97" width="1.6640625" style="496" customWidth="1"/>
    <col min="98" max="98" width="10.109375" style="496" customWidth="1"/>
    <col min="99" max="102" width="8.88671875" style="496"/>
    <col min="103" max="103" width="12.109375" style="496" customWidth="1"/>
    <col min="104" max="104" width="8.88671875" style="496"/>
    <col min="105" max="110" width="3" style="496" customWidth="1"/>
    <col min="111" max="116" width="8.88671875" style="496"/>
    <col min="117" max="117" width="11.6640625" style="496" customWidth="1"/>
    <col min="118" max="122" width="2.21875" style="496" customWidth="1"/>
    <col min="123" max="127" width="8.88671875" style="496"/>
    <col min="128" max="128" width="10.77734375" style="496" customWidth="1"/>
    <col min="129" max="135" width="1.77734375" style="496" customWidth="1"/>
    <col min="136" max="140" width="8.88671875" style="496"/>
    <col min="141" max="141" width="11.77734375" style="496" customWidth="1"/>
    <col min="142" max="143" width="4.44140625" style="496" customWidth="1"/>
    <col min="144" max="151" width="3.109375" style="496" customWidth="1"/>
    <col min="152" max="157" width="8.88671875" style="496"/>
    <col min="158" max="158" width="11.77734375" style="496" customWidth="1"/>
    <col min="159" max="163" width="2.77734375" style="496" customWidth="1"/>
    <col min="164" max="168" width="8.88671875" style="496"/>
    <col min="169" max="169" width="12.77734375" style="496" customWidth="1"/>
    <col min="170" max="176" width="2" style="496" customWidth="1"/>
    <col min="177" max="181" width="8.88671875" style="496"/>
    <col min="182" max="182" width="11.6640625" style="496" customWidth="1"/>
    <col min="183" max="16384" width="8.88671875" style="496"/>
  </cols>
  <sheetData>
    <row r="10" spans="1:184" x14ac:dyDescent="0.25">
      <c r="A10" s="496" t="s">
        <v>801</v>
      </c>
      <c r="B10" s="497" t="s">
        <v>802</v>
      </c>
    </row>
    <row r="11" spans="1:184" ht="14.4" thickBot="1" x14ac:dyDescent="0.3"/>
    <row r="12" spans="1:184" x14ac:dyDescent="0.25">
      <c r="E12" s="1623" t="s">
        <v>819</v>
      </c>
      <c r="F12" s="1624"/>
      <c r="G12" s="1624"/>
      <c r="H12" s="1624"/>
      <c r="I12" s="1624"/>
      <c r="J12" s="1624"/>
      <c r="K12" s="1624"/>
      <c r="L12" s="1624"/>
      <c r="M12" s="1624"/>
      <c r="N12" s="1624"/>
      <c r="O12" s="1624"/>
      <c r="P12" s="1624"/>
      <c r="Q12" s="1624"/>
      <c r="R12" s="1624"/>
      <c r="S12" s="1624"/>
      <c r="T12" s="1624"/>
      <c r="U12" s="1624"/>
      <c r="V12" s="1624"/>
      <c r="W12" s="1625"/>
      <c r="X12" s="754"/>
      <c r="Y12" s="754"/>
      <c r="Z12" s="754"/>
      <c r="AA12" s="754"/>
      <c r="AB12" s="754"/>
      <c r="AC12" s="754"/>
      <c r="AD12" s="1623" t="s">
        <v>818</v>
      </c>
      <c r="AE12" s="1624"/>
      <c r="AF12" s="1624"/>
      <c r="AG12" s="1624"/>
      <c r="AH12" s="1624"/>
      <c r="AI12" s="1624"/>
      <c r="AJ12" s="1624"/>
      <c r="AK12" s="1624"/>
      <c r="AL12" s="1624"/>
      <c r="AM12" s="1624"/>
      <c r="AN12" s="1624"/>
      <c r="AO12" s="1624"/>
      <c r="AP12" s="1624"/>
      <c r="AQ12" s="1624"/>
      <c r="AR12" s="1624"/>
      <c r="AS12" s="1624"/>
      <c r="AT12" s="1624"/>
      <c r="AU12" s="1624"/>
      <c r="AV12" s="1625"/>
      <c r="AW12" s="754"/>
      <c r="AX12" s="754"/>
      <c r="AY12" s="754"/>
      <c r="AZ12" s="754"/>
      <c r="BA12" s="754"/>
      <c r="BB12" s="754"/>
      <c r="BI12" s="1623" t="s">
        <v>803</v>
      </c>
      <c r="BJ12" s="1624"/>
      <c r="BK12" s="1624"/>
      <c r="BL12" s="1624"/>
      <c r="BM12" s="1624"/>
      <c r="BN12" s="1624"/>
      <c r="BO12" s="1624"/>
      <c r="BP12" s="1624"/>
      <c r="BQ12" s="1624"/>
      <c r="BR12" s="1624"/>
      <c r="BS12" s="1624"/>
      <c r="BT12" s="1624"/>
      <c r="BU12" s="1624"/>
      <c r="BV12" s="1624"/>
      <c r="BW12" s="1624"/>
      <c r="BX12" s="1624"/>
      <c r="BY12" s="1624"/>
      <c r="BZ12" s="1624"/>
      <c r="CA12" s="1624"/>
      <c r="CB12" s="1625"/>
      <c r="CH12" s="1623" t="s">
        <v>804</v>
      </c>
      <c r="CI12" s="1624"/>
      <c r="CJ12" s="1624"/>
      <c r="CK12" s="1624"/>
      <c r="CL12" s="1624"/>
      <c r="CM12" s="1624"/>
      <c r="CN12" s="1624"/>
      <c r="CO12" s="1624"/>
      <c r="CP12" s="1624"/>
      <c r="CQ12" s="1624"/>
      <c r="CR12" s="1624"/>
      <c r="CS12" s="1624"/>
      <c r="CT12" s="1624"/>
      <c r="CU12" s="1624"/>
      <c r="CV12" s="1624"/>
      <c r="CW12" s="1624"/>
      <c r="CX12" s="1624"/>
      <c r="CY12" s="1624"/>
      <c r="CZ12" s="1625"/>
      <c r="DG12" s="1623" t="s">
        <v>821</v>
      </c>
      <c r="DH12" s="1624"/>
      <c r="DI12" s="1624"/>
      <c r="DJ12" s="1624"/>
      <c r="DK12" s="1624"/>
      <c r="DL12" s="1624"/>
      <c r="DM12" s="1624"/>
      <c r="DN12" s="1624"/>
      <c r="DO12" s="1624"/>
      <c r="DP12" s="1624"/>
      <c r="DQ12" s="1624"/>
      <c r="DR12" s="1624"/>
      <c r="DS12" s="1624"/>
      <c r="DT12" s="1624"/>
      <c r="DU12" s="1624"/>
      <c r="DV12" s="1624"/>
      <c r="DW12" s="1624"/>
      <c r="DX12" s="1624"/>
      <c r="DY12" s="1624"/>
      <c r="DZ12" s="1624"/>
      <c r="EA12" s="1624"/>
      <c r="EB12" s="1624"/>
      <c r="EC12" s="1624"/>
      <c r="ED12" s="1624"/>
      <c r="EE12" s="1624"/>
      <c r="EF12" s="1624"/>
      <c r="EG12" s="1624"/>
      <c r="EH12" s="1624"/>
      <c r="EI12" s="1624"/>
      <c r="EJ12" s="1624"/>
      <c r="EK12" s="1624"/>
      <c r="EL12" s="1624"/>
      <c r="EM12" s="1625"/>
      <c r="EV12" s="1623" t="s">
        <v>857</v>
      </c>
      <c r="EW12" s="1624"/>
      <c r="EX12" s="1624"/>
      <c r="EY12" s="1624"/>
      <c r="EZ12" s="1624"/>
      <c r="FA12" s="1624"/>
      <c r="FB12" s="1624"/>
      <c r="FC12" s="1624"/>
      <c r="FD12" s="1624"/>
      <c r="FE12" s="1624"/>
      <c r="FF12" s="1624"/>
      <c r="FG12" s="1624"/>
      <c r="FH12" s="1624"/>
      <c r="FI12" s="1624"/>
      <c r="FJ12" s="1624"/>
      <c r="FK12" s="1624"/>
      <c r="FL12" s="1624"/>
      <c r="FM12" s="1624"/>
      <c r="FN12" s="1624"/>
      <c r="FO12" s="1624"/>
      <c r="FP12" s="1624"/>
      <c r="FQ12" s="1624"/>
      <c r="FR12" s="1624"/>
      <c r="FS12" s="1624"/>
      <c r="FT12" s="1624"/>
      <c r="FU12" s="1624"/>
      <c r="FV12" s="1624"/>
      <c r="FW12" s="1624"/>
      <c r="FX12" s="1624"/>
      <c r="FY12" s="1624"/>
      <c r="FZ12" s="1624"/>
      <c r="GA12" s="1624"/>
      <c r="GB12" s="1625"/>
    </row>
    <row r="13" spans="1:184" ht="14.4" thickBot="1" x14ac:dyDescent="0.3">
      <c r="E13" s="1626"/>
      <c r="F13" s="1627"/>
      <c r="G13" s="1627"/>
      <c r="H13" s="1627"/>
      <c r="I13" s="1627"/>
      <c r="J13" s="1627"/>
      <c r="K13" s="1627"/>
      <c r="L13" s="1627"/>
      <c r="M13" s="1627"/>
      <c r="N13" s="1627"/>
      <c r="O13" s="1627"/>
      <c r="P13" s="1627"/>
      <c r="Q13" s="1627"/>
      <c r="R13" s="1627"/>
      <c r="S13" s="1627"/>
      <c r="T13" s="1627"/>
      <c r="U13" s="1627"/>
      <c r="V13" s="1627"/>
      <c r="W13" s="1628"/>
      <c r="X13" s="754"/>
      <c r="Y13" s="754"/>
      <c r="Z13" s="754"/>
      <c r="AA13" s="754"/>
      <c r="AB13" s="754"/>
      <c r="AC13" s="754"/>
      <c r="AD13" s="1626"/>
      <c r="AE13" s="1627"/>
      <c r="AF13" s="1627"/>
      <c r="AG13" s="1627"/>
      <c r="AH13" s="1627"/>
      <c r="AI13" s="1627"/>
      <c r="AJ13" s="1627"/>
      <c r="AK13" s="1627"/>
      <c r="AL13" s="1627"/>
      <c r="AM13" s="1627"/>
      <c r="AN13" s="1627"/>
      <c r="AO13" s="1627"/>
      <c r="AP13" s="1627"/>
      <c r="AQ13" s="1627"/>
      <c r="AR13" s="1627"/>
      <c r="AS13" s="1627"/>
      <c r="AT13" s="1627"/>
      <c r="AU13" s="1627"/>
      <c r="AV13" s="1628"/>
      <c r="AW13" s="754"/>
      <c r="AX13" s="754"/>
      <c r="AY13" s="754"/>
      <c r="AZ13" s="754"/>
      <c r="BA13" s="754"/>
      <c r="BB13" s="754"/>
      <c r="BI13" s="1626"/>
      <c r="BJ13" s="1627"/>
      <c r="BK13" s="1627"/>
      <c r="BL13" s="1627"/>
      <c r="BM13" s="1627"/>
      <c r="BN13" s="1627"/>
      <c r="BO13" s="1627"/>
      <c r="BP13" s="1627"/>
      <c r="BQ13" s="1627"/>
      <c r="BR13" s="1627"/>
      <c r="BS13" s="1627"/>
      <c r="BT13" s="1627"/>
      <c r="BU13" s="1627"/>
      <c r="BV13" s="1627"/>
      <c r="BW13" s="1627"/>
      <c r="BX13" s="1627"/>
      <c r="BY13" s="1627"/>
      <c r="BZ13" s="1627"/>
      <c r="CA13" s="1627"/>
      <c r="CB13" s="1628"/>
      <c r="CH13" s="1626"/>
      <c r="CI13" s="1627"/>
      <c r="CJ13" s="1627"/>
      <c r="CK13" s="1627"/>
      <c r="CL13" s="1627"/>
      <c r="CM13" s="1627"/>
      <c r="CN13" s="1627"/>
      <c r="CO13" s="1627"/>
      <c r="CP13" s="1627"/>
      <c r="CQ13" s="1627"/>
      <c r="CR13" s="1627"/>
      <c r="CS13" s="1627"/>
      <c r="CT13" s="1627"/>
      <c r="CU13" s="1627"/>
      <c r="CV13" s="1627"/>
      <c r="CW13" s="1627"/>
      <c r="CX13" s="1627"/>
      <c r="CY13" s="1627"/>
      <c r="CZ13" s="1628"/>
      <c r="DG13" s="1626"/>
      <c r="DH13" s="1627"/>
      <c r="DI13" s="1627"/>
      <c r="DJ13" s="1627"/>
      <c r="DK13" s="1627"/>
      <c r="DL13" s="1627"/>
      <c r="DM13" s="1627"/>
      <c r="DN13" s="1627"/>
      <c r="DO13" s="1627"/>
      <c r="DP13" s="1627"/>
      <c r="DQ13" s="1627"/>
      <c r="DR13" s="1627"/>
      <c r="DS13" s="1627"/>
      <c r="DT13" s="1627"/>
      <c r="DU13" s="1627"/>
      <c r="DV13" s="1627"/>
      <c r="DW13" s="1627"/>
      <c r="DX13" s="1627"/>
      <c r="DY13" s="1627"/>
      <c r="DZ13" s="1627"/>
      <c r="EA13" s="1627"/>
      <c r="EB13" s="1627"/>
      <c r="EC13" s="1627"/>
      <c r="ED13" s="1627"/>
      <c r="EE13" s="1627"/>
      <c r="EF13" s="1627"/>
      <c r="EG13" s="1627"/>
      <c r="EH13" s="1627"/>
      <c r="EI13" s="1627"/>
      <c r="EJ13" s="1627"/>
      <c r="EK13" s="1627"/>
      <c r="EL13" s="1627"/>
      <c r="EM13" s="1628"/>
      <c r="EV13" s="1626"/>
      <c r="EW13" s="1627"/>
      <c r="EX13" s="1627"/>
      <c r="EY13" s="1627"/>
      <c r="EZ13" s="1627"/>
      <c r="FA13" s="1627"/>
      <c r="FB13" s="1627"/>
      <c r="FC13" s="1627"/>
      <c r="FD13" s="1627"/>
      <c r="FE13" s="1627"/>
      <c r="FF13" s="1627"/>
      <c r="FG13" s="1627"/>
      <c r="FH13" s="1627"/>
      <c r="FI13" s="1627"/>
      <c r="FJ13" s="1627"/>
      <c r="FK13" s="1627"/>
      <c r="FL13" s="1627"/>
      <c r="FM13" s="1627"/>
      <c r="FN13" s="1627"/>
      <c r="FO13" s="1627"/>
      <c r="FP13" s="1627"/>
      <c r="FQ13" s="1627"/>
      <c r="FR13" s="1627"/>
      <c r="FS13" s="1627"/>
      <c r="FT13" s="1627"/>
      <c r="FU13" s="1627"/>
      <c r="FV13" s="1627"/>
      <c r="FW13" s="1627"/>
      <c r="FX13" s="1627"/>
      <c r="FY13" s="1627"/>
      <c r="FZ13" s="1627"/>
      <c r="GA13" s="1627"/>
      <c r="GB13" s="1628"/>
    </row>
    <row r="14" spans="1:184" ht="14.4" thickBot="1" x14ac:dyDescent="0.3">
      <c r="E14" s="498"/>
      <c r="F14" s="753"/>
      <c r="G14" s="753"/>
      <c r="H14" s="753"/>
      <c r="I14" s="753"/>
      <c r="J14" s="753"/>
      <c r="K14" s="753"/>
      <c r="L14" s="753"/>
      <c r="M14" s="753"/>
      <c r="N14" s="753"/>
      <c r="O14" s="753"/>
      <c r="P14" s="753"/>
      <c r="Q14" s="753"/>
      <c r="R14" s="753"/>
      <c r="S14" s="753"/>
      <c r="T14" s="753"/>
      <c r="U14" s="753"/>
      <c r="V14" s="753"/>
      <c r="W14" s="499"/>
      <c r="AD14" s="498"/>
      <c r="AE14" s="753"/>
      <c r="AF14" s="753"/>
      <c r="AG14" s="753"/>
      <c r="AH14" s="753"/>
      <c r="AI14" s="753"/>
      <c r="AJ14" s="753"/>
      <c r="AK14" s="753"/>
      <c r="AL14" s="753"/>
      <c r="AM14" s="753"/>
      <c r="AN14" s="753"/>
      <c r="AO14" s="753"/>
      <c r="AP14" s="753"/>
      <c r="AQ14" s="753"/>
      <c r="AR14" s="753"/>
      <c r="AS14" s="753"/>
      <c r="AT14" s="753"/>
      <c r="AU14" s="753"/>
      <c r="AV14" s="499"/>
      <c r="BI14" s="498"/>
      <c r="BJ14" s="753"/>
      <c r="BK14" s="753"/>
      <c r="BL14" s="753"/>
      <c r="BM14" s="753"/>
      <c r="BN14" s="753"/>
      <c r="BO14" s="753"/>
      <c r="BP14" s="753"/>
      <c r="BQ14" s="753"/>
      <c r="BR14" s="753"/>
      <c r="BS14" s="753"/>
      <c r="BT14" s="753"/>
      <c r="BU14" s="753"/>
      <c r="BV14" s="753"/>
      <c r="BW14" s="753"/>
      <c r="BX14" s="753"/>
      <c r="BY14" s="753"/>
      <c r="BZ14" s="753"/>
      <c r="CB14" s="499"/>
      <c r="CH14" s="500"/>
      <c r="CI14" s="754"/>
      <c r="CJ14" s="754"/>
      <c r="CK14" s="754"/>
      <c r="CL14" s="754"/>
      <c r="CM14" s="754"/>
      <c r="CN14" s="754"/>
      <c r="CO14" s="754"/>
      <c r="CP14" s="754"/>
      <c r="CQ14" s="754"/>
      <c r="CR14" s="754"/>
      <c r="CS14" s="754"/>
      <c r="CT14" s="754"/>
      <c r="CU14" s="754"/>
      <c r="CV14" s="754"/>
      <c r="CW14" s="754"/>
      <c r="CX14" s="754"/>
      <c r="CY14" s="754"/>
      <c r="CZ14" s="501"/>
      <c r="DG14" s="500"/>
      <c r="DH14" s="754"/>
      <c r="DI14" s="754"/>
      <c r="DJ14" s="754"/>
      <c r="DK14" s="754"/>
      <c r="DL14" s="754"/>
      <c r="DM14" s="754"/>
      <c r="DN14" s="754"/>
      <c r="DO14" s="754"/>
      <c r="DP14" s="754"/>
      <c r="DQ14" s="754"/>
      <c r="DR14" s="754"/>
      <c r="DS14" s="754"/>
      <c r="DT14" s="754"/>
      <c r="DU14" s="754"/>
      <c r="DV14" s="754"/>
      <c r="DW14" s="754"/>
      <c r="DX14" s="754"/>
      <c r="DY14" s="502"/>
      <c r="EM14" s="499"/>
      <c r="EV14" s="500"/>
      <c r="EW14" s="754"/>
      <c r="EX14" s="754"/>
      <c r="EY14" s="754"/>
      <c r="EZ14" s="754"/>
      <c r="FA14" s="754"/>
      <c r="FB14" s="754"/>
      <c r="FC14" s="754"/>
      <c r="FD14" s="754"/>
      <c r="FE14" s="754"/>
      <c r="FF14" s="754"/>
      <c r="FG14" s="754"/>
      <c r="FH14" s="754"/>
      <c r="FI14" s="754"/>
      <c r="FJ14" s="754"/>
      <c r="FK14" s="754"/>
      <c r="FL14" s="754"/>
      <c r="FM14" s="754"/>
      <c r="FN14" s="502"/>
      <c r="GB14" s="499"/>
    </row>
    <row r="15" spans="1:184" ht="12.75" customHeight="1" thickBot="1" x14ac:dyDescent="0.3">
      <c r="E15" s="498"/>
      <c r="F15" s="1629" t="s">
        <v>805</v>
      </c>
      <c r="G15" s="1629"/>
      <c r="H15" s="1629"/>
      <c r="I15" s="1629"/>
      <c r="J15" s="1629"/>
      <c r="K15" s="1629"/>
      <c r="R15" s="1629" t="s">
        <v>806</v>
      </c>
      <c r="S15" s="1629"/>
      <c r="T15" s="1629"/>
      <c r="U15" s="1629"/>
      <c r="V15" s="1629"/>
      <c r="W15" s="499"/>
      <c r="AD15" s="498"/>
      <c r="AE15" s="1629" t="s">
        <v>805</v>
      </c>
      <c r="AF15" s="1629"/>
      <c r="AG15" s="1629"/>
      <c r="AH15" s="1629"/>
      <c r="AI15" s="1629"/>
      <c r="AJ15" s="1629"/>
      <c r="AP15" s="535"/>
      <c r="AQ15" s="1632"/>
      <c r="AR15" s="1632"/>
      <c r="AS15" s="1632"/>
      <c r="AT15" s="1632"/>
      <c r="AU15" s="1632"/>
      <c r="AV15" s="499"/>
      <c r="BI15" s="498"/>
      <c r="BK15" s="1629" t="s">
        <v>807</v>
      </c>
      <c r="BL15" s="1629"/>
      <c r="BM15" s="1629"/>
      <c r="BN15" s="1629"/>
      <c r="BO15" s="1629"/>
      <c r="BV15" s="1629" t="s">
        <v>808</v>
      </c>
      <c r="BW15" s="1629"/>
      <c r="BX15" s="1629"/>
      <c r="BY15" s="1629"/>
      <c r="BZ15" s="1629"/>
      <c r="CB15" s="499"/>
      <c r="CH15" s="500"/>
      <c r="CI15" s="502"/>
      <c r="CJ15" s="1629" t="s">
        <v>809</v>
      </c>
      <c r="CK15" s="1629"/>
      <c r="CL15" s="1629"/>
      <c r="CM15" s="1629"/>
      <c r="CN15" s="1629"/>
      <c r="CO15" s="502"/>
      <c r="CP15" s="502"/>
      <c r="CQ15" s="502"/>
      <c r="CR15" s="502"/>
      <c r="CS15" s="502"/>
      <c r="CT15" s="502"/>
      <c r="CU15" s="1629" t="s">
        <v>224</v>
      </c>
      <c r="CV15" s="1629"/>
      <c r="CW15" s="1629"/>
      <c r="CX15" s="1629"/>
      <c r="CY15" s="1629"/>
      <c r="CZ15" s="501"/>
      <c r="DG15" s="500"/>
      <c r="DH15" s="1634" t="s">
        <v>822</v>
      </c>
      <c r="DI15" s="1635"/>
      <c r="DJ15" s="1635"/>
      <c r="DK15" s="1635"/>
      <c r="DL15" s="1635"/>
      <c r="DM15" s="1636"/>
      <c r="DN15" s="502"/>
      <c r="DO15" s="502"/>
      <c r="DP15" s="502"/>
      <c r="DQ15" s="502"/>
      <c r="DR15" s="502"/>
      <c r="DS15" s="1634" t="s">
        <v>824</v>
      </c>
      <c r="DT15" s="1635"/>
      <c r="DU15" s="1635"/>
      <c r="DV15" s="1635"/>
      <c r="DW15" s="1635"/>
      <c r="DX15" s="1636"/>
      <c r="DY15" s="502"/>
      <c r="EF15" s="1634" t="s">
        <v>826</v>
      </c>
      <c r="EG15" s="1635"/>
      <c r="EH15" s="1635"/>
      <c r="EI15" s="1635"/>
      <c r="EJ15" s="1635"/>
      <c r="EK15" s="1636"/>
      <c r="EM15" s="499"/>
      <c r="EV15" s="500"/>
      <c r="EW15" s="1634" t="s">
        <v>833</v>
      </c>
      <c r="EX15" s="1635"/>
      <c r="EY15" s="1635"/>
      <c r="EZ15" s="1635"/>
      <c r="FA15" s="1635"/>
      <c r="FB15" s="1636"/>
      <c r="FC15" s="502"/>
      <c r="FD15" s="502"/>
      <c r="FE15" s="502"/>
      <c r="FF15" s="502"/>
      <c r="FG15" s="502"/>
      <c r="FH15" s="1634" t="s">
        <v>834</v>
      </c>
      <c r="FI15" s="1635"/>
      <c r="FJ15" s="1635"/>
      <c r="FK15" s="1635"/>
      <c r="FL15" s="1635"/>
      <c r="FM15" s="1636"/>
      <c r="FN15" s="502"/>
      <c r="FU15" s="1634" t="s">
        <v>836</v>
      </c>
      <c r="FV15" s="1635"/>
      <c r="FW15" s="1635"/>
      <c r="FX15" s="1635"/>
      <c r="FY15" s="1635"/>
      <c r="FZ15" s="1636"/>
      <c r="GB15" s="499"/>
    </row>
    <row r="16" spans="1:184" ht="12.75" customHeight="1" x14ac:dyDescent="0.25">
      <c r="E16" s="498"/>
      <c r="F16" s="1621" t="s">
        <v>810</v>
      </c>
      <c r="G16" s="1621" t="s">
        <v>811</v>
      </c>
      <c r="H16" s="1621" t="s">
        <v>812</v>
      </c>
      <c r="I16" s="1621" t="s">
        <v>813</v>
      </c>
      <c r="J16" s="1621" t="s">
        <v>814</v>
      </c>
      <c r="K16" s="1622" t="s">
        <v>815</v>
      </c>
      <c r="Q16" s="1621" t="s">
        <v>810</v>
      </c>
      <c r="R16" s="1621" t="s">
        <v>811</v>
      </c>
      <c r="S16" s="1621" t="s">
        <v>812</v>
      </c>
      <c r="T16" s="1621" t="s">
        <v>813</v>
      </c>
      <c r="U16" s="1621" t="s">
        <v>814</v>
      </c>
      <c r="V16" s="1622" t="s">
        <v>815</v>
      </c>
      <c r="W16" s="499"/>
      <c r="AD16" s="498"/>
      <c r="AE16" s="1621" t="s">
        <v>810</v>
      </c>
      <c r="AF16" s="1621" t="s">
        <v>811</v>
      </c>
      <c r="AG16" s="1621" t="s">
        <v>812</v>
      </c>
      <c r="AH16" s="1621" t="s">
        <v>813</v>
      </c>
      <c r="AI16" s="1621" t="s">
        <v>814</v>
      </c>
      <c r="AJ16" s="1622" t="s">
        <v>815</v>
      </c>
      <c r="AP16" s="1630"/>
      <c r="AQ16" s="1630"/>
      <c r="AR16" s="1630"/>
      <c r="AS16" s="1630"/>
      <c r="AT16" s="1630"/>
      <c r="AU16" s="1631"/>
      <c r="AV16" s="499"/>
      <c r="BI16" s="498"/>
      <c r="BK16" s="1621" t="s">
        <v>810</v>
      </c>
      <c r="BL16" s="1621" t="s">
        <v>811</v>
      </c>
      <c r="BM16" s="1621" t="s">
        <v>812</v>
      </c>
      <c r="BN16" s="1621" t="s">
        <v>813</v>
      </c>
      <c r="BO16" s="1621" t="s">
        <v>814</v>
      </c>
      <c r="BP16" s="1622" t="s">
        <v>815</v>
      </c>
      <c r="BV16" s="1621" t="s">
        <v>810</v>
      </c>
      <c r="BW16" s="1621" t="s">
        <v>811</v>
      </c>
      <c r="BX16" s="1621" t="s">
        <v>812</v>
      </c>
      <c r="BY16" s="1621" t="s">
        <v>813</v>
      </c>
      <c r="BZ16" s="1621" t="s">
        <v>814</v>
      </c>
      <c r="CA16" s="1622" t="s">
        <v>815</v>
      </c>
      <c r="CB16" s="499"/>
      <c r="CH16" s="498"/>
      <c r="CI16" s="1621" t="s">
        <v>810</v>
      </c>
      <c r="CJ16" s="1621" t="s">
        <v>811</v>
      </c>
      <c r="CK16" s="1621" t="s">
        <v>812</v>
      </c>
      <c r="CL16" s="1621" t="s">
        <v>813</v>
      </c>
      <c r="CM16" s="1621" t="s">
        <v>814</v>
      </c>
      <c r="CN16" s="1622" t="s">
        <v>815</v>
      </c>
      <c r="CT16" s="1621" t="s">
        <v>810</v>
      </c>
      <c r="CU16" s="1621" t="s">
        <v>811</v>
      </c>
      <c r="CV16" s="1621" t="s">
        <v>812</v>
      </c>
      <c r="CW16" s="1621" t="s">
        <v>813</v>
      </c>
      <c r="CX16" s="1621" t="s">
        <v>814</v>
      </c>
      <c r="CY16" s="1622" t="s">
        <v>815</v>
      </c>
      <c r="CZ16" s="499"/>
      <c r="DG16" s="498"/>
      <c r="DH16" s="1629" t="s">
        <v>810</v>
      </c>
      <c r="DI16" s="1629" t="s">
        <v>811</v>
      </c>
      <c r="DJ16" s="1629" t="s">
        <v>812</v>
      </c>
      <c r="DK16" s="1629" t="s">
        <v>813</v>
      </c>
      <c r="DL16" s="1629" t="s">
        <v>814</v>
      </c>
      <c r="DM16" s="1633" t="s">
        <v>815</v>
      </c>
      <c r="DS16" s="1629" t="s">
        <v>810</v>
      </c>
      <c r="DT16" s="1629" t="s">
        <v>811</v>
      </c>
      <c r="DU16" s="1629" t="s">
        <v>812</v>
      </c>
      <c r="DV16" s="1629" t="s">
        <v>813</v>
      </c>
      <c r="DW16" s="1629" t="s">
        <v>814</v>
      </c>
      <c r="DX16" s="1633" t="s">
        <v>815</v>
      </c>
      <c r="EF16" s="1629" t="s">
        <v>810</v>
      </c>
      <c r="EG16" s="1629" t="s">
        <v>811</v>
      </c>
      <c r="EH16" s="1629" t="s">
        <v>812</v>
      </c>
      <c r="EI16" s="1629" t="s">
        <v>813</v>
      </c>
      <c r="EJ16" s="1629" t="s">
        <v>814</v>
      </c>
      <c r="EK16" s="1633" t="s">
        <v>815</v>
      </c>
      <c r="EM16" s="499"/>
      <c r="EV16" s="498"/>
      <c r="EW16" s="1629" t="s">
        <v>810</v>
      </c>
      <c r="EX16" s="1629" t="s">
        <v>811</v>
      </c>
      <c r="EY16" s="1629" t="s">
        <v>812</v>
      </c>
      <c r="EZ16" s="1629" t="s">
        <v>813</v>
      </c>
      <c r="FA16" s="1629" t="s">
        <v>814</v>
      </c>
      <c r="FB16" s="1633" t="s">
        <v>815</v>
      </c>
      <c r="FH16" s="1629" t="s">
        <v>810</v>
      </c>
      <c r="FI16" s="1629" t="s">
        <v>811</v>
      </c>
      <c r="FJ16" s="1629" t="s">
        <v>812</v>
      </c>
      <c r="FK16" s="1629" t="s">
        <v>813</v>
      </c>
      <c r="FL16" s="1629" t="s">
        <v>814</v>
      </c>
      <c r="FM16" s="1633" t="s">
        <v>815</v>
      </c>
      <c r="FU16" s="1629" t="s">
        <v>810</v>
      </c>
      <c r="FV16" s="1629" t="s">
        <v>811</v>
      </c>
      <c r="FW16" s="1629" t="s">
        <v>812</v>
      </c>
      <c r="FX16" s="1629" t="s">
        <v>813</v>
      </c>
      <c r="FY16" s="1629" t="s">
        <v>814</v>
      </c>
      <c r="FZ16" s="1633" t="s">
        <v>815</v>
      </c>
      <c r="GB16" s="499"/>
    </row>
    <row r="17" spans="5:184" x14ac:dyDescent="0.25">
      <c r="E17" s="498"/>
      <c r="F17" s="1621"/>
      <c r="G17" s="1621"/>
      <c r="H17" s="1621"/>
      <c r="I17" s="1621"/>
      <c r="J17" s="1621"/>
      <c r="K17" s="1622"/>
      <c r="Q17" s="1621"/>
      <c r="R17" s="1621"/>
      <c r="S17" s="1621"/>
      <c r="T17" s="1621"/>
      <c r="U17" s="1621"/>
      <c r="V17" s="1622"/>
      <c r="W17" s="499"/>
      <c r="AD17" s="498"/>
      <c r="AE17" s="1621"/>
      <c r="AF17" s="1621"/>
      <c r="AG17" s="1621"/>
      <c r="AH17" s="1621"/>
      <c r="AI17" s="1621"/>
      <c r="AJ17" s="1622"/>
      <c r="AP17" s="1630"/>
      <c r="AQ17" s="1630"/>
      <c r="AR17" s="1630"/>
      <c r="AS17" s="1630"/>
      <c r="AT17" s="1630"/>
      <c r="AU17" s="1631"/>
      <c r="AV17" s="499"/>
      <c r="BI17" s="498"/>
      <c r="BK17" s="1621"/>
      <c r="BL17" s="1621"/>
      <c r="BM17" s="1621"/>
      <c r="BN17" s="1621"/>
      <c r="BO17" s="1621"/>
      <c r="BP17" s="1622"/>
      <c r="BV17" s="1621"/>
      <c r="BW17" s="1621"/>
      <c r="BX17" s="1621"/>
      <c r="BY17" s="1621"/>
      <c r="BZ17" s="1621"/>
      <c r="CA17" s="1622"/>
      <c r="CB17" s="499"/>
      <c r="CH17" s="498"/>
      <c r="CI17" s="1621"/>
      <c r="CJ17" s="1621"/>
      <c r="CK17" s="1621"/>
      <c r="CL17" s="1621"/>
      <c r="CM17" s="1621"/>
      <c r="CN17" s="1622"/>
      <c r="CT17" s="1621"/>
      <c r="CU17" s="1621"/>
      <c r="CV17" s="1621"/>
      <c r="CW17" s="1621"/>
      <c r="CX17" s="1621"/>
      <c r="CY17" s="1622"/>
      <c r="CZ17" s="499"/>
      <c r="DG17" s="498"/>
      <c r="DH17" s="1629"/>
      <c r="DI17" s="1629"/>
      <c r="DJ17" s="1629"/>
      <c r="DK17" s="1629"/>
      <c r="DL17" s="1629"/>
      <c r="DM17" s="1633"/>
      <c r="DS17" s="1629"/>
      <c r="DT17" s="1629"/>
      <c r="DU17" s="1629"/>
      <c r="DV17" s="1629"/>
      <c r="DW17" s="1629"/>
      <c r="DX17" s="1633"/>
      <c r="EF17" s="1629"/>
      <c r="EG17" s="1629"/>
      <c r="EH17" s="1629"/>
      <c r="EI17" s="1629"/>
      <c r="EJ17" s="1629"/>
      <c r="EK17" s="1633"/>
      <c r="EM17" s="499"/>
      <c r="EV17" s="498"/>
      <c r="EW17" s="1629"/>
      <c r="EX17" s="1629"/>
      <c r="EY17" s="1629"/>
      <c r="EZ17" s="1629"/>
      <c r="FA17" s="1629"/>
      <c r="FB17" s="1633"/>
      <c r="FH17" s="1629"/>
      <c r="FI17" s="1629"/>
      <c r="FJ17" s="1629"/>
      <c r="FK17" s="1629"/>
      <c r="FL17" s="1629"/>
      <c r="FM17" s="1633"/>
      <c r="FU17" s="1629"/>
      <c r="FV17" s="1629"/>
      <c r="FW17" s="1629"/>
      <c r="FX17" s="1629"/>
      <c r="FY17" s="1629"/>
      <c r="FZ17" s="1633"/>
      <c r="GB17" s="499"/>
    </row>
    <row r="18" spans="5:184" ht="18.75" customHeight="1" x14ac:dyDescent="0.25">
      <c r="E18" s="498"/>
      <c r="F18" s="503">
        <f>IF(ID!L70=0,0.000001,ID!L70)</f>
        <v>-200</v>
      </c>
      <c r="G18" s="784">
        <f>IF(INDEX('DATA 1'!$H$14:$H$25,MATCH(F18,'DATA 1'!$G$14:$G$25,-1)+1)=0,0.000001,INDEX('DATA 1'!$H$14:$H$25,MATCH(F18,'DATA 1'!$G$14:$G$25,-1)))</f>
        <v>-0.5</v>
      </c>
      <c r="H18" s="785">
        <f>IF(INDEX('DATA 1'!$H$14:$H$26,MATCH(F18,'DATA 1'!$G$14:$G$25,-1)+1)=0,0.000001,INDEX('DATA 1'!$H$14:$H$26,MATCH(F18,'DATA 1'!$G$14:$G$25,-1)+1))</f>
        <v>-0.7</v>
      </c>
      <c r="I18" s="786">
        <f>IF(INDEX('DATA 1'!$G$14:$G$25,MATCH(F18,'DATA 1'!$G$14:$G$26,-1)+1)=0,0.000001,INDEX('DATA 1'!$G$14:$G$25,MATCH(F18,'DATA 1'!$G$14:$G$26,-1)))</f>
        <v>-200</v>
      </c>
      <c r="J18" s="787">
        <f>INDEX('DATA 1'!$G$14:$G$25,MATCH(F18,'DATA 1'!$G$14:$G$26,-1)+1)</f>
        <v>-300</v>
      </c>
      <c r="K18" s="788">
        <f>(((F18-I18)*(H18-G18))/(J18-I18))+G18</f>
        <v>-0.5</v>
      </c>
      <c r="Q18" s="503">
        <f>IF(ID!M70=0,0.000001,ID!M70)</f>
        <v>-200</v>
      </c>
      <c r="R18" s="794">
        <f>IF(INDEX('DATA 1'!$K$14:$K$25,MATCH(Q18,'DATA 1'!$G$14:$G$25,-1)+1)=0,0.000001,INDEX('DATA 1'!$K$14:$K$25,MATCH(Q18,'DATA 1'!$G$14:$G$25,-1)))</f>
        <v>-0.5</v>
      </c>
      <c r="S18" s="794">
        <f>IF(INDEX('DATA 1'!$K$14:$K$25,MATCH(Q18,'DATA 1'!$G$14:$G$25,-1)+1-1+1)=0,0.000001,INDEX('DATA 1'!$K$14:$K$25,MATCH(Q18,'DATA 1'!$G$14:$G$25,-1)+1))</f>
        <v>-0.7</v>
      </c>
      <c r="T18" s="786">
        <f>IF(INDEX('DATA 1'!$G$14:$G$25,MATCH(Q18,'DATA 1'!$G$14:$G$25,-1)+1)=0,0.000001,INDEX('DATA 1'!$G$14:$G$25,MATCH(Q18,'DATA 1'!$G$14:$G$25,-1)))</f>
        <v>-200</v>
      </c>
      <c r="U18" s="787">
        <f>INDEX('DATA 1'!$G$14:$G$25,MATCH(Q18,'DATA 1'!$G$14:$G$25,-1)+1)</f>
        <v>-300</v>
      </c>
      <c r="V18" s="788">
        <f>(((Q18-T18)*(S18-R18))/(U18-T18))+R18</f>
        <v>-0.5</v>
      </c>
      <c r="W18" s="499"/>
      <c r="AD18" s="498"/>
      <c r="AE18" s="503">
        <f>IF(ID!C79=0,0.000001,ID!C79)</f>
        <v>-620</v>
      </c>
      <c r="AF18" s="504">
        <f>IF(INDEX('DATA 1'!$H$36:$H$47,MATCH(AE18,'DATA 1'!$G$36:$G$47,-1)+1-1)=0,0.000001,INDEX('DATA 1'!$H$36:$H$47,MATCH(AE18,'DATA 1'!$G$36:$G$47,-1)))</f>
        <v>-1.2</v>
      </c>
      <c r="AG18" s="503">
        <f>IF(INDEX('DATA 1'!$H$36:$H$47,MATCH(AE18,'DATA 1'!$G$36:$G$47,-1)+1-1)=0,0.000001,INDEX('DATA 1'!$H$36:$H$47,MATCH(AE18,'DATA 1'!$G$36:$G$47,-1)+1))</f>
        <v>-1.3</v>
      </c>
      <c r="AH18" s="505">
        <f>IF(INDEX('DATA 1'!$G$36:$G$475,MATCH(AE18,'DATA 1'!$G$36:$G$47,-1)+1)=0,0.000001,INDEX('DATA 1'!$G$36:$G$47,MATCH(AE18,'DATA 1'!$G$36:$G$47,-1)))</f>
        <v>-600</v>
      </c>
      <c r="AI18" s="503">
        <f>INDEX('DATA 1'!$G$14:$G$25,MATCH(AE18,'DATA 1'!$G$14:$G$25,-1)+1)</f>
        <v>-700</v>
      </c>
      <c r="AJ18" s="506">
        <f>(((AE18-AH18)*(AG18-AF18))/(AI18-AH18))+AF18</f>
        <v>-1.22</v>
      </c>
      <c r="AP18" s="535"/>
      <c r="AQ18" s="510"/>
      <c r="AR18" s="510"/>
      <c r="AS18" s="536"/>
      <c r="AT18" s="535"/>
      <c r="AU18" s="506"/>
      <c r="AV18" s="499"/>
      <c r="BI18" s="498"/>
      <c r="BK18" s="503">
        <f>IF('BUDGET NAIK'!C9=0,0.000001,'BUDGET NAIK'!C9)</f>
        <v>-200</v>
      </c>
      <c r="BL18" s="504">
        <f>IF(INDEX('DATA 1'!$J$14:$J$25,MATCH(BK18,'DATA 1'!$G$14:$G$25,-1)+1)=0,0.000001,INDEX('DATA 1'!$J$14:$J$25,MATCH(BK18,'DATA 1'!$G$14:$G$25,-1)))</f>
        <v>0.6</v>
      </c>
      <c r="BM18" s="504">
        <f>IF(INDEX('DATA 1'!$J$14:$J$25,MATCH(BK18,'DATA 1'!$G$14:$G$25,-1)+1)=0,0.000001,INDEX('DATA 1'!$J$14:$J$25,MATCH(BK18,'DATA 1'!$G$14:$G$25,-1)+1))</f>
        <v>0.6</v>
      </c>
      <c r="BN18" s="505">
        <f>IF(INDEX('DATA 1'!$G$14:$G$25,MATCH(BK18,'DATA 1'!$G$14:$G$26,-1)+1)=0,0.000001,INDEX('DATA 1'!$G$14:$G$25,MATCH(BK18,'DATA 1'!$G$14:$G$26,-1)))</f>
        <v>-200</v>
      </c>
      <c r="BO18" s="496">
        <f>INDEX('DATA 1'!$G$14:$G$25,MATCH(BK18,'DATA 1'!$G$14:$G$26,-1)+1)</f>
        <v>-300</v>
      </c>
      <c r="BP18" s="506">
        <f>(((BK18-BN18)*(BM18-BL18))/(BO18-BN18))+BL18</f>
        <v>0.6</v>
      </c>
      <c r="BV18" s="503">
        <f>IF('BUDGET TURUN'!C9=0,0.000001,'BUDGET TURUN'!C9)</f>
        <v>-200</v>
      </c>
      <c r="BW18" s="504">
        <f>IF(INDEX('DATA 1'!$M$14:$M$25,MATCH(BV18,'DATA 1'!$G$14:$G$25,-1)+1)=0,0.000001,INDEX('DATA 1'!$M$14:$M$25,MATCH(BV18,'DATA 1'!$G$14:$G$25,-1)))</f>
        <v>0.6</v>
      </c>
      <c r="BX18" s="504">
        <f>IF(INDEX('DATA 1'!$M$14:$M$21,MATCH(BV18,'DATA 1'!$G$14:$G$21,-1)+1)=0,0.000001,INDEX('DATA 1'!$M$14:$M$21,MATCH(BV18,'DATA 1'!$G$14:$G$21,-1)+1))</f>
        <v>0.6</v>
      </c>
      <c r="BY18" s="505">
        <f>IF(INDEX('DATA 1'!$G$14:$G$25,MATCH(BV18,'DATA 1'!$G$14:$G$26,-1)+1)=0,0.000001,INDEX('DATA 1'!$G$14:$G$25,MATCH(BV18,'DATA 1'!$G$14:$G$26,-1)))</f>
        <v>-200</v>
      </c>
      <c r="BZ18" s="496">
        <f>INDEX('DATA 1'!$G$14:$G$25,MATCH(BV18,'DATA 1'!$G$14:$G$26,-1)+1)</f>
        <v>-300</v>
      </c>
      <c r="CA18" s="506">
        <f>(((BV18-BY18)*(BX18-BW18))/(BZ18-BY18))+BW18</f>
        <v>0.6</v>
      </c>
      <c r="CB18" s="499"/>
      <c r="CH18" s="498"/>
      <c r="CI18" s="503">
        <f>IF('BUDGET NAIK'!C9=0,0.000001,'BUDGET NAIK'!C9)</f>
        <v>-200</v>
      </c>
      <c r="CJ18" s="504">
        <f>IF(INDEX('DATA 1'!$I$14:$I$25,MATCH(CI18,'DATA 1'!$G$14:$G$25,-1)+1)=0,0.000001,INDEX('DATA 1'!$I$14:$I$25,MATCH(CI18,'DATA 1'!$G$14:$G$25,-1)))</f>
        <v>0.15000000000000002</v>
      </c>
      <c r="CK18" s="504">
        <f>IF(INDEX('DATA 1'!$I$14:$I$25,MATCH(CI18,'DATA 1'!$G$14:$G$25,-1)+1)=0,0.000001,INDEX('DATA 1'!$I$14:$I$25,MATCH(CI18,'DATA 1'!$G$14:$G$25,-1)+1))</f>
        <v>0.25</v>
      </c>
      <c r="CL18" s="505">
        <f>IF(INDEX('DATA 1'!$G$14:$G$25,MATCH(CI18,'DATA 1'!$G$14:$G$26,-1)+1)=0,0.000001,INDEX('DATA 1'!$G$14:$G$25,MATCH(CI18,'DATA 1'!$G$14:$G$26,-1)))</f>
        <v>-200</v>
      </c>
      <c r="CM18" s="496">
        <f>INDEX('DATA 1'!$G$14:$G$25,MATCH(CI18,'DATA 1'!$G$14:$G$26,-1)+1)</f>
        <v>-300</v>
      </c>
      <c r="CN18" s="506">
        <f>(((CI18-CL18)*(CK18-CJ18))/(CM18-CL18))+CJ18</f>
        <v>0.15000000000000002</v>
      </c>
      <c r="CT18" s="503">
        <f>IF('BUDGET TURUN'!C9=0,0.000001,'BUDGET TURUN'!C9)</f>
        <v>-200</v>
      </c>
      <c r="CU18" s="504">
        <f>IF(INDEX('DATA 1'!$L$14:$L$25,MATCH(CT18,'DATA 1'!$G$14:$G$25,-1)+1)=0,0.000001,INDEX('DATA 1'!$L$14:$L$25,MATCH(CT18,'DATA 1'!$G$14:$G$25,-1)))</f>
        <v>0</v>
      </c>
      <c r="CV18" s="504">
        <f>IF(INDEX('DATA 1'!$L$14:$L$25,MATCH(CT18,'DATA 1'!$G$14:$G$25,-1)+1)=0,0.000001,INDEX('DATA 1'!$L$14:$L$25,MATCH(CT18,'DATA 1'!$G$14:$G$25,-1)+1))</f>
        <v>0.10000000000000003</v>
      </c>
      <c r="CW18" s="505">
        <f>IF(INDEX('DATA 1'!$G$14:$G$25,MATCH(CT18,'DATA 1'!$G$14:$G$26,-1)+1)=0,0.000001,INDEX('DATA 1'!$G$14:$G$25,MATCH(CT18,'DATA 1'!$G$14:$G$26,-1)))</f>
        <v>-200</v>
      </c>
      <c r="CX18" s="496">
        <f>INDEX('DATA 1'!$G$14:$G$25,MATCH(CT18,'DATA 1'!$G$14:$G$26,-1)+1)</f>
        <v>-300</v>
      </c>
      <c r="CY18" s="506">
        <f>(((CT18-CW18)*(CV18-CU18))/(CX18-CW18))+CU18</f>
        <v>0</v>
      </c>
      <c r="CZ18" s="499"/>
      <c r="DG18" s="498"/>
      <c r="DH18" s="503">
        <f>IF(ID!B24=0,0.000001,ID!B24)</f>
        <v>24.6</v>
      </c>
      <c r="DI18" s="504">
        <f>IF(INDEX('DATA 1'!$W$14:$W$28,MATCH(DH18,'DATA 1'!$V$14:$V$27,1)+1)=0,0.000001,INDEX('DATA 1'!$W$14:$W$28,MATCH(DH18,'DATA 1'!$V$14:$V$27,1)))</f>
        <v>9.9999999999999995E-7</v>
      </c>
      <c r="DJ18" s="504">
        <f>IF(INDEX('DATA 1'!$W$14:$W$28,MATCH(DH18,'DATA 1'!$V$14:$V$27,1)+1)=0,0.000001,INDEX('DATA 1'!$W$14:$W$28,MATCH(DH18,'DATA 1'!$V$14:$V$27,1)+1))</f>
        <v>9.9999999999999995E-7</v>
      </c>
      <c r="DK18" s="505">
        <f>IF(INDEX('DATA 1'!$V$14:$V$27,MATCH(DH18,'DATA 1'!$V$14:$V$27,1)+1)=0,0.000001,INDEX('DATA 1'!$V$14:$V$27,MATCH(DH18,'DATA 1'!$V$14:$V$27,1)))</f>
        <v>20</v>
      </c>
      <c r="DL18" s="496">
        <f>INDEX('DATA 1'!$V$14:$V$27,MATCH(DH18,'DATA 1'!$V$14:$V$27,1)+1)</f>
        <v>25</v>
      </c>
      <c r="DM18" s="506">
        <f>(((DH18-DK18)*(DJ18-DI18))/(DL18-DK18))+DI18</f>
        <v>9.9999999999999995E-7</v>
      </c>
      <c r="DS18" s="503">
        <f>IF(ID!B25=0,0.000001,ID!B25)</f>
        <v>82.3</v>
      </c>
      <c r="DT18" s="504">
        <f>IF(INDEX('DATA 1'!$Z$14:$Z$28,MATCH(DS18,'DATA 1'!$Y$14:$Y$27,1)+1)=0,0.000001,INDEX('DATA 1'!$Z$14:$Z$28,MATCH(DS18,'DATA 1'!$Y$14:$Y$27,1)))</f>
        <v>-0.8</v>
      </c>
      <c r="DU18" s="504">
        <f>IF(INDEX('DATA 1'!$Z$14:$Z$28,MATCH(DS18,'DATA 1'!$Y$14:$Y$27,1)+1)=0,0.000001,INDEX('DATA 1'!$Z$14:$Z$28,MATCH(DS18,'DATA 1'!$Y$14:$Y$27,1)+1))</f>
        <v>-1.4</v>
      </c>
      <c r="DV18" s="505">
        <f>IF(INDEX('DATA 1'!$Y$14:$Y$27,MATCH(DS18,'DATA 1'!$Y$14:$Y$27,1)+1)=0,0.000001,INDEX('DATA 1'!$Y$14:$Y$27,MATCH(DS18,'DATA 1'!$Y$14:$Y$27,1)))</f>
        <v>80</v>
      </c>
      <c r="DW18" s="496">
        <f>INDEX('DATA 1'!$Y$14:$Y$27,MATCH(DS18,'DATA 1'!$Y$14:$Y$27,1)+1)</f>
        <v>90</v>
      </c>
      <c r="DX18" s="506">
        <f>(((DS18-DV18)*(DU18-DT18))/(DW18-DV18))+DT18</f>
        <v>-0.93799999999999983</v>
      </c>
      <c r="EF18" s="503">
        <f>IF(ID!B27=0,0.000001,ID!B27)</f>
        <v>1007.5</v>
      </c>
      <c r="EG18" s="504">
        <f>IF(INDEX('DATA 1'!$AC$14:$AC$28,MATCH(EF18,'DATA 1'!$AB$14:$AB$27,1)+1)=0,0.000001,INDEX('DATA 1'!$AC$14:$AC$28,MATCH(EF18,'DATA 1'!$AB$14:$AB$27,1)))</f>
        <v>-0.6</v>
      </c>
      <c r="EH18" s="504">
        <f>IF(INDEX('DATA 1'!$AC$14:$AC$28,MATCH(EF18,'DATA 1'!$AB$14:$AB$27,1)+1)=0,0.000001,INDEX('DATA 1'!$AC$14:$AC$28,MATCH(EF18,'DATA 1'!$AB$14:$AB$27,1)+1))</f>
        <v>-0.6</v>
      </c>
      <c r="EI18" s="505">
        <f>IF(INDEX('DATA 1'!$AB$14:$AB$27,MATCH(EF18,'DATA 1'!$AB$14:$AB$27,1)+1)=0,0.000001,INDEX('DATA 1'!$AB$14:$AB$27,MATCH(EF18,'DATA 1'!$AB$14:$AB$27,1)))</f>
        <v>1005</v>
      </c>
      <c r="EJ18" s="496">
        <f>INDEX('DATA 1'!$AB$14:$AB$27,MATCH(EF18,'DATA 1'!$AB$14:$AB$27,1)+1)</f>
        <v>1015</v>
      </c>
      <c r="EK18" s="506">
        <f>(((EF18-EI18)*(EH18-EG18))/(EJ18-EI18))+EG18</f>
        <v>-0.6</v>
      </c>
      <c r="EM18" s="499"/>
      <c r="EV18" s="498"/>
      <c r="EW18" s="503">
        <f>IF(ID!B26=0,0.000001,ID!B26)</f>
        <v>200</v>
      </c>
      <c r="EX18" s="504">
        <f>IF(INDEX('DATA 1'!$AM$14:$AM$28,MATCH(EW18,'DATA 1'!$AL$14:$AL$27,1)+1)=0,0.000001,INDEX('DATA 1'!$AM$14:$AM$28,MATCH(EW18,'DATA 1'!$AL$14:$AL$27,1)))</f>
        <v>-0.25</v>
      </c>
      <c r="EY18" s="504">
        <f>IF(INDEX('DATA 1'!$AM$14:$AM$28,MATCH(EW18,'DATA 1'!$AL$14:$AL$27,1)+1)=0,0.000001,INDEX('DATA 1'!$AM$14:$AM$28,MATCH(EW18,'DATA 1'!$AL$14:$AL$27,1)+1))</f>
        <v>-0.28999999999999998</v>
      </c>
      <c r="EZ18" s="505">
        <f>IF(INDEX('DATA 1'!$AL$14:$AL$27,MATCH(EW18,'DATA 1'!$AL$14:$AL$27,1)+1)=0,0.000001,INDEX('DATA 1'!$AL$14:$AL$27,MATCH(EW18,'DATA 1'!$AL$14:$AL$27,1)))</f>
        <v>200</v>
      </c>
      <c r="FA18" s="496">
        <f>INDEX('DATA 1'!$AL$14:$AL$27,MATCH(EW18,'DATA 1'!$AL$14:$AL$27,1)+1)</f>
        <v>220</v>
      </c>
      <c r="FB18" s="506">
        <f>(((EW18-EZ18)*(EY18-EX18))/(FA18-EZ18))+EX18</f>
        <v>-0.25</v>
      </c>
      <c r="FH18" s="503">
        <f>IF(ID!G36=0,0.000001,ID!G36)</f>
        <v>0.1</v>
      </c>
      <c r="FI18" s="504">
        <f>IF(INDEX('DATA 1'!$AR$14:$AR$28,MATCH(FH18,'DATA 1'!$AQ$14:$AQ$27,1)+1)=0,0.000001,INDEX('DATA 1'!$AR$14:$AR$28,MATCH(FH18,'DATA 1'!$AQ$14:$AQ$27,1)))</f>
        <v>1E-3</v>
      </c>
      <c r="FJ18" s="504">
        <f>IF(INDEX('DATA 1'!$AR$14:$AR$28,MATCH(FH18,'DATA 1'!$AQ$14:$AQ$27,1)+1)=0,0.000001,INDEX('DATA 1'!$AR$14:$AR$28,MATCH(FH18,'DATA 1'!$AQ$14:$AQ$27,1)+1))</f>
        <v>3.0000000000000001E-3</v>
      </c>
      <c r="FK18" s="505">
        <f>IF(INDEX('DATA 1'!$AQ$14:$AQ$27,MATCH(FH18,'DATA 1'!$AQ$14:$AQ$27,1)+1)=0,0.000001,INDEX('DATA 1'!$AQ$14:$AQ$27,MATCH(FH18,'DATA 1'!$AQ$14:$AQ$27,1)))</f>
        <v>9.9000000000000005E-2</v>
      </c>
      <c r="FL18" s="496">
        <f>INDEX('DATA 1'!$AQ$14:$AQ$27,MATCH(FH18,'DATA 1'!$AQ$14:$AQ$27,1)+1)</f>
        <v>0.19700000000000001</v>
      </c>
      <c r="FM18" s="506">
        <f>(((FH18-FK18)*(FJ18-FI18))/(FL18-FK18))+FI18</f>
        <v>1.0204081632653062E-3</v>
      </c>
      <c r="FU18" s="503">
        <f>IF(ID!U36=0,0.000001,ID!U36)</f>
        <v>10</v>
      </c>
      <c r="FV18" s="504">
        <f>IF(INDEX('DATA 1'!$AT$14:$AT$28,MATCH(FU18,'DATA 1'!$AS$14:$AS$27,1)+1)=0,0.000001,INDEX('DATA 1'!$AT$14:$AT$28,MATCH(FU18,'DATA 1'!$AS$14:$AS$27,1)))</f>
        <v>0</v>
      </c>
      <c r="FW18" s="504">
        <f>IF(INDEX('DATA 1'!$AT$14:$AT$28,MATCH(FU18,'DATA 1'!$AS$14:$AS$27,1)+1)=0,0.000001,INDEX('DATA 1'!$AT$14:$AT$28,MATCH(FU18,'DATA 1'!$AS$14:$AS$27,1)+1))</f>
        <v>4.9000000000000004</v>
      </c>
      <c r="FX18" s="505">
        <f>IF(INDEX('DATA 1'!$AS$14:$AS$27,MATCH(FU18,'DATA 1'!$AS$14:$AS$27,1)+1)=0,0.000001,INDEX('DATA 1'!$AS$14:$AS$27,MATCH(FU18,'DATA 1'!$AS$14:$AS$27,1)))</f>
        <v>0</v>
      </c>
      <c r="FY18" s="496">
        <f>INDEX('DATA 1'!$AS$14:$AS$27,MATCH(FU18,'DATA 1'!$AS$14:$AS$27,1)+1)</f>
        <v>15</v>
      </c>
      <c r="FZ18" s="506">
        <f>(((FU18-FX18)*(FW18-FV18))/(FY18-FX18))+FV18</f>
        <v>3.2666666666666666</v>
      </c>
      <c r="GB18" s="499"/>
    </row>
    <row r="19" spans="5:184" ht="18.75" customHeight="1" x14ac:dyDescent="0.25">
      <c r="E19" s="498"/>
      <c r="F19" s="496">
        <f>ID!L71</f>
        <v>-304</v>
      </c>
      <c r="G19" s="784">
        <f>IF(INDEX('DATA 1'!$H$14:$H$25,MATCH(F19,'DATA 1'!$G$14:$G$25,-1)+1-1)=0,0.000001,INDEX('DATA 1'!$H$14:$H$25,MATCH(F19,'DATA 1'!$G$14:$G$25,-1)))</f>
        <v>-0.7</v>
      </c>
      <c r="H19" s="785">
        <f>IF(INDEX('DATA 1'!$H$14:$H$26,MATCH(F19,'DATA 1'!$G$14:$G$25,-1)+1)=0,0.000001,INDEX('DATA 1'!$H$14:$H$26,MATCH(F19,'DATA 1'!$G$14:$G$25,-1)+1))</f>
        <v>-0.9</v>
      </c>
      <c r="I19" s="786">
        <f>IF(INDEX('DATA 1'!$G$14:$G$25,MATCH(F19,'DATA 1'!$G$14:$G$26,-1)+1)=0,0.000001,INDEX('DATA 1'!$G$14:$G$25,MATCH(F19,'DATA 1'!$G$14:$G$26,-1)))</f>
        <v>-300</v>
      </c>
      <c r="J19" s="787">
        <f>INDEX('DATA 1'!$G$14:$G$25,MATCH(F19,'DATA 1'!$G$14:$G$26,-1)+1)</f>
        <v>-400</v>
      </c>
      <c r="K19" s="788">
        <f>(((F19-I19)*(H19-G19))/(J19-I19))+G19</f>
        <v>-0.70799999999999996</v>
      </c>
      <c r="Q19" s="496">
        <f>ID!M71</f>
        <v>-304</v>
      </c>
      <c r="R19" s="794">
        <f>IF(INDEX('DATA 1'!$K$14:$K$25,MATCH(Q19,'DATA 1'!$G$14:$G$25,-1)+1-1)=0,0.000001,INDEX('DATA 1'!$K$14:$K$25,MATCH(Q19,'DATA 1'!$G$14:$G$25,-1)))</f>
        <v>-0.7</v>
      </c>
      <c r="S19" s="794">
        <f>IF(INDEX('DATA 1'!$K$14:$K$25,MATCH(Q19,'DATA 1'!$G$14:$G$25,-1)+1-1+1)=0,0.000001,INDEX('DATA 1'!$K$14:$K$25,MATCH(Q19,'DATA 1'!$G$14:$G$25,-1)+1))</f>
        <v>-0.9</v>
      </c>
      <c r="T19" s="786">
        <f>IF(INDEX('DATA 1'!$G$14:$G$25,MATCH(Q19,'DATA 1'!$G$14:$G$25,-1)+1)=0,0.000001,INDEX('DATA 1'!$G$14:$G$25,MATCH(Q19,'DATA 1'!$G$14:$G$25,-1)))</f>
        <v>-300</v>
      </c>
      <c r="U19" s="787">
        <f>INDEX('DATA 1'!$G$14:$G$25,MATCH(Q19,'DATA 1'!$G$14:$G$25,-1)+1)</f>
        <v>-400</v>
      </c>
      <c r="V19" s="788">
        <f>(((Q19-T19)*(S19-R19))/(U19-T19))+R19</f>
        <v>-0.70799999999999996</v>
      </c>
      <c r="W19" s="499"/>
      <c r="AD19" s="498"/>
      <c r="AE19" s="535"/>
      <c r="AF19" s="510"/>
      <c r="AG19" s="510"/>
      <c r="AH19" s="536"/>
      <c r="AI19" s="535"/>
      <c r="AJ19" s="506"/>
      <c r="AP19" s="535"/>
      <c r="AQ19" s="510"/>
      <c r="AR19" s="510"/>
      <c r="AS19" s="536"/>
      <c r="AT19" s="535"/>
      <c r="AU19" s="506"/>
      <c r="AV19" s="499"/>
      <c r="BI19" s="498"/>
      <c r="BK19" s="496">
        <f>'BUDGET NAIK'!C24</f>
        <v>-300</v>
      </c>
      <c r="BL19" s="504">
        <f>IF(INDEX('DATA 1'!$J$14:$J$25,MATCH(BK19,'DATA 1'!$G$14:$G$25,-1)+1)=0,0.000001,INDEX('DATA 1'!$J$14:$J$25,MATCH(BK19,'DATA 1'!$G$14:$G$25,-1)))</f>
        <v>0.6</v>
      </c>
      <c r="BM19" s="504">
        <f>IF(INDEX('DATA 1'!$J$14:$J$25,MATCH(BK19,'DATA 1'!$G$14:$G$25,-1)+1)=0,0.000001,INDEX('DATA 1'!$J$14:$J$25,MATCH(BK19,'DATA 1'!$G$14:$G$25,-1)+1))</f>
        <v>0.6</v>
      </c>
      <c r="BN19" s="505">
        <f>IF(INDEX('DATA 1'!$G$14:$G$25,MATCH(BK19,'DATA 1'!$G$14:$G$26,-1)+1)=0,0.000001,INDEX('DATA 1'!$G$14:$G$25,MATCH(BK19,'DATA 1'!$G$14:$G$26,-1)))</f>
        <v>-300</v>
      </c>
      <c r="BO19" s="496">
        <f>INDEX('DATA 1'!$G$14:$G$25,MATCH(BK19,'DATA 1'!$G$14:$G$26,-1)+1)</f>
        <v>-400</v>
      </c>
      <c r="BP19" s="506">
        <f>(((BK19-BN19)*(BM19-BL19))/(BO19-BN19))+BL19</f>
        <v>0.6</v>
      </c>
      <c r="BV19" s="496">
        <f>'BUDGET TURUN'!C24</f>
        <v>-300</v>
      </c>
      <c r="BW19" s="504">
        <f>IF(INDEX('DATA 1'!$M$14:$M$25,MATCH(BV19,'DATA 1'!$G$14:$G$25,-1)+1)=0,0.000001,INDEX('DATA 1'!$M$14:$M$25,MATCH(BV19,'DATA 1'!$G$14:$G$25,-1)))</f>
        <v>0.6</v>
      </c>
      <c r="BX19" s="504">
        <f>IF(INDEX('DATA 1'!$M$14:$M$21,MATCH(BV19,'DATA 1'!$G$14:$G$21,-1)+1)=0,0.000001,INDEX('DATA 1'!$M$14:$M$21,MATCH(BV19,'DATA 1'!$G$14:$G$21,-1)+1))</f>
        <v>0.6</v>
      </c>
      <c r="BY19" s="505">
        <f>IF(INDEX('DATA 1'!$G$14:$G$25,MATCH(BV19,'DATA 1'!$G$14:$G$26,-1)+1)=0,0.000001,INDEX('DATA 1'!$G$14:$G$25,MATCH(BV19,'DATA 1'!$G$14:$G$26,-1)))</f>
        <v>-300</v>
      </c>
      <c r="BZ19" s="496">
        <f>INDEX('DATA 1'!$G$14:$G$25,MATCH(BV19,'DATA 1'!$G$14:$G$26,-1)+1)</f>
        <v>-400</v>
      </c>
      <c r="CA19" s="506">
        <f>(((BV19-BY19)*(BX19-BW19))/(BZ19-BY19))+BW19</f>
        <v>0.6</v>
      </c>
      <c r="CB19" s="499"/>
      <c r="CH19" s="498"/>
      <c r="CI19" s="496">
        <f>'BUDGET NAIK'!C24</f>
        <v>-300</v>
      </c>
      <c r="CJ19" s="504">
        <f>IF(INDEX('DATA 1'!$I$14:$I$25,MATCH(CI19,'DATA 1'!$G$14:$G$25,-1)+1)=0,0.000001,INDEX('DATA 1'!$I$14:$I$25,MATCH(CI19,'DATA 1'!$G$14:$G$25,-1)))</f>
        <v>0.25</v>
      </c>
      <c r="CK19" s="504">
        <f>IF(INDEX('DATA 1'!$I$14:$I$25,MATCH(CI19,'DATA 1'!$G$14:$G$25,-1)+1)=0,0.000001,INDEX('DATA 1'!$I$14:$I$25,MATCH(CI19,'DATA 1'!$G$14:$G$25,-1)+1))</f>
        <v>0.2</v>
      </c>
      <c r="CL19" s="505">
        <f>IF(INDEX('DATA 1'!$G$14:$G$25,MATCH(CI19,'DATA 1'!$G$14:$G$26,-1)+1)=0,0.000001,INDEX('DATA 1'!$G$14:$G$25,MATCH(CI19,'DATA 1'!$G$14:$G$26,-1)))</f>
        <v>-300</v>
      </c>
      <c r="CM19" s="496">
        <f>INDEX('DATA 1'!$G$14:$G$25,MATCH(CI19,'DATA 1'!$G$14:$G$26,-1)+1)</f>
        <v>-400</v>
      </c>
      <c r="CN19" s="506">
        <f>(((CI19-CL19)*(CK19-CJ19))/(CM19-CL19))+CJ19</f>
        <v>0.25</v>
      </c>
      <c r="CT19" s="496">
        <f>'BUDGET TURUN'!C24</f>
        <v>-300</v>
      </c>
      <c r="CU19" s="504">
        <f>IF(INDEX('DATA 1'!$L$14:$L$25,MATCH(CT19,'DATA 1'!$G$14:$G$25,-1)+1)=0,0.000001,INDEX('DATA 1'!$L$14:$L$25,MATCH(CT19,'DATA 1'!$G$14:$G$25,-1)))</f>
        <v>0.10000000000000003</v>
      </c>
      <c r="CV19" s="504">
        <f>IF(INDEX('DATA 1'!$L$14:$L$25,MATCH(CT19,'DATA 1'!$G$14:$G$25,-1)+1)=0,0.000001,INDEX('DATA 1'!$L$14:$L$25,MATCH(CT19,'DATA 1'!$G$14:$G$25,-1)+1))</f>
        <v>4.9999999999999989E-2</v>
      </c>
      <c r="CW19" s="505">
        <f>IF(INDEX('DATA 1'!$G$14:$G$25,MATCH(CT19,'DATA 1'!$G$14:$G$26,-1)+1)=0,0.000001,INDEX('DATA 1'!$G$14:$G$25,MATCH(CT19,'DATA 1'!$G$14:$G$26,-1)))</f>
        <v>-300</v>
      </c>
      <c r="CX19" s="496">
        <f>INDEX('DATA 1'!$G$14:$G$25,MATCH(CT19,'DATA 1'!$G$14:$G$26,-1)+1)</f>
        <v>-400</v>
      </c>
      <c r="CY19" s="506">
        <f>(((CT19-CW19)*(CV19-CU19))/(CX19-CW19))+CU19</f>
        <v>0.10000000000000003</v>
      </c>
      <c r="CZ19" s="499"/>
      <c r="DG19" s="498"/>
      <c r="EM19" s="499"/>
      <c r="EV19" s="498"/>
      <c r="GB19" s="499"/>
    </row>
    <row r="20" spans="5:184" ht="18.75" customHeight="1" thickBot="1" x14ac:dyDescent="0.3">
      <c r="E20" s="498"/>
      <c r="F20" s="496">
        <f>ID!L72</f>
        <v>-400</v>
      </c>
      <c r="G20" s="784">
        <f>IF(INDEX('DATA 1'!$H$14:$H$25,MATCH(F20,'DATA 1'!$G$14:$G$25,-1)+1)=0,0.000001,INDEX('DATA 1'!$H$14:$H$25,MATCH(F20,'DATA 1'!$G$14:$G$25,-1)))</f>
        <v>-0.9</v>
      </c>
      <c r="H20" s="785">
        <f>IF(INDEX('DATA 1'!$H$14:$H$26,MATCH(F20,'DATA 1'!$G$14:$G$25,-1)+1)=0,0.000001,INDEX('DATA 1'!$H$14:$H$26,MATCH(F20,'DATA 1'!$G$14:$G$25,-1)+1))</f>
        <v>-1.1000000000000001</v>
      </c>
      <c r="I20" s="786">
        <f>IF(INDEX('DATA 1'!$G$14:$G$25,MATCH(F20,'DATA 1'!$G$14:$G$26,-1)+1)=0,0.000001,INDEX('DATA 1'!$G$14:$G$25,MATCH(F20,'DATA 1'!$G$14:$G$26,-1)))</f>
        <v>-400</v>
      </c>
      <c r="J20" s="787">
        <f>INDEX('DATA 1'!$G$14:$G$25,MATCH(F20,'DATA 1'!$G$14:$G$26,-1)+1)</f>
        <v>-500</v>
      </c>
      <c r="K20" s="788">
        <f>(((F20-I20)*(H20-G20))/(J20-I20))+G20</f>
        <v>-0.9</v>
      </c>
      <c r="Q20" s="496">
        <f>ID!M72</f>
        <v>-400</v>
      </c>
      <c r="R20" s="794">
        <f>IF(INDEX('DATA 1'!$K$14:$K$25,MATCH(Q20,'DATA 1'!$G$14:$G$25,-1)+1-1)=0,0.000001,INDEX('DATA 1'!$K$14:$K$25,MATCH(Q20,'DATA 1'!$G$14:$G$25,-1)))</f>
        <v>-0.9</v>
      </c>
      <c r="S20" s="794">
        <f>IF(INDEX('DATA 1'!$K$14:$K$25,MATCH(Q20,'DATA 1'!$G$14:$G$25,-1)+1-1+1)=0,0.000001,INDEX('DATA 1'!$K$14:$K$25,MATCH(Q20,'DATA 1'!$G$14:$G$25,-1)+1))</f>
        <v>-1.1000000000000001</v>
      </c>
      <c r="T20" s="786">
        <f>IF(INDEX('DATA 1'!$G$14:$G$25,MATCH(Q20,'DATA 1'!$G$14:$G$25,-1)+1)=0,0.000001,INDEX('DATA 1'!$G$14:$G$25,MATCH(Q20,'DATA 1'!$G$14:$G$25,-1)))</f>
        <v>-400</v>
      </c>
      <c r="U20" s="787">
        <f>INDEX('DATA 1'!$G$14:$G$21,MATCH(Q20,'DATA 1'!$G$14:$G$21,-1)+1)</f>
        <v>-500</v>
      </c>
      <c r="V20" s="788">
        <f>(((Q20-T20)*(S20-R20))/(U20-T20))+R20</f>
        <v>-0.9</v>
      </c>
      <c r="W20" s="499"/>
      <c r="AD20" s="498"/>
      <c r="AE20" s="535"/>
      <c r="AF20" s="510"/>
      <c r="AG20" s="510"/>
      <c r="AH20" s="536"/>
      <c r="AI20" s="535"/>
      <c r="AJ20" s="506"/>
      <c r="AP20" s="535"/>
      <c r="AQ20" s="510"/>
      <c r="AR20" s="510"/>
      <c r="AS20" s="536"/>
      <c r="AT20" s="535"/>
      <c r="AU20" s="506"/>
      <c r="AV20" s="499"/>
      <c r="BI20" s="498"/>
      <c r="BK20" s="496">
        <f>'BUDGET NAIK'!C39</f>
        <v>-400</v>
      </c>
      <c r="BL20" s="504">
        <f>IF(INDEX('DATA 1'!$J$14:$J$25,MATCH(BK20,'DATA 1'!$G$14:$G$25,-1)+1)=0,0.000001,INDEX('DATA 1'!$J$14:$J$25,MATCH(BK20,'DATA 1'!$G$14:$G$25,-1)))</f>
        <v>0.6</v>
      </c>
      <c r="BM20" s="504">
        <f>IF(INDEX('DATA 1'!$J$14:$J$25,MATCH(BK20,'DATA 1'!$G$14:$G$25,-1)+1)=0,0.000001,INDEX('DATA 1'!$J$14:$J$25,MATCH(BK20,'DATA 1'!$G$14:$G$25,-1)+1))</f>
        <v>0.6</v>
      </c>
      <c r="BN20" s="505">
        <f>IF(INDEX('DATA 1'!$G$14:$G$25,MATCH(BK20,'DATA 1'!$G$14:$G$26,-1)+1)=0,0.000001,INDEX('DATA 1'!$G$14:$G$25,MATCH(BK20,'DATA 1'!$G$14:$G$26,-1)))</f>
        <v>-400</v>
      </c>
      <c r="BO20" s="496">
        <f>INDEX('DATA 1'!$G$14:$G$25,MATCH(BK20,'DATA 1'!$G$14:$G$26,-1)+1)</f>
        <v>-500</v>
      </c>
      <c r="BP20" s="506">
        <f>(((BK20-BN20)*(BM20-BL20))/(BO20-BN20))+BL20</f>
        <v>0.6</v>
      </c>
      <c r="BV20" s="496">
        <f>'BUDGET TURUN'!C39</f>
        <v>-400</v>
      </c>
      <c r="BW20" s="504">
        <f>IF(INDEX('DATA 1'!$M$14:$M$25,MATCH(BV20,'DATA 1'!$G$14:$G$25,-1)+1)=0,0.000001,INDEX('DATA 1'!$M$14:$M$25,MATCH(BV20,'DATA 1'!$G$14:$G$25,-1)))</f>
        <v>0.6</v>
      </c>
      <c r="BX20" s="504">
        <f>IF(INDEX('DATA 1'!$M$14:$M$21,MATCH(BV20,'DATA 1'!$G$14:$G$21,-1)+1)=0,0.000001,INDEX('DATA 1'!$M$14:$M$21,MATCH(BV20,'DATA 1'!$G$14:$G$21,-1)+1))</f>
        <v>0.6</v>
      </c>
      <c r="BY20" s="505">
        <f>IF(INDEX('DATA 1'!$G$14:$G$25,MATCH(BV20,'DATA 1'!$G$14:$G$26,-1)+1)=0,0.000001,INDEX('DATA 1'!$G$14:$G$25,MATCH(BV20,'DATA 1'!$G$14:$G$26,-1)))</f>
        <v>-400</v>
      </c>
      <c r="BZ20" s="496">
        <f>INDEX('DATA 1'!$G$14:$G$25,MATCH(BV20,'DATA 1'!$G$14:$G$26,-1)+1)</f>
        <v>-500</v>
      </c>
      <c r="CA20" s="506">
        <f>(((BV20-BY20)*(BX20-BW20))/(BZ20-BY20))+BW20</f>
        <v>0.6</v>
      </c>
      <c r="CB20" s="499"/>
      <c r="CH20" s="498"/>
      <c r="CI20" s="496">
        <f>'BUDGET NAIK'!C39</f>
        <v>-400</v>
      </c>
      <c r="CJ20" s="504">
        <f>IF(INDEX('DATA 1'!$I$14:$I$25,MATCH(CI20,'DATA 1'!$G$14:$G$25,-1)+1)=0,0.000001,INDEX('DATA 1'!$I$14:$I$25,MATCH(CI20,'DATA 1'!$G$14:$G$25,-1)))</f>
        <v>0.2</v>
      </c>
      <c r="CK20" s="504">
        <f>IF(INDEX('DATA 1'!$I$14:$I$25,MATCH(CI20,'DATA 1'!$G$14:$G$25,-1)+1)=0,0.000001,INDEX('DATA 1'!$I$14:$I$25,MATCH(CI20,'DATA 1'!$G$14:$G$25,-1)+1))</f>
        <v>0.25</v>
      </c>
      <c r="CL20" s="505">
        <f>IF(INDEX('DATA 1'!$G$14:$G$25,MATCH(CI20,'DATA 1'!$G$14:$G$26,-1)+1)=0,0.000001,INDEX('DATA 1'!$G$14:$G$25,MATCH(CI20,'DATA 1'!$G$14:$G$26,-1)))</f>
        <v>-400</v>
      </c>
      <c r="CM20" s="496">
        <f>INDEX('DATA 1'!$G$14:$G$25,MATCH(CI20,'DATA 1'!$G$14:$G$26,-1)+1)</f>
        <v>-500</v>
      </c>
      <c r="CN20" s="506">
        <f>(((CI20-CL20)*(CK20-CJ20))/(CM20-CL20))+CJ20</f>
        <v>0.2</v>
      </c>
      <c r="CT20" s="496">
        <f>'BUDGET TURUN'!C39</f>
        <v>-400</v>
      </c>
      <c r="CU20" s="504">
        <f>IF(INDEX('DATA 1'!$L$14:$L$25,MATCH(CT20,'DATA 1'!$G$14:$G$25,-1)+1)=0,0.000001,INDEX('DATA 1'!$L$14:$L$25,MATCH(CT20,'DATA 1'!$G$14:$G$25,-1)))</f>
        <v>4.9999999999999989E-2</v>
      </c>
      <c r="CV20" s="504">
        <f>IF(INDEX('DATA 1'!$L$14:$L$25,MATCH(CT20,'DATA 1'!$G$14:$G$25,-1)+1)=0,0.000001,INDEX('DATA 1'!$L$14:$L$25,MATCH(CT20,'DATA 1'!$G$14:$G$25,-1)+1))</f>
        <v>0.14999999999999991</v>
      </c>
      <c r="CW20" s="505">
        <f>IF(INDEX('DATA 1'!$G$14:$G$25,MATCH(CT20,'DATA 1'!$G$14:$G$26,-1)+1)=0,0.000001,INDEX('DATA 1'!$G$14:$G$25,MATCH(CT20,'DATA 1'!$G$14:$G$26,-1)))</f>
        <v>-400</v>
      </c>
      <c r="CX20" s="496">
        <f>INDEX('DATA 1'!$G$14:$G$25,MATCH(CT20,'DATA 1'!$G$14:$G$26,-1)+1)</f>
        <v>-500</v>
      </c>
      <c r="CY20" s="506">
        <f>(((CT20-CW20)*(CV20-CU20))/(CX20-CW20))+CU20</f>
        <v>4.9999999999999989E-2</v>
      </c>
      <c r="CZ20" s="499"/>
      <c r="DG20" s="498"/>
      <c r="EM20" s="499"/>
      <c r="EV20" s="498"/>
      <c r="GB20" s="499"/>
    </row>
    <row r="21" spans="5:184" ht="18.75" customHeight="1" thickBot="1" x14ac:dyDescent="0.3">
      <c r="E21" s="498"/>
      <c r="F21" s="496">
        <f>ID!L73</f>
        <v>-504</v>
      </c>
      <c r="G21" s="784">
        <f>IF(INDEX('DATA 1'!$H$14:$H$25,MATCH(F21,'DATA 1'!$G$14:$G$25,-1)+1)=0,0.000001,INDEX('DATA 1'!$H$14:$H$25,MATCH(F21,'DATA 1'!$G$14:$G$25,-1)))</f>
        <v>-1.1000000000000001</v>
      </c>
      <c r="H21" s="785">
        <f>IF(INDEX('DATA 1'!$H$14:$H$26,MATCH(F21,'DATA 1'!$G$14:$G$25,-1)+1)=0,0.000001,INDEX('DATA 1'!$H$14:$H$26,MATCH(F21,'DATA 1'!$G$14:$G$25,-1)+1))</f>
        <v>-1.2</v>
      </c>
      <c r="I21" s="786">
        <f>IF(INDEX('DATA 1'!$G$14:$G$25,MATCH(F21,'DATA 1'!$G$14:$G$26,-1)+1)=0,0.000001,INDEX('DATA 1'!$G$14:$G$25,MATCH(F21,'DATA 1'!$G$14:$G$26,-1)))</f>
        <v>-500</v>
      </c>
      <c r="J21" s="787">
        <f>INDEX('DATA 1'!$G$14:$G$25,MATCH(F21,'DATA 1'!$G$14:$G$26,-1)+1)</f>
        <v>-600</v>
      </c>
      <c r="K21" s="788">
        <f>(((F21-I21)*(H21-G21))/(J21-I21))+G21</f>
        <v>-1.1040000000000001</v>
      </c>
      <c r="Q21" s="496">
        <f>ID!M73</f>
        <v>-504</v>
      </c>
      <c r="R21" s="794">
        <f>IF(INDEX('DATA 1'!$K$14:$K$25,MATCH(Q21,'DATA 1'!$G$14:$G$25,-1)+1)=0,0.000001,INDEX('DATA 1'!$K$14:$K$25,MATCH(Q21,'DATA 1'!$G$14:$G$25,-1)))</f>
        <v>-1.1000000000000001</v>
      </c>
      <c r="S21" s="794">
        <f>IF(INDEX('DATA 1'!$K$14:$K$25,MATCH(Q21,'DATA 1'!$G$14:$G$25,-1)+1-1+1)=0,0.000001,INDEX('DATA 1'!$K$14:$K$25,MATCH(Q21,'DATA 1'!$G$14:$G$25,-1)+1))</f>
        <v>-1.2</v>
      </c>
      <c r="T21" s="786">
        <f>IF(INDEX('DATA 1'!$G$14:$G$25,MATCH(Q21,'DATA 1'!$G$14:$G$25,-1)+1)=0,0.000001,INDEX('DATA 1'!$G$14:$G$25,MATCH(Q21,'DATA 1'!$G$14:$G$25,-1)))</f>
        <v>-500</v>
      </c>
      <c r="U21" s="787">
        <f>INDEX('DATA 1'!$G$14:$G$25,MATCH(Q21,'DATA 1'!$G$14:$G$25,-1)+1)</f>
        <v>-600</v>
      </c>
      <c r="V21" s="788">
        <f>(((Q21-T21)*(S21-R21))/(U21-T21))+R21</f>
        <v>-1.1040000000000001</v>
      </c>
      <c r="W21" s="499"/>
      <c r="AD21" s="498"/>
      <c r="AE21" s="535"/>
      <c r="AF21" s="510"/>
      <c r="AG21" s="510"/>
      <c r="AH21" s="536"/>
      <c r="AI21" s="535"/>
      <c r="AJ21" s="506"/>
      <c r="AP21" s="535"/>
      <c r="AQ21" s="510"/>
      <c r="AR21" s="510"/>
      <c r="AS21" s="536"/>
      <c r="AT21" s="535"/>
      <c r="AU21" s="506"/>
      <c r="AV21" s="499"/>
      <c r="BI21" s="498"/>
      <c r="BK21" s="496">
        <f>'BUDGET NAIK'!C56</f>
        <v>-500</v>
      </c>
      <c r="BL21" s="504">
        <f>IF(INDEX('DATA 1'!$J$14:$J$25,MATCH(BK21,'DATA 1'!$G$14:$G$25,-1)+1)=0,0.000001,INDEX('DATA 1'!$J$14:$J$25,MATCH(BK21,'DATA 1'!$G$14:$G$25,-1)))</f>
        <v>0.6</v>
      </c>
      <c r="BM21" s="504">
        <f>IF(INDEX('DATA 1'!$J$14:$J$25,MATCH(BK21,'DATA 1'!$G$14:$G$25,-1)+1)=0,0.000001,INDEX('DATA 1'!$J$14:$J$25,MATCH(BK21,'DATA 1'!$G$14:$G$25,-1)+1))</f>
        <v>0.6</v>
      </c>
      <c r="BN21" s="505">
        <f>IF(INDEX('DATA 1'!$G$14:$G$25,MATCH(BK21,'DATA 1'!$G$14:$G$26,-1)+1)=0,0.000001,INDEX('DATA 1'!$G$14:$G$25,MATCH(BK21,'DATA 1'!$G$14:$G$26,-1)))</f>
        <v>-500</v>
      </c>
      <c r="BO21" s="496">
        <f>INDEX('DATA 1'!$G$14:$G$25,MATCH(BK21,'DATA 1'!$G$14:$G$26,-1)+1)</f>
        <v>-600</v>
      </c>
      <c r="BP21" s="506">
        <f>(((BK21-BN21)*(BM21-BL21))/(BO21-BN21))+BL21</f>
        <v>0.6</v>
      </c>
      <c r="BV21" s="496">
        <f>'BUDGET TURUN'!C56</f>
        <v>-500</v>
      </c>
      <c r="BW21" s="504">
        <f>IF(INDEX('DATA 1'!$M$14:$M$25,MATCH(BV21,'DATA 1'!$G$14:$G$25,-1)+1)=0,0.000001,INDEX('DATA 1'!$M$14:$M$25,MATCH(BV21,'DATA 1'!$G$14:$G$25,-1)))</f>
        <v>0.6</v>
      </c>
      <c r="BX21" s="504">
        <f>IF(INDEX('DATA 1'!$M$14:$M$21,MATCH(BV21,'DATA 1'!$G$14:$G$21,-1)+1)=0,0.000001,INDEX('DATA 1'!$M$14:$M$21,MATCH(BV21,'DATA 1'!$G$14:$G$21,-1)+1))</f>
        <v>0.6</v>
      </c>
      <c r="BY21" s="505">
        <f>IF(INDEX('DATA 1'!$G$14:$G$25,MATCH(BV21,'DATA 1'!$G$14:$G$26,-1)+1)=0,0.000001,INDEX('DATA 1'!$G$14:$G$25,MATCH(BV21,'DATA 1'!$G$14:$G$26,-1)))</f>
        <v>-500</v>
      </c>
      <c r="BZ21" s="496">
        <f>INDEX('DATA 1'!$G$14:$G$25,MATCH(BV21,'DATA 1'!$G$14:$G$26,-1)+1)</f>
        <v>-600</v>
      </c>
      <c r="CA21" s="506">
        <f>(((BV21-BY21)*(BX21-BW21))/(BZ21-BY21))+BW21</f>
        <v>0.6</v>
      </c>
      <c r="CB21" s="499"/>
      <c r="CH21" s="498"/>
      <c r="CI21" s="496">
        <f>'BUDGET NAIK'!C56</f>
        <v>-500</v>
      </c>
      <c r="CJ21" s="504">
        <f>IF(INDEX('DATA 1'!$I$14:$I$25,MATCH(CI21,'DATA 1'!$G$14:$G$25,-1)+1)=0,0.000001,INDEX('DATA 1'!$I$14:$I$25,MATCH(CI21,'DATA 1'!$G$14:$G$25,-1)))</f>
        <v>0.25</v>
      </c>
      <c r="CK21" s="504">
        <f>IF(INDEX('DATA 1'!$I$14:$I$25,MATCH(CI21,'DATA 1'!$G$14:$G$25,-1)+1)=0,0.000001,INDEX('DATA 1'!$I$14:$I$25,MATCH(CI21,'DATA 1'!$G$14:$G$25,-1)+1))</f>
        <v>0.30000000000000004</v>
      </c>
      <c r="CL21" s="505">
        <f>IF(INDEX('DATA 1'!$G$14:$G$25,MATCH(CI21,'DATA 1'!$G$14:$G$26,-1)+1)=0,0.000001,INDEX('DATA 1'!$G$14:$G$25,MATCH(CI21,'DATA 1'!$G$14:$G$26,-1)))</f>
        <v>-500</v>
      </c>
      <c r="CM21" s="496">
        <f>INDEX('DATA 1'!$G$14:$G$25,MATCH(CI21,'DATA 1'!$G$14:$G$26,-1)+1)</f>
        <v>-600</v>
      </c>
      <c r="CN21" s="506">
        <f>(((CI21-CL21)*(CK21-CJ21))/(CM21-CL21))+CJ21</f>
        <v>0.25</v>
      </c>
      <c r="CT21" s="496">
        <f>'BUDGET TURUN'!C56</f>
        <v>-500</v>
      </c>
      <c r="CU21" s="504">
        <f>IF(INDEX('DATA 1'!$L$14:$L$25,MATCH(CT21,'DATA 1'!$G$14:$G$25,-1)+1)=0,0.000001,INDEX('DATA 1'!$L$14:$L$25,MATCH(CT21,'DATA 1'!$G$14:$G$25,-1)))</f>
        <v>0.14999999999999991</v>
      </c>
      <c r="CV21" s="504">
        <f>IF(INDEX('DATA 1'!$L$14:$L$25,MATCH(CT21,'DATA 1'!$G$14:$G$25,-1)+1)=0,0.000001,INDEX('DATA 1'!$L$14:$L$25,MATCH(CT21,'DATA 1'!$G$14:$G$25,-1)+1))</f>
        <v>0.15000000000000002</v>
      </c>
      <c r="CW21" s="505">
        <f>IF(INDEX('DATA 1'!$G$14:$G$25,MATCH(CT21,'DATA 1'!$G$14:$G$26,-1)+1)=0,0.000001,INDEX('DATA 1'!$G$14:$G$25,MATCH(CT21,'DATA 1'!$G$14:$G$26,-1)))</f>
        <v>-500</v>
      </c>
      <c r="CX21" s="496">
        <f>INDEX('DATA 1'!$G$14:$G$25,MATCH(CT21,'DATA 1'!$G$14:$G$26,-1)+1)</f>
        <v>-600</v>
      </c>
      <c r="CY21" s="506">
        <f>(((CT21-CW21)*(CV21-CU21))/(CX21-CW21))+CU21</f>
        <v>0.14999999999999991</v>
      </c>
      <c r="CZ21" s="499"/>
      <c r="DG21" s="498"/>
      <c r="DH21" s="1634" t="s">
        <v>823</v>
      </c>
      <c r="DI21" s="1635"/>
      <c r="DJ21" s="1635"/>
      <c r="DK21" s="1635"/>
      <c r="DL21" s="1635"/>
      <c r="DM21" s="1636"/>
      <c r="DS21" s="1634" t="s">
        <v>825</v>
      </c>
      <c r="DT21" s="1635"/>
      <c r="DU21" s="1635"/>
      <c r="DV21" s="1635"/>
      <c r="DW21" s="1635"/>
      <c r="DX21" s="1636"/>
      <c r="EF21" s="502"/>
      <c r="EG21" s="502"/>
      <c r="EH21" s="502"/>
      <c r="EI21" s="502"/>
      <c r="EJ21" s="502"/>
      <c r="EK21" s="502"/>
      <c r="EM21" s="499"/>
      <c r="EV21" s="498"/>
      <c r="EW21" s="1634" t="s">
        <v>832</v>
      </c>
      <c r="EX21" s="1635"/>
      <c r="EY21" s="1635"/>
      <c r="EZ21" s="1635"/>
      <c r="FA21" s="1635"/>
      <c r="FB21" s="1636"/>
      <c r="FH21" s="1634" t="s">
        <v>835</v>
      </c>
      <c r="FI21" s="1635"/>
      <c r="FJ21" s="1635"/>
      <c r="FK21" s="1635"/>
      <c r="FL21" s="1635"/>
      <c r="FM21" s="1636"/>
      <c r="FU21" s="502"/>
      <c r="FV21" s="502"/>
      <c r="FW21" s="502"/>
      <c r="FX21" s="502"/>
      <c r="FY21" s="502"/>
      <c r="FZ21" s="502"/>
      <c r="GB21" s="499"/>
    </row>
    <row r="22" spans="5:184" ht="18.75" customHeight="1" x14ac:dyDescent="0.25">
      <c r="E22" s="498"/>
      <c r="F22" s="496">
        <f>ID!L74</f>
        <v>-608</v>
      </c>
      <c r="G22" s="784">
        <f>IF(INDEX('DATA 1'!$H$14:$H$25,MATCH(F22,'DATA 1'!$G$14:$G$25,-1)+1)=0,0.000001,INDEX('DATA 1'!$H$14:$H$25,MATCH(F22,'DATA 1'!$G$14:$G$25,-1)))</f>
        <v>-1.2</v>
      </c>
      <c r="H22" s="785">
        <f>IF(INDEX('DATA 1'!$H$14:$H$26,MATCH(F22,'DATA 1'!$G$14:$G$25,-1)+1)=0,0.000001,INDEX('DATA 1'!$H$14:$H$26,MATCH(F22,'DATA 1'!$G$14:$G$25,-1)+1))</f>
        <v>-1.3</v>
      </c>
      <c r="I22" s="786">
        <f>IF(INDEX('DATA 1'!$G$14:$G$25,MATCH(F22,'DATA 1'!$G$14:$G$26,-1)+1)=0,0.000001,INDEX('DATA 1'!$G$14:$G$25,MATCH(F22,'DATA 1'!$G$14:$G$26,-1)))</f>
        <v>-600</v>
      </c>
      <c r="J22" s="787">
        <f>INDEX('DATA 1'!$G$14:$G$25,MATCH(F22,'DATA 1'!$G$14:$G$26,-1)+1)</f>
        <v>-700</v>
      </c>
      <c r="K22" s="788">
        <f>(((F22-I22)*(H22-G22))/(J22-I22))+G22</f>
        <v>-1.208</v>
      </c>
      <c r="Q22" s="496">
        <f>ID!M74</f>
        <v>-608</v>
      </c>
      <c r="R22" s="794">
        <f>IF(INDEX('DATA 1'!$K$14:$K$25,MATCH(Q22,'DATA 1'!$G$14:$G$25,-1)+1)=0,0.000001,INDEX('DATA 1'!$K$14:$K$25,MATCH(Q22,'DATA 1'!$G$14:$G$25,-1)))</f>
        <v>-1.2</v>
      </c>
      <c r="S22" s="794">
        <f>IF(INDEX('DATA 1'!$K$14:$K$25,MATCH(Q22,'DATA 1'!$G$14:$G$25,-1)+1-1+1)=0,0.000001,INDEX('DATA 1'!$K$14:$K$25,MATCH(Q22,'DATA 1'!$G$14:$G$25,-1)+1))</f>
        <v>-1.3</v>
      </c>
      <c r="T22" s="786">
        <f>IF(INDEX('DATA 1'!$G$14:$G$25,MATCH(Q22,'DATA 1'!$G$14:$G$25,-1)+1)=0,0.000001,INDEX('DATA 1'!$G$14:$G$25,MATCH(Q22,'DATA 1'!$G$14:$G$25,-1)))</f>
        <v>-600</v>
      </c>
      <c r="U22" s="787">
        <f>INDEX('DATA 1'!$G$14:$G$25,MATCH(Q22,'DATA 1'!$G$14:$G$25,-1)+1)</f>
        <v>-700</v>
      </c>
      <c r="V22" s="788">
        <f>(((Q22-T22)*(S22-R22))/(U22-T22))+R22</f>
        <v>-1.208</v>
      </c>
      <c r="W22" s="499"/>
      <c r="AD22" s="498"/>
      <c r="AE22" s="535"/>
      <c r="AF22" s="510"/>
      <c r="AG22" s="510"/>
      <c r="AH22" s="536"/>
      <c r="AI22" s="535"/>
      <c r="AJ22" s="506"/>
      <c r="AP22" s="535"/>
      <c r="AQ22" s="510"/>
      <c r="AR22" s="510"/>
      <c r="AS22" s="536"/>
      <c r="AT22" s="535"/>
      <c r="AU22" s="506"/>
      <c r="AV22" s="499"/>
      <c r="BI22" s="498"/>
      <c r="BK22" s="496">
        <f>'BUDGET NAIK'!C75</f>
        <v>-600</v>
      </c>
      <c r="BL22" s="504">
        <f>IF(INDEX('DATA 1'!$J$14:$J$25,MATCH(BK22,'DATA 1'!$G$14:$G$25,-1)+1)=0,0.000001,INDEX('DATA 1'!$J$14:$J$25,MATCH(BK22,'DATA 1'!$G$14:$G$25,-1)))</f>
        <v>0.6</v>
      </c>
      <c r="BM22" s="504">
        <f>IF(INDEX('DATA 1'!$J$14:$J$25,MATCH(BK22,'DATA 1'!$G$14:$G$25,-1)+1)=0,0.000001,INDEX('DATA 1'!$J$14:$J$25,MATCH(BK22,'DATA 1'!$G$14:$G$25,-1)+1))</f>
        <v>0.6</v>
      </c>
      <c r="BN22" s="505">
        <f>IF(INDEX('DATA 1'!$G$14:$G$25,MATCH(BK22,'DATA 1'!$G$14:$G$26,-1)+1)=0,0.000001,INDEX('DATA 1'!$G$14:$G$25,MATCH(BK22,'DATA 1'!$G$14:$G$26,-1)))</f>
        <v>-600</v>
      </c>
      <c r="BO22" s="496">
        <f>INDEX('DATA 1'!$G$14:$G$25,MATCH(BK22,'DATA 1'!$G$14:$G$26,-1)+1)</f>
        <v>-700</v>
      </c>
      <c r="BP22" s="506">
        <f>(((BK22-BN22)*(BM22-BL22))/(BO22-BN22))+BL22</f>
        <v>0.6</v>
      </c>
      <c r="BV22" s="496">
        <f>'BUDGET TURUN'!C75</f>
        <v>-600</v>
      </c>
      <c r="BW22" s="504">
        <f>IF(INDEX('DATA 1'!$M$14:$M$25,MATCH(BV22,'DATA 1'!$G$14:$G$25,-1)+1)=0,0.000001,INDEX('DATA 1'!$M$14:$M$25,MATCH(BV22,'DATA 1'!$G$14:$G$25,-1)))</f>
        <v>0.6</v>
      </c>
      <c r="BX22" s="504">
        <f>IF(INDEX('DATA 1'!$M$14:$M$21,MATCH(BV22,'DATA 1'!$G$14:$G$21,-1)+1)=0,0.000001,INDEX('DATA 1'!$M$14:$M$21,MATCH(BV22,'DATA 1'!$G$14:$G$21,-1)+1))</f>
        <v>0.6</v>
      </c>
      <c r="BY22" s="505">
        <f>IF(INDEX('DATA 1'!$G$14:$G$25,MATCH(BV22,'DATA 1'!$G$14:$G$26,-1)+1)=0,0.000001,INDEX('DATA 1'!$G$14:$G$25,MATCH(BV22,'DATA 1'!$G$14:$G$26,-1)))</f>
        <v>-600</v>
      </c>
      <c r="BZ22" s="496">
        <f>INDEX('DATA 1'!$G$14:$G$25,MATCH(BV22,'DATA 1'!$G$14:$G$26,-1)+1)</f>
        <v>-700</v>
      </c>
      <c r="CA22" s="506">
        <f>(((BV22-BY22)*(BX22-BW22))/(BZ22-BY22))+BW22</f>
        <v>0.6</v>
      </c>
      <c r="CB22" s="499"/>
      <c r="CH22" s="498"/>
      <c r="CI22" s="496">
        <f>'BUDGET NAIK'!C75</f>
        <v>-600</v>
      </c>
      <c r="CJ22" s="504">
        <f>IF(INDEX('DATA 1'!$I$14:$I$25,MATCH(CI22,'DATA 1'!$G$14:$G$25,-1)+1)=0,0.000001,INDEX('DATA 1'!$I$14:$I$25,MATCH(CI22,'DATA 1'!$G$14:$G$25,-1)))</f>
        <v>0.30000000000000004</v>
      </c>
      <c r="CK22" s="504">
        <f>IF(INDEX('DATA 1'!$I$14:$I$25,MATCH(CI22,'DATA 1'!$G$14:$G$25,-1)+1)=0,0.000001,INDEX('DATA 1'!$I$14:$I$25,MATCH(CI22,'DATA 1'!$G$14:$G$25,-1)+1))</f>
        <v>0.25</v>
      </c>
      <c r="CL22" s="505">
        <f>IF(INDEX('DATA 1'!$G$14:$G$25,MATCH(CI22,'DATA 1'!$G$14:$G$26,-1)+1)=0,0.000001,INDEX('DATA 1'!$G$14:$G$25,MATCH(CI22,'DATA 1'!$G$14:$G$26,-1)))</f>
        <v>-600</v>
      </c>
      <c r="CM22" s="496">
        <f>INDEX('DATA 1'!$G$14:$G$25,MATCH(CI22,'DATA 1'!$G$14:$G$26,-1)+1)</f>
        <v>-700</v>
      </c>
      <c r="CN22" s="506">
        <f>(((CI22-CL22)*(CK22-CJ22))/(CM22-CL22))+CJ22</f>
        <v>0.30000000000000004</v>
      </c>
      <c r="CT22" s="496">
        <f>'BUDGET TURUN'!C75</f>
        <v>-600</v>
      </c>
      <c r="CU22" s="504">
        <f>IF(INDEX('DATA 1'!$L$14:$L$25,MATCH(CT22,'DATA 1'!$G$14:$G$25,-1)+1)=0,0.000001,INDEX('DATA 1'!$L$14:$L$25,MATCH(CT22,'DATA 1'!$G$14:$G$25,-1)))</f>
        <v>0.15000000000000002</v>
      </c>
      <c r="CV22" s="504">
        <f>IF(INDEX('DATA 1'!$L$14:$L$25,MATCH(CT22,'DATA 1'!$G$14:$G$25,-1)+1)=0,0.000001,INDEX('DATA 1'!$L$14:$L$25,MATCH(CT22,'DATA 1'!$G$14:$G$25,-1)+1))</f>
        <v>9.9999999999999978E-2</v>
      </c>
      <c r="CW22" s="505">
        <f>IF(INDEX('DATA 1'!$G$14:$G$25,MATCH(CT22,'DATA 1'!$G$14:$G$26,-1)+1)=0,0.000001,INDEX('DATA 1'!$G$14:$G$25,MATCH(CT22,'DATA 1'!$G$14:$G$26,-1)))</f>
        <v>-600</v>
      </c>
      <c r="CX22" s="496">
        <f>INDEX('DATA 1'!$G$14:$G$25,MATCH(CT22,'DATA 1'!$G$14:$G$26,-1)+1)</f>
        <v>-700</v>
      </c>
      <c r="CY22" s="506">
        <f>(((CT22-CW22)*(CV22-CU22))/(CX22-CW22))+CU22</f>
        <v>0.15000000000000002</v>
      </c>
      <c r="CZ22" s="499"/>
      <c r="DG22" s="498"/>
      <c r="DH22" s="1629" t="s">
        <v>810</v>
      </c>
      <c r="DI22" s="1629" t="s">
        <v>811</v>
      </c>
      <c r="DJ22" s="1629" t="s">
        <v>812</v>
      </c>
      <c r="DK22" s="1629" t="s">
        <v>813</v>
      </c>
      <c r="DL22" s="1629" t="s">
        <v>814</v>
      </c>
      <c r="DM22" s="1633" t="s">
        <v>815</v>
      </c>
      <c r="DS22" s="1629" t="s">
        <v>810</v>
      </c>
      <c r="DT22" s="1629" t="s">
        <v>811</v>
      </c>
      <c r="DU22" s="1629" t="s">
        <v>812</v>
      </c>
      <c r="DV22" s="1629" t="s">
        <v>813</v>
      </c>
      <c r="DW22" s="1629" t="s">
        <v>814</v>
      </c>
      <c r="DX22" s="1633" t="s">
        <v>815</v>
      </c>
      <c r="EF22" s="502"/>
      <c r="EG22" s="502"/>
      <c r="EH22" s="502"/>
      <c r="EI22" s="502"/>
      <c r="EJ22" s="502"/>
      <c r="EK22" s="502"/>
      <c r="EM22" s="499"/>
      <c r="EV22" s="498"/>
      <c r="EW22" s="1629" t="s">
        <v>810</v>
      </c>
      <c r="EX22" s="1629" t="s">
        <v>811</v>
      </c>
      <c r="EY22" s="1629" t="s">
        <v>812</v>
      </c>
      <c r="EZ22" s="1629" t="s">
        <v>813</v>
      </c>
      <c r="FA22" s="1629" t="s">
        <v>814</v>
      </c>
      <c r="FB22" s="1633" t="s">
        <v>815</v>
      </c>
      <c r="FH22" s="1629" t="s">
        <v>810</v>
      </c>
      <c r="FI22" s="1629" t="s">
        <v>811</v>
      </c>
      <c r="FJ22" s="1629" t="s">
        <v>812</v>
      </c>
      <c r="FK22" s="1629" t="s">
        <v>813</v>
      </c>
      <c r="FL22" s="1629" t="s">
        <v>814</v>
      </c>
      <c r="FM22" s="1633" t="s">
        <v>815</v>
      </c>
      <c r="FU22" s="502"/>
      <c r="FV22" s="502"/>
      <c r="FW22" s="502"/>
      <c r="FX22" s="502"/>
      <c r="FY22" s="502"/>
      <c r="FZ22" s="502"/>
      <c r="GB22" s="499"/>
    </row>
    <row r="23" spans="5:184" ht="18.75" customHeight="1" x14ac:dyDescent="0.25">
      <c r="E23" s="498"/>
      <c r="F23" s="535"/>
      <c r="G23" s="510"/>
      <c r="H23" s="510"/>
      <c r="I23" s="536"/>
      <c r="J23" s="506"/>
      <c r="K23" s="506"/>
      <c r="L23" s="535"/>
      <c r="M23" s="535"/>
      <c r="N23" s="535"/>
      <c r="O23" s="535"/>
      <c r="P23" s="535"/>
      <c r="Q23" s="535"/>
      <c r="R23" s="534"/>
      <c r="S23" s="534"/>
      <c r="T23" s="509"/>
      <c r="U23" s="507"/>
      <c r="V23" s="506"/>
      <c r="W23" s="499"/>
      <c r="AD23" s="498"/>
      <c r="AE23" s="535"/>
      <c r="AF23" s="510"/>
      <c r="AG23" s="510"/>
      <c r="AH23" s="536"/>
      <c r="AI23" s="506"/>
      <c r="AJ23" s="506"/>
      <c r="AP23" s="535"/>
      <c r="AQ23" s="534"/>
      <c r="AR23" s="534"/>
      <c r="AS23" s="537"/>
      <c r="AT23" s="507"/>
      <c r="AU23" s="506"/>
      <c r="AV23" s="499"/>
      <c r="BI23" s="498"/>
      <c r="BL23" s="510"/>
      <c r="BM23" s="510"/>
      <c r="BN23" s="508"/>
      <c r="BO23" s="506"/>
      <c r="BP23" s="506"/>
      <c r="BW23" s="534"/>
      <c r="BX23" s="534"/>
      <c r="BY23" s="509"/>
      <c r="BZ23" s="507"/>
      <c r="CA23" s="506"/>
      <c r="CB23" s="499"/>
      <c r="CH23" s="498"/>
      <c r="CI23" s="535"/>
      <c r="CJ23" s="510"/>
      <c r="CK23" s="510"/>
      <c r="CL23" s="536"/>
      <c r="CM23" s="506"/>
      <c r="CN23" s="506"/>
      <c r="CO23" s="535"/>
      <c r="CP23" s="535"/>
      <c r="CQ23" s="535"/>
      <c r="CR23" s="535"/>
      <c r="CS23" s="535"/>
      <c r="CT23" s="535"/>
      <c r="CU23" s="534"/>
      <c r="CV23" s="534"/>
      <c r="CW23" s="537"/>
      <c r="CX23" s="507"/>
      <c r="CY23" s="506"/>
      <c r="CZ23" s="538"/>
      <c r="DG23" s="498"/>
      <c r="DH23" s="1629"/>
      <c r="DI23" s="1629"/>
      <c r="DJ23" s="1629"/>
      <c r="DK23" s="1629"/>
      <c r="DL23" s="1629"/>
      <c r="DM23" s="1633"/>
      <c r="DN23" s="535"/>
      <c r="DO23" s="535"/>
      <c r="DP23" s="535"/>
      <c r="DQ23" s="535"/>
      <c r="DR23" s="535"/>
      <c r="DS23" s="1629"/>
      <c r="DT23" s="1629"/>
      <c r="DU23" s="1629"/>
      <c r="DV23" s="1629"/>
      <c r="DW23" s="1629"/>
      <c r="DX23" s="1633"/>
      <c r="DY23" s="535"/>
      <c r="EF23" s="502"/>
      <c r="EG23" s="502"/>
      <c r="EH23" s="502"/>
      <c r="EI23" s="502"/>
      <c r="EJ23" s="502"/>
      <c r="EK23" s="502"/>
      <c r="EM23" s="499"/>
      <c r="EV23" s="498"/>
      <c r="EW23" s="1629"/>
      <c r="EX23" s="1629"/>
      <c r="EY23" s="1629"/>
      <c r="EZ23" s="1629"/>
      <c r="FA23" s="1629"/>
      <c r="FB23" s="1633"/>
      <c r="FC23" s="535"/>
      <c r="FD23" s="535"/>
      <c r="FE23" s="535"/>
      <c r="FF23" s="535"/>
      <c r="FG23" s="535"/>
      <c r="FH23" s="1629"/>
      <c r="FI23" s="1629"/>
      <c r="FJ23" s="1629"/>
      <c r="FK23" s="1629"/>
      <c r="FL23" s="1629"/>
      <c r="FM23" s="1633"/>
      <c r="FN23" s="535"/>
      <c r="FU23" s="502"/>
      <c r="FV23" s="502"/>
      <c r="FW23" s="502"/>
      <c r="FX23" s="502"/>
      <c r="FY23" s="502"/>
      <c r="FZ23" s="502"/>
      <c r="GB23" s="499"/>
    </row>
    <row r="24" spans="5:184" ht="14.4" thickBot="1" x14ac:dyDescent="0.3">
      <c r="E24" s="498"/>
      <c r="F24" s="535"/>
      <c r="G24" s="510"/>
      <c r="H24" s="510"/>
      <c r="I24" s="536"/>
      <c r="J24" s="506"/>
      <c r="K24" s="107"/>
      <c r="L24" s="535"/>
      <c r="M24" s="535"/>
      <c r="N24" s="535"/>
      <c r="O24" s="535"/>
      <c r="P24" s="535"/>
      <c r="Q24" s="535"/>
      <c r="W24" s="499"/>
      <c r="AD24" s="498"/>
      <c r="AF24" s="510"/>
      <c r="AG24" s="510"/>
      <c r="AH24" s="508"/>
      <c r="AI24" s="506"/>
      <c r="AJ24" s="506"/>
      <c r="AV24" s="499"/>
      <c r="BI24" s="498"/>
      <c r="BL24" s="510"/>
      <c r="BM24" s="510"/>
      <c r="BN24" s="508"/>
      <c r="BO24" s="506"/>
      <c r="BP24" s="506"/>
      <c r="CB24" s="499"/>
      <c r="CH24" s="498"/>
      <c r="CZ24" s="499"/>
      <c r="DG24" s="498"/>
      <c r="DH24" s="503">
        <f>IF(ID!C24=0,0.000001,ID!C24)</f>
        <v>24.8</v>
      </c>
      <c r="DI24" s="504">
        <f>IF(INDEX('DATA 1'!$W$14:$W$28,MATCH(DH24,'DATA 1'!$V$14:$V$27,1)+1)=0,0.000001,INDEX('DATA 1'!$W$14:$W$28,MATCH(DH24,'DATA 1'!$V$14:$V$27,1)))</f>
        <v>9.9999999999999995E-7</v>
      </c>
      <c r="DJ24" s="504">
        <f>IF(INDEX('DATA 1'!$W$14:$W$28,MATCH(DH24,'DATA 1'!$V$14:$V$27,1)+1)=0,0.000001,INDEX('DATA 1'!$W$14:$W$28,MATCH(DH24,'DATA 1'!$V$14:$V$27,1)+1))</f>
        <v>9.9999999999999995E-7</v>
      </c>
      <c r="DK24" s="505">
        <f>IF(INDEX('DATA 1'!$V$14:$V$27,MATCH(DH24,'DATA 1'!$V$14:$V$27,1)+1)=0,0.000001,INDEX('DATA 1'!$V$14:$V$27,MATCH(DH24,'DATA 1'!$V$14:$V$27,1)))</f>
        <v>20</v>
      </c>
      <c r="DL24" s="496">
        <f>INDEX('DATA 1'!$V$14:$V$27,MATCH(DH24,'DATA 1'!$V$14:$V$27,1)+1)</f>
        <v>25</v>
      </c>
      <c r="DM24" s="506">
        <f>(((DH24-DK24)*(DJ24-DI24))/(DL24-DK24))+DI24</f>
        <v>9.9999999999999995E-7</v>
      </c>
      <c r="DS24" s="503">
        <f>IF(ID!C25=0,0.000001,ID!C25)</f>
        <v>82.5</v>
      </c>
      <c r="DT24" s="504">
        <f>IF(INDEX('DATA 1'!$Z$14:$Z$28,MATCH(DS24,'DATA 1'!$Y$14:$Y$27,1)+1)=0,0.000001,INDEX('DATA 1'!$Z$14:$Z$28,MATCH(DS24,'DATA 1'!$Y$14:$Y$27,1)))</f>
        <v>-0.8</v>
      </c>
      <c r="DU24" s="504">
        <f>IF(INDEX('DATA 1'!$Z$14:$Z$28,MATCH(DS24,'DATA 1'!$Y$14:$Y$27,1)+1)=0,0.000001,INDEX('DATA 1'!$Z$14:$Z$28,MATCH(DS24,'DATA 1'!$Y$14:$Y$27,1)+1))</f>
        <v>-1.4</v>
      </c>
      <c r="DV24" s="505">
        <f>IF(INDEX('DATA 1'!$Y$14:$Y$27,MATCH(DS24,'DATA 1'!$Y$14:$Y$27,1)+1)=0,0.000001,INDEX('DATA 1'!$Y$14:$Y$27,MATCH(DS24,'DATA 1'!$Y$14:$Y$27,1)))</f>
        <v>80</v>
      </c>
      <c r="DW24" s="496">
        <f>INDEX('DATA 1'!$Y$14:$Y$27,MATCH(DS24,'DATA 1'!$Y$14:$Y$27,1)+1)</f>
        <v>90</v>
      </c>
      <c r="DX24" s="506">
        <f>(((DS24-DV24)*(DU24-DT24))/(DW24-DV24))+DT24</f>
        <v>-0.95</v>
      </c>
      <c r="EF24" s="502"/>
      <c r="EG24" s="502"/>
      <c r="EH24" s="502"/>
      <c r="EI24" s="502"/>
      <c r="EJ24" s="502"/>
      <c r="EK24" s="502"/>
      <c r="EM24" s="499"/>
      <c r="EV24" s="498"/>
      <c r="EW24" s="503" t="str">
        <f>IF(ID!G35=0,0.000001,ID!G35)</f>
        <v>OL</v>
      </c>
      <c r="EX24" s="504">
        <f>IF(INDEX('DATA 1'!$AP$14:$AP$28,MATCH(EW24,'DATA 1'!$AO$14:$AO$27,1)+1)=0,0.000001,INDEX('DATA 1'!$AP$14:$AP$28,MATCH(EW24,'DATA 1'!$AO$14:$AO$27,1)))</f>
        <v>9.9999999999999995E-7</v>
      </c>
      <c r="EY24" s="504">
        <f>IF(INDEX('DATA 1'!$AP$14:$AP$28,MATCH(EW24,'DATA 1'!$AO$14:$AO$27,1)+1)=0,0.000001,INDEX('DATA 1'!$AP$14:$AP$28,MATCH(EW24,'DATA 1'!$AO14:$AO$27,1)+1))</f>
        <v>9.9999999999999995E-7</v>
      </c>
      <c r="EZ24" s="505">
        <f>IF(INDEX('DATA 1'!$AO$14:$AO$27,MATCH(EW24,'DATA 1'!$AO$14:$AO$27,1)+1)=0,0.000001,INDEX('DATA 1'!$AO$14:$AO$27,MATCH(EW24,'DATA 1'!$AO$14:$AO$27,1)))</f>
        <v>9.9999999999999995E-7</v>
      </c>
      <c r="FA24" s="496">
        <f>INDEX('DATA 1'!$AO$14:$AO$27,MATCH(EW24,'DATA 1'!$AO$14:$AO$27,1)+1)</f>
        <v>0</v>
      </c>
      <c r="FB24" s="506" t="str">
        <f>IF(EW24="OL","OL",(((EW24-EZ24)*(EY24-EX24))/(FA24-EZ24))+EX24)</f>
        <v>OL</v>
      </c>
      <c r="FH24" s="503">
        <f>IF(ID!G37=0,0.000001,ID!G37)</f>
        <v>120</v>
      </c>
      <c r="FI24" s="504">
        <f>IF(INDEX('DATA 1'!$AT$14:$AT$28,MATCH(FH24,'DATA 1'!$AS$14:$AS$27,1)+1)=0,0.000001,INDEX('DATA 1'!$AT$14:$AT$28,MATCH(FH24,'DATA 1'!$AS$14:$AS$27,1)))</f>
        <v>7.7</v>
      </c>
      <c r="FJ24" s="504">
        <f>IF(INDEX('DATA 1'!$AT$14:$AT$28,MATCH(FH24,'DATA 1'!$AS$14:$AS$27,1)+1)=0,0.000001,INDEX('DATA 1'!$AT$14:$AT$28,MATCH(FH24,'DATA 1'!$AS$14:$AS$27,1)+1))</f>
        <v>-0.2</v>
      </c>
      <c r="FK24" s="505">
        <f>IF(INDEX('DATA 1'!$AS$14:$AS$27,MATCH(FH24,'DATA 1'!$AS$14:$AS$27,1)+1)=0,0.000001,INDEX('DATA 1'!$AS$14:$AS$27,MATCH(FH24,'DATA 1'!$AS$14:$AS$27,1)))</f>
        <v>100</v>
      </c>
      <c r="FL24" s="496">
        <f>INDEX('DATA 1'!$AS$14:$AS$27,MATCH(FH24,'DATA 1'!$AS$14:$AS$27,1)+1)</f>
        <v>200</v>
      </c>
      <c r="FM24" s="506">
        <f>(((FH24-FK24)*(FJ24-FI24))/(FL24-FK24))+FI24</f>
        <v>6.12</v>
      </c>
      <c r="FU24" s="502"/>
      <c r="FV24" s="502"/>
      <c r="FW24" s="502"/>
      <c r="FX24" s="502"/>
      <c r="FY24" s="502"/>
      <c r="FZ24" s="502"/>
      <c r="GB24" s="499"/>
    </row>
    <row r="25" spans="5:184" ht="14.4" thickBot="1" x14ac:dyDescent="0.3">
      <c r="E25" s="1637" t="s">
        <v>861</v>
      </c>
      <c r="F25" s="1638"/>
      <c r="G25" s="1638"/>
      <c r="H25" s="1638"/>
      <c r="I25" s="1638"/>
      <c r="J25" s="1638"/>
      <c r="K25" s="1638"/>
      <c r="L25" s="1638"/>
      <c r="M25" s="1638"/>
      <c r="N25" s="1638"/>
      <c r="O25" s="1638"/>
      <c r="P25" s="1638"/>
      <c r="Q25" s="1638"/>
      <c r="R25" s="1638"/>
      <c r="S25" s="1638"/>
      <c r="T25" s="1638"/>
      <c r="U25" s="1638"/>
      <c r="V25" s="1638"/>
      <c r="W25" s="1639"/>
      <c r="AD25" s="1640" t="s">
        <v>862</v>
      </c>
      <c r="AE25" s="1641"/>
      <c r="AF25" s="1641"/>
      <c r="AG25" s="1641"/>
      <c r="AH25" s="1641"/>
      <c r="AI25" s="1641"/>
      <c r="AJ25" s="1641"/>
      <c r="AK25" s="1641"/>
      <c r="AL25" s="1641"/>
      <c r="AM25" s="1641"/>
      <c r="AN25" s="1641"/>
      <c r="AO25" s="1641"/>
      <c r="AP25" s="1641"/>
      <c r="AQ25" s="1641"/>
      <c r="AR25" s="1641"/>
      <c r="AS25" s="1641"/>
      <c r="AT25" s="1641"/>
      <c r="AU25" s="1641"/>
      <c r="AV25" s="1642"/>
      <c r="BI25" s="1640" t="s">
        <v>861</v>
      </c>
      <c r="BJ25" s="1641"/>
      <c r="BK25" s="1641"/>
      <c r="BL25" s="1641"/>
      <c r="BM25" s="1641"/>
      <c r="BN25" s="1641"/>
      <c r="BO25" s="1641"/>
      <c r="BP25" s="1641"/>
      <c r="BQ25" s="1641"/>
      <c r="BR25" s="1641"/>
      <c r="BS25" s="1641"/>
      <c r="BT25" s="1641"/>
      <c r="BU25" s="1641"/>
      <c r="BV25" s="1641"/>
      <c r="BW25" s="1641"/>
      <c r="BX25" s="1641"/>
      <c r="BY25" s="1641"/>
      <c r="BZ25" s="1641"/>
      <c r="CA25" s="1641"/>
      <c r="CB25" s="1642"/>
      <c r="CH25" s="1640" t="s">
        <v>861</v>
      </c>
      <c r="CI25" s="1641"/>
      <c r="CJ25" s="1641"/>
      <c r="CK25" s="1641"/>
      <c r="CL25" s="1641"/>
      <c r="CM25" s="1641"/>
      <c r="CN25" s="1641"/>
      <c r="CO25" s="1641"/>
      <c r="CP25" s="1641"/>
      <c r="CQ25" s="1641"/>
      <c r="CR25" s="1641"/>
      <c r="CS25" s="1641"/>
      <c r="CT25" s="1641"/>
      <c r="CU25" s="1641"/>
      <c r="CV25" s="1641"/>
      <c r="CW25" s="1641"/>
      <c r="CX25" s="1641"/>
      <c r="CY25" s="1641"/>
      <c r="CZ25" s="1642"/>
      <c r="DG25" s="511"/>
      <c r="DH25" s="512"/>
      <c r="DI25" s="512"/>
      <c r="DJ25" s="512"/>
      <c r="DK25" s="512"/>
      <c r="DL25" s="512"/>
      <c r="DM25" s="512"/>
      <c r="DN25" s="512"/>
      <c r="DO25" s="512"/>
      <c r="DP25" s="512"/>
      <c r="DQ25" s="512"/>
      <c r="DR25" s="512"/>
      <c r="DS25" s="512"/>
      <c r="DT25" s="512"/>
      <c r="DU25" s="512"/>
      <c r="DV25" s="512"/>
      <c r="DW25" s="512"/>
      <c r="DX25" s="512"/>
      <c r="DY25" s="512"/>
      <c r="DZ25" s="512"/>
      <c r="EA25" s="512"/>
      <c r="EB25" s="512"/>
      <c r="EC25" s="512"/>
      <c r="ED25" s="512"/>
      <c r="EE25" s="512"/>
      <c r="EF25" s="512"/>
      <c r="EG25" s="512"/>
      <c r="EH25" s="512"/>
      <c r="EI25" s="512"/>
      <c r="EJ25" s="512"/>
      <c r="EK25" s="512"/>
      <c r="EL25" s="512"/>
      <c r="EM25" s="513"/>
      <c r="EV25" s="511"/>
      <c r="EW25" s="512"/>
      <c r="EX25" s="512"/>
      <c r="EY25" s="512"/>
      <c r="EZ25" s="512"/>
      <c r="FA25" s="512"/>
      <c r="FB25" s="512"/>
      <c r="FC25" s="512"/>
      <c r="FD25" s="512"/>
      <c r="FE25" s="512"/>
      <c r="FF25" s="512"/>
      <c r="FG25" s="512"/>
      <c r="FH25" s="512"/>
      <c r="FI25" s="512"/>
      <c r="FJ25" s="512"/>
      <c r="FK25" s="512"/>
      <c r="FL25" s="512"/>
      <c r="FM25" s="512"/>
      <c r="FN25" s="512"/>
      <c r="FO25" s="512"/>
      <c r="FP25" s="512"/>
      <c r="FQ25" s="512"/>
      <c r="FR25" s="512"/>
      <c r="FS25" s="512"/>
      <c r="FT25" s="512"/>
      <c r="FU25" s="512"/>
      <c r="FV25" s="512"/>
      <c r="FW25" s="512"/>
      <c r="FX25" s="512"/>
      <c r="FY25" s="512"/>
      <c r="FZ25" s="512"/>
      <c r="GA25" s="512"/>
      <c r="GB25" s="513"/>
    </row>
    <row r="26" spans="5:184" ht="14.4" thickBot="1" x14ac:dyDescent="0.3">
      <c r="F26" s="535"/>
      <c r="G26" s="510"/>
      <c r="H26" s="535"/>
      <c r="I26" s="535"/>
      <c r="J26" s="535"/>
      <c r="K26" s="535"/>
      <c r="L26" s="535"/>
      <c r="M26" s="535"/>
      <c r="N26" s="535"/>
      <c r="O26" s="535"/>
      <c r="P26" s="535"/>
      <c r="Q26" s="535"/>
      <c r="DG26" s="1640" t="s">
        <v>863</v>
      </c>
      <c r="DH26" s="1641"/>
      <c r="DI26" s="1641"/>
      <c r="DJ26" s="1641"/>
      <c r="DK26" s="1641"/>
      <c r="DL26" s="1641"/>
      <c r="DM26" s="1641"/>
      <c r="DN26" s="1641"/>
      <c r="DO26" s="1641"/>
      <c r="DP26" s="1641"/>
      <c r="DQ26" s="1641"/>
      <c r="DR26" s="1641"/>
      <c r="DS26" s="1641"/>
      <c r="DT26" s="1641"/>
      <c r="DU26" s="1641"/>
      <c r="DV26" s="1641"/>
      <c r="DW26" s="1641"/>
      <c r="DX26" s="1641"/>
      <c r="DY26" s="1641"/>
      <c r="DZ26" s="1641"/>
      <c r="EA26" s="1641"/>
      <c r="EB26" s="1641"/>
      <c r="EC26" s="1641"/>
      <c r="ED26" s="1641"/>
      <c r="EE26" s="1641"/>
      <c r="EF26" s="1641"/>
      <c r="EG26" s="1641"/>
      <c r="EH26" s="1641"/>
      <c r="EI26" s="1641"/>
      <c r="EJ26" s="1641"/>
      <c r="EK26" s="1641"/>
      <c r="EL26" s="1641"/>
      <c r="EM26" s="1642"/>
      <c r="EV26" s="1643" t="s">
        <v>864</v>
      </c>
      <c r="EW26" s="1643"/>
      <c r="EX26" s="1643"/>
      <c r="EY26" s="1643"/>
      <c r="EZ26" s="1643"/>
      <c r="FA26" s="1643"/>
      <c r="FB26" s="1643"/>
      <c r="FC26" s="1643"/>
      <c r="FD26" s="1643"/>
      <c r="FE26" s="1643"/>
      <c r="FF26" s="1643"/>
      <c r="FG26" s="1643"/>
      <c r="FH26" s="1643"/>
      <c r="FI26" s="1643"/>
      <c r="FJ26" s="1643"/>
      <c r="FK26" s="1643"/>
      <c r="FL26" s="1643"/>
      <c r="FM26" s="1643"/>
      <c r="FN26" s="1643"/>
      <c r="FO26" s="1643"/>
      <c r="FP26" s="1643"/>
      <c r="FQ26" s="1643"/>
      <c r="FR26" s="1643"/>
      <c r="FS26" s="1643"/>
      <c r="FT26" s="1643"/>
      <c r="FU26" s="1643"/>
      <c r="FV26" s="1643"/>
      <c r="FW26" s="1643"/>
      <c r="FX26" s="1643"/>
      <c r="FY26" s="1643"/>
      <c r="FZ26" s="1643"/>
      <c r="GA26" s="1643"/>
      <c r="GB26" s="1643"/>
    </row>
    <row r="27" spans="5:184" x14ac:dyDescent="0.25">
      <c r="F27" s="535"/>
      <c r="G27" s="163"/>
      <c r="H27" s="535"/>
      <c r="I27" s="535"/>
      <c r="J27" s="535"/>
      <c r="K27" s="535"/>
      <c r="L27" s="535"/>
      <c r="M27" s="535"/>
      <c r="N27" s="535"/>
      <c r="O27" s="535"/>
      <c r="P27" s="535"/>
      <c r="Q27" s="535"/>
    </row>
    <row r="28" spans="5:184" x14ac:dyDescent="0.25">
      <c r="F28" s="535"/>
      <c r="G28" s="535"/>
      <c r="H28" s="535"/>
      <c r="I28" s="535"/>
      <c r="J28" s="535"/>
      <c r="K28" s="535"/>
      <c r="L28" s="535"/>
      <c r="M28" s="535"/>
      <c r="N28" s="535"/>
      <c r="O28" s="535"/>
      <c r="P28" s="535"/>
      <c r="Q28" s="535"/>
    </row>
    <row r="29" spans="5:184" x14ac:dyDescent="0.25">
      <c r="F29" s="535"/>
      <c r="G29" s="163"/>
      <c r="H29" s="535"/>
      <c r="I29" s="535"/>
      <c r="J29" s="535"/>
      <c r="K29" s="535"/>
      <c r="L29" s="535"/>
      <c r="M29" s="535"/>
      <c r="N29" s="535"/>
      <c r="O29" s="535"/>
      <c r="P29" s="535"/>
      <c r="Q29" s="535"/>
    </row>
    <row r="30" spans="5:184" x14ac:dyDescent="0.25">
      <c r="F30" s="535"/>
      <c r="G30" s="535"/>
      <c r="H30" s="535"/>
      <c r="I30" s="535"/>
      <c r="J30" s="535"/>
      <c r="K30" s="535"/>
      <c r="L30" s="535"/>
      <c r="M30" s="535"/>
      <c r="N30" s="535"/>
      <c r="O30" s="535"/>
      <c r="P30" s="535"/>
      <c r="Q30" s="535"/>
    </row>
    <row r="31" spans="5:184" x14ac:dyDescent="0.25">
      <c r="F31" s="535"/>
      <c r="G31" s="535"/>
      <c r="H31" s="535"/>
      <c r="I31" s="535"/>
      <c r="J31" s="535"/>
      <c r="K31" s="535"/>
      <c r="L31" s="535"/>
      <c r="M31" s="535"/>
      <c r="N31" s="535"/>
      <c r="O31" s="535"/>
      <c r="P31" s="535"/>
      <c r="Q31" s="535"/>
    </row>
    <row r="32" spans="5:184" x14ac:dyDescent="0.25">
      <c r="F32" s="535"/>
      <c r="G32" s="535"/>
      <c r="H32" s="535"/>
      <c r="I32" s="535"/>
      <c r="J32" s="535"/>
      <c r="K32" s="783"/>
      <c r="L32" s="535"/>
      <c r="M32" s="535"/>
      <c r="N32" s="535"/>
      <c r="O32" s="535"/>
      <c r="P32" s="535"/>
      <c r="Q32" s="535"/>
    </row>
    <row r="33" spans="6:17" x14ac:dyDescent="0.25">
      <c r="F33" s="535"/>
      <c r="G33" s="535"/>
      <c r="H33" s="535"/>
      <c r="I33" s="535"/>
      <c r="J33" s="535"/>
      <c r="K33" s="510"/>
      <c r="L33" s="535"/>
      <c r="M33" s="535"/>
      <c r="N33" s="535"/>
      <c r="O33" s="535"/>
      <c r="P33" s="535"/>
      <c r="Q33" s="535"/>
    </row>
    <row r="34" spans="6:17" x14ac:dyDescent="0.25">
      <c r="F34" s="535"/>
      <c r="G34" s="535"/>
      <c r="H34" s="535"/>
      <c r="I34" s="535"/>
      <c r="J34" s="535"/>
      <c r="K34" s="535"/>
      <c r="L34" s="535"/>
      <c r="M34" s="535"/>
      <c r="N34" s="535"/>
      <c r="O34" s="535"/>
      <c r="P34" s="535"/>
      <c r="Q34" s="535"/>
    </row>
    <row r="35" spans="6:17" x14ac:dyDescent="0.25">
      <c r="F35" s="535"/>
      <c r="G35" s="535"/>
      <c r="H35" s="535"/>
      <c r="I35" s="535"/>
      <c r="J35" s="535"/>
      <c r="K35" s="535"/>
      <c r="L35" s="535"/>
      <c r="M35" s="535"/>
      <c r="N35" s="535"/>
      <c r="O35" s="535"/>
      <c r="P35" s="535"/>
      <c r="Q35" s="535"/>
    </row>
    <row r="36" spans="6:17" x14ac:dyDescent="0.25">
      <c r="F36" s="535"/>
      <c r="G36" s="535"/>
      <c r="H36" s="535"/>
      <c r="I36" s="535"/>
      <c r="J36" s="535"/>
      <c r="K36" s="535"/>
      <c r="L36" s="535"/>
      <c r="M36" s="535"/>
      <c r="N36" s="535"/>
      <c r="O36" s="535"/>
      <c r="P36" s="535"/>
      <c r="Q36" s="535"/>
    </row>
    <row r="37" spans="6:17" x14ac:dyDescent="0.25">
      <c r="F37" s="535"/>
      <c r="G37" s="535"/>
      <c r="H37" s="535"/>
      <c r="I37" s="535"/>
      <c r="J37" s="535"/>
      <c r="K37" s="535"/>
      <c r="L37" s="535"/>
      <c r="M37" s="535"/>
      <c r="N37" s="535"/>
      <c r="O37" s="535"/>
      <c r="P37" s="535"/>
      <c r="Q37" s="535"/>
    </row>
    <row r="38" spans="6:17" x14ac:dyDescent="0.25">
      <c r="F38" s="535"/>
      <c r="G38" s="535"/>
      <c r="H38" s="535"/>
      <c r="I38" s="535"/>
      <c r="J38" s="535"/>
      <c r="K38" s="535"/>
      <c r="L38" s="535"/>
      <c r="M38" s="535"/>
      <c r="N38" s="535"/>
      <c r="O38" s="535"/>
      <c r="P38" s="535"/>
      <c r="Q38" s="535"/>
    </row>
  </sheetData>
  <mergeCells count="138">
    <mergeCell ref="E25:W25"/>
    <mergeCell ref="AD25:AV25"/>
    <mergeCell ref="BI25:CB25"/>
    <mergeCell ref="CH25:CZ25"/>
    <mergeCell ref="DG26:EM26"/>
    <mergeCell ref="EV26:GB26"/>
    <mergeCell ref="FJ22:FJ23"/>
    <mergeCell ref="FK22:FK23"/>
    <mergeCell ref="FL22:FL23"/>
    <mergeCell ref="FM22:FM23"/>
    <mergeCell ref="EW21:FB21"/>
    <mergeCell ref="FH21:FM21"/>
    <mergeCell ref="EW22:EW23"/>
    <mergeCell ref="EX22:EX23"/>
    <mergeCell ref="EY22:EY23"/>
    <mergeCell ref="EZ22:EZ23"/>
    <mergeCell ref="FA22:FA23"/>
    <mergeCell ref="FB22:FB23"/>
    <mergeCell ref="FH22:FH23"/>
    <mergeCell ref="FI22:FI23"/>
    <mergeCell ref="EV12:GB13"/>
    <mergeCell ref="EW15:FB15"/>
    <mergeCell ref="FH15:FM15"/>
    <mergeCell ref="FU15:FZ15"/>
    <mergeCell ref="EW16:EW17"/>
    <mergeCell ref="EX16:EX17"/>
    <mergeCell ref="EY16:EY17"/>
    <mergeCell ref="EZ16:EZ17"/>
    <mergeCell ref="FA16:FA17"/>
    <mergeCell ref="FB16:FB17"/>
    <mergeCell ref="FU16:FU17"/>
    <mergeCell ref="FV16:FV17"/>
    <mergeCell ref="FW16:FW17"/>
    <mergeCell ref="FX16:FX17"/>
    <mergeCell ref="FY16:FY17"/>
    <mergeCell ref="FZ16:FZ17"/>
    <mergeCell ref="FH16:FH17"/>
    <mergeCell ref="FI16:FI17"/>
    <mergeCell ref="FJ16:FJ17"/>
    <mergeCell ref="FK16:FK17"/>
    <mergeCell ref="FL16:FL17"/>
    <mergeCell ref="FM16:FM17"/>
    <mergeCell ref="DS15:DX15"/>
    <mergeCell ref="DS21:DX21"/>
    <mergeCell ref="DS22:DS23"/>
    <mergeCell ref="DT22:DT23"/>
    <mergeCell ref="DU22:DU23"/>
    <mergeCell ref="DV22:DV23"/>
    <mergeCell ref="DW22:DW23"/>
    <mergeCell ref="DX22:DX23"/>
    <mergeCell ref="DG12:EM13"/>
    <mergeCell ref="DH22:DH23"/>
    <mergeCell ref="DI22:DI23"/>
    <mergeCell ref="DJ22:DJ23"/>
    <mergeCell ref="DK22:DK23"/>
    <mergeCell ref="DL22:DL23"/>
    <mergeCell ref="DM22:DM23"/>
    <mergeCell ref="DH15:DM15"/>
    <mergeCell ref="DH21:DM21"/>
    <mergeCell ref="EF16:EF17"/>
    <mergeCell ref="EG16:EG17"/>
    <mergeCell ref="EH16:EH17"/>
    <mergeCell ref="EI16:EI17"/>
    <mergeCell ref="EJ16:EJ17"/>
    <mergeCell ref="EK16:EK17"/>
    <mergeCell ref="EF15:EK15"/>
    <mergeCell ref="DS16:DS17"/>
    <mergeCell ref="DT16:DT17"/>
    <mergeCell ref="DU16:DU17"/>
    <mergeCell ref="DV16:DV17"/>
    <mergeCell ref="DW16:DW17"/>
    <mergeCell ref="DX16:DX17"/>
    <mergeCell ref="DH16:DH17"/>
    <mergeCell ref="DI16:DI17"/>
    <mergeCell ref="DJ16:DJ17"/>
    <mergeCell ref="DK16:DK17"/>
    <mergeCell ref="DL16:DL17"/>
    <mergeCell ref="DM16:DM17"/>
    <mergeCell ref="BI12:CB13"/>
    <mergeCell ref="AR16:AR17"/>
    <mergeCell ref="AS16:AS17"/>
    <mergeCell ref="AT16:AT17"/>
    <mergeCell ref="AU16:AU17"/>
    <mergeCell ref="BP16:BP17"/>
    <mergeCell ref="CA16:CA17"/>
    <mergeCell ref="AE15:AJ15"/>
    <mergeCell ref="AQ15:AU15"/>
    <mergeCell ref="AE16:AE17"/>
    <mergeCell ref="AF16:AF17"/>
    <mergeCell ref="AG16:AG17"/>
    <mergeCell ref="AH16:AH17"/>
    <mergeCell ref="AI16:AI17"/>
    <mergeCell ref="AJ16:AJ17"/>
    <mergeCell ref="AP16:AP17"/>
    <mergeCell ref="AQ16:AQ17"/>
    <mergeCell ref="BV16:BV17"/>
    <mergeCell ref="BW16:BW17"/>
    <mergeCell ref="BX16:BX17"/>
    <mergeCell ref="BY16:BY17"/>
    <mergeCell ref="BZ16:BZ17"/>
    <mergeCell ref="BK16:BK17"/>
    <mergeCell ref="BL16:BL17"/>
    <mergeCell ref="CT16:CT17"/>
    <mergeCell ref="CU16:CU17"/>
    <mergeCell ref="CV16:CV17"/>
    <mergeCell ref="CW16:CW17"/>
    <mergeCell ref="CX16:CX17"/>
    <mergeCell ref="CY16:CY17"/>
    <mergeCell ref="CI16:CI17"/>
    <mergeCell ref="CJ16:CJ17"/>
    <mergeCell ref="CK16:CK17"/>
    <mergeCell ref="CL16:CL17"/>
    <mergeCell ref="CM16:CM17"/>
    <mergeCell ref="CN16:CN17"/>
    <mergeCell ref="F16:F17"/>
    <mergeCell ref="G16:G17"/>
    <mergeCell ref="H16:H17"/>
    <mergeCell ref="I16:I17"/>
    <mergeCell ref="J16:J17"/>
    <mergeCell ref="K16:K17"/>
    <mergeCell ref="E12:W13"/>
    <mergeCell ref="CH12:CZ13"/>
    <mergeCell ref="F15:K15"/>
    <mergeCell ref="R15:V15"/>
    <mergeCell ref="BK15:BO15"/>
    <mergeCell ref="BV15:BZ15"/>
    <mergeCell ref="CJ15:CN15"/>
    <mergeCell ref="CU15:CY15"/>
    <mergeCell ref="AD12:AV13"/>
    <mergeCell ref="BM16:BM17"/>
    <mergeCell ref="BN16:BN17"/>
    <mergeCell ref="BO16:BO17"/>
    <mergeCell ref="Q16:Q17"/>
    <mergeCell ref="R16:R17"/>
    <mergeCell ref="S16:S17"/>
    <mergeCell ref="T16:T17"/>
    <mergeCell ref="U16:U17"/>
    <mergeCell ref="V16:V17"/>
  </mergeCells>
  <pageMargins left="0.7" right="0.7" top="0.75" bottom="0.75" header="0.3" footer="0.3"/>
  <pageSetup paperSize="9" orientation="portrait" horizontalDpi="90" verticalDpi="9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PE MOhm</vt:lpstr>
      <vt:lpstr>RESISTANCE Ohm</vt:lpstr>
      <vt:lpstr>EARTH LEAKAGE</vt:lpstr>
      <vt:lpstr>ESA VOLT</vt:lpstr>
      <vt:lpstr>Riwayat Revisi</vt:lpstr>
      <vt:lpstr>LK</vt:lpstr>
      <vt:lpstr>ID</vt:lpstr>
      <vt:lpstr>DATA 1</vt:lpstr>
      <vt:lpstr>INTERPOLASI</vt:lpstr>
      <vt:lpstr>SERTIFIKAT THERMOHYGROMETER</vt:lpstr>
      <vt:lpstr>KONVERSI SATUAN</vt:lpstr>
      <vt:lpstr>KETERANGAN</vt:lpstr>
      <vt:lpstr>SERTIFIKAT DPM</vt:lpstr>
      <vt:lpstr>LH</vt:lpstr>
      <vt:lpstr>PENYELIA</vt:lpstr>
      <vt:lpstr>BUDGET NAIK</vt:lpstr>
      <vt:lpstr>BUDGET TURUN</vt:lpstr>
      <vt:lpstr>SERTIFIKAT NA</vt:lpstr>
      <vt:lpstr>DB SERTIFIKAT NA</vt:lpstr>
      <vt:lpstr>SERTIFIKAT</vt:lpstr>
      <vt:lpstr>'ESA VOLT'!Extract</vt:lpstr>
      <vt:lpstr>'SERTIFIKAT DPM'!Extract</vt:lpstr>
      <vt:lpstr>'BUDGET NAIK'!Print_Area</vt:lpstr>
      <vt:lpstr>'BUDGET TURUN'!Print_Area</vt:lpstr>
      <vt:lpstr>ID!Print_Area</vt:lpstr>
      <vt:lpstr>LH!Print_Area</vt:lpstr>
      <vt:lpstr>LK!Print_Area</vt:lpstr>
      <vt:lpstr>PENYELIA!Print_Area</vt:lpstr>
      <vt:lpstr>SERTIFIKAT!Print_Area</vt:lpstr>
      <vt:lpstr>'SERTIFIKAT NA'!Print_Area</vt:lpstr>
    </vt:vector>
  </TitlesOfParts>
  <Company>BPFK Surabaya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27 MEI 2013</dc:title>
  <dc:creator>RANGGA</dc:creator>
  <cp:lastModifiedBy>Developer</cp:lastModifiedBy>
  <cp:lastPrinted>2022-10-04T03:45:35Z</cp:lastPrinted>
  <dcterms:created xsi:type="dcterms:W3CDTF">2003-12-09T09:04:15Z</dcterms:created>
  <dcterms:modified xsi:type="dcterms:W3CDTF">2023-09-27T02:54:31Z</dcterms:modified>
</cp:coreProperties>
</file>