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updateLinks="always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CBC4B593-9906-4C51-ABBD-74492FA7F82F}" xr6:coauthVersionLast="47" xr6:coauthVersionMax="47" xr10:uidLastSave="{00000000-0000-0000-0000-000000000000}"/>
  <bookViews>
    <workbookView xWindow="-110" yWindow="-110" windowWidth="19420" windowHeight="10300" tabRatio="826" firstSheet="2" activeTab="7" xr2:uid="{00000000-000D-0000-FFFF-FFFF00000000}"/>
  </bookViews>
  <sheets>
    <sheet name="Lembar Kerja" sheetId="10" r:id="rId1"/>
    <sheet name="Riwayat Revisi" sheetId="40" r:id="rId2"/>
    <sheet name="ID" sheetId="19" r:id="rId3"/>
    <sheet name="LH" sheetId="38" r:id="rId4"/>
    <sheet name="DB ESA" sheetId="41" r:id="rId5"/>
    <sheet name="SERTIFIKAT" sheetId="45" r:id="rId6"/>
    <sheet name="Lembar Penyelia" sheetId="31" r:id="rId7"/>
    <sheet name="DB Suhu" sheetId="33" r:id="rId8"/>
    <sheet name="UB Earphone Kanan" sheetId="29" r:id="rId9"/>
    <sheet name="UB Earphone Kiri" sheetId="37" r:id="rId10"/>
    <sheet name="UB BONE" sheetId="39" r:id="rId11"/>
    <sheet name="SURAT KETERANGAN" sheetId="43" r:id="rId12"/>
    <sheet name="DB SERTIFIKAT" sheetId="44" r:id="rId13"/>
    <sheet name="Interpolasi dB" sheetId="36" r:id="rId14"/>
    <sheet name="Data Sound Level Meter" sheetId="23" r:id="rId15"/>
    <sheet name="SLM DB" sheetId="35" r:id="rId16"/>
    <sheet name="KESIMPULAN" sheetId="26" r:id="rId17"/>
  </sheets>
  <definedNames>
    <definedName name="_xlnm.Print_Area" localSheetId="14">'Data Sound Level Meter'!$A$27:$H$39</definedName>
    <definedName name="_xlnm.Print_Area" localSheetId="7">'DB Suhu'!$A$334:$O$348</definedName>
    <definedName name="_xlnm.Print_Area" localSheetId="2">ID!$A$1:$I$164</definedName>
    <definedName name="_xlnm.Print_Area" localSheetId="0">'Lembar Kerja'!$A$1:$I$156</definedName>
    <definedName name="_xlnm.Print_Area" localSheetId="6">'Lembar Penyelia'!$A$1:$K$188</definedName>
    <definedName name="_xlnm.Print_Area" localSheetId="3">LH!$A$1:$K$189</definedName>
    <definedName name="_xlnm.Print_Area" localSheetId="15">'SLM DB'!$A$156:$F$170</definedName>
    <definedName name="_xlnm.Print_Area" localSheetId="11">'SURAT KETERANGAN'!$A$1:$G$33</definedName>
    <definedName name="_xlnm.Print_Area" localSheetId="10">'UB BONE'!$A$1:$K$89</definedName>
    <definedName name="_xlnm.Print_Area" localSheetId="8">'UB Earphone Kanan'!$A$1:$K$412</definedName>
    <definedName name="_xlnm.Print_Area" localSheetId="9">'UB Earphone Kiri'!$A$1:$K$499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4" i="31" l="1"/>
  <c r="G180" i="38"/>
  <c r="H187" i="38"/>
  <c r="E7" i="31" l="1"/>
  <c r="D8" i="19"/>
  <c r="E24" i="45"/>
  <c r="A18" i="45"/>
  <c r="A17" i="45"/>
  <c r="A15" i="45"/>
  <c r="D4" i="45"/>
  <c r="A3" i="45"/>
  <c r="F6" i="45" s="1"/>
  <c r="G26" i="43"/>
  <c r="A4" i="43"/>
  <c r="B18" i="43"/>
  <c r="G2" i="43" s="1"/>
  <c r="D11" i="43"/>
  <c r="D10" i="43"/>
  <c r="A19" i="45" l="1"/>
  <c r="A20" i="45"/>
  <c r="D12" i="43"/>
  <c r="N339" i="33" l="1"/>
  <c r="N338" i="33"/>
  <c r="L202" i="41"/>
  <c r="A234" i="41" l="1"/>
  <c r="B195" i="41" s="1"/>
  <c r="L201" i="41"/>
  <c r="G209" i="41" s="1"/>
  <c r="L200" i="41"/>
  <c r="G205" i="41" s="1"/>
  <c r="L199" i="41"/>
  <c r="L198" i="41"/>
  <c r="J243" i="41"/>
  <c r="I243" i="41"/>
  <c r="J242" i="41"/>
  <c r="I242" i="41"/>
  <c r="J241" i="41"/>
  <c r="I241" i="41"/>
  <c r="J240" i="41"/>
  <c r="I240" i="41"/>
  <c r="J239" i="41"/>
  <c r="I239" i="41"/>
  <c r="J238" i="41"/>
  <c r="I238" i="41"/>
  <c r="J237" i="41"/>
  <c r="I237" i="41"/>
  <c r="J236" i="41"/>
  <c r="I236" i="41"/>
  <c r="J235" i="41"/>
  <c r="I235" i="41"/>
  <c r="G229" i="41"/>
  <c r="G225" i="41"/>
  <c r="G221" i="41"/>
  <c r="A219" i="41"/>
  <c r="G217" i="41"/>
  <c r="G213" i="41"/>
  <c r="A213" i="41"/>
  <c r="A205" i="41"/>
  <c r="A197" i="41"/>
  <c r="O193" i="41"/>
  <c r="M193" i="41"/>
  <c r="L193" i="41"/>
  <c r="K193" i="41"/>
  <c r="G193" i="41"/>
  <c r="E193" i="41"/>
  <c r="D193" i="41"/>
  <c r="C193" i="41"/>
  <c r="O192" i="41"/>
  <c r="M192" i="41"/>
  <c r="L192" i="41"/>
  <c r="K192" i="41"/>
  <c r="G192" i="41"/>
  <c r="E192" i="41"/>
  <c r="D192" i="41"/>
  <c r="C192" i="41"/>
  <c r="O191" i="41"/>
  <c r="M191" i="41"/>
  <c r="L191" i="41"/>
  <c r="K191" i="41"/>
  <c r="G191" i="41"/>
  <c r="E191" i="41"/>
  <c r="D191" i="41"/>
  <c r="C191" i="41"/>
  <c r="O190" i="41"/>
  <c r="M190" i="41"/>
  <c r="L190" i="41"/>
  <c r="K190" i="41"/>
  <c r="G190" i="41"/>
  <c r="E190" i="41"/>
  <c r="D190" i="41"/>
  <c r="C190" i="41"/>
  <c r="O189" i="41"/>
  <c r="M189" i="41"/>
  <c r="L189" i="41"/>
  <c r="K189" i="41"/>
  <c r="G189" i="41"/>
  <c r="E189" i="41"/>
  <c r="D189" i="41"/>
  <c r="C189" i="41"/>
  <c r="O188" i="41"/>
  <c r="M188" i="41"/>
  <c r="L188" i="41"/>
  <c r="K188" i="41"/>
  <c r="G188" i="41"/>
  <c r="E188" i="41"/>
  <c r="D188" i="41"/>
  <c r="C188" i="41"/>
  <c r="O187" i="41"/>
  <c r="M187" i="41"/>
  <c r="L187" i="41"/>
  <c r="K187" i="41"/>
  <c r="G187" i="41"/>
  <c r="E187" i="41"/>
  <c r="D187" i="41"/>
  <c r="C187" i="41"/>
  <c r="O186" i="41"/>
  <c r="M186" i="41"/>
  <c r="L186" i="41"/>
  <c r="K186" i="41"/>
  <c r="G186" i="41"/>
  <c r="E186" i="41"/>
  <c r="D186" i="41"/>
  <c r="C186" i="41"/>
  <c r="O185" i="41"/>
  <c r="M185" i="41"/>
  <c r="L185" i="41"/>
  <c r="K185" i="41"/>
  <c r="G185" i="41"/>
  <c r="E185" i="41"/>
  <c r="D185" i="41"/>
  <c r="C185" i="41"/>
  <c r="O184" i="41"/>
  <c r="M184" i="41"/>
  <c r="L184" i="41"/>
  <c r="K184" i="41"/>
  <c r="G184" i="41"/>
  <c r="E184" i="41"/>
  <c r="D184" i="41"/>
  <c r="C184" i="41"/>
  <c r="O183" i="41"/>
  <c r="M183" i="41"/>
  <c r="L183" i="41"/>
  <c r="K183" i="41"/>
  <c r="G183" i="41"/>
  <c r="E183" i="41"/>
  <c r="D183" i="41"/>
  <c r="C183" i="41"/>
  <c r="O182" i="41"/>
  <c r="M182" i="41"/>
  <c r="L182" i="41"/>
  <c r="K182" i="41"/>
  <c r="G182" i="41"/>
  <c r="E182" i="41"/>
  <c r="D182" i="41"/>
  <c r="C182" i="41"/>
  <c r="O181" i="41"/>
  <c r="M181" i="41"/>
  <c r="L181" i="41"/>
  <c r="K181" i="41"/>
  <c r="G181" i="41"/>
  <c r="E181" i="41"/>
  <c r="D181" i="41"/>
  <c r="C181" i="41"/>
  <c r="O180" i="41"/>
  <c r="M180" i="41"/>
  <c r="L180" i="41"/>
  <c r="K180" i="41"/>
  <c r="G180" i="41"/>
  <c r="E180" i="41"/>
  <c r="D180" i="41"/>
  <c r="C180" i="41"/>
  <c r="O179" i="41"/>
  <c r="M179" i="41"/>
  <c r="L179" i="41"/>
  <c r="K179" i="41"/>
  <c r="G179" i="41"/>
  <c r="E179" i="41"/>
  <c r="D179" i="41"/>
  <c r="C179" i="41"/>
  <c r="O178" i="41"/>
  <c r="M178" i="41"/>
  <c r="L178" i="41"/>
  <c r="K178" i="41"/>
  <c r="G178" i="41"/>
  <c r="E178" i="41"/>
  <c r="D178" i="41"/>
  <c r="C178" i="41"/>
  <c r="O177" i="41"/>
  <c r="M177" i="41"/>
  <c r="L177" i="41"/>
  <c r="K177" i="41"/>
  <c r="G177" i="41"/>
  <c r="E177" i="41"/>
  <c r="D177" i="41"/>
  <c r="C177" i="41"/>
  <c r="O176" i="41"/>
  <c r="M176" i="41"/>
  <c r="L176" i="41"/>
  <c r="K176" i="41"/>
  <c r="G176" i="41"/>
  <c r="E176" i="41"/>
  <c r="D176" i="41"/>
  <c r="C176" i="41"/>
  <c r="O175" i="41"/>
  <c r="M175" i="41"/>
  <c r="L175" i="41"/>
  <c r="K175" i="41"/>
  <c r="G175" i="41"/>
  <c r="E175" i="41"/>
  <c r="D175" i="41"/>
  <c r="C175" i="41"/>
  <c r="O174" i="41"/>
  <c r="M174" i="41"/>
  <c r="L174" i="41"/>
  <c r="K174" i="41"/>
  <c r="G174" i="41"/>
  <c r="E174" i="41"/>
  <c r="D174" i="41"/>
  <c r="C174" i="41"/>
  <c r="O173" i="41"/>
  <c r="M173" i="41"/>
  <c r="L173" i="41"/>
  <c r="K173" i="41"/>
  <c r="G173" i="41"/>
  <c r="E173" i="41"/>
  <c r="D173" i="41"/>
  <c r="C173" i="41"/>
  <c r="O172" i="41"/>
  <c r="M172" i="41"/>
  <c r="L172" i="41"/>
  <c r="K172" i="41"/>
  <c r="G172" i="41"/>
  <c r="E172" i="41"/>
  <c r="D172" i="41"/>
  <c r="C172" i="41"/>
  <c r="O171" i="41"/>
  <c r="M171" i="41"/>
  <c r="L171" i="41"/>
  <c r="K171" i="41"/>
  <c r="G171" i="41"/>
  <c r="E171" i="41"/>
  <c r="D171" i="41"/>
  <c r="C171" i="41"/>
  <c r="O170" i="41"/>
  <c r="M170" i="41"/>
  <c r="L170" i="41"/>
  <c r="K170" i="41"/>
  <c r="G170" i="41"/>
  <c r="E170" i="41"/>
  <c r="D170" i="41"/>
  <c r="C170" i="41"/>
  <c r="O169" i="41"/>
  <c r="M169" i="41"/>
  <c r="L169" i="41"/>
  <c r="K169" i="41"/>
  <c r="G169" i="41"/>
  <c r="E169" i="41"/>
  <c r="D169" i="41"/>
  <c r="C169" i="41"/>
  <c r="O168" i="41"/>
  <c r="M168" i="41"/>
  <c r="L168" i="41"/>
  <c r="K168" i="41"/>
  <c r="G168" i="41"/>
  <c r="E168" i="41"/>
  <c r="D168" i="41"/>
  <c r="C168" i="41"/>
  <c r="O167" i="41"/>
  <c r="M167" i="41"/>
  <c r="L167" i="41"/>
  <c r="K167" i="41"/>
  <c r="G167" i="41"/>
  <c r="E167" i="41"/>
  <c r="D167" i="41"/>
  <c r="C167" i="41"/>
  <c r="O166" i="41"/>
  <c r="M166" i="41"/>
  <c r="L166" i="41"/>
  <c r="K166" i="41"/>
  <c r="G166" i="41"/>
  <c r="E166" i="41"/>
  <c r="D166" i="41"/>
  <c r="C166" i="41"/>
  <c r="O165" i="41"/>
  <c r="M165" i="41"/>
  <c r="L165" i="41"/>
  <c r="K165" i="41"/>
  <c r="G165" i="41"/>
  <c r="E165" i="41"/>
  <c r="D165" i="41"/>
  <c r="C165" i="41"/>
  <c r="O164" i="41"/>
  <c r="M164" i="41"/>
  <c r="L164" i="41"/>
  <c r="K164" i="41"/>
  <c r="G164" i="41"/>
  <c r="E164" i="41"/>
  <c r="D164" i="41"/>
  <c r="C164" i="41"/>
  <c r="O163" i="41"/>
  <c r="M163" i="41"/>
  <c r="L163" i="41"/>
  <c r="K163" i="41"/>
  <c r="G163" i="41"/>
  <c r="E163" i="41"/>
  <c r="D163" i="41"/>
  <c r="C163" i="41"/>
  <c r="O162" i="41"/>
  <c r="M162" i="41"/>
  <c r="L162" i="41"/>
  <c r="K162" i="41"/>
  <c r="G162" i="41"/>
  <c r="E162" i="41"/>
  <c r="D162" i="41"/>
  <c r="C162" i="41"/>
  <c r="O161" i="41"/>
  <c r="M161" i="41"/>
  <c r="L161" i="41"/>
  <c r="K161" i="41"/>
  <c r="G161" i="41"/>
  <c r="E161" i="41"/>
  <c r="D161" i="41"/>
  <c r="C161" i="41"/>
  <c r="O160" i="41"/>
  <c r="M160" i="41"/>
  <c r="L160" i="41"/>
  <c r="K160" i="41"/>
  <c r="G160" i="41"/>
  <c r="E160" i="41"/>
  <c r="D160" i="41"/>
  <c r="C160" i="41"/>
  <c r="O159" i="41"/>
  <c r="M159" i="41"/>
  <c r="L159" i="41"/>
  <c r="K159" i="41"/>
  <c r="G159" i="41"/>
  <c r="E159" i="41"/>
  <c r="D159" i="41"/>
  <c r="C159" i="41"/>
  <c r="O158" i="41"/>
  <c r="M158" i="41"/>
  <c r="L158" i="41"/>
  <c r="K158" i="41"/>
  <c r="G158" i="41"/>
  <c r="E158" i="41"/>
  <c r="D158" i="41"/>
  <c r="C158" i="41"/>
  <c r="K156" i="41"/>
  <c r="C156" i="41"/>
  <c r="O153" i="41"/>
  <c r="M153" i="41"/>
  <c r="L153" i="41"/>
  <c r="K153" i="41"/>
  <c r="G153" i="41"/>
  <c r="E153" i="41"/>
  <c r="D153" i="41"/>
  <c r="C153" i="41"/>
  <c r="O152" i="41"/>
  <c r="M152" i="41"/>
  <c r="L152" i="41"/>
  <c r="K152" i="41"/>
  <c r="G152" i="41"/>
  <c r="E152" i="41"/>
  <c r="D152" i="41"/>
  <c r="C152" i="41"/>
  <c r="O151" i="41"/>
  <c r="M151" i="41"/>
  <c r="L151" i="41"/>
  <c r="K151" i="41"/>
  <c r="G151" i="41"/>
  <c r="E151" i="41"/>
  <c r="D151" i="41"/>
  <c r="C151" i="41"/>
  <c r="O150" i="41"/>
  <c r="M150" i="41"/>
  <c r="L150" i="41"/>
  <c r="K150" i="41"/>
  <c r="G150" i="41"/>
  <c r="E150" i="41"/>
  <c r="D150" i="41"/>
  <c r="C150" i="41"/>
  <c r="O149" i="41"/>
  <c r="M149" i="41"/>
  <c r="L149" i="41"/>
  <c r="K149" i="41"/>
  <c r="G149" i="41"/>
  <c r="E149" i="41"/>
  <c r="D149" i="41"/>
  <c r="C149" i="41"/>
  <c r="O148" i="41"/>
  <c r="M148" i="41"/>
  <c r="L148" i="41"/>
  <c r="K148" i="41"/>
  <c r="G148" i="41"/>
  <c r="E148" i="41"/>
  <c r="D148" i="41"/>
  <c r="C148" i="41"/>
  <c r="O147" i="41"/>
  <c r="M147" i="41"/>
  <c r="L147" i="41"/>
  <c r="K147" i="41"/>
  <c r="G147" i="41"/>
  <c r="E147" i="41"/>
  <c r="D147" i="41"/>
  <c r="C147" i="41"/>
  <c r="O146" i="41"/>
  <c r="M146" i="41"/>
  <c r="L146" i="41"/>
  <c r="K146" i="41"/>
  <c r="G146" i="41"/>
  <c r="E146" i="41"/>
  <c r="D146" i="41"/>
  <c r="C146" i="41"/>
  <c r="O145" i="41"/>
  <c r="M145" i="41"/>
  <c r="L145" i="41"/>
  <c r="K145" i="41"/>
  <c r="G145" i="41"/>
  <c r="E145" i="41"/>
  <c r="D145" i="41"/>
  <c r="C145" i="41"/>
  <c r="O144" i="41"/>
  <c r="M144" i="41"/>
  <c r="L144" i="41"/>
  <c r="K144" i="41"/>
  <c r="G144" i="41"/>
  <c r="E144" i="41"/>
  <c r="D144" i="41"/>
  <c r="C144" i="41"/>
  <c r="O143" i="41"/>
  <c r="M143" i="41"/>
  <c r="L143" i="41"/>
  <c r="K143" i="41"/>
  <c r="G143" i="41"/>
  <c r="E143" i="41"/>
  <c r="D143" i="41"/>
  <c r="C143" i="41"/>
  <c r="O142" i="41"/>
  <c r="M142" i="41"/>
  <c r="L142" i="41"/>
  <c r="K142" i="41"/>
  <c r="G142" i="41"/>
  <c r="E142" i="41"/>
  <c r="D142" i="41"/>
  <c r="C142" i="41"/>
  <c r="O141" i="41"/>
  <c r="M141" i="41"/>
  <c r="L141" i="41"/>
  <c r="K141" i="41"/>
  <c r="G141" i="41"/>
  <c r="E141" i="41"/>
  <c r="D141" i="41"/>
  <c r="C141" i="41"/>
  <c r="O140" i="41"/>
  <c r="M140" i="41"/>
  <c r="L140" i="41"/>
  <c r="K140" i="41"/>
  <c r="G140" i="41"/>
  <c r="E140" i="41"/>
  <c r="D140" i="41"/>
  <c r="C140" i="41"/>
  <c r="O139" i="41"/>
  <c r="M139" i="41"/>
  <c r="L139" i="41"/>
  <c r="K139" i="41"/>
  <c r="G139" i="41"/>
  <c r="E139" i="41"/>
  <c r="D139" i="41"/>
  <c r="C139" i="41"/>
  <c r="O138" i="41"/>
  <c r="M138" i="41"/>
  <c r="L138" i="41"/>
  <c r="K138" i="41"/>
  <c r="G138" i="41"/>
  <c r="E138" i="41"/>
  <c r="D138" i="41"/>
  <c r="C138" i="41"/>
  <c r="O137" i="41"/>
  <c r="M137" i="41"/>
  <c r="L137" i="41"/>
  <c r="K137" i="41"/>
  <c r="G137" i="41"/>
  <c r="E137" i="41"/>
  <c r="D137" i="41"/>
  <c r="C137" i="41"/>
  <c r="O136" i="41"/>
  <c r="M136" i="41"/>
  <c r="L136" i="41"/>
  <c r="K136" i="41"/>
  <c r="G136" i="41"/>
  <c r="E136" i="41"/>
  <c r="D136" i="41"/>
  <c r="C136" i="41"/>
  <c r="O135" i="41"/>
  <c r="M135" i="41"/>
  <c r="L135" i="41"/>
  <c r="K135" i="41"/>
  <c r="G135" i="41"/>
  <c r="E135" i="41"/>
  <c r="D135" i="41"/>
  <c r="C135" i="41"/>
  <c r="O134" i="41"/>
  <c r="M134" i="41"/>
  <c r="L134" i="41"/>
  <c r="K134" i="41"/>
  <c r="G134" i="41"/>
  <c r="E134" i="41"/>
  <c r="D134" i="41"/>
  <c r="C134" i="41"/>
  <c r="O133" i="41"/>
  <c r="M133" i="41"/>
  <c r="L133" i="41"/>
  <c r="K133" i="41"/>
  <c r="G133" i="41"/>
  <c r="E133" i="41"/>
  <c r="D133" i="41"/>
  <c r="C133" i="41"/>
  <c r="O132" i="41"/>
  <c r="M132" i="41"/>
  <c r="L132" i="41"/>
  <c r="K132" i="41"/>
  <c r="G132" i="41"/>
  <c r="E132" i="41"/>
  <c r="D132" i="41"/>
  <c r="C132" i="41"/>
  <c r="O131" i="41"/>
  <c r="M131" i="41"/>
  <c r="L131" i="41"/>
  <c r="K131" i="41"/>
  <c r="G131" i="41"/>
  <c r="E131" i="41"/>
  <c r="D131" i="41"/>
  <c r="C131" i="41"/>
  <c r="O130" i="41"/>
  <c r="M130" i="41"/>
  <c r="L130" i="41"/>
  <c r="K130" i="41"/>
  <c r="G130" i="41"/>
  <c r="E130" i="41"/>
  <c r="D130" i="41"/>
  <c r="C130" i="41"/>
  <c r="O129" i="41"/>
  <c r="M129" i="41"/>
  <c r="L129" i="41"/>
  <c r="K129" i="41"/>
  <c r="G129" i="41"/>
  <c r="E129" i="41"/>
  <c r="D129" i="41"/>
  <c r="C129" i="41"/>
  <c r="O128" i="41"/>
  <c r="M128" i="41"/>
  <c r="L128" i="41"/>
  <c r="K128" i="41"/>
  <c r="G128" i="41"/>
  <c r="E128" i="41"/>
  <c r="D128" i="41"/>
  <c r="C128" i="41"/>
  <c r="O127" i="41"/>
  <c r="M127" i="41"/>
  <c r="L127" i="41"/>
  <c r="K127" i="41"/>
  <c r="G127" i="41"/>
  <c r="E127" i="41"/>
  <c r="D127" i="41"/>
  <c r="C127" i="41"/>
  <c r="O126" i="41"/>
  <c r="M126" i="41"/>
  <c r="L126" i="41"/>
  <c r="K126" i="41"/>
  <c r="G126" i="41"/>
  <c r="E126" i="41"/>
  <c r="D126" i="41"/>
  <c r="C126" i="41"/>
  <c r="O125" i="41"/>
  <c r="M125" i="41"/>
  <c r="L125" i="41"/>
  <c r="K125" i="41"/>
  <c r="G125" i="41"/>
  <c r="E125" i="41"/>
  <c r="D125" i="41"/>
  <c r="C125" i="41"/>
  <c r="O124" i="41"/>
  <c r="M124" i="41"/>
  <c r="L124" i="41"/>
  <c r="K124" i="41"/>
  <c r="G124" i="41"/>
  <c r="E124" i="41"/>
  <c r="D124" i="41"/>
  <c r="C124" i="41"/>
  <c r="O123" i="41"/>
  <c r="M123" i="41"/>
  <c r="L123" i="41"/>
  <c r="K123" i="41"/>
  <c r="G123" i="41"/>
  <c r="E123" i="41"/>
  <c r="D123" i="41"/>
  <c r="C123" i="41"/>
  <c r="O122" i="41"/>
  <c r="M122" i="41"/>
  <c r="L122" i="41"/>
  <c r="K122" i="41"/>
  <c r="G122" i="41"/>
  <c r="E122" i="41"/>
  <c r="D122" i="41"/>
  <c r="C122" i="41"/>
  <c r="O121" i="41"/>
  <c r="M121" i="41"/>
  <c r="L121" i="41"/>
  <c r="K121" i="41"/>
  <c r="G121" i="41"/>
  <c r="E121" i="41"/>
  <c r="D121" i="41"/>
  <c r="C121" i="41"/>
  <c r="O120" i="41"/>
  <c r="M120" i="41"/>
  <c r="L120" i="41"/>
  <c r="K120" i="41"/>
  <c r="G120" i="41"/>
  <c r="E120" i="41"/>
  <c r="D120" i="41"/>
  <c r="C120" i="41"/>
  <c r="O119" i="41"/>
  <c r="M119" i="41"/>
  <c r="L119" i="41"/>
  <c r="K119" i="41"/>
  <c r="G119" i="41"/>
  <c r="E119" i="41"/>
  <c r="D119" i="41"/>
  <c r="C119" i="41"/>
  <c r="O118" i="41"/>
  <c r="M118" i="41"/>
  <c r="L118" i="41"/>
  <c r="K118" i="41"/>
  <c r="G118" i="41"/>
  <c r="E118" i="41"/>
  <c r="D118" i="41"/>
  <c r="C118" i="41"/>
  <c r="O117" i="41"/>
  <c r="M117" i="41"/>
  <c r="L117" i="41"/>
  <c r="K117" i="41"/>
  <c r="G117" i="41"/>
  <c r="E117" i="41"/>
  <c r="D117" i="41"/>
  <c r="C117" i="41"/>
  <c r="O116" i="41"/>
  <c r="M116" i="41"/>
  <c r="L116" i="41"/>
  <c r="K116" i="41"/>
  <c r="G116" i="41"/>
  <c r="E116" i="41"/>
  <c r="D116" i="41"/>
  <c r="C116" i="41"/>
  <c r="O115" i="41"/>
  <c r="M115" i="41"/>
  <c r="L115" i="41"/>
  <c r="K115" i="41"/>
  <c r="G115" i="41"/>
  <c r="E115" i="41"/>
  <c r="D115" i="41"/>
  <c r="C115" i="41"/>
  <c r="O114" i="41"/>
  <c r="M114" i="41"/>
  <c r="L114" i="41"/>
  <c r="K114" i="41"/>
  <c r="G114" i="41"/>
  <c r="E114" i="41"/>
  <c r="D114" i="41"/>
  <c r="C114" i="41"/>
  <c r="O113" i="41"/>
  <c r="M113" i="41"/>
  <c r="L113" i="41"/>
  <c r="K113" i="41"/>
  <c r="G113" i="41"/>
  <c r="E113" i="41"/>
  <c r="D113" i="41"/>
  <c r="C113" i="41"/>
  <c r="O112" i="41"/>
  <c r="M112" i="41"/>
  <c r="L112" i="41"/>
  <c r="K112" i="41"/>
  <c r="G112" i="41"/>
  <c r="E112" i="41"/>
  <c r="D112" i="41"/>
  <c r="C112" i="41"/>
  <c r="O111" i="41"/>
  <c r="M111" i="41"/>
  <c r="L111" i="41"/>
  <c r="K111" i="41"/>
  <c r="G111" i="41"/>
  <c r="E111" i="41"/>
  <c r="D111" i="41"/>
  <c r="C111" i="41"/>
  <c r="O110" i="41"/>
  <c r="M110" i="41"/>
  <c r="L110" i="41"/>
  <c r="K110" i="41"/>
  <c r="G110" i="41"/>
  <c r="E110" i="41"/>
  <c r="D110" i="41"/>
  <c r="C110" i="41"/>
  <c r="O109" i="41"/>
  <c r="M109" i="41"/>
  <c r="L109" i="41"/>
  <c r="K109" i="41"/>
  <c r="G109" i="41"/>
  <c r="E109" i="41"/>
  <c r="D109" i="41"/>
  <c r="C109" i="41"/>
  <c r="O108" i="41"/>
  <c r="M108" i="41"/>
  <c r="L108" i="41"/>
  <c r="K108" i="41"/>
  <c r="G108" i="41"/>
  <c r="E108" i="41"/>
  <c r="D108" i="41"/>
  <c r="C108" i="41"/>
  <c r="O107" i="41"/>
  <c r="M107" i="41"/>
  <c r="L107" i="41"/>
  <c r="K107" i="41"/>
  <c r="G107" i="41"/>
  <c r="E107" i="41"/>
  <c r="D107" i="41"/>
  <c r="C107" i="41"/>
  <c r="O106" i="41"/>
  <c r="M106" i="41"/>
  <c r="L106" i="41"/>
  <c r="K106" i="41"/>
  <c r="G106" i="41"/>
  <c r="E106" i="41"/>
  <c r="D106" i="41"/>
  <c r="C106" i="41"/>
  <c r="O105" i="41"/>
  <c r="M105" i="41"/>
  <c r="L105" i="41"/>
  <c r="K105" i="41"/>
  <c r="G105" i="41"/>
  <c r="E105" i="41"/>
  <c r="D105" i="41"/>
  <c r="C105" i="41"/>
  <c r="O104" i="41"/>
  <c r="M104" i="41"/>
  <c r="L104" i="41"/>
  <c r="K104" i="41"/>
  <c r="G104" i="41"/>
  <c r="E104" i="41"/>
  <c r="D104" i="41"/>
  <c r="C104" i="41"/>
  <c r="O103" i="41"/>
  <c r="M103" i="41"/>
  <c r="L103" i="41"/>
  <c r="K103" i="41"/>
  <c r="G103" i="41"/>
  <c r="E103" i="41"/>
  <c r="D103" i="41"/>
  <c r="C103" i="41"/>
  <c r="O102" i="41"/>
  <c r="M102" i="41"/>
  <c r="L102" i="41"/>
  <c r="K102" i="41"/>
  <c r="G102" i="41"/>
  <c r="E102" i="41"/>
  <c r="D102" i="41"/>
  <c r="C102" i="41"/>
  <c r="O101" i="41"/>
  <c r="M101" i="41"/>
  <c r="L101" i="41"/>
  <c r="K101" i="41"/>
  <c r="G101" i="41"/>
  <c r="E101" i="41"/>
  <c r="D101" i="41"/>
  <c r="C101" i="41"/>
  <c r="O100" i="41"/>
  <c r="M100" i="41"/>
  <c r="L100" i="41"/>
  <c r="K100" i="41"/>
  <c r="G100" i="41"/>
  <c r="E100" i="41"/>
  <c r="D100" i="41"/>
  <c r="C100" i="41"/>
  <c r="K98" i="41"/>
  <c r="C98" i="41"/>
  <c r="S93" i="41"/>
  <c r="N193" i="41" s="1"/>
  <c r="L93" i="41"/>
  <c r="N192" i="41" s="1"/>
  <c r="E93" i="41"/>
  <c r="N191" i="41" s="1"/>
  <c r="S92" i="41"/>
  <c r="N184" i="41" s="1"/>
  <c r="L92" i="41"/>
  <c r="N183" i="41" s="1"/>
  <c r="E92" i="41"/>
  <c r="N182" i="41" s="1"/>
  <c r="S91" i="41"/>
  <c r="N175" i="41" s="1"/>
  <c r="L91" i="41"/>
  <c r="N174" i="41" s="1"/>
  <c r="E91" i="41"/>
  <c r="N173" i="41" s="1"/>
  <c r="S90" i="41"/>
  <c r="N166" i="41" s="1"/>
  <c r="L90" i="41"/>
  <c r="N165" i="41" s="1"/>
  <c r="E90" i="41"/>
  <c r="N164" i="41" s="1"/>
  <c r="R89" i="41"/>
  <c r="Q89" i="41"/>
  <c r="K89" i="41"/>
  <c r="J89" i="41"/>
  <c r="D89" i="41"/>
  <c r="C89" i="41"/>
  <c r="P88" i="41"/>
  <c r="S87" i="41"/>
  <c r="F193" i="41" s="1"/>
  <c r="L87" i="41"/>
  <c r="F192" i="41" s="1"/>
  <c r="E87" i="41"/>
  <c r="F191" i="41" s="1"/>
  <c r="S86" i="41"/>
  <c r="F184" i="41" s="1"/>
  <c r="L86" i="41"/>
  <c r="F183" i="41" s="1"/>
  <c r="E86" i="41"/>
  <c r="F182" i="41" s="1"/>
  <c r="S85" i="41"/>
  <c r="F175" i="41" s="1"/>
  <c r="L85" i="41"/>
  <c r="F174" i="41" s="1"/>
  <c r="E85" i="41"/>
  <c r="F173" i="41" s="1"/>
  <c r="S84" i="41"/>
  <c r="F166" i="41" s="1"/>
  <c r="L84" i="41"/>
  <c r="F165" i="41" s="1"/>
  <c r="E84" i="41"/>
  <c r="F164" i="41" s="1"/>
  <c r="R83" i="41"/>
  <c r="Q83" i="41"/>
  <c r="K83" i="41"/>
  <c r="J83" i="41"/>
  <c r="P82" i="41"/>
  <c r="S81" i="41"/>
  <c r="N153" i="41" s="1"/>
  <c r="L81" i="41"/>
  <c r="N152" i="41" s="1"/>
  <c r="E81" i="41"/>
  <c r="N151" i="41" s="1"/>
  <c r="S80" i="41"/>
  <c r="N144" i="41" s="1"/>
  <c r="L80" i="41"/>
  <c r="N143" i="41" s="1"/>
  <c r="E80" i="41"/>
  <c r="N142" i="41" s="1"/>
  <c r="S79" i="41"/>
  <c r="N135" i="41" s="1"/>
  <c r="L79" i="41"/>
  <c r="N134" i="41" s="1"/>
  <c r="E79" i="41"/>
  <c r="N133" i="41" s="1"/>
  <c r="S78" i="41"/>
  <c r="N126" i="41" s="1"/>
  <c r="L78" i="41"/>
  <c r="N125" i="41" s="1"/>
  <c r="E78" i="41"/>
  <c r="N124" i="41" s="1"/>
  <c r="S77" i="41"/>
  <c r="N117" i="41" s="1"/>
  <c r="L77" i="41"/>
  <c r="N116" i="41" s="1"/>
  <c r="E77" i="41"/>
  <c r="N115" i="41" s="1"/>
  <c r="S76" i="41"/>
  <c r="N108" i="41" s="1"/>
  <c r="L76" i="41"/>
  <c r="N107" i="41" s="1"/>
  <c r="E76" i="41"/>
  <c r="N106" i="41" s="1"/>
  <c r="R75" i="41"/>
  <c r="Q75" i="41"/>
  <c r="K75" i="41"/>
  <c r="J75" i="41"/>
  <c r="D75" i="41"/>
  <c r="C75" i="41"/>
  <c r="P74" i="41"/>
  <c r="I74" i="41"/>
  <c r="S73" i="41"/>
  <c r="F153" i="41" s="1"/>
  <c r="L73" i="41"/>
  <c r="F152" i="41" s="1"/>
  <c r="E73" i="41"/>
  <c r="F151" i="41" s="1"/>
  <c r="S72" i="41"/>
  <c r="F144" i="41" s="1"/>
  <c r="L72" i="41"/>
  <c r="F143" i="41" s="1"/>
  <c r="E72" i="41"/>
  <c r="F142" i="41" s="1"/>
  <c r="S71" i="41"/>
  <c r="F135" i="41" s="1"/>
  <c r="L71" i="41"/>
  <c r="F134" i="41" s="1"/>
  <c r="E71" i="41"/>
  <c r="F133" i="41" s="1"/>
  <c r="S70" i="41"/>
  <c r="F126" i="41" s="1"/>
  <c r="L70" i="41"/>
  <c r="F125" i="41" s="1"/>
  <c r="E70" i="41"/>
  <c r="F124" i="41" s="1"/>
  <c r="S69" i="41"/>
  <c r="F117" i="41" s="1"/>
  <c r="L69" i="41"/>
  <c r="F116" i="41" s="1"/>
  <c r="E69" i="41"/>
  <c r="F115" i="41" s="1"/>
  <c r="S68" i="41"/>
  <c r="F108" i="41" s="1"/>
  <c r="L68" i="41"/>
  <c r="F107" i="41" s="1"/>
  <c r="E68" i="41"/>
  <c r="F106" i="41" s="1"/>
  <c r="P66" i="41"/>
  <c r="I66" i="41"/>
  <c r="S62" i="41"/>
  <c r="N190" i="41" s="1"/>
  <c r="L62" i="41"/>
  <c r="N189" i="41" s="1"/>
  <c r="E62" i="41"/>
  <c r="N188" i="41" s="1"/>
  <c r="S61" i="41"/>
  <c r="N181" i="41" s="1"/>
  <c r="L61" i="41"/>
  <c r="N180" i="41" s="1"/>
  <c r="E61" i="41"/>
  <c r="N179" i="41" s="1"/>
  <c r="S60" i="41"/>
  <c r="N172" i="41" s="1"/>
  <c r="L60" i="41"/>
  <c r="N171" i="41" s="1"/>
  <c r="E60" i="41"/>
  <c r="N170" i="41" s="1"/>
  <c r="S59" i="41"/>
  <c r="N163" i="41" s="1"/>
  <c r="L59" i="41"/>
  <c r="N162" i="41" s="1"/>
  <c r="E59" i="41"/>
  <c r="N161" i="41" s="1"/>
  <c r="R58" i="41"/>
  <c r="Q58" i="41"/>
  <c r="K58" i="41"/>
  <c r="J58" i="41"/>
  <c r="D58" i="41"/>
  <c r="C58" i="41"/>
  <c r="B57" i="41"/>
  <c r="I57" i="41" s="1"/>
  <c r="P57" i="41" s="1"/>
  <c r="S56" i="41"/>
  <c r="F190" i="41" s="1"/>
  <c r="L56" i="41"/>
  <c r="F189" i="41" s="1"/>
  <c r="E56" i="41"/>
  <c r="F188" i="41" s="1"/>
  <c r="S55" i="41"/>
  <c r="F181" i="41" s="1"/>
  <c r="L55" i="41"/>
  <c r="F180" i="41" s="1"/>
  <c r="E55" i="41"/>
  <c r="F179" i="41" s="1"/>
  <c r="S54" i="41"/>
  <c r="F172" i="41" s="1"/>
  <c r="L54" i="41"/>
  <c r="F171" i="41" s="1"/>
  <c r="E54" i="41"/>
  <c r="F170" i="41" s="1"/>
  <c r="S53" i="41"/>
  <c r="F163" i="41" s="1"/>
  <c r="L53" i="41"/>
  <c r="F162" i="41" s="1"/>
  <c r="E53" i="41"/>
  <c r="F161" i="41" s="1"/>
  <c r="R52" i="41"/>
  <c r="Q52" i="41"/>
  <c r="K52" i="41"/>
  <c r="J52" i="41"/>
  <c r="D52" i="41"/>
  <c r="C52" i="41"/>
  <c r="B51" i="41"/>
  <c r="I51" i="41" s="1"/>
  <c r="P51" i="41" s="1"/>
  <c r="S50" i="41"/>
  <c r="N150" i="41" s="1"/>
  <c r="L50" i="41"/>
  <c r="N149" i="41" s="1"/>
  <c r="E50" i="41"/>
  <c r="N148" i="41" s="1"/>
  <c r="S49" i="41"/>
  <c r="N141" i="41" s="1"/>
  <c r="L49" i="41"/>
  <c r="N140" i="41" s="1"/>
  <c r="E49" i="41"/>
  <c r="N139" i="41" s="1"/>
  <c r="S48" i="41"/>
  <c r="N132" i="41" s="1"/>
  <c r="L48" i="41"/>
  <c r="N131" i="41" s="1"/>
  <c r="E48" i="41"/>
  <c r="N130" i="41" s="1"/>
  <c r="S47" i="41"/>
  <c r="N123" i="41" s="1"/>
  <c r="L47" i="41"/>
  <c r="N122" i="41" s="1"/>
  <c r="E47" i="41"/>
  <c r="N121" i="41" s="1"/>
  <c r="S46" i="41"/>
  <c r="N114" i="41" s="1"/>
  <c r="L46" i="41"/>
  <c r="N113" i="41" s="1"/>
  <c r="E46" i="41"/>
  <c r="N112" i="41" s="1"/>
  <c r="S45" i="41"/>
  <c r="N105" i="41" s="1"/>
  <c r="L45" i="41"/>
  <c r="N104" i="41" s="1"/>
  <c r="E45" i="41"/>
  <c r="N103" i="41" s="1"/>
  <c r="R44" i="41"/>
  <c r="Q44" i="41"/>
  <c r="K44" i="41"/>
  <c r="J44" i="41"/>
  <c r="D44" i="41"/>
  <c r="C44" i="41"/>
  <c r="B43" i="41"/>
  <c r="I43" i="41" s="1"/>
  <c r="P43" i="41" s="1"/>
  <c r="S42" i="41"/>
  <c r="F150" i="41" s="1"/>
  <c r="L42" i="41"/>
  <c r="F149" i="41" s="1"/>
  <c r="E42" i="41"/>
  <c r="F148" i="41" s="1"/>
  <c r="S41" i="41"/>
  <c r="F141" i="41" s="1"/>
  <c r="L41" i="41"/>
  <c r="F140" i="41" s="1"/>
  <c r="E41" i="41"/>
  <c r="F139" i="41" s="1"/>
  <c r="S40" i="41"/>
  <c r="F132" i="41" s="1"/>
  <c r="L40" i="41"/>
  <c r="F131" i="41" s="1"/>
  <c r="E40" i="41"/>
  <c r="F130" i="41" s="1"/>
  <c r="S39" i="41"/>
  <c r="F123" i="41" s="1"/>
  <c r="L39" i="41"/>
  <c r="F122" i="41" s="1"/>
  <c r="E39" i="41"/>
  <c r="F121" i="41" s="1"/>
  <c r="S38" i="41"/>
  <c r="F114" i="41" s="1"/>
  <c r="L38" i="41"/>
  <c r="F113" i="41" s="1"/>
  <c r="E38" i="41"/>
  <c r="F112" i="41" s="1"/>
  <c r="S37" i="41"/>
  <c r="F105" i="41" s="1"/>
  <c r="L37" i="41"/>
  <c r="F104" i="41" s="1"/>
  <c r="E37" i="41"/>
  <c r="F103" i="41" s="1"/>
  <c r="B35" i="41"/>
  <c r="I35" i="41" s="1"/>
  <c r="P35" i="41" s="1"/>
  <c r="S31" i="41"/>
  <c r="N187" i="41" s="1"/>
  <c r="L31" i="41"/>
  <c r="N186" i="41" s="1"/>
  <c r="E31" i="41"/>
  <c r="N185" i="41" s="1"/>
  <c r="S30" i="41"/>
  <c r="N178" i="41" s="1"/>
  <c r="L30" i="41"/>
  <c r="N177" i="41" s="1"/>
  <c r="E30" i="41"/>
  <c r="N176" i="41" s="1"/>
  <c r="S29" i="41"/>
  <c r="N169" i="41" s="1"/>
  <c r="L29" i="41"/>
  <c r="N168" i="41" s="1"/>
  <c r="E29" i="41"/>
  <c r="N167" i="41" s="1"/>
  <c r="S28" i="41"/>
  <c r="N160" i="41" s="1"/>
  <c r="L28" i="41"/>
  <c r="N159" i="41" s="1"/>
  <c r="E28" i="41"/>
  <c r="N158" i="41" s="1"/>
  <c r="R27" i="41"/>
  <c r="Q27" i="41"/>
  <c r="K27" i="41"/>
  <c r="J27" i="41"/>
  <c r="D27" i="41"/>
  <c r="C27" i="41"/>
  <c r="P26" i="41"/>
  <c r="I26" i="41"/>
  <c r="S25" i="41"/>
  <c r="F187" i="41" s="1"/>
  <c r="L25" i="41"/>
  <c r="F186" i="41" s="1"/>
  <c r="E25" i="41"/>
  <c r="F185" i="41" s="1"/>
  <c r="S24" i="41"/>
  <c r="F178" i="41" s="1"/>
  <c r="L24" i="41"/>
  <c r="F177" i="41" s="1"/>
  <c r="E24" i="41"/>
  <c r="F176" i="41" s="1"/>
  <c r="S23" i="41"/>
  <c r="F169" i="41" s="1"/>
  <c r="L23" i="41"/>
  <c r="F168" i="41" s="1"/>
  <c r="E23" i="41"/>
  <c r="F167" i="41" s="1"/>
  <c r="S22" i="41"/>
  <c r="F160" i="41" s="1"/>
  <c r="L22" i="41"/>
  <c r="F159" i="41" s="1"/>
  <c r="E22" i="41"/>
  <c r="F158" i="41" s="1"/>
  <c r="R21" i="41"/>
  <c r="Q21" i="41"/>
  <c r="K21" i="41"/>
  <c r="J21" i="41"/>
  <c r="P20" i="41"/>
  <c r="I20" i="41"/>
  <c r="S19" i="41"/>
  <c r="N147" i="41" s="1"/>
  <c r="L19" i="41"/>
  <c r="N146" i="41" s="1"/>
  <c r="E19" i="41"/>
  <c r="N145" i="41" s="1"/>
  <c r="S18" i="41"/>
  <c r="N138" i="41" s="1"/>
  <c r="L18" i="41"/>
  <c r="N137" i="41" s="1"/>
  <c r="E18" i="41"/>
  <c r="N136" i="41" s="1"/>
  <c r="S17" i="41"/>
  <c r="N129" i="41" s="1"/>
  <c r="L17" i="41"/>
  <c r="N128" i="41" s="1"/>
  <c r="E17" i="41"/>
  <c r="N127" i="41" s="1"/>
  <c r="S16" i="41"/>
  <c r="N120" i="41" s="1"/>
  <c r="L16" i="41"/>
  <c r="N119" i="41" s="1"/>
  <c r="E16" i="41"/>
  <c r="N118" i="41" s="1"/>
  <c r="S15" i="41"/>
  <c r="N111" i="41" s="1"/>
  <c r="L15" i="41"/>
  <c r="N110" i="41" s="1"/>
  <c r="E15" i="41"/>
  <c r="N109" i="41" s="1"/>
  <c r="S14" i="41"/>
  <c r="N102" i="41" s="1"/>
  <c r="L14" i="41"/>
  <c r="N101" i="41" s="1"/>
  <c r="E14" i="41"/>
  <c r="N100" i="41" s="1"/>
  <c r="R13" i="41"/>
  <c r="Q13" i="41"/>
  <c r="K13" i="41"/>
  <c r="J13" i="41"/>
  <c r="D13" i="41"/>
  <c r="C13" i="41"/>
  <c r="P12" i="41"/>
  <c r="I12" i="41"/>
  <c r="S11" i="41"/>
  <c r="F147" i="41" s="1"/>
  <c r="L11" i="41"/>
  <c r="F146" i="41" s="1"/>
  <c r="E11" i="41"/>
  <c r="F145" i="41" s="1"/>
  <c r="S10" i="41"/>
  <c r="F138" i="41" s="1"/>
  <c r="L10" i="41"/>
  <c r="F137" i="41" s="1"/>
  <c r="E10" i="41"/>
  <c r="F136" i="41" s="1"/>
  <c r="S9" i="41"/>
  <c r="F129" i="41" s="1"/>
  <c r="L9" i="41"/>
  <c r="F128" i="41" s="1"/>
  <c r="E9" i="41"/>
  <c r="F127" i="41" s="1"/>
  <c r="S8" i="41"/>
  <c r="F120" i="41" s="1"/>
  <c r="L8" i="41"/>
  <c r="F119" i="41" s="1"/>
  <c r="E8" i="41"/>
  <c r="F118" i="41" s="1"/>
  <c r="S7" i="41"/>
  <c r="F111" i="41" s="1"/>
  <c r="L7" i="41"/>
  <c r="F110" i="41" s="1"/>
  <c r="E7" i="41"/>
  <c r="F109" i="41" s="1"/>
  <c r="S6" i="41"/>
  <c r="F102" i="41" s="1"/>
  <c r="L6" i="41"/>
  <c r="F101" i="41" s="1"/>
  <c r="E6" i="41"/>
  <c r="F100" i="41" s="1"/>
  <c r="P4" i="41"/>
  <c r="I4" i="41"/>
  <c r="C198" i="41" l="1"/>
  <c r="C206" i="41" s="1"/>
  <c r="C214" i="41" s="1"/>
  <c r="C220" i="41" s="1"/>
  <c r="B198" i="41"/>
  <c r="B206" i="41" s="1"/>
  <c r="B214" i="41" s="1"/>
  <c r="B220" i="41" s="1"/>
  <c r="A244" i="41"/>
  <c r="M234" i="41" s="1"/>
  <c r="M244" i="41" s="1"/>
  <c r="A142" i="19" s="1"/>
  <c r="G197" i="41"/>
  <c r="G201" i="41"/>
  <c r="A195" i="41" l="1"/>
  <c r="D223" i="41" s="1"/>
  <c r="C209" i="41" l="1"/>
  <c r="D218" i="41"/>
  <c r="D210" i="41"/>
  <c r="D221" i="41"/>
  <c r="E202" i="41"/>
  <c r="D200" i="41"/>
  <c r="B212" i="41"/>
  <c r="A199" i="41"/>
  <c r="B201" i="41"/>
  <c r="C224" i="41"/>
  <c r="A201" i="41"/>
  <c r="B217" i="41"/>
  <c r="A210" i="41"/>
  <c r="C204" i="41"/>
  <c r="B207" i="41"/>
  <c r="B222" i="41"/>
  <c r="E201" i="41"/>
  <c r="C218" i="41"/>
  <c r="E210" i="41"/>
  <c r="A207" i="41"/>
  <c r="E215" i="41"/>
  <c r="B200" i="41"/>
  <c r="A204" i="41"/>
  <c r="D212" i="41"/>
  <c r="A223" i="41"/>
  <c r="B204" i="41"/>
  <c r="E212" i="41"/>
  <c r="B223" i="41"/>
  <c r="A209" i="41"/>
  <c r="A218" i="41"/>
  <c r="B202" i="41"/>
  <c r="C210" i="41"/>
  <c r="B218" i="41"/>
  <c r="D215" i="41"/>
  <c r="C223" i="41"/>
  <c r="A208" i="41"/>
  <c r="D216" i="41"/>
  <c r="E199" i="41"/>
  <c r="A202" i="41"/>
  <c r="E204" i="41"/>
  <c r="B215" i="41"/>
  <c r="E223" i="41"/>
  <c r="D207" i="41"/>
  <c r="C215" i="41"/>
  <c r="A224" i="41"/>
  <c r="E209" i="41"/>
  <c r="E218" i="41"/>
  <c r="A203" i="41"/>
  <c r="D211" i="41"/>
  <c r="B221" i="41"/>
  <c r="E200" i="41"/>
  <c r="A200" i="41"/>
  <c r="C199" i="41"/>
  <c r="C202" i="41"/>
  <c r="C207" i="41"/>
  <c r="A211" i="41"/>
  <c r="A216" i="41"/>
  <c r="C221" i="41"/>
  <c r="D224" i="41"/>
  <c r="D202" i="41"/>
  <c r="C208" i="41"/>
  <c r="B211" i="41"/>
  <c r="B216" i="41"/>
  <c r="A222" i="41"/>
  <c r="E224" i="41"/>
  <c r="E207" i="41"/>
  <c r="B210" i="41"/>
  <c r="C216" i="41"/>
  <c r="A221" i="41"/>
  <c r="B224" i="41"/>
  <c r="E203" i="41"/>
  <c r="E208" i="41"/>
  <c r="C212" i="41"/>
  <c r="A217" i="41"/>
  <c r="C222" i="41"/>
  <c r="C201" i="41"/>
  <c r="B199" i="41"/>
  <c r="C200" i="41"/>
  <c r="B203" i="41"/>
  <c r="B208" i="41"/>
  <c r="E211" i="41"/>
  <c r="E216" i="41"/>
  <c r="D222" i="41"/>
  <c r="D199" i="41"/>
  <c r="C203" i="41"/>
  <c r="D209" i="41"/>
  <c r="A212" i="41"/>
  <c r="C217" i="41"/>
  <c r="E222" i="41"/>
  <c r="D203" i="41"/>
  <c r="D208" i="41"/>
  <c r="C211" i="41"/>
  <c r="D217" i="41"/>
  <c r="E221" i="41"/>
  <c r="D201" i="41"/>
  <c r="D204" i="41"/>
  <c r="B209" i="41"/>
  <c r="A215" i="41"/>
  <c r="E217" i="41"/>
  <c r="H220" i="41"/>
  <c r="J210" i="41" l="1"/>
  <c r="J218" i="41"/>
  <c r="H198" i="41"/>
  <c r="J222" i="41"/>
  <c r="H196" i="41"/>
  <c r="J224" i="41"/>
  <c r="H216" i="41"/>
  <c r="H224" i="41"/>
  <c r="J228" i="41"/>
  <c r="H222" i="41"/>
  <c r="J220" i="41"/>
  <c r="H212" i="41"/>
  <c r="J206" i="41"/>
  <c r="J212" i="41"/>
  <c r="J204" i="41"/>
  <c r="J196" i="41"/>
  <c r="J230" i="41"/>
  <c r="H230" i="41"/>
  <c r="H228" i="41"/>
  <c r="H214" i="41"/>
  <c r="H210" i="41"/>
  <c r="J214" i="41"/>
  <c r="H226" i="41"/>
  <c r="H206" i="41"/>
  <c r="H208" i="41"/>
  <c r="J226" i="41"/>
  <c r="J208" i="41"/>
  <c r="H218" i="41"/>
  <c r="J216" i="41"/>
  <c r="J198" i="41"/>
  <c r="H204" i="41"/>
  <c r="H202" i="41"/>
  <c r="J200" i="41"/>
  <c r="H200" i="41"/>
  <c r="J202" i="41"/>
  <c r="I221" i="41" l="1"/>
  <c r="I225" i="41"/>
  <c r="I209" i="41"/>
  <c r="M201" i="41" s="1"/>
  <c r="I197" i="41"/>
  <c r="M198" i="41" s="1"/>
  <c r="N198" i="41" s="1"/>
  <c r="I217" i="41"/>
  <c r="I213" i="41"/>
  <c r="M202" i="41" s="1"/>
  <c r="I229" i="41"/>
  <c r="I205" i="41"/>
  <c r="M200" i="41" s="1"/>
  <c r="N200" i="41" s="1"/>
  <c r="H25" i="31" s="1"/>
  <c r="I201" i="41"/>
  <c r="M199" i="41" s="1"/>
  <c r="N199" i="41" s="1"/>
  <c r="H24" i="31" s="1"/>
  <c r="E16" i="31" l="1"/>
  <c r="E16" i="38"/>
  <c r="F16" i="38" s="1"/>
  <c r="N201" i="41"/>
  <c r="N202" i="41"/>
  <c r="K151" i="19" s="1"/>
  <c r="A5" i="38"/>
  <c r="A6" i="38"/>
  <c r="A8" i="38"/>
  <c r="A9" i="38"/>
  <c r="A10" i="38"/>
  <c r="A11" i="38"/>
  <c r="A4" i="38"/>
  <c r="P239" i="33"/>
  <c r="P238" i="33"/>
  <c r="P237" i="33"/>
  <c r="P236" i="33"/>
  <c r="P235" i="33"/>
  <c r="P234" i="33"/>
  <c r="P233" i="33"/>
  <c r="P217" i="33"/>
  <c r="P216" i="33"/>
  <c r="P215" i="33"/>
  <c r="P214" i="33"/>
  <c r="P213" i="33"/>
  <c r="P212" i="33"/>
  <c r="P211" i="33"/>
  <c r="K332" i="33"/>
  <c r="L332" i="33"/>
  <c r="J332" i="33"/>
  <c r="K331" i="33"/>
  <c r="L331" i="33"/>
  <c r="J331" i="33"/>
  <c r="K330" i="33"/>
  <c r="L330" i="33"/>
  <c r="J330" i="33"/>
  <c r="K329" i="33"/>
  <c r="L329" i="33"/>
  <c r="J329" i="33"/>
  <c r="K328" i="33"/>
  <c r="L328" i="33"/>
  <c r="J328" i="33"/>
  <c r="K327" i="33"/>
  <c r="L327" i="33"/>
  <c r="J327" i="33"/>
  <c r="K326" i="33"/>
  <c r="L326" i="33"/>
  <c r="J326" i="33"/>
  <c r="K313" i="33"/>
  <c r="L313" i="33"/>
  <c r="J313" i="33"/>
  <c r="K312" i="33"/>
  <c r="L312" i="33"/>
  <c r="J312" i="33"/>
  <c r="K311" i="33"/>
  <c r="L311" i="33"/>
  <c r="J311" i="33"/>
  <c r="K310" i="33"/>
  <c r="L310" i="33"/>
  <c r="J310" i="33"/>
  <c r="K309" i="33"/>
  <c r="L309" i="33"/>
  <c r="J309" i="33"/>
  <c r="K308" i="33"/>
  <c r="L308" i="33"/>
  <c r="J308" i="33"/>
  <c r="K307" i="33"/>
  <c r="L307" i="33"/>
  <c r="J307" i="33"/>
  <c r="K294" i="33"/>
  <c r="L294" i="33"/>
  <c r="J294" i="33"/>
  <c r="K293" i="33"/>
  <c r="L293" i="33"/>
  <c r="J293" i="33"/>
  <c r="K292" i="33"/>
  <c r="L292" i="33"/>
  <c r="J292" i="33"/>
  <c r="K291" i="33"/>
  <c r="L291" i="33"/>
  <c r="J291" i="33"/>
  <c r="K290" i="33"/>
  <c r="L290" i="33"/>
  <c r="J290" i="33"/>
  <c r="K289" i="33"/>
  <c r="L289" i="33"/>
  <c r="J289" i="33"/>
  <c r="K288" i="33"/>
  <c r="L288" i="33"/>
  <c r="J288" i="33"/>
  <c r="K275" i="33"/>
  <c r="L275" i="33"/>
  <c r="J275" i="33"/>
  <c r="K274" i="33"/>
  <c r="L274" i="33"/>
  <c r="J274" i="33"/>
  <c r="K273" i="33"/>
  <c r="L273" i="33"/>
  <c r="J273" i="33"/>
  <c r="K272" i="33"/>
  <c r="L272" i="33"/>
  <c r="J272" i="33"/>
  <c r="K271" i="33"/>
  <c r="L271" i="33"/>
  <c r="J271" i="33"/>
  <c r="K270" i="33"/>
  <c r="L270" i="33"/>
  <c r="J270" i="33"/>
  <c r="K269" i="33"/>
  <c r="L269" i="33"/>
  <c r="J269" i="33"/>
  <c r="K256" i="33"/>
  <c r="L256" i="33"/>
  <c r="J256" i="33"/>
  <c r="K255" i="33"/>
  <c r="L255" i="33"/>
  <c r="J255" i="33"/>
  <c r="K254" i="33"/>
  <c r="L254" i="33"/>
  <c r="J254" i="33"/>
  <c r="K253" i="33"/>
  <c r="L253" i="33"/>
  <c r="J253" i="33"/>
  <c r="K252" i="33"/>
  <c r="L252" i="33"/>
  <c r="J252" i="33"/>
  <c r="K251" i="33"/>
  <c r="L251" i="33"/>
  <c r="J251" i="33"/>
  <c r="K250" i="33"/>
  <c r="L250" i="33"/>
  <c r="J250" i="33"/>
  <c r="K237" i="33"/>
  <c r="L237" i="33"/>
  <c r="J237" i="33"/>
  <c r="K236" i="33"/>
  <c r="L236" i="33"/>
  <c r="J236" i="33"/>
  <c r="K235" i="33"/>
  <c r="L235" i="33"/>
  <c r="J235" i="33"/>
  <c r="K234" i="33"/>
  <c r="L234" i="33"/>
  <c r="J234" i="33"/>
  <c r="K233" i="33"/>
  <c r="L233" i="33"/>
  <c r="J233" i="33"/>
  <c r="K232" i="33"/>
  <c r="L232" i="33"/>
  <c r="J232" i="33"/>
  <c r="K231" i="33"/>
  <c r="L231" i="33"/>
  <c r="J231" i="33"/>
  <c r="K218" i="33"/>
  <c r="L218" i="33"/>
  <c r="J218" i="33"/>
  <c r="K217" i="33"/>
  <c r="L217" i="33"/>
  <c r="J217" i="33"/>
  <c r="K216" i="33"/>
  <c r="L216" i="33"/>
  <c r="J216" i="33"/>
  <c r="K215" i="33"/>
  <c r="L215" i="33"/>
  <c r="J215" i="33"/>
  <c r="K214" i="33"/>
  <c r="L214" i="33"/>
  <c r="J214" i="33"/>
  <c r="K213" i="33"/>
  <c r="L213" i="33"/>
  <c r="J213" i="33"/>
  <c r="K212" i="33"/>
  <c r="L212" i="33"/>
  <c r="J212" i="33"/>
  <c r="D332" i="33"/>
  <c r="E332" i="33"/>
  <c r="C332" i="33"/>
  <c r="D331" i="33"/>
  <c r="E331" i="33"/>
  <c r="C331" i="33"/>
  <c r="D330" i="33"/>
  <c r="E330" i="33"/>
  <c r="C330" i="33"/>
  <c r="D329" i="33"/>
  <c r="E329" i="33"/>
  <c r="C329" i="33"/>
  <c r="D328" i="33"/>
  <c r="E328" i="33"/>
  <c r="C328" i="33"/>
  <c r="D327" i="33"/>
  <c r="E327" i="33"/>
  <c r="C327" i="33"/>
  <c r="D326" i="33"/>
  <c r="E326" i="33"/>
  <c r="C326" i="33"/>
  <c r="D313" i="33"/>
  <c r="E313" i="33"/>
  <c r="C313" i="33"/>
  <c r="D311" i="33"/>
  <c r="E311" i="33"/>
  <c r="C311" i="33"/>
  <c r="D312" i="33"/>
  <c r="E312" i="33"/>
  <c r="C312" i="33"/>
  <c r="D310" i="33"/>
  <c r="E310" i="33"/>
  <c r="C310" i="33"/>
  <c r="D309" i="33"/>
  <c r="E309" i="33"/>
  <c r="C309" i="33"/>
  <c r="D308" i="33"/>
  <c r="E308" i="33"/>
  <c r="C308" i="33"/>
  <c r="D307" i="33"/>
  <c r="E307" i="33"/>
  <c r="C307" i="33"/>
  <c r="D294" i="33"/>
  <c r="E294" i="33"/>
  <c r="C294" i="33"/>
  <c r="D293" i="33"/>
  <c r="E293" i="33"/>
  <c r="C293" i="33"/>
  <c r="D292" i="33"/>
  <c r="E292" i="33"/>
  <c r="C292" i="33"/>
  <c r="D291" i="33"/>
  <c r="E291" i="33"/>
  <c r="C291" i="33"/>
  <c r="D290" i="33"/>
  <c r="E290" i="33"/>
  <c r="C290" i="33"/>
  <c r="D289" i="33"/>
  <c r="E289" i="33"/>
  <c r="C289" i="33"/>
  <c r="D288" i="33"/>
  <c r="E288" i="33"/>
  <c r="C288" i="33"/>
  <c r="D275" i="33"/>
  <c r="E275" i="33"/>
  <c r="C275" i="33"/>
  <c r="D274" i="33"/>
  <c r="E274" i="33"/>
  <c r="C274" i="33"/>
  <c r="D273" i="33"/>
  <c r="E273" i="33"/>
  <c r="C273" i="33"/>
  <c r="D272" i="33"/>
  <c r="E272" i="33"/>
  <c r="C272" i="33"/>
  <c r="D271" i="33"/>
  <c r="E271" i="33"/>
  <c r="C271" i="33"/>
  <c r="D270" i="33"/>
  <c r="E270" i="33"/>
  <c r="C270" i="33"/>
  <c r="D269" i="33"/>
  <c r="E269" i="33"/>
  <c r="C269" i="33"/>
  <c r="D256" i="33"/>
  <c r="E256" i="33"/>
  <c r="C256" i="33"/>
  <c r="D255" i="33"/>
  <c r="E255" i="33"/>
  <c r="C255" i="33"/>
  <c r="D254" i="33"/>
  <c r="E254" i="33"/>
  <c r="C254" i="33"/>
  <c r="D253" i="33"/>
  <c r="E253" i="33"/>
  <c r="C253" i="33"/>
  <c r="D252" i="33"/>
  <c r="E252" i="33"/>
  <c r="C252" i="33"/>
  <c r="D251" i="33"/>
  <c r="E251" i="33"/>
  <c r="C251" i="33"/>
  <c r="D250" i="33"/>
  <c r="E250" i="33"/>
  <c r="C250" i="33"/>
  <c r="D237" i="33"/>
  <c r="E237" i="33"/>
  <c r="C237" i="33"/>
  <c r="D236" i="33"/>
  <c r="E236" i="33"/>
  <c r="C236" i="33"/>
  <c r="D235" i="33"/>
  <c r="E235" i="33"/>
  <c r="C235" i="33"/>
  <c r="D234" i="33"/>
  <c r="E234" i="33"/>
  <c r="C234" i="33"/>
  <c r="D233" i="33"/>
  <c r="E233" i="33"/>
  <c r="C233" i="33"/>
  <c r="D232" i="33"/>
  <c r="E232" i="33"/>
  <c r="C232" i="33"/>
  <c r="D231" i="33"/>
  <c r="E231" i="33"/>
  <c r="C231" i="33"/>
  <c r="D218" i="33"/>
  <c r="E218" i="33"/>
  <c r="C218" i="33"/>
  <c r="D217" i="33"/>
  <c r="E217" i="33"/>
  <c r="C217" i="33"/>
  <c r="D216" i="33"/>
  <c r="E216" i="33"/>
  <c r="C216" i="33"/>
  <c r="D215" i="33"/>
  <c r="E215" i="33"/>
  <c r="C215" i="33"/>
  <c r="D214" i="33"/>
  <c r="E214" i="33"/>
  <c r="C214" i="33"/>
  <c r="D213" i="33"/>
  <c r="E213" i="33"/>
  <c r="C213" i="33"/>
  <c r="D212" i="33"/>
  <c r="E212" i="33"/>
  <c r="C212" i="33"/>
  <c r="H187" i="33"/>
  <c r="H167" i="33"/>
  <c r="H156" i="33"/>
  <c r="H145" i="33"/>
  <c r="H134" i="33"/>
  <c r="P231" i="33"/>
  <c r="L186" i="33"/>
  <c r="M331" i="33" s="1"/>
  <c r="F186" i="33"/>
  <c r="F331" i="33" s="1"/>
  <c r="L185" i="33"/>
  <c r="M312" i="33" s="1"/>
  <c r="F185" i="33"/>
  <c r="F312" i="33" s="1"/>
  <c r="L184" i="33"/>
  <c r="M293" i="33" s="1"/>
  <c r="F184" i="33"/>
  <c r="F293" i="33" s="1"/>
  <c r="L183" i="33"/>
  <c r="M274" i="33" s="1"/>
  <c r="F183" i="33"/>
  <c r="F274" i="33" s="1"/>
  <c r="L182" i="33"/>
  <c r="M255" i="33" s="1"/>
  <c r="F182" i="33"/>
  <c r="F255" i="33" s="1"/>
  <c r="L181" i="33"/>
  <c r="M236" i="33" s="1"/>
  <c r="F181" i="33"/>
  <c r="F236" i="33" s="1"/>
  <c r="L180" i="33"/>
  <c r="M217" i="33" s="1"/>
  <c r="F180" i="33"/>
  <c r="F217" i="33" s="1"/>
  <c r="K179" i="33"/>
  <c r="J179" i="33"/>
  <c r="L196" i="33"/>
  <c r="M332" i="33" s="1"/>
  <c r="F196" i="33"/>
  <c r="F332" i="33" s="1"/>
  <c r="L195" i="33"/>
  <c r="M313" i="33" s="1"/>
  <c r="F195" i="33"/>
  <c r="F313" i="33" s="1"/>
  <c r="L194" i="33"/>
  <c r="M294" i="33" s="1"/>
  <c r="F194" i="33"/>
  <c r="F294" i="33" s="1"/>
  <c r="L193" i="33"/>
  <c r="M275" i="33" s="1"/>
  <c r="F193" i="33"/>
  <c r="F275" i="33" s="1"/>
  <c r="L192" i="33"/>
  <c r="M256" i="33" s="1"/>
  <c r="F192" i="33"/>
  <c r="F256" i="33" s="1"/>
  <c r="L191" i="33"/>
  <c r="M237" i="33" s="1"/>
  <c r="F191" i="33"/>
  <c r="F237" i="33" s="1"/>
  <c r="L190" i="33"/>
  <c r="M218" i="33" s="1"/>
  <c r="F190" i="33"/>
  <c r="F218" i="33" s="1"/>
  <c r="K189" i="33"/>
  <c r="J189" i="33"/>
  <c r="L176" i="33"/>
  <c r="M330" i="33" s="1"/>
  <c r="F176" i="33"/>
  <c r="F330" i="33" s="1"/>
  <c r="L175" i="33"/>
  <c r="M311" i="33" s="1"/>
  <c r="F175" i="33"/>
  <c r="F311" i="33" s="1"/>
  <c r="L174" i="33"/>
  <c r="M292" i="33" s="1"/>
  <c r="F174" i="33"/>
  <c r="F292" i="33" s="1"/>
  <c r="L173" i="33"/>
  <c r="M273" i="33" s="1"/>
  <c r="F173" i="33"/>
  <c r="F273" i="33" s="1"/>
  <c r="L172" i="33"/>
  <c r="M254" i="33" s="1"/>
  <c r="F172" i="33"/>
  <c r="F254" i="33" s="1"/>
  <c r="L171" i="33"/>
  <c r="M235" i="33" s="1"/>
  <c r="F171" i="33"/>
  <c r="F235" i="33" s="1"/>
  <c r="L170" i="33"/>
  <c r="M216" i="33" s="1"/>
  <c r="F170" i="33"/>
  <c r="F216" i="33" s="1"/>
  <c r="K169" i="33"/>
  <c r="J169" i="33"/>
  <c r="L165" i="33"/>
  <c r="M329" i="33" s="1"/>
  <c r="F165" i="33"/>
  <c r="F329" i="33" s="1"/>
  <c r="L164" i="33"/>
  <c r="M310" i="33" s="1"/>
  <c r="F164" i="33"/>
  <c r="F310" i="33" s="1"/>
  <c r="L163" i="33"/>
  <c r="M291" i="33" s="1"/>
  <c r="F163" i="33"/>
  <c r="F291" i="33" s="1"/>
  <c r="L162" i="33"/>
  <c r="M272" i="33" s="1"/>
  <c r="F162" i="33"/>
  <c r="F272" i="33" s="1"/>
  <c r="L161" i="33"/>
  <c r="M253" i="33" s="1"/>
  <c r="F161" i="33"/>
  <c r="F253" i="33" s="1"/>
  <c r="L160" i="33"/>
  <c r="M234" i="33" s="1"/>
  <c r="F160" i="33"/>
  <c r="F234" i="33" s="1"/>
  <c r="L159" i="33"/>
  <c r="M215" i="33" s="1"/>
  <c r="F159" i="33"/>
  <c r="F215" i="33" s="1"/>
  <c r="K158" i="33"/>
  <c r="J158" i="33"/>
  <c r="L154" i="33"/>
  <c r="M328" i="33" s="1"/>
  <c r="F154" i="33"/>
  <c r="F328" i="33" s="1"/>
  <c r="L153" i="33"/>
  <c r="M309" i="33" s="1"/>
  <c r="F153" i="33"/>
  <c r="F309" i="33" s="1"/>
  <c r="L152" i="33"/>
  <c r="M290" i="33" s="1"/>
  <c r="F152" i="33"/>
  <c r="F290" i="33" s="1"/>
  <c r="L151" i="33"/>
  <c r="M271" i="33" s="1"/>
  <c r="F151" i="33"/>
  <c r="F271" i="33" s="1"/>
  <c r="L150" i="33"/>
  <c r="M252" i="33" s="1"/>
  <c r="F150" i="33"/>
  <c r="F252" i="33" s="1"/>
  <c r="L149" i="33"/>
  <c r="M233" i="33" s="1"/>
  <c r="F149" i="33"/>
  <c r="F233" i="33" s="1"/>
  <c r="L148" i="33"/>
  <c r="M214" i="33" s="1"/>
  <c r="F148" i="33"/>
  <c r="F214" i="33" s="1"/>
  <c r="K147" i="33"/>
  <c r="J147" i="33"/>
  <c r="L143" i="33"/>
  <c r="M327" i="33" s="1"/>
  <c r="F143" i="33"/>
  <c r="F327" i="33" s="1"/>
  <c r="L142" i="33"/>
  <c r="M308" i="33" s="1"/>
  <c r="F142" i="33"/>
  <c r="F308" i="33" s="1"/>
  <c r="L141" i="33"/>
  <c r="M289" i="33" s="1"/>
  <c r="F141" i="33"/>
  <c r="F289" i="33" s="1"/>
  <c r="L140" i="33"/>
  <c r="M270" i="33" s="1"/>
  <c r="F140" i="33"/>
  <c r="F270" i="33" s="1"/>
  <c r="L139" i="33"/>
  <c r="M251" i="33" s="1"/>
  <c r="F139" i="33"/>
  <c r="F251" i="33" s="1"/>
  <c r="L138" i="33"/>
  <c r="M232" i="33" s="1"/>
  <c r="F138" i="33"/>
  <c r="F232" i="33" s="1"/>
  <c r="L137" i="33"/>
  <c r="M213" i="33" s="1"/>
  <c r="F137" i="33"/>
  <c r="F213" i="33" s="1"/>
  <c r="K136" i="33"/>
  <c r="J136" i="33"/>
  <c r="H26" i="31" l="1"/>
  <c r="K153" i="19"/>
  <c r="E318" i="29"/>
  <c r="F318" i="29" s="1"/>
  <c r="E307" i="29"/>
  <c r="F307" i="29" s="1"/>
  <c r="L10" i="19" l="1"/>
  <c r="K152" i="19" s="1"/>
  <c r="K154" i="19" l="1"/>
  <c r="H145" i="38"/>
  <c r="B142" i="31"/>
  <c r="B144" i="38" s="1"/>
  <c r="E84" i="39" l="1"/>
  <c r="E82" i="39"/>
  <c r="E73" i="39"/>
  <c r="E71" i="39"/>
  <c r="E62" i="39"/>
  <c r="E60" i="39"/>
  <c r="E51" i="39"/>
  <c r="E49" i="39"/>
  <c r="E40" i="39"/>
  <c r="E38" i="39"/>
  <c r="E29" i="39"/>
  <c r="E27" i="39"/>
  <c r="E18" i="39"/>
  <c r="E16" i="39"/>
  <c r="E7" i="39"/>
  <c r="E5" i="39"/>
  <c r="F84" i="39" l="1"/>
  <c r="I84" i="39" s="1"/>
  <c r="J84" i="39" s="1"/>
  <c r="K84" i="39" s="1"/>
  <c r="F73" i="39"/>
  <c r="I73" i="39" s="1"/>
  <c r="J73" i="39" s="1"/>
  <c r="K73" i="39" s="1"/>
  <c r="F62" i="39"/>
  <c r="I62" i="39" s="1"/>
  <c r="J62" i="39" s="1"/>
  <c r="K62" i="39" s="1"/>
  <c r="F51" i="39"/>
  <c r="I51" i="39" s="1"/>
  <c r="J51" i="39" s="1"/>
  <c r="K51" i="39" s="1"/>
  <c r="F40" i="39"/>
  <c r="I40" i="39" s="1"/>
  <c r="J40" i="39" s="1"/>
  <c r="K40" i="39" s="1"/>
  <c r="F29" i="39"/>
  <c r="I29" i="39" s="1"/>
  <c r="J29" i="39" s="1"/>
  <c r="K29" i="39" s="1"/>
  <c r="F18" i="39"/>
  <c r="I18" i="39" s="1"/>
  <c r="J18" i="39" s="1"/>
  <c r="K18" i="39" s="1"/>
  <c r="F7" i="39"/>
  <c r="I7" i="39" s="1"/>
  <c r="J7" i="39" s="1"/>
  <c r="K7" i="39" s="1"/>
  <c r="H124" i="38"/>
  <c r="H78" i="38"/>
  <c r="B92" i="38" l="1"/>
  <c r="B29" i="31"/>
  <c r="A1" i="38" l="1"/>
  <c r="J147" i="38"/>
  <c r="J126" i="38"/>
  <c r="D92" i="38"/>
  <c r="J80" i="38"/>
  <c r="D29" i="38"/>
  <c r="B29" i="38"/>
  <c r="C26" i="38"/>
  <c r="J25" i="38"/>
  <c r="J24" i="38"/>
  <c r="I145" i="31" l="1"/>
  <c r="I121" i="31"/>
  <c r="E121" i="31"/>
  <c r="E122" i="31"/>
  <c r="E123" i="31"/>
  <c r="E124" i="31"/>
  <c r="E125" i="31"/>
  <c r="E126" i="31"/>
  <c r="E127" i="31"/>
  <c r="E128" i="31"/>
  <c r="E129" i="31"/>
  <c r="E130" i="31"/>
  <c r="E131" i="31"/>
  <c r="E145" i="31"/>
  <c r="E146" i="31"/>
  <c r="E147" i="31"/>
  <c r="E148" i="31"/>
  <c r="E149" i="31"/>
  <c r="E150" i="31"/>
  <c r="E151" i="31"/>
  <c r="E152" i="31"/>
  <c r="D122" i="31"/>
  <c r="D123" i="31"/>
  <c r="D124" i="31"/>
  <c r="D125" i="31"/>
  <c r="D126" i="31"/>
  <c r="D127" i="31"/>
  <c r="D128" i="31"/>
  <c r="D129" i="31"/>
  <c r="D130" i="31"/>
  <c r="D131" i="31"/>
  <c r="D145" i="31"/>
  <c r="D146" i="31"/>
  <c r="D147" i="31"/>
  <c r="D148" i="31"/>
  <c r="D149" i="31"/>
  <c r="D150" i="31"/>
  <c r="D151" i="31"/>
  <c r="D152" i="31"/>
  <c r="D121" i="31"/>
  <c r="H107" i="31"/>
  <c r="H108" i="31"/>
  <c r="H109" i="31"/>
  <c r="H110" i="31"/>
  <c r="H111" i="31"/>
  <c r="H112" i="31"/>
  <c r="H113" i="31"/>
  <c r="H114" i="31"/>
  <c r="H115" i="31"/>
  <c r="H116" i="31"/>
  <c r="H106" i="31"/>
  <c r="E106" i="31"/>
  <c r="E111" i="38" s="1"/>
  <c r="E107" i="31"/>
  <c r="E112" i="38" s="1"/>
  <c r="E108" i="31"/>
  <c r="E113" i="38" s="1"/>
  <c r="E109" i="31"/>
  <c r="E114" i="38" s="1"/>
  <c r="E110" i="31"/>
  <c r="E115" i="38" s="1"/>
  <c r="E111" i="31"/>
  <c r="E116" i="38" s="1"/>
  <c r="E112" i="31"/>
  <c r="E117" i="38" s="1"/>
  <c r="E113" i="31"/>
  <c r="E118" i="38" s="1"/>
  <c r="E114" i="31"/>
  <c r="E119" i="38" s="1"/>
  <c r="E115" i="31"/>
  <c r="E120" i="38" s="1"/>
  <c r="E116" i="31"/>
  <c r="E121" i="38" s="1"/>
  <c r="D107" i="31"/>
  <c r="D112" i="38" s="1"/>
  <c r="D108" i="31"/>
  <c r="D113" i="38" s="1"/>
  <c r="D109" i="31"/>
  <c r="D114" i="38" s="1"/>
  <c r="D110" i="31"/>
  <c r="D115" i="38" s="1"/>
  <c r="D111" i="31"/>
  <c r="D116" i="38" s="1"/>
  <c r="D112" i="31"/>
  <c r="D117" i="38" s="1"/>
  <c r="D113" i="31"/>
  <c r="D118" i="38" s="1"/>
  <c r="D114" i="31"/>
  <c r="D119" i="38" s="1"/>
  <c r="D115" i="31"/>
  <c r="D120" i="38" s="1"/>
  <c r="D116" i="31"/>
  <c r="D121" i="38" s="1"/>
  <c r="D106" i="31"/>
  <c r="D111" i="38" s="1"/>
  <c r="H100" i="31"/>
  <c r="H91" i="31"/>
  <c r="E92" i="31"/>
  <c r="E93" i="31"/>
  <c r="E94" i="31"/>
  <c r="E95" i="31"/>
  <c r="E96" i="31"/>
  <c r="E97" i="31"/>
  <c r="E98" i="31"/>
  <c r="E99" i="31"/>
  <c r="E100" i="31"/>
  <c r="E101" i="31"/>
  <c r="E91" i="31"/>
  <c r="D92" i="31"/>
  <c r="D97" i="38" s="1"/>
  <c r="D93" i="31"/>
  <c r="D98" i="38" s="1"/>
  <c r="D94" i="31"/>
  <c r="D99" i="38" s="1"/>
  <c r="D95" i="31"/>
  <c r="D100" i="38" s="1"/>
  <c r="D96" i="31"/>
  <c r="D101" i="38" s="1"/>
  <c r="D97" i="31"/>
  <c r="D102" i="38" s="1"/>
  <c r="D98" i="31"/>
  <c r="D103" i="38" s="1"/>
  <c r="D99" i="31"/>
  <c r="D104" i="38" s="1"/>
  <c r="D100" i="31"/>
  <c r="D105" i="38" s="1"/>
  <c r="D101" i="31"/>
  <c r="D106" i="38" s="1"/>
  <c r="D91" i="31"/>
  <c r="D96" i="38" s="1"/>
  <c r="I75" i="31"/>
  <c r="E75" i="31"/>
  <c r="E76" i="31"/>
  <c r="E77" i="31"/>
  <c r="E78" i="31"/>
  <c r="E79" i="31"/>
  <c r="E80" i="31"/>
  <c r="E81" i="31"/>
  <c r="E82" i="31"/>
  <c r="E83" i="31"/>
  <c r="E84" i="31"/>
  <c r="E85" i="31"/>
  <c r="D76" i="31"/>
  <c r="D77" i="31"/>
  <c r="D78" i="31"/>
  <c r="D79" i="31"/>
  <c r="D80" i="31"/>
  <c r="D81" i="31"/>
  <c r="D82" i="31"/>
  <c r="D83" i="31"/>
  <c r="D84" i="31"/>
  <c r="D85" i="31"/>
  <c r="D75" i="31"/>
  <c r="H49" i="31"/>
  <c r="H50" i="31"/>
  <c r="H51" i="31"/>
  <c r="H52" i="31"/>
  <c r="H53" i="31"/>
  <c r="H54" i="31"/>
  <c r="H55" i="31"/>
  <c r="H56" i="31"/>
  <c r="H57" i="31"/>
  <c r="H58" i="31"/>
  <c r="H48" i="31"/>
  <c r="D87" i="38" l="1"/>
  <c r="P82" i="31"/>
  <c r="O82" i="31"/>
  <c r="D126" i="38"/>
  <c r="P121" i="31"/>
  <c r="O121" i="31"/>
  <c r="D151" i="38"/>
  <c r="P149" i="31"/>
  <c r="O149" i="31"/>
  <c r="D147" i="38"/>
  <c r="O145" i="31"/>
  <c r="P145" i="31"/>
  <c r="D133" i="38"/>
  <c r="P128" i="31"/>
  <c r="O128" i="31"/>
  <c r="D129" i="38"/>
  <c r="P124" i="31"/>
  <c r="O124" i="31"/>
  <c r="D90" i="38"/>
  <c r="P85" i="31"/>
  <c r="O85" i="31"/>
  <c r="D86" i="38"/>
  <c r="P81" i="31"/>
  <c r="O81" i="31"/>
  <c r="D82" i="38"/>
  <c r="P77" i="31"/>
  <c r="O77" i="31"/>
  <c r="D154" i="38"/>
  <c r="P152" i="31"/>
  <c r="O152" i="31"/>
  <c r="D150" i="38"/>
  <c r="P148" i="31"/>
  <c r="O148" i="31"/>
  <c r="D136" i="38"/>
  <c r="P131" i="31"/>
  <c r="O131" i="31"/>
  <c r="D132" i="38"/>
  <c r="O127" i="31"/>
  <c r="P127" i="31"/>
  <c r="D128" i="38"/>
  <c r="O123" i="31"/>
  <c r="P123" i="31"/>
  <c r="D153" i="38"/>
  <c r="O151" i="31"/>
  <c r="P151" i="31"/>
  <c r="D149" i="38"/>
  <c r="P147" i="31"/>
  <c r="O147" i="31"/>
  <c r="D135" i="38"/>
  <c r="P130" i="31"/>
  <c r="O130" i="31"/>
  <c r="D131" i="38"/>
  <c r="P126" i="31"/>
  <c r="O126" i="31"/>
  <c r="D127" i="38"/>
  <c r="P122" i="31"/>
  <c r="O122" i="31"/>
  <c r="D80" i="38"/>
  <c r="P75" i="31"/>
  <c r="O75" i="31"/>
  <c r="D83" i="38"/>
  <c r="O78" i="31"/>
  <c r="P78" i="31"/>
  <c r="D89" i="38"/>
  <c r="P84" i="31"/>
  <c r="O84" i="31"/>
  <c r="D85" i="38"/>
  <c r="P80" i="31"/>
  <c r="O80" i="31"/>
  <c r="D81" i="38"/>
  <c r="P76" i="31"/>
  <c r="O76" i="31"/>
  <c r="D88" i="38"/>
  <c r="P83" i="31"/>
  <c r="O83" i="31"/>
  <c r="D84" i="38"/>
  <c r="P79" i="31"/>
  <c r="O79" i="31"/>
  <c r="D152" i="38"/>
  <c r="P150" i="31"/>
  <c r="O150" i="31"/>
  <c r="D148" i="38"/>
  <c r="P146" i="31"/>
  <c r="O146" i="31"/>
  <c r="D134" i="38"/>
  <c r="P129" i="31"/>
  <c r="O129" i="31"/>
  <c r="D130" i="38"/>
  <c r="P125" i="31"/>
  <c r="O125" i="31"/>
  <c r="E105" i="38"/>
  <c r="O100" i="31"/>
  <c r="P100" i="31"/>
  <c r="E153" i="38"/>
  <c r="E149" i="38"/>
  <c r="E135" i="38"/>
  <c r="E87" i="38"/>
  <c r="E83" i="38"/>
  <c r="E104" i="38"/>
  <c r="P99" i="31"/>
  <c r="O99" i="31"/>
  <c r="E100" i="38"/>
  <c r="P95" i="31"/>
  <c r="O95" i="31"/>
  <c r="E152" i="38"/>
  <c r="E148" i="38"/>
  <c r="E134" i="38"/>
  <c r="E130" i="38"/>
  <c r="E126" i="38"/>
  <c r="E88" i="38"/>
  <c r="E80" i="38"/>
  <c r="E101" i="38"/>
  <c r="O96" i="31"/>
  <c r="P96" i="31"/>
  <c r="E127" i="38"/>
  <c r="E90" i="38"/>
  <c r="E86" i="38"/>
  <c r="E82" i="38"/>
  <c r="E96" i="38"/>
  <c r="P91" i="31"/>
  <c r="O91" i="31"/>
  <c r="E103" i="38"/>
  <c r="O98" i="31"/>
  <c r="P98" i="31"/>
  <c r="E99" i="38"/>
  <c r="O94" i="31"/>
  <c r="P94" i="31"/>
  <c r="E151" i="38"/>
  <c r="E147" i="38"/>
  <c r="E133" i="38"/>
  <c r="E129" i="38"/>
  <c r="E84" i="38"/>
  <c r="E97" i="38"/>
  <c r="O92" i="31"/>
  <c r="P92" i="31"/>
  <c r="E131" i="38"/>
  <c r="E89" i="38"/>
  <c r="E85" i="38"/>
  <c r="E81" i="38"/>
  <c r="E106" i="38"/>
  <c r="O101" i="31"/>
  <c r="P101" i="31"/>
  <c r="E102" i="38"/>
  <c r="O97" i="31"/>
  <c r="P97" i="31"/>
  <c r="E98" i="38"/>
  <c r="O93" i="31"/>
  <c r="P93" i="31"/>
  <c r="E154" i="38"/>
  <c r="E150" i="38"/>
  <c r="E136" i="38"/>
  <c r="E132" i="38"/>
  <c r="E128" i="38"/>
  <c r="H42" i="31"/>
  <c r="H33" i="31"/>
  <c r="I25" i="31"/>
  <c r="I24" i="31"/>
  <c r="C184" i="31"/>
  <c r="B161" i="31"/>
  <c r="B162" i="38" s="1"/>
  <c r="B162" i="31"/>
  <c r="B163" i="38" s="1"/>
  <c r="C26" i="31"/>
  <c r="R26" i="31" s="1"/>
  <c r="I27" i="19" l="1"/>
  <c r="A151" i="36"/>
  <c r="A152" i="36"/>
  <c r="A153" i="36"/>
  <c r="A154" i="36"/>
  <c r="A155" i="36"/>
  <c r="A156" i="36"/>
  <c r="A157" i="36"/>
  <c r="A158" i="36"/>
  <c r="A159" i="36"/>
  <c r="A160" i="36"/>
  <c r="A150" i="36"/>
  <c r="A137" i="36"/>
  <c r="A138" i="36"/>
  <c r="A139" i="36"/>
  <c r="A140" i="36"/>
  <c r="A141" i="36"/>
  <c r="A142" i="36"/>
  <c r="A143" i="36"/>
  <c r="A144" i="36"/>
  <c r="A145" i="36"/>
  <c r="A146" i="36"/>
  <c r="A136" i="36"/>
  <c r="E494" i="37"/>
  <c r="E492" i="37"/>
  <c r="E483" i="37"/>
  <c r="E481" i="37"/>
  <c r="E472" i="37"/>
  <c r="E470" i="37"/>
  <c r="E461" i="37"/>
  <c r="E459" i="37"/>
  <c r="E450" i="37"/>
  <c r="E448" i="37"/>
  <c r="E439" i="37"/>
  <c r="E437" i="37"/>
  <c r="E428" i="37"/>
  <c r="E426" i="37"/>
  <c r="E417" i="37"/>
  <c r="E415" i="37"/>
  <c r="E406" i="37"/>
  <c r="E404" i="37"/>
  <c r="E395" i="37"/>
  <c r="E393" i="37"/>
  <c r="E384" i="37"/>
  <c r="E382" i="37"/>
  <c r="E373" i="37"/>
  <c r="E371" i="37"/>
  <c r="E362" i="37"/>
  <c r="E360" i="37"/>
  <c r="E351" i="37"/>
  <c r="E349" i="37"/>
  <c r="E340" i="37"/>
  <c r="E338" i="37"/>
  <c r="E329" i="37"/>
  <c r="E327" i="37"/>
  <c r="E318" i="37"/>
  <c r="E316" i="37"/>
  <c r="E307" i="37"/>
  <c r="E305" i="37"/>
  <c r="E296" i="37"/>
  <c r="E294" i="37"/>
  <c r="E285" i="37"/>
  <c r="F285" i="37" s="1"/>
  <c r="I285" i="37" s="1"/>
  <c r="J285" i="37" s="1"/>
  <c r="K285" i="37" s="1"/>
  <c r="E283" i="37"/>
  <c r="E274" i="37"/>
  <c r="F274" i="37" s="1"/>
  <c r="I274" i="37" s="1"/>
  <c r="J274" i="37" s="1"/>
  <c r="K274" i="37" s="1"/>
  <c r="E272" i="37"/>
  <c r="E263" i="37"/>
  <c r="F263" i="37" s="1"/>
  <c r="I263" i="37" s="1"/>
  <c r="J263" i="37" s="1"/>
  <c r="K263" i="37" s="1"/>
  <c r="E261" i="37"/>
  <c r="E252" i="37"/>
  <c r="F252" i="37" s="1"/>
  <c r="I252" i="37" s="1"/>
  <c r="J252" i="37" s="1"/>
  <c r="K252" i="37" s="1"/>
  <c r="E250" i="37"/>
  <c r="E241" i="37"/>
  <c r="F241" i="37" s="1"/>
  <c r="I241" i="37" s="1"/>
  <c r="J241" i="37" s="1"/>
  <c r="K241" i="37" s="1"/>
  <c r="E239" i="37"/>
  <c r="E230" i="37"/>
  <c r="F230" i="37" s="1"/>
  <c r="I230" i="37" s="1"/>
  <c r="J230" i="37" s="1"/>
  <c r="K230" i="37" s="1"/>
  <c r="E228" i="37"/>
  <c r="E219" i="37"/>
  <c r="F219" i="37" s="1"/>
  <c r="I219" i="37" s="1"/>
  <c r="J219" i="37" s="1"/>
  <c r="K219" i="37" s="1"/>
  <c r="E217" i="37"/>
  <c r="E207" i="37"/>
  <c r="F207" i="37" s="1"/>
  <c r="I207" i="37" s="1"/>
  <c r="J207" i="37" s="1"/>
  <c r="K207" i="37" s="1"/>
  <c r="E205" i="37"/>
  <c r="E196" i="37"/>
  <c r="F196" i="37" s="1"/>
  <c r="I196" i="37" s="1"/>
  <c r="J196" i="37" s="1"/>
  <c r="K196" i="37" s="1"/>
  <c r="E194" i="37"/>
  <c r="E185" i="37"/>
  <c r="F185" i="37" s="1"/>
  <c r="I185" i="37" s="1"/>
  <c r="J185" i="37" s="1"/>
  <c r="K185" i="37" s="1"/>
  <c r="E183" i="37"/>
  <c r="E174" i="37"/>
  <c r="F174" i="37" s="1"/>
  <c r="I174" i="37" s="1"/>
  <c r="J174" i="37" s="1"/>
  <c r="K174" i="37" s="1"/>
  <c r="E172" i="37"/>
  <c r="E161" i="37"/>
  <c r="F161" i="37" s="1"/>
  <c r="I161" i="37" s="1"/>
  <c r="J161" i="37" s="1"/>
  <c r="K161" i="37" s="1"/>
  <c r="E160" i="37"/>
  <c r="F160" i="37" s="1"/>
  <c r="I160" i="37" s="1"/>
  <c r="J160" i="37" s="1"/>
  <c r="K160" i="37" s="1"/>
  <c r="E159" i="37"/>
  <c r="F159" i="37" s="1"/>
  <c r="I159" i="37" s="1"/>
  <c r="J159" i="37" s="1"/>
  <c r="K159" i="37" s="1"/>
  <c r="E155" i="37"/>
  <c r="E146" i="37"/>
  <c r="F146" i="37" s="1"/>
  <c r="I146" i="37" s="1"/>
  <c r="J146" i="37" s="1"/>
  <c r="K146" i="37" s="1"/>
  <c r="E145" i="37"/>
  <c r="F145" i="37" s="1"/>
  <c r="I145" i="37" s="1"/>
  <c r="J145" i="37" s="1"/>
  <c r="K145" i="37" s="1"/>
  <c r="E144" i="37"/>
  <c r="F144" i="37" s="1"/>
  <c r="I144" i="37" s="1"/>
  <c r="J144" i="37" s="1"/>
  <c r="K144" i="37" s="1"/>
  <c r="E140" i="37"/>
  <c r="E131" i="37"/>
  <c r="F131" i="37" s="1"/>
  <c r="I131" i="37" s="1"/>
  <c r="J131" i="37" s="1"/>
  <c r="K131" i="37" s="1"/>
  <c r="E130" i="37"/>
  <c r="F130" i="37" s="1"/>
  <c r="I130" i="37" s="1"/>
  <c r="J130" i="37" s="1"/>
  <c r="K130" i="37" s="1"/>
  <c r="E129" i="37"/>
  <c r="F129" i="37" s="1"/>
  <c r="I129" i="37" s="1"/>
  <c r="J129" i="37" s="1"/>
  <c r="K129" i="37" s="1"/>
  <c r="E125" i="37"/>
  <c r="E116" i="37"/>
  <c r="F116" i="37" s="1"/>
  <c r="I116" i="37" s="1"/>
  <c r="J116" i="37" s="1"/>
  <c r="K116" i="37" s="1"/>
  <c r="E115" i="37"/>
  <c r="F115" i="37" s="1"/>
  <c r="I115" i="37" s="1"/>
  <c r="J115" i="37" s="1"/>
  <c r="K115" i="37" s="1"/>
  <c r="E114" i="37"/>
  <c r="F114" i="37" s="1"/>
  <c r="I114" i="37" s="1"/>
  <c r="J114" i="37" s="1"/>
  <c r="K114" i="37" s="1"/>
  <c r="E110" i="37"/>
  <c r="E101" i="37"/>
  <c r="F101" i="37" s="1"/>
  <c r="I101" i="37" s="1"/>
  <c r="J101" i="37" s="1"/>
  <c r="K101" i="37" s="1"/>
  <c r="E100" i="37"/>
  <c r="F100" i="37" s="1"/>
  <c r="I100" i="37" s="1"/>
  <c r="J100" i="37" s="1"/>
  <c r="K100" i="37" s="1"/>
  <c r="E99" i="37"/>
  <c r="F99" i="37" s="1"/>
  <c r="I99" i="37" s="1"/>
  <c r="J99" i="37" s="1"/>
  <c r="K99" i="37" s="1"/>
  <c r="E95" i="37"/>
  <c r="E86" i="37"/>
  <c r="F86" i="37" s="1"/>
  <c r="I86" i="37" s="1"/>
  <c r="J86" i="37" s="1"/>
  <c r="K86" i="37" s="1"/>
  <c r="E85" i="37"/>
  <c r="F85" i="37" s="1"/>
  <c r="I85" i="37" s="1"/>
  <c r="J85" i="37" s="1"/>
  <c r="K85" i="37" s="1"/>
  <c r="E84" i="37"/>
  <c r="F84" i="37" s="1"/>
  <c r="I84" i="37" s="1"/>
  <c r="J84" i="37" s="1"/>
  <c r="K84" i="37" s="1"/>
  <c r="E80" i="37"/>
  <c r="E71" i="37"/>
  <c r="F71" i="37" s="1"/>
  <c r="I71" i="37" s="1"/>
  <c r="J71" i="37" s="1"/>
  <c r="K71" i="37" s="1"/>
  <c r="E70" i="37"/>
  <c r="F70" i="37" s="1"/>
  <c r="I70" i="37" s="1"/>
  <c r="J70" i="37" s="1"/>
  <c r="K70" i="37" s="1"/>
  <c r="E69" i="37"/>
  <c r="F69" i="37" s="1"/>
  <c r="I69" i="37" s="1"/>
  <c r="J69" i="37" s="1"/>
  <c r="K69" i="37" s="1"/>
  <c r="E65" i="37"/>
  <c r="E56" i="37"/>
  <c r="F56" i="37" s="1"/>
  <c r="I56" i="37" s="1"/>
  <c r="J56" i="37" s="1"/>
  <c r="K56" i="37" s="1"/>
  <c r="E55" i="37"/>
  <c r="F55" i="37" s="1"/>
  <c r="I55" i="37" s="1"/>
  <c r="J55" i="37" s="1"/>
  <c r="K55" i="37" s="1"/>
  <c r="E54" i="37"/>
  <c r="F54" i="37" s="1"/>
  <c r="I54" i="37" s="1"/>
  <c r="J54" i="37" s="1"/>
  <c r="K54" i="37" s="1"/>
  <c r="E50" i="37"/>
  <c r="E41" i="37"/>
  <c r="F41" i="37" s="1"/>
  <c r="I41" i="37" s="1"/>
  <c r="J41" i="37" s="1"/>
  <c r="K41" i="37" s="1"/>
  <c r="E40" i="37"/>
  <c r="F40" i="37" s="1"/>
  <c r="I40" i="37" s="1"/>
  <c r="J40" i="37" s="1"/>
  <c r="K40" i="37" s="1"/>
  <c r="E39" i="37"/>
  <c r="F39" i="37" s="1"/>
  <c r="I39" i="37" s="1"/>
  <c r="J39" i="37" s="1"/>
  <c r="K39" i="37" s="1"/>
  <c r="E35" i="37"/>
  <c r="E26" i="37"/>
  <c r="F26" i="37" s="1"/>
  <c r="I26" i="37" s="1"/>
  <c r="J26" i="37" s="1"/>
  <c r="K26" i="37" s="1"/>
  <c r="E25" i="37"/>
  <c r="F25" i="37" s="1"/>
  <c r="I25" i="37" s="1"/>
  <c r="J25" i="37" s="1"/>
  <c r="K25" i="37" s="1"/>
  <c r="E24" i="37"/>
  <c r="F24" i="37" s="1"/>
  <c r="I24" i="37" s="1"/>
  <c r="J24" i="37" s="1"/>
  <c r="K24" i="37" s="1"/>
  <c r="E20" i="37"/>
  <c r="E11" i="37"/>
  <c r="F11" i="37" s="1"/>
  <c r="I11" i="37" s="1"/>
  <c r="J11" i="37" s="1"/>
  <c r="K11" i="37" s="1"/>
  <c r="E10" i="37"/>
  <c r="F10" i="37" s="1"/>
  <c r="I10" i="37" s="1"/>
  <c r="J10" i="37" s="1"/>
  <c r="K10" i="37" s="1"/>
  <c r="E9" i="37"/>
  <c r="F9" i="37" s="1"/>
  <c r="I9" i="37" s="1"/>
  <c r="J9" i="37" s="1"/>
  <c r="K9" i="37" s="1"/>
  <c r="E5" i="37"/>
  <c r="E406" i="29"/>
  <c r="E404" i="29"/>
  <c r="E395" i="29"/>
  <c r="E393" i="29"/>
  <c r="E384" i="29"/>
  <c r="E382" i="29"/>
  <c r="E373" i="29"/>
  <c r="E371" i="29"/>
  <c r="E362" i="29"/>
  <c r="E360" i="29"/>
  <c r="E351" i="29"/>
  <c r="E349" i="29"/>
  <c r="E340" i="29"/>
  <c r="E338" i="29"/>
  <c r="E329" i="29"/>
  <c r="E327" i="29"/>
  <c r="I318" i="29"/>
  <c r="J318" i="29" s="1"/>
  <c r="K318" i="29" s="1"/>
  <c r="E316" i="29"/>
  <c r="I307" i="29"/>
  <c r="J307" i="29" s="1"/>
  <c r="K307" i="29" s="1"/>
  <c r="E305" i="29"/>
  <c r="E296" i="29"/>
  <c r="E294" i="29"/>
  <c r="B112" i="36"/>
  <c r="B113" i="36"/>
  <c r="B114" i="36"/>
  <c r="B115" i="36"/>
  <c r="B116" i="36"/>
  <c r="B117" i="36"/>
  <c r="B118" i="36"/>
  <c r="B119" i="36"/>
  <c r="A113" i="36"/>
  <c r="A114" i="36"/>
  <c r="A115" i="36"/>
  <c r="A116" i="36"/>
  <c r="A117" i="36"/>
  <c r="A118" i="36"/>
  <c r="A119" i="36"/>
  <c r="A112" i="36"/>
  <c r="B90" i="36"/>
  <c r="B91" i="36"/>
  <c r="B92" i="36"/>
  <c r="B93" i="36"/>
  <c r="B94" i="36"/>
  <c r="B95" i="36"/>
  <c r="B96" i="36"/>
  <c r="B97" i="36"/>
  <c r="B98" i="36"/>
  <c r="B99" i="36"/>
  <c r="B100" i="36"/>
  <c r="A91" i="36"/>
  <c r="A92" i="36"/>
  <c r="A93" i="36"/>
  <c r="A94" i="36"/>
  <c r="A95" i="36"/>
  <c r="A96" i="36"/>
  <c r="A97" i="36"/>
  <c r="A98" i="36"/>
  <c r="A99" i="36"/>
  <c r="A100" i="36"/>
  <c r="A90" i="36"/>
  <c r="B66" i="36"/>
  <c r="B67" i="36"/>
  <c r="B68" i="36"/>
  <c r="B69" i="36"/>
  <c r="B70" i="36"/>
  <c r="B71" i="36"/>
  <c r="B72" i="36"/>
  <c r="B73" i="36"/>
  <c r="B74" i="36"/>
  <c r="B75" i="36"/>
  <c r="B76" i="36"/>
  <c r="A67" i="36"/>
  <c r="A68" i="36"/>
  <c r="A69" i="36"/>
  <c r="A70" i="36"/>
  <c r="A71" i="36"/>
  <c r="A72" i="36"/>
  <c r="A73" i="36"/>
  <c r="A74" i="36"/>
  <c r="A75" i="36"/>
  <c r="A76" i="36"/>
  <c r="A66" i="36"/>
  <c r="A42" i="36"/>
  <c r="B42" i="36"/>
  <c r="A43" i="36"/>
  <c r="B43" i="36"/>
  <c r="A44" i="36"/>
  <c r="B44" i="36"/>
  <c r="A45" i="36"/>
  <c r="B45" i="36"/>
  <c r="A46" i="36"/>
  <c r="B46" i="36"/>
  <c r="A47" i="36"/>
  <c r="B47" i="36"/>
  <c r="A48" i="36"/>
  <c r="B48" i="36"/>
  <c r="A49" i="36"/>
  <c r="B49" i="36"/>
  <c r="A50" i="36"/>
  <c r="B50" i="36"/>
  <c r="A51" i="36"/>
  <c r="B51" i="36"/>
  <c r="B41" i="36"/>
  <c r="A41" i="36"/>
  <c r="B20" i="36"/>
  <c r="B21" i="36"/>
  <c r="B22" i="36"/>
  <c r="B23" i="36"/>
  <c r="B24" i="36"/>
  <c r="B25" i="36"/>
  <c r="B26" i="36"/>
  <c r="B27" i="36"/>
  <c r="B28" i="36"/>
  <c r="B29" i="36"/>
  <c r="B19" i="36"/>
  <c r="A20" i="36"/>
  <c r="A21" i="36"/>
  <c r="A22" i="36"/>
  <c r="A23" i="36"/>
  <c r="A24" i="36"/>
  <c r="A25" i="36"/>
  <c r="A26" i="36"/>
  <c r="A27" i="36"/>
  <c r="A28" i="36"/>
  <c r="A29" i="36"/>
  <c r="A19" i="36"/>
  <c r="F406" i="29" l="1"/>
  <c r="I406" i="29" s="1"/>
  <c r="J406" i="29" s="1"/>
  <c r="K406" i="29" s="1"/>
  <c r="F494" i="37"/>
  <c r="I494" i="37" s="1"/>
  <c r="J494" i="37" s="1"/>
  <c r="K494" i="37" s="1"/>
  <c r="F483" i="37"/>
  <c r="I483" i="37" s="1"/>
  <c r="J483" i="37" s="1"/>
  <c r="K483" i="37" s="1"/>
  <c r="F472" i="37"/>
  <c r="I472" i="37" s="1"/>
  <c r="J472" i="37" s="1"/>
  <c r="K472" i="37" s="1"/>
  <c r="F461" i="37"/>
  <c r="I461" i="37" s="1"/>
  <c r="J461" i="37" s="1"/>
  <c r="K461" i="37" s="1"/>
  <c r="F450" i="37"/>
  <c r="I450" i="37" s="1"/>
  <c r="J450" i="37" s="1"/>
  <c r="K450" i="37" s="1"/>
  <c r="F439" i="37"/>
  <c r="I439" i="37" s="1"/>
  <c r="J439" i="37" s="1"/>
  <c r="K439" i="37" s="1"/>
  <c r="F428" i="37"/>
  <c r="I428" i="37" s="1"/>
  <c r="J428" i="37" s="1"/>
  <c r="K428" i="37" s="1"/>
  <c r="F417" i="37"/>
  <c r="I417" i="37" s="1"/>
  <c r="J417" i="37" s="1"/>
  <c r="K417" i="37" s="1"/>
  <c r="F406" i="37"/>
  <c r="I406" i="37" s="1"/>
  <c r="J406" i="37" s="1"/>
  <c r="K406" i="37" s="1"/>
  <c r="F395" i="37"/>
  <c r="I395" i="37" s="1"/>
  <c r="J395" i="37" s="1"/>
  <c r="K395" i="37" s="1"/>
  <c r="F384" i="37"/>
  <c r="I384" i="37" s="1"/>
  <c r="J384" i="37" s="1"/>
  <c r="K384" i="37" s="1"/>
  <c r="F373" i="37"/>
  <c r="I373" i="37" s="1"/>
  <c r="J373" i="37" s="1"/>
  <c r="K373" i="37" s="1"/>
  <c r="F362" i="37"/>
  <c r="I362" i="37" s="1"/>
  <c r="J362" i="37" s="1"/>
  <c r="K362" i="37" s="1"/>
  <c r="F351" i="37"/>
  <c r="I351" i="37" s="1"/>
  <c r="J351" i="37" s="1"/>
  <c r="K351" i="37" s="1"/>
  <c r="F340" i="37"/>
  <c r="I340" i="37" s="1"/>
  <c r="J340" i="37" s="1"/>
  <c r="K340" i="37" s="1"/>
  <c r="F329" i="37"/>
  <c r="I329" i="37" s="1"/>
  <c r="J329" i="37" s="1"/>
  <c r="K329" i="37" s="1"/>
  <c r="F318" i="37"/>
  <c r="I318" i="37" s="1"/>
  <c r="J318" i="37" s="1"/>
  <c r="K318" i="37" s="1"/>
  <c r="F307" i="37"/>
  <c r="I307" i="37" s="1"/>
  <c r="J307" i="37" s="1"/>
  <c r="K307" i="37" s="1"/>
  <c r="F296" i="37"/>
  <c r="I296" i="37" s="1"/>
  <c r="J296" i="37" s="1"/>
  <c r="K296" i="37" s="1"/>
  <c r="F395" i="29"/>
  <c r="I395" i="29" s="1"/>
  <c r="J395" i="29" s="1"/>
  <c r="K395" i="29" s="1"/>
  <c r="F384" i="29"/>
  <c r="I384" i="29" s="1"/>
  <c r="J384" i="29" s="1"/>
  <c r="K384" i="29" s="1"/>
  <c r="F373" i="29"/>
  <c r="I373" i="29" s="1"/>
  <c r="J373" i="29" s="1"/>
  <c r="K373" i="29" s="1"/>
  <c r="F362" i="29"/>
  <c r="I362" i="29" s="1"/>
  <c r="J362" i="29" s="1"/>
  <c r="K362" i="29" s="1"/>
  <c r="F351" i="29"/>
  <c r="I351" i="29" s="1"/>
  <c r="J351" i="29" s="1"/>
  <c r="K351" i="29" s="1"/>
  <c r="F340" i="29"/>
  <c r="I340" i="29" s="1"/>
  <c r="J340" i="29" s="1"/>
  <c r="K340" i="29" s="1"/>
  <c r="F329" i="29"/>
  <c r="I329" i="29" s="1"/>
  <c r="J329" i="29" s="1"/>
  <c r="K329" i="29" s="1"/>
  <c r="F296" i="29"/>
  <c r="I296" i="29" s="1"/>
  <c r="J296" i="29" s="1"/>
  <c r="K296" i="29" s="1"/>
  <c r="J26" i="38"/>
  <c r="I26" i="31"/>
  <c r="A12" i="36" l="1"/>
  <c r="A13" i="36"/>
  <c r="A6" i="36"/>
  <c r="A7" i="36"/>
  <c r="A8" i="36"/>
  <c r="A9" i="36"/>
  <c r="A10" i="36"/>
  <c r="A11" i="36"/>
  <c r="A5" i="36"/>
  <c r="I159" i="35" l="1"/>
  <c r="A27" i="23" s="1"/>
  <c r="D91" i="35"/>
  <c r="G152" i="35"/>
  <c r="G151" i="35"/>
  <c r="G150" i="35"/>
  <c r="G149" i="35"/>
  <c r="G148" i="35"/>
  <c r="G147" i="35"/>
  <c r="G146" i="35"/>
  <c r="E152" i="35"/>
  <c r="E151" i="35"/>
  <c r="E150" i="35"/>
  <c r="E149" i="35"/>
  <c r="E148" i="35"/>
  <c r="E147" i="35"/>
  <c r="E146" i="35"/>
  <c r="D152" i="35"/>
  <c r="D151" i="35"/>
  <c r="D150" i="35"/>
  <c r="D149" i="35"/>
  <c r="D148" i="35"/>
  <c r="D147" i="35"/>
  <c r="D146" i="35"/>
  <c r="D127" i="35"/>
  <c r="D115" i="35"/>
  <c r="G103" i="35"/>
  <c r="D103" i="35"/>
  <c r="D79" i="35"/>
  <c r="D67" i="35"/>
  <c r="Q44" i="35"/>
  <c r="Q43" i="35"/>
  <c r="Q42" i="35"/>
  <c r="Q41" i="35"/>
  <c r="Q40" i="35"/>
  <c r="Q39" i="35"/>
  <c r="Q38" i="35"/>
  <c r="Q37" i="35"/>
  <c r="Q36" i="35"/>
  <c r="K44" i="35"/>
  <c r="K43" i="35"/>
  <c r="K42" i="35"/>
  <c r="F114" i="35" s="1"/>
  <c r="K41" i="35"/>
  <c r="K40" i="35"/>
  <c r="K39" i="35"/>
  <c r="K38" i="35"/>
  <c r="K37" i="35"/>
  <c r="K36" i="35"/>
  <c r="E44" i="35"/>
  <c r="F145" i="35" s="1"/>
  <c r="E43" i="35"/>
  <c r="F133" i="35" s="1"/>
  <c r="E42" i="35"/>
  <c r="E41" i="35"/>
  <c r="F109" i="35" s="1"/>
  <c r="E40" i="35"/>
  <c r="F97" i="35" s="1"/>
  <c r="E39" i="35"/>
  <c r="E38" i="35"/>
  <c r="E37" i="35"/>
  <c r="F61" i="35" s="1"/>
  <c r="E36" i="35"/>
  <c r="F152" i="35" s="1"/>
  <c r="Q30" i="35"/>
  <c r="F144" i="35" s="1"/>
  <c r="Q29" i="35"/>
  <c r="Q28" i="35"/>
  <c r="F120" i="35" s="1"/>
  <c r="Q27" i="35"/>
  <c r="F108" i="35" s="1"/>
  <c r="Q26" i="35"/>
  <c r="Q25" i="35"/>
  <c r="Q24" i="35"/>
  <c r="F72" i="35" s="1"/>
  <c r="Q23" i="35"/>
  <c r="F60" i="35" s="1"/>
  <c r="Q22" i="35"/>
  <c r="F151" i="35" s="1"/>
  <c r="K30" i="35"/>
  <c r="K29" i="35"/>
  <c r="K28" i="35"/>
  <c r="K27" i="35"/>
  <c r="K26" i="35"/>
  <c r="K25" i="35"/>
  <c r="K24" i="35"/>
  <c r="K23" i="35"/>
  <c r="K22" i="35"/>
  <c r="F150" i="35" s="1"/>
  <c r="E30" i="35"/>
  <c r="F142" i="35" s="1"/>
  <c r="E29" i="35"/>
  <c r="F125" i="35" s="1"/>
  <c r="E28" i="35"/>
  <c r="E27" i="35"/>
  <c r="F106" i="35" s="1"/>
  <c r="E26" i="35"/>
  <c r="F94" i="35" s="1"/>
  <c r="E25" i="35"/>
  <c r="F77" i="35" s="1"/>
  <c r="E24" i="35"/>
  <c r="F65" i="35" s="1"/>
  <c r="E23" i="35"/>
  <c r="F58" i="35" s="1"/>
  <c r="E22" i="35"/>
  <c r="F149" i="35" s="1"/>
  <c r="Q16" i="35"/>
  <c r="Q15" i="35"/>
  <c r="F129" i="35" s="1"/>
  <c r="Q14" i="35"/>
  <c r="Q13" i="35"/>
  <c r="F105" i="35" s="1"/>
  <c r="Q12" i="35"/>
  <c r="Q11" i="35"/>
  <c r="F81" i="35" s="1"/>
  <c r="Q10" i="35"/>
  <c r="Q9" i="35"/>
  <c r="F57" i="35" s="1"/>
  <c r="Q8" i="35"/>
  <c r="F148" i="35" s="1"/>
  <c r="K16" i="35"/>
  <c r="K15" i="35"/>
  <c r="K14" i="35"/>
  <c r="F116" i="35" s="1"/>
  <c r="K13" i="35"/>
  <c r="K12" i="35"/>
  <c r="F92" i="35" s="1"/>
  <c r="K11" i="35"/>
  <c r="K10" i="35"/>
  <c r="F68" i="35" s="1"/>
  <c r="K9" i="35"/>
  <c r="K8" i="35"/>
  <c r="F147" i="35" s="1"/>
  <c r="G145" i="35"/>
  <c r="E145" i="35"/>
  <c r="D145" i="35"/>
  <c r="G144" i="35"/>
  <c r="E144" i="35"/>
  <c r="D144" i="35"/>
  <c r="G143" i="35"/>
  <c r="E143" i="35"/>
  <c r="D143" i="35"/>
  <c r="E142" i="35"/>
  <c r="D142" i="35"/>
  <c r="E141" i="35"/>
  <c r="D141" i="35"/>
  <c r="F140" i="35"/>
  <c r="E140" i="35"/>
  <c r="D140" i="35"/>
  <c r="E139" i="35"/>
  <c r="D139" i="35"/>
  <c r="G138" i="35"/>
  <c r="E138" i="35"/>
  <c r="D138" i="35"/>
  <c r="E137" i="35"/>
  <c r="D137" i="35"/>
  <c r="E136" i="35"/>
  <c r="D136" i="35"/>
  <c r="F135" i="35"/>
  <c r="E135" i="35"/>
  <c r="D135" i="35"/>
  <c r="E134" i="35"/>
  <c r="D134" i="35"/>
  <c r="G133" i="35"/>
  <c r="E133" i="35"/>
  <c r="D133" i="35"/>
  <c r="G132" i="35"/>
  <c r="F132" i="35"/>
  <c r="E132" i="35"/>
  <c r="D132" i="35"/>
  <c r="G131" i="35"/>
  <c r="E131" i="35"/>
  <c r="D131" i="35"/>
  <c r="E130" i="35"/>
  <c r="D130" i="35"/>
  <c r="E129" i="35"/>
  <c r="D129" i="35"/>
  <c r="E128" i="35"/>
  <c r="D128" i="35"/>
  <c r="E127" i="35"/>
  <c r="G126" i="35"/>
  <c r="E126" i="35"/>
  <c r="D126" i="35"/>
  <c r="E125" i="35"/>
  <c r="D125" i="35"/>
  <c r="E124" i="35"/>
  <c r="D124" i="35"/>
  <c r="E123" i="35"/>
  <c r="D123" i="35"/>
  <c r="E122" i="35"/>
  <c r="D122" i="35"/>
  <c r="G121" i="35"/>
  <c r="E121" i="35"/>
  <c r="D121" i="35"/>
  <c r="G120" i="35"/>
  <c r="E120" i="35"/>
  <c r="D120" i="35"/>
  <c r="G119" i="35"/>
  <c r="F119" i="35"/>
  <c r="E119" i="35"/>
  <c r="D119" i="35"/>
  <c r="F118" i="35"/>
  <c r="E118" i="35"/>
  <c r="D118" i="35"/>
  <c r="E117" i="35"/>
  <c r="D117" i="35"/>
  <c r="E116" i="35"/>
  <c r="D116" i="35"/>
  <c r="E115" i="35"/>
  <c r="G114" i="35"/>
  <c r="E114" i="35"/>
  <c r="D114" i="35"/>
  <c r="F113" i="35"/>
  <c r="E113" i="35"/>
  <c r="D113" i="35"/>
  <c r="E112" i="35"/>
  <c r="D112" i="35"/>
  <c r="E111" i="35"/>
  <c r="D111" i="35"/>
  <c r="E110" i="35"/>
  <c r="D110" i="35"/>
  <c r="G109" i="35"/>
  <c r="E109" i="35"/>
  <c r="D109" i="35"/>
  <c r="G108" i="35"/>
  <c r="E108" i="35"/>
  <c r="D108" i="35"/>
  <c r="G107" i="35"/>
  <c r="E107" i="35"/>
  <c r="D107" i="35"/>
  <c r="E106" i="35"/>
  <c r="D106" i="35"/>
  <c r="E105" i="35"/>
  <c r="D105" i="35"/>
  <c r="E104" i="35"/>
  <c r="D104" i="35"/>
  <c r="E103" i="35"/>
  <c r="G102" i="35"/>
  <c r="E102" i="35"/>
  <c r="D102" i="35"/>
  <c r="E101" i="35"/>
  <c r="D101" i="35"/>
  <c r="E100" i="35"/>
  <c r="D100" i="35"/>
  <c r="E99" i="35"/>
  <c r="D99" i="35"/>
  <c r="E98" i="35"/>
  <c r="D98" i="35"/>
  <c r="G97" i="35"/>
  <c r="E97" i="35"/>
  <c r="D97" i="35"/>
  <c r="G96" i="35"/>
  <c r="F96" i="35"/>
  <c r="E96" i="35"/>
  <c r="D96" i="35"/>
  <c r="G95" i="35"/>
  <c r="E95" i="35"/>
  <c r="D95" i="35"/>
  <c r="E94" i="35"/>
  <c r="D94" i="35"/>
  <c r="E93" i="35"/>
  <c r="D93" i="35"/>
  <c r="E92" i="35"/>
  <c r="D92" i="35"/>
  <c r="E91" i="35"/>
  <c r="G90" i="35"/>
  <c r="E90" i="35"/>
  <c r="D90" i="35"/>
  <c r="E89" i="35"/>
  <c r="D89" i="35"/>
  <c r="E88" i="35"/>
  <c r="D88" i="35"/>
  <c r="E87" i="35"/>
  <c r="D87" i="35"/>
  <c r="E86" i="35"/>
  <c r="D86" i="35"/>
  <c r="G85" i="35"/>
  <c r="F85" i="35"/>
  <c r="E85" i="35"/>
  <c r="D85" i="35"/>
  <c r="G84" i="35"/>
  <c r="F84" i="35"/>
  <c r="E84" i="35"/>
  <c r="D84" i="35"/>
  <c r="G83" i="35"/>
  <c r="E83" i="35"/>
  <c r="D83" i="35"/>
  <c r="E82" i="35"/>
  <c r="D82" i="35"/>
  <c r="E81" i="35"/>
  <c r="D81" i="35"/>
  <c r="E80" i="35"/>
  <c r="D80" i="35"/>
  <c r="E79" i="35"/>
  <c r="G78" i="35"/>
  <c r="E78" i="35"/>
  <c r="D78" i="35"/>
  <c r="E77" i="35"/>
  <c r="D77" i="35"/>
  <c r="E76" i="35"/>
  <c r="D76" i="35"/>
  <c r="E75" i="35"/>
  <c r="D75" i="35"/>
  <c r="E74" i="35"/>
  <c r="D74" i="35"/>
  <c r="G73" i="35"/>
  <c r="E73" i="35"/>
  <c r="D73" i="35"/>
  <c r="G72" i="35"/>
  <c r="E72" i="35"/>
  <c r="D72" i="35"/>
  <c r="G71" i="35"/>
  <c r="E71" i="35"/>
  <c r="D71" i="35"/>
  <c r="E70" i="35"/>
  <c r="D70" i="35"/>
  <c r="E69" i="35"/>
  <c r="D69" i="35"/>
  <c r="E68" i="35"/>
  <c r="D68" i="35"/>
  <c r="E67" i="35"/>
  <c r="G66" i="35"/>
  <c r="E66" i="35"/>
  <c r="D66" i="35"/>
  <c r="E65" i="35"/>
  <c r="D65" i="35"/>
  <c r="E64" i="35"/>
  <c r="D64" i="35"/>
  <c r="E63" i="35"/>
  <c r="D63" i="35"/>
  <c r="E62" i="35"/>
  <c r="D62" i="35"/>
  <c r="G61" i="35"/>
  <c r="E61" i="35"/>
  <c r="D61" i="35"/>
  <c r="G60" i="35"/>
  <c r="E60" i="35"/>
  <c r="D60" i="35"/>
  <c r="G59" i="35"/>
  <c r="E59" i="35"/>
  <c r="D59" i="35"/>
  <c r="E58" i="35"/>
  <c r="D58" i="35"/>
  <c r="E57" i="35"/>
  <c r="D57" i="35"/>
  <c r="E56" i="35"/>
  <c r="D56" i="35"/>
  <c r="E55" i="35"/>
  <c r="D55" i="35"/>
  <c r="G54" i="35"/>
  <c r="E54" i="35"/>
  <c r="D54" i="35"/>
  <c r="E53" i="35"/>
  <c r="D53" i="35"/>
  <c r="E52" i="35"/>
  <c r="D52" i="35"/>
  <c r="E51" i="35"/>
  <c r="D51" i="35"/>
  <c r="E50" i="35"/>
  <c r="D50" i="35"/>
  <c r="C48" i="35"/>
  <c r="F121" i="35"/>
  <c r="F73" i="35"/>
  <c r="G142" i="35"/>
  <c r="G130" i="35"/>
  <c r="G118" i="35"/>
  <c r="G106" i="35"/>
  <c r="G94" i="35"/>
  <c r="G82" i="35"/>
  <c r="G70" i="35"/>
  <c r="G58" i="35"/>
  <c r="G141" i="35"/>
  <c r="G140" i="35"/>
  <c r="G139" i="35"/>
  <c r="E16" i="35"/>
  <c r="G129" i="35"/>
  <c r="G128" i="35"/>
  <c r="G127" i="35"/>
  <c r="E15" i="35"/>
  <c r="F122" i="35" s="1"/>
  <c r="G117" i="35"/>
  <c r="G116" i="35"/>
  <c r="G115" i="35"/>
  <c r="E14" i="35"/>
  <c r="G105" i="35"/>
  <c r="G104" i="35"/>
  <c r="E13" i="35"/>
  <c r="F98" i="35" s="1"/>
  <c r="G93" i="35"/>
  <c r="G92" i="35"/>
  <c r="G91" i="35"/>
  <c r="E12" i="35"/>
  <c r="G81" i="35"/>
  <c r="G80" i="35"/>
  <c r="G79" i="35"/>
  <c r="E11" i="35"/>
  <c r="F79" i="35" s="1"/>
  <c r="G69" i="35"/>
  <c r="G68" i="35"/>
  <c r="G67" i="35"/>
  <c r="E10" i="35"/>
  <c r="G57" i="35"/>
  <c r="G56" i="35"/>
  <c r="G55" i="35"/>
  <c r="E9" i="35"/>
  <c r="F55" i="35" s="1"/>
  <c r="E8" i="35"/>
  <c r="F146" i="35" s="1"/>
  <c r="F111" i="35" l="1"/>
  <c r="E31" i="23"/>
  <c r="B394" i="29" s="1"/>
  <c r="B34" i="23"/>
  <c r="B33" i="23"/>
  <c r="E29" i="23"/>
  <c r="B32" i="23"/>
  <c r="B31" i="23"/>
  <c r="B30" i="23"/>
  <c r="B37" i="23"/>
  <c r="B36" i="23"/>
  <c r="H29" i="23"/>
  <c r="B96" i="37" s="1"/>
  <c r="F96" i="37" s="1"/>
  <c r="I96" i="37" s="1"/>
  <c r="J96" i="37" s="1"/>
  <c r="B35" i="23"/>
  <c r="E30" i="23"/>
  <c r="B251" i="37" s="1"/>
  <c r="F251" i="37" s="1"/>
  <c r="I251" i="37" s="1"/>
  <c r="J251" i="37" s="1"/>
  <c r="B39" i="23"/>
  <c r="B158" i="29" s="1"/>
  <c r="B38" i="23"/>
  <c r="B29" i="23"/>
  <c r="B8" i="29" s="1"/>
  <c r="F70" i="35"/>
  <c r="F63" i="35"/>
  <c r="F130" i="35"/>
  <c r="F137" i="35"/>
  <c r="F82" i="35"/>
  <c r="F89" i="35"/>
  <c r="F124" i="35"/>
  <c r="F76" i="35"/>
  <c r="I170" i="35"/>
  <c r="I172" i="35" s="1"/>
  <c r="I183" i="35" s="1"/>
  <c r="B157" i="35"/>
  <c r="A2" i="36" s="1"/>
  <c r="F87" i="35"/>
  <c r="F101" i="35"/>
  <c r="F53" i="35"/>
  <c r="F100" i="35"/>
  <c r="F52" i="35"/>
  <c r="F50" i="35"/>
  <c r="F127" i="35"/>
  <c r="F74" i="35"/>
  <c r="F103" i="35"/>
  <c r="F80" i="35"/>
  <c r="F75" i="35"/>
  <c r="F104" i="35"/>
  <c r="F99" i="35"/>
  <c r="F134" i="35"/>
  <c r="F139" i="35"/>
  <c r="F71" i="35"/>
  <c r="F66" i="35"/>
  <c r="F107" i="35"/>
  <c r="F102" i="35"/>
  <c r="F131" i="35"/>
  <c r="F126" i="35"/>
  <c r="F69" i="35"/>
  <c r="F64" i="35"/>
  <c r="F115" i="35"/>
  <c r="F110" i="35"/>
  <c r="F83" i="35"/>
  <c r="F78" i="35"/>
  <c r="F56" i="35"/>
  <c r="F51" i="35"/>
  <c r="F91" i="35"/>
  <c r="F86" i="35"/>
  <c r="F117" i="35"/>
  <c r="F112" i="35"/>
  <c r="F123" i="35"/>
  <c r="F128" i="35"/>
  <c r="F59" i="35"/>
  <c r="F54" i="35"/>
  <c r="F95" i="35"/>
  <c r="F90" i="35"/>
  <c r="F143" i="35"/>
  <c r="F138" i="35"/>
  <c r="F67" i="35"/>
  <c r="F62" i="35"/>
  <c r="F88" i="35"/>
  <c r="F93" i="35"/>
  <c r="F141" i="35"/>
  <c r="F136" i="35"/>
  <c r="G50" i="35"/>
  <c r="G51" i="35"/>
  <c r="G52" i="35"/>
  <c r="G53" i="35"/>
  <c r="G62" i="35"/>
  <c r="G63" i="35"/>
  <c r="G64" i="35"/>
  <c r="G65" i="35"/>
  <c r="G74" i="35"/>
  <c r="G75" i="35"/>
  <c r="G76" i="35"/>
  <c r="G77" i="35"/>
  <c r="G86" i="35"/>
  <c r="G87" i="35"/>
  <c r="G88" i="35"/>
  <c r="G89" i="35"/>
  <c r="G98" i="35"/>
  <c r="G99" i="35"/>
  <c r="G100" i="35"/>
  <c r="G101" i="35"/>
  <c r="G110" i="35"/>
  <c r="G111" i="35"/>
  <c r="G112" i="35"/>
  <c r="G113" i="35"/>
  <c r="G122" i="35"/>
  <c r="G123" i="35"/>
  <c r="G124" i="35"/>
  <c r="G125" i="35"/>
  <c r="G134" i="35"/>
  <c r="G135" i="35"/>
  <c r="G136" i="35"/>
  <c r="G137" i="35"/>
  <c r="B339" i="37" l="1"/>
  <c r="F339" i="37" s="1"/>
  <c r="I339" i="37" s="1"/>
  <c r="J339" i="37" s="1"/>
  <c r="K339" i="37" s="1"/>
  <c r="B460" i="37"/>
  <c r="F460" i="37" s="1"/>
  <c r="I460" i="37" s="1"/>
  <c r="J460" i="37" s="1"/>
  <c r="K460" i="37" s="1"/>
  <c r="B339" i="29"/>
  <c r="B328" i="29"/>
  <c r="B295" i="37"/>
  <c r="B394" i="37"/>
  <c r="F394" i="37" s="1"/>
  <c r="I394" i="37" s="1"/>
  <c r="J394" i="37" s="1"/>
  <c r="K394" i="37" s="1"/>
  <c r="B493" i="37"/>
  <c r="F493" i="37" s="1"/>
  <c r="I493" i="37" s="1"/>
  <c r="J493" i="37" s="1"/>
  <c r="K493" i="37" s="1"/>
  <c r="B383" i="29"/>
  <c r="B317" i="37"/>
  <c r="F317" i="37" s="1"/>
  <c r="I317" i="37" s="1"/>
  <c r="J317" i="37" s="1"/>
  <c r="K317" i="37" s="1"/>
  <c r="B361" i="29"/>
  <c r="B328" i="37"/>
  <c r="B372" i="29"/>
  <c r="B306" i="37"/>
  <c r="B405" i="37"/>
  <c r="B383" i="37"/>
  <c r="B405" i="29"/>
  <c r="B427" i="37"/>
  <c r="F427" i="37" s="1"/>
  <c r="I427" i="37" s="1"/>
  <c r="J427" i="37" s="1"/>
  <c r="K427" i="37" s="1"/>
  <c r="B416" i="37"/>
  <c r="B482" i="37"/>
  <c r="B361" i="37"/>
  <c r="B449" i="37"/>
  <c r="B350" i="37"/>
  <c r="B350" i="29"/>
  <c r="F350" i="29" s="1"/>
  <c r="I350" i="29" s="1"/>
  <c r="J350" i="29" s="1"/>
  <c r="K350" i="29" s="1"/>
  <c r="B471" i="37"/>
  <c r="B438" i="37"/>
  <c r="F438" i="37" s="1"/>
  <c r="I438" i="37" s="1"/>
  <c r="J438" i="37" s="1"/>
  <c r="K438" i="37" s="1"/>
  <c r="B306" i="29"/>
  <c r="F306" i="29" s="1"/>
  <c r="I306" i="29" s="1"/>
  <c r="J306" i="29" s="1"/>
  <c r="K306" i="29" s="1"/>
  <c r="B372" i="37"/>
  <c r="F372" i="37" s="1"/>
  <c r="I372" i="37" s="1"/>
  <c r="J372" i="37" s="1"/>
  <c r="K372" i="37" s="1"/>
  <c r="B295" i="29"/>
  <c r="B317" i="29"/>
  <c r="F317" i="29" s="1"/>
  <c r="I317" i="29" s="1"/>
  <c r="J317" i="29" s="1"/>
  <c r="K317" i="29" s="1"/>
  <c r="B36" i="29"/>
  <c r="B96" i="29"/>
  <c r="B111" i="37"/>
  <c r="F111" i="37" s="1"/>
  <c r="I111" i="37" s="1"/>
  <c r="J111" i="37" s="1"/>
  <c r="K111" i="37" s="1"/>
  <c r="B51" i="29"/>
  <c r="B156" i="37"/>
  <c r="F156" i="37" s="1"/>
  <c r="I156" i="37" s="1"/>
  <c r="J156" i="37" s="1"/>
  <c r="K156" i="37" s="1"/>
  <c r="B6" i="37"/>
  <c r="F6" i="37" s="1"/>
  <c r="I6" i="37" s="1"/>
  <c r="J6" i="37" s="1"/>
  <c r="K6" i="37" s="1"/>
  <c r="B66" i="29"/>
  <c r="B126" i="29"/>
  <c r="B21" i="29"/>
  <c r="B126" i="37"/>
  <c r="F126" i="37" s="1"/>
  <c r="I126" i="37" s="1"/>
  <c r="J126" i="37" s="1"/>
  <c r="K126" i="37" s="1"/>
  <c r="B156" i="29"/>
  <c r="B81" i="37"/>
  <c r="F81" i="37" s="1"/>
  <c r="I81" i="37" s="1"/>
  <c r="J81" i="37" s="1"/>
  <c r="K81" i="37" s="1"/>
  <c r="B111" i="29"/>
  <c r="B141" i="37"/>
  <c r="F141" i="37" s="1"/>
  <c r="I141" i="37" s="1"/>
  <c r="J141" i="37" s="1"/>
  <c r="K141" i="37" s="1"/>
  <c r="B6" i="29"/>
  <c r="B81" i="29"/>
  <c r="B141" i="29"/>
  <c r="B66" i="37"/>
  <c r="F66" i="37" s="1"/>
  <c r="I66" i="37" s="1"/>
  <c r="J66" i="37" s="1"/>
  <c r="K66" i="37" s="1"/>
  <c r="B36" i="37"/>
  <c r="F36" i="37" s="1"/>
  <c r="I36" i="37" s="1"/>
  <c r="J36" i="37" s="1"/>
  <c r="K36" i="37" s="1"/>
  <c r="B21" i="37"/>
  <c r="F21" i="37" s="1"/>
  <c r="I21" i="37" s="1"/>
  <c r="J21" i="37" s="1"/>
  <c r="K21" i="37" s="1"/>
  <c r="B51" i="37"/>
  <c r="F51" i="37" s="1"/>
  <c r="I51" i="37" s="1"/>
  <c r="J51" i="37" s="1"/>
  <c r="I200" i="35"/>
  <c r="I211" i="35" s="1"/>
  <c r="A145" i="19" s="1"/>
  <c r="B160" i="31" s="1"/>
  <c r="B161" i="38" s="1"/>
  <c r="I186" i="35"/>
  <c r="I197" i="35" s="1"/>
  <c r="A144" i="19" s="1"/>
  <c r="B159" i="31" s="1"/>
  <c r="B160" i="38" s="1"/>
  <c r="B229" i="37"/>
  <c r="F229" i="37" s="1"/>
  <c r="I229" i="37" s="1"/>
  <c r="J229" i="37" s="1"/>
  <c r="K229" i="37" s="1"/>
  <c r="B83" i="39"/>
  <c r="F83" i="39" s="1"/>
  <c r="I83" i="39" s="1"/>
  <c r="J83" i="39" s="1"/>
  <c r="K83" i="39" s="1"/>
  <c r="B39" i="39"/>
  <c r="F39" i="39" s="1"/>
  <c r="I39" i="39" s="1"/>
  <c r="J39" i="39" s="1"/>
  <c r="K39" i="39" s="1"/>
  <c r="F328" i="37"/>
  <c r="I328" i="37" s="1"/>
  <c r="J328" i="37" s="1"/>
  <c r="K328" i="37" s="1"/>
  <c r="F372" i="29"/>
  <c r="I372" i="29" s="1"/>
  <c r="J372" i="29" s="1"/>
  <c r="K372" i="29" s="1"/>
  <c r="B61" i="39"/>
  <c r="F61" i="39" s="1"/>
  <c r="I61" i="39" s="1"/>
  <c r="J61" i="39" s="1"/>
  <c r="K61" i="39" s="1"/>
  <c r="F482" i="37"/>
  <c r="I482" i="37" s="1"/>
  <c r="J482" i="37" s="1"/>
  <c r="K482" i="37" s="1"/>
  <c r="B50" i="39"/>
  <c r="F50" i="39" s="1"/>
  <c r="I50" i="39" s="1"/>
  <c r="J50" i="39" s="1"/>
  <c r="K50" i="39" s="1"/>
  <c r="F471" i="37"/>
  <c r="I471" i="37" s="1"/>
  <c r="J471" i="37" s="1"/>
  <c r="K471" i="37" s="1"/>
  <c r="F295" i="37"/>
  <c r="I295" i="37" s="1"/>
  <c r="J295" i="37" s="1"/>
  <c r="K295" i="37" s="1"/>
  <c r="F339" i="29"/>
  <c r="I339" i="29" s="1"/>
  <c r="J339" i="29" s="1"/>
  <c r="K339" i="29" s="1"/>
  <c r="B72" i="39"/>
  <c r="F72" i="39" s="1"/>
  <c r="I72" i="39" s="1"/>
  <c r="J72" i="39" s="1"/>
  <c r="K72" i="39" s="1"/>
  <c r="B28" i="39"/>
  <c r="F28" i="39" s="1"/>
  <c r="I28" i="39" s="1"/>
  <c r="J28" i="39" s="1"/>
  <c r="K28" i="39" s="1"/>
  <c r="F449" i="37"/>
  <c r="I449" i="37" s="1"/>
  <c r="J449" i="37" s="1"/>
  <c r="K449" i="37" s="1"/>
  <c r="F405" i="37"/>
  <c r="I405" i="37" s="1"/>
  <c r="J405" i="37" s="1"/>
  <c r="K405" i="37" s="1"/>
  <c r="F405" i="29"/>
  <c r="I405" i="29" s="1"/>
  <c r="J405" i="29" s="1"/>
  <c r="K405" i="29" s="1"/>
  <c r="F361" i="29"/>
  <c r="I361" i="29" s="1"/>
  <c r="J361" i="29" s="1"/>
  <c r="K361" i="29" s="1"/>
  <c r="F295" i="29"/>
  <c r="I295" i="29" s="1"/>
  <c r="J295" i="29" s="1"/>
  <c r="K295" i="29" s="1"/>
  <c r="B17" i="39"/>
  <c r="F17" i="39" s="1"/>
  <c r="I17" i="39" s="1"/>
  <c r="J17" i="39" s="1"/>
  <c r="K17" i="39" s="1"/>
  <c r="B6" i="39"/>
  <c r="F6" i="39" s="1"/>
  <c r="I6" i="39" s="1"/>
  <c r="J6" i="39" s="1"/>
  <c r="K6" i="39" s="1"/>
  <c r="F383" i="29"/>
  <c r="I383" i="29" s="1"/>
  <c r="J383" i="29" s="1"/>
  <c r="K383" i="29" s="1"/>
  <c r="B38" i="37"/>
  <c r="F38" i="37" s="1"/>
  <c r="I38" i="37" s="1"/>
  <c r="J38" i="37" s="1"/>
  <c r="K38" i="37" s="1"/>
  <c r="B23" i="29"/>
  <c r="B23" i="37"/>
  <c r="F23" i="37" s="1"/>
  <c r="I23" i="37" s="1"/>
  <c r="J23" i="37" s="1"/>
  <c r="K23" i="37" s="1"/>
  <c r="B67" i="29"/>
  <c r="B273" i="29"/>
  <c r="B38" i="29"/>
  <c r="B173" i="29"/>
  <c r="B218" i="29"/>
  <c r="B184" i="37"/>
  <c r="F184" i="37" s="1"/>
  <c r="I184" i="37" s="1"/>
  <c r="J184" i="37" s="1"/>
  <c r="K184" i="37" s="1"/>
  <c r="A157" i="35"/>
  <c r="E162" i="35" s="1"/>
  <c r="D162" i="35" s="1"/>
  <c r="B184" i="29"/>
  <c r="B158" i="37"/>
  <c r="F158" i="37" s="1"/>
  <c r="I158" i="37" s="1"/>
  <c r="J158" i="37" s="1"/>
  <c r="K158" i="37" s="1"/>
  <c r="B98" i="29"/>
  <c r="B8" i="37"/>
  <c r="F8" i="37" s="1"/>
  <c r="I8" i="37" s="1"/>
  <c r="J8" i="37" s="1"/>
  <c r="K8" i="37" s="1"/>
  <c r="B98" i="37"/>
  <c r="F98" i="37" s="1"/>
  <c r="I98" i="37" s="1"/>
  <c r="J98" i="37" s="1"/>
  <c r="K98" i="37" s="1"/>
  <c r="B53" i="37"/>
  <c r="F53" i="37" s="1"/>
  <c r="I53" i="37" s="1"/>
  <c r="J53" i="37" s="1"/>
  <c r="K53" i="37" s="1"/>
  <c r="B83" i="29"/>
  <c r="B82" i="37"/>
  <c r="F82" i="37" s="1"/>
  <c r="I82" i="37" s="1"/>
  <c r="J82" i="37" s="1"/>
  <c r="K82" i="37" s="1"/>
  <c r="F361" i="37"/>
  <c r="I361" i="37" s="1"/>
  <c r="J361" i="37" s="1"/>
  <c r="K361" i="37" s="1"/>
  <c r="B113" i="37"/>
  <c r="F113" i="37" s="1"/>
  <c r="I113" i="37" s="1"/>
  <c r="J113" i="37" s="1"/>
  <c r="K113" i="37" s="1"/>
  <c r="B68" i="37"/>
  <c r="F68" i="37" s="1"/>
  <c r="I68" i="37" s="1"/>
  <c r="J68" i="37" s="1"/>
  <c r="K68" i="37" s="1"/>
  <c r="B127" i="37"/>
  <c r="F127" i="37" s="1"/>
  <c r="I127" i="37" s="1"/>
  <c r="J127" i="37" s="1"/>
  <c r="K127" i="37" s="1"/>
  <c r="B22" i="29"/>
  <c r="B127" i="29"/>
  <c r="B128" i="37"/>
  <c r="F128" i="37" s="1"/>
  <c r="I128" i="37" s="1"/>
  <c r="J128" i="37" s="1"/>
  <c r="K128" i="37" s="1"/>
  <c r="B67" i="37"/>
  <c r="F67" i="37" s="1"/>
  <c r="I67" i="37" s="1"/>
  <c r="J67" i="37" s="1"/>
  <c r="K67" i="37" s="1"/>
  <c r="B82" i="29"/>
  <c r="B37" i="37"/>
  <c r="F37" i="37" s="1"/>
  <c r="I37" i="37" s="1"/>
  <c r="J37" i="37" s="1"/>
  <c r="K37" i="37" s="1"/>
  <c r="B157" i="37"/>
  <c r="F157" i="37" s="1"/>
  <c r="I157" i="37" s="1"/>
  <c r="J157" i="37" s="1"/>
  <c r="K157" i="37" s="1"/>
  <c r="B142" i="37"/>
  <c r="F142" i="37" s="1"/>
  <c r="I142" i="37" s="1"/>
  <c r="J142" i="37" s="1"/>
  <c r="K142" i="37" s="1"/>
  <c r="B143" i="29"/>
  <c r="B128" i="29"/>
  <c r="B37" i="29"/>
  <c r="B97" i="29"/>
  <c r="B157" i="29"/>
  <c r="B97" i="37"/>
  <c r="F97" i="37" s="1"/>
  <c r="I97" i="37" s="1"/>
  <c r="J97" i="37" s="1"/>
  <c r="K97" i="37" s="1"/>
  <c r="B52" i="37"/>
  <c r="F52" i="37" s="1"/>
  <c r="I52" i="37" s="1"/>
  <c r="J52" i="37" s="1"/>
  <c r="K52" i="37" s="1"/>
  <c r="B7" i="37"/>
  <c r="F7" i="37" s="1"/>
  <c r="I7" i="37" s="1"/>
  <c r="J7" i="37" s="1"/>
  <c r="K7" i="37" s="1"/>
  <c r="F306" i="37"/>
  <c r="I306" i="37" s="1"/>
  <c r="J306" i="37" s="1"/>
  <c r="K306" i="37" s="1"/>
  <c r="B112" i="37"/>
  <c r="F112" i="37" s="1"/>
  <c r="I112" i="37" s="1"/>
  <c r="J112" i="37" s="1"/>
  <c r="K112" i="37" s="1"/>
  <c r="B53" i="29"/>
  <c r="B143" i="37"/>
  <c r="F143" i="37" s="1"/>
  <c r="I143" i="37" s="1"/>
  <c r="J143" i="37" s="1"/>
  <c r="K143" i="37" s="1"/>
  <c r="F394" i="29"/>
  <c r="I394" i="29" s="1"/>
  <c r="J394" i="29" s="1"/>
  <c r="K394" i="29" s="1"/>
  <c r="B142" i="29"/>
  <c r="F383" i="37"/>
  <c r="I383" i="37" s="1"/>
  <c r="J383" i="37" s="1"/>
  <c r="K383" i="37" s="1"/>
  <c r="F350" i="37"/>
  <c r="I350" i="37" s="1"/>
  <c r="J350" i="37" s="1"/>
  <c r="K350" i="37" s="1"/>
  <c r="B83" i="37"/>
  <c r="F83" i="37" s="1"/>
  <c r="I83" i="37" s="1"/>
  <c r="J83" i="37" s="1"/>
  <c r="K83" i="37" s="1"/>
  <c r="F416" i="37"/>
  <c r="I416" i="37" s="1"/>
  <c r="J416" i="37" s="1"/>
  <c r="K416" i="37" s="1"/>
  <c r="B7" i="29"/>
  <c r="B68" i="29"/>
  <c r="F328" i="29"/>
  <c r="I328" i="29" s="1"/>
  <c r="J328" i="29" s="1"/>
  <c r="K328" i="29" s="1"/>
  <c r="B52" i="29"/>
  <c r="B112" i="29"/>
  <c r="B22" i="37"/>
  <c r="F22" i="37" s="1"/>
  <c r="I22" i="37" s="1"/>
  <c r="J22" i="37" s="1"/>
  <c r="K22" i="37" s="1"/>
  <c r="B113" i="29"/>
  <c r="B240" i="29"/>
  <c r="B173" i="37"/>
  <c r="F173" i="37" s="1"/>
  <c r="I173" i="37" s="1"/>
  <c r="J173" i="37" s="1"/>
  <c r="K173" i="37" s="1"/>
  <c r="B206" i="29"/>
  <c r="B273" i="37"/>
  <c r="F273" i="37" s="1"/>
  <c r="I273" i="37" s="1"/>
  <c r="J273" i="37" s="1"/>
  <c r="K273" i="37" s="1"/>
  <c r="B195" i="37"/>
  <c r="F195" i="37" s="1"/>
  <c r="I195" i="37" s="1"/>
  <c r="J195" i="37" s="1"/>
  <c r="K195" i="37" s="1"/>
  <c r="A143" i="19"/>
  <c r="B158" i="31" s="1"/>
  <c r="B159" i="38" s="1"/>
  <c r="B262" i="29"/>
  <c r="B262" i="37"/>
  <c r="F262" i="37" s="1"/>
  <c r="I262" i="37" s="1"/>
  <c r="J262" i="37" s="1"/>
  <c r="K262" i="37" s="1"/>
  <c r="B229" i="29"/>
  <c r="B206" i="37"/>
  <c r="F206" i="37" s="1"/>
  <c r="I206" i="37" s="1"/>
  <c r="J206" i="37" s="1"/>
  <c r="K206" i="37" s="1"/>
  <c r="B218" i="37"/>
  <c r="F218" i="37" s="1"/>
  <c r="I218" i="37" s="1"/>
  <c r="J218" i="37" s="1"/>
  <c r="K218" i="37" s="1"/>
  <c r="B195" i="29"/>
  <c r="B284" i="29"/>
  <c r="B284" i="37"/>
  <c r="F284" i="37" s="1"/>
  <c r="I284" i="37" s="1"/>
  <c r="J284" i="37" s="1"/>
  <c r="K284" i="37" s="1"/>
  <c r="B251" i="29"/>
  <c r="B240" i="37"/>
  <c r="F240" i="37" s="1"/>
  <c r="I240" i="37" s="1"/>
  <c r="J240" i="37" s="1"/>
  <c r="K240" i="37" s="1"/>
  <c r="K51" i="37"/>
  <c r="K96" i="37"/>
  <c r="K251" i="37"/>
  <c r="L339" i="33"/>
  <c r="L338" i="33"/>
  <c r="E161" i="35" l="1"/>
  <c r="D161" i="35" s="1"/>
  <c r="E163" i="35"/>
  <c r="D163" i="35" s="1"/>
  <c r="B166" i="35"/>
  <c r="B10" i="36" s="1"/>
  <c r="B165" i="35"/>
  <c r="B9" i="36" s="1"/>
  <c r="C168" i="35"/>
  <c r="B167" i="35"/>
  <c r="B11" i="36" s="1"/>
  <c r="E168" i="35"/>
  <c r="D168" i="35" s="1"/>
  <c r="C164" i="35"/>
  <c r="C169" i="35"/>
  <c r="B162" i="35"/>
  <c r="B6" i="36" s="1"/>
  <c r="E166" i="35"/>
  <c r="D166" i="35" s="1"/>
  <c r="C163" i="35"/>
  <c r="C167" i="35"/>
  <c r="B163" i="35"/>
  <c r="B7" i="36" s="1"/>
  <c r="E167" i="35"/>
  <c r="D167" i="35" s="1"/>
  <c r="C165" i="35"/>
  <c r="B161" i="35"/>
  <c r="B5" i="36" s="1"/>
  <c r="E169" i="35"/>
  <c r="D169" i="35" s="1"/>
  <c r="E164" i="35"/>
  <c r="D164" i="35" s="1"/>
  <c r="B169" i="35"/>
  <c r="B13" i="36" s="1"/>
  <c r="C161" i="35"/>
  <c r="E165" i="35"/>
  <c r="D165" i="35" s="1"/>
  <c r="B168" i="35"/>
  <c r="B12" i="36" s="1"/>
  <c r="B164" i="35"/>
  <c r="B8" i="36" s="1"/>
  <c r="C166" i="35"/>
  <c r="C162" i="35"/>
  <c r="H36" i="19"/>
  <c r="C21" i="36" s="1"/>
  <c r="I138" i="19" l="1"/>
  <c r="H138" i="19"/>
  <c r="C119" i="36" s="1"/>
  <c r="I137" i="19"/>
  <c r="H137" i="19"/>
  <c r="C118" i="36" s="1"/>
  <c r="I136" i="19"/>
  <c r="H136" i="19"/>
  <c r="C117" i="36" s="1"/>
  <c r="I135" i="19"/>
  <c r="H135" i="19"/>
  <c r="C116" i="36" s="1"/>
  <c r="I134" i="19"/>
  <c r="H134" i="19"/>
  <c r="C115" i="36" s="1"/>
  <c r="I133" i="19"/>
  <c r="H133" i="19"/>
  <c r="C114" i="36" s="1"/>
  <c r="I132" i="19"/>
  <c r="H132" i="19"/>
  <c r="C113" i="36" s="1"/>
  <c r="I131" i="19"/>
  <c r="H131" i="19"/>
  <c r="C112" i="36" s="1"/>
  <c r="E112" i="36" s="1"/>
  <c r="G112" i="36" s="1"/>
  <c r="I126" i="19"/>
  <c r="B404" i="37" s="1"/>
  <c r="F404" i="37" s="1"/>
  <c r="I404" i="37" s="1"/>
  <c r="J404" i="37" s="1"/>
  <c r="H126" i="19"/>
  <c r="C100" i="36" s="1"/>
  <c r="I125" i="19"/>
  <c r="B393" i="37" s="1"/>
  <c r="F393" i="37" s="1"/>
  <c r="I393" i="37" s="1"/>
  <c r="J393" i="37" s="1"/>
  <c r="H125" i="19"/>
  <c r="C99" i="36" s="1"/>
  <c r="I124" i="19"/>
  <c r="B382" i="37" s="1"/>
  <c r="F382" i="37" s="1"/>
  <c r="I382" i="37" s="1"/>
  <c r="J382" i="37" s="1"/>
  <c r="H124" i="19"/>
  <c r="C98" i="36" s="1"/>
  <c r="I123" i="19"/>
  <c r="B371" i="37" s="1"/>
  <c r="F371" i="37" s="1"/>
  <c r="I371" i="37" s="1"/>
  <c r="J371" i="37" s="1"/>
  <c r="H123" i="19"/>
  <c r="C97" i="36" s="1"/>
  <c r="I122" i="19"/>
  <c r="B360" i="37" s="1"/>
  <c r="F360" i="37" s="1"/>
  <c r="I360" i="37" s="1"/>
  <c r="J360" i="37" s="1"/>
  <c r="H122" i="19"/>
  <c r="C96" i="36" s="1"/>
  <c r="I121" i="19"/>
  <c r="B349" i="37" s="1"/>
  <c r="F349" i="37" s="1"/>
  <c r="I349" i="37" s="1"/>
  <c r="J349" i="37" s="1"/>
  <c r="H121" i="19"/>
  <c r="C95" i="36" s="1"/>
  <c r="I120" i="19"/>
  <c r="B338" i="37" s="1"/>
  <c r="F338" i="37" s="1"/>
  <c r="I338" i="37" s="1"/>
  <c r="J338" i="37" s="1"/>
  <c r="H120" i="19"/>
  <c r="C94" i="36" s="1"/>
  <c r="I119" i="19"/>
  <c r="B327" i="37" s="1"/>
  <c r="F327" i="37" s="1"/>
  <c r="I327" i="37" s="1"/>
  <c r="J327" i="37" s="1"/>
  <c r="H119" i="19"/>
  <c r="C93" i="36" s="1"/>
  <c r="I118" i="19"/>
  <c r="B316" i="37" s="1"/>
  <c r="F316" i="37" s="1"/>
  <c r="I316" i="37" s="1"/>
  <c r="J316" i="37" s="1"/>
  <c r="H118" i="19"/>
  <c r="C92" i="36" s="1"/>
  <c r="I117" i="19"/>
  <c r="B305" i="37" s="1"/>
  <c r="F305" i="37" s="1"/>
  <c r="I305" i="37" s="1"/>
  <c r="J305" i="37" s="1"/>
  <c r="H117" i="19"/>
  <c r="I116" i="19"/>
  <c r="B294" i="37" s="1"/>
  <c r="F294" i="37" s="1"/>
  <c r="I294" i="37" s="1"/>
  <c r="J294" i="37" s="1"/>
  <c r="H116" i="19"/>
  <c r="B470" i="37" l="1"/>
  <c r="F470" i="37" s="1"/>
  <c r="I470" i="37" s="1"/>
  <c r="J470" i="37" s="1"/>
  <c r="K470" i="37" s="1"/>
  <c r="K473" i="37" s="1"/>
  <c r="B60" i="39"/>
  <c r="F60" i="39" s="1"/>
  <c r="I60" i="39" s="1"/>
  <c r="J60" i="39" s="1"/>
  <c r="B415" i="37"/>
  <c r="F415" i="37" s="1"/>
  <c r="I415" i="37" s="1"/>
  <c r="J415" i="37" s="1"/>
  <c r="K415" i="37" s="1"/>
  <c r="K418" i="37" s="1"/>
  <c r="B5" i="39"/>
  <c r="F5" i="39" s="1"/>
  <c r="I5" i="39" s="1"/>
  <c r="J5" i="39" s="1"/>
  <c r="B437" i="37"/>
  <c r="F437" i="37" s="1"/>
  <c r="I437" i="37" s="1"/>
  <c r="J437" i="37" s="1"/>
  <c r="K437" i="37" s="1"/>
  <c r="K440" i="37" s="1"/>
  <c r="B27" i="39"/>
  <c r="F27" i="39" s="1"/>
  <c r="I27" i="39" s="1"/>
  <c r="J27" i="39" s="1"/>
  <c r="B459" i="37"/>
  <c r="F459" i="37" s="1"/>
  <c r="I459" i="37" s="1"/>
  <c r="J459" i="37" s="1"/>
  <c r="J462" i="37" s="1"/>
  <c r="J463" i="37" s="1"/>
  <c r="B49" i="39"/>
  <c r="F49" i="39" s="1"/>
  <c r="I49" i="39" s="1"/>
  <c r="J49" i="39" s="1"/>
  <c r="B481" i="37"/>
  <c r="F481" i="37" s="1"/>
  <c r="I481" i="37" s="1"/>
  <c r="J481" i="37" s="1"/>
  <c r="K481" i="37" s="1"/>
  <c r="K484" i="37" s="1"/>
  <c r="B71" i="39"/>
  <c r="F71" i="39" s="1"/>
  <c r="I71" i="39" s="1"/>
  <c r="J71" i="39" s="1"/>
  <c r="B426" i="37"/>
  <c r="F426" i="37" s="1"/>
  <c r="I426" i="37" s="1"/>
  <c r="J426" i="37" s="1"/>
  <c r="J429" i="37" s="1"/>
  <c r="J430" i="37" s="1"/>
  <c r="B16" i="39"/>
  <c r="F16" i="39" s="1"/>
  <c r="I16" i="39" s="1"/>
  <c r="J16" i="39" s="1"/>
  <c r="B448" i="37"/>
  <c r="F448" i="37" s="1"/>
  <c r="I448" i="37" s="1"/>
  <c r="J448" i="37" s="1"/>
  <c r="K448" i="37" s="1"/>
  <c r="K451" i="37" s="1"/>
  <c r="B38" i="39"/>
  <c r="F38" i="39" s="1"/>
  <c r="I38" i="39" s="1"/>
  <c r="J38" i="39" s="1"/>
  <c r="B492" i="37"/>
  <c r="F492" i="37" s="1"/>
  <c r="I492" i="37" s="1"/>
  <c r="J492" i="37" s="1"/>
  <c r="K492" i="37" s="1"/>
  <c r="K495" i="37" s="1"/>
  <c r="B82" i="39"/>
  <c r="F82" i="39" s="1"/>
  <c r="I82" i="39" s="1"/>
  <c r="J82" i="39" s="1"/>
  <c r="C91" i="36"/>
  <c r="K305" i="37"/>
  <c r="K308" i="37" s="1"/>
  <c r="J308" i="37"/>
  <c r="J309" i="37" s="1"/>
  <c r="K327" i="37"/>
  <c r="K330" i="37" s="1"/>
  <c r="J330" i="37"/>
  <c r="J331" i="37" s="1"/>
  <c r="K349" i="37"/>
  <c r="K352" i="37" s="1"/>
  <c r="J352" i="37"/>
  <c r="J353" i="37" s="1"/>
  <c r="K371" i="37"/>
  <c r="K374" i="37" s="1"/>
  <c r="J374" i="37"/>
  <c r="J375" i="37" s="1"/>
  <c r="K393" i="37"/>
  <c r="K396" i="37" s="1"/>
  <c r="J396" i="37"/>
  <c r="J397" i="37" s="1"/>
  <c r="C90" i="36"/>
  <c r="K294" i="37"/>
  <c r="K297" i="37" s="1"/>
  <c r="J297" i="37"/>
  <c r="J298" i="37" s="1"/>
  <c r="K316" i="37"/>
  <c r="K319" i="37" s="1"/>
  <c r="J319" i="37"/>
  <c r="J320" i="37" s="1"/>
  <c r="K338" i="37"/>
  <c r="K341" i="37" s="1"/>
  <c r="J341" i="37"/>
  <c r="J342" i="37" s="1"/>
  <c r="K360" i="37"/>
  <c r="K363" i="37" s="1"/>
  <c r="J363" i="37"/>
  <c r="J364" i="37" s="1"/>
  <c r="K382" i="37"/>
  <c r="K385" i="37" s="1"/>
  <c r="J385" i="37"/>
  <c r="J386" i="37" s="1"/>
  <c r="K404" i="37"/>
  <c r="K407" i="37" s="1"/>
  <c r="J407" i="37"/>
  <c r="J408" i="37" s="1"/>
  <c r="J473" i="37"/>
  <c r="J474" i="37" s="1"/>
  <c r="I64" i="19"/>
  <c r="B305" i="29" s="1"/>
  <c r="F305" i="29" s="1"/>
  <c r="I305" i="29" s="1"/>
  <c r="J305" i="29" s="1"/>
  <c r="I65" i="19"/>
  <c r="B316" i="29" s="1"/>
  <c r="F316" i="29" s="1"/>
  <c r="I316" i="29" s="1"/>
  <c r="J316" i="29" s="1"/>
  <c r="I66" i="19"/>
  <c r="B327" i="29" s="1"/>
  <c r="F327" i="29" s="1"/>
  <c r="I327" i="29" s="1"/>
  <c r="J327" i="29" s="1"/>
  <c r="I67" i="19"/>
  <c r="B338" i="29" s="1"/>
  <c r="F338" i="29" s="1"/>
  <c r="I338" i="29" s="1"/>
  <c r="J338" i="29" s="1"/>
  <c r="I68" i="19"/>
  <c r="B349" i="29" s="1"/>
  <c r="F349" i="29" s="1"/>
  <c r="I349" i="29" s="1"/>
  <c r="J349" i="29" s="1"/>
  <c r="I69" i="19"/>
  <c r="B360" i="29" s="1"/>
  <c r="F360" i="29" s="1"/>
  <c r="I360" i="29" s="1"/>
  <c r="J360" i="29" s="1"/>
  <c r="I70" i="19"/>
  <c r="B371" i="29" s="1"/>
  <c r="F371" i="29" s="1"/>
  <c r="I371" i="29" s="1"/>
  <c r="J371" i="29" s="1"/>
  <c r="I71" i="19"/>
  <c r="B382" i="29" s="1"/>
  <c r="F382" i="29" s="1"/>
  <c r="I382" i="29" s="1"/>
  <c r="J382" i="29" s="1"/>
  <c r="I72" i="19"/>
  <c r="B393" i="29" s="1"/>
  <c r="F393" i="29" s="1"/>
  <c r="I393" i="29" s="1"/>
  <c r="J393" i="29" s="1"/>
  <c r="I73" i="19"/>
  <c r="B404" i="29" s="1"/>
  <c r="F404" i="29" s="1"/>
  <c r="I404" i="29" s="1"/>
  <c r="J404" i="29" s="1"/>
  <c r="H64" i="19"/>
  <c r="C67" i="36" s="1"/>
  <c r="H65" i="19"/>
  <c r="C68" i="36" s="1"/>
  <c r="H66" i="19"/>
  <c r="C69" i="36" s="1"/>
  <c r="H67" i="19"/>
  <c r="C70" i="36" s="1"/>
  <c r="H68" i="19"/>
  <c r="C71" i="36" s="1"/>
  <c r="H69" i="19"/>
  <c r="C72" i="36" s="1"/>
  <c r="H70" i="19"/>
  <c r="C73" i="36" s="1"/>
  <c r="H71" i="19"/>
  <c r="C74" i="36" s="1"/>
  <c r="H72" i="19"/>
  <c r="C75" i="36" s="1"/>
  <c r="H73" i="19"/>
  <c r="C76" i="36" s="1"/>
  <c r="I63" i="19"/>
  <c r="B294" i="29" s="1"/>
  <c r="F294" i="29" s="1"/>
  <c r="I294" i="29" s="1"/>
  <c r="J294" i="29" s="1"/>
  <c r="H63" i="19"/>
  <c r="C66" i="36" s="1"/>
  <c r="J440" i="37" l="1"/>
  <c r="J441" i="37" s="1"/>
  <c r="J442" i="37" s="1"/>
  <c r="J443" i="37" s="1"/>
  <c r="J444" i="37" s="1"/>
  <c r="J451" i="37"/>
  <c r="J452" i="37" s="1"/>
  <c r="J453" i="37" s="1"/>
  <c r="J454" i="37" s="1"/>
  <c r="J455" i="37" s="1"/>
  <c r="J484" i="37"/>
  <c r="J485" i="37" s="1"/>
  <c r="J486" i="37" s="1"/>
  <c r="J487" i="37" s="1"/>
  <c r="J488" i="37" s="1"/>
  <c r="K459" i="37"/>
  <c r="K462" i="37" s="1"/>
  <c r="J464" i="37" s="1"/>
  <c r="J465" i="37" s="1"/>
  <c r="J466" i="37" s="1"/>
  <c r="J495" i="37"/>
  <c r="J496" i="37" s="1"/>
  <c r="J497" i="37" s="1"/>
  <c r="J498" i="37" s="1"/>
  <c r="J499" i="37" s="1"/>
  <c r="K426" i="37"/>
  <c r="K429" i="37" s="1"/>
  <c r="J431" i="37" s="1"/>
  <c r="J432" i="37" s="1"/>
  <c r="J433" i="37" s="1"/>
  <c r="J418" i="37"/>
  <c r="J419" i="37" s="1"/>
  <c r="J420" i="37" s="1"/>
  <c r="J421" i="37" s="1"/>
  <c r="J422" i="37" s="1"/>
  <c r="J85" i="39"/>
  <c r="J86" i="39" s="1"/>
  <c r="K82" i="39"/>
  <c r="K85" i="39" s="1"/>
  <c r="K16" i="39"/>
  <c r="K19" i="39" s="1"/>
  <c r="J19" i="39"/>
  <c r="J20" i="39" s="1"/>
  <c r="K49" i="39"/>
  <c r="K52" i="39" s="1"/>
  <c r="J52" i="39"/>
  <c r="J53" i="39" s="1"/>
  <c r="K5" i="39"/>
  <c r="K8" i="39" s="1"/>
  <c r="J8" i="39"/>
  <c r="J9" i="39" s="1"/>
  <c r="J41" i="39"/>
  <c r="J42" i="39" s="1"/>
  <c r="K38" i="39"/>
  <c r="K41" i="39" s="1"/>
  <c r="J74" i="39"/>
  <c r="J75" i="39" s="1"/>
  <c r="K71" i="39"/>
  <c r="K74" i="39" s="1"/>
  <c r="K27" i="39"/>
  <c r="K30" i="39" s="1"/>
  <c r="J30" i="39"/>
  <c r="J31" i="39" s="1"/>
  <c r="J63" i="39"/>
  <c r="J64" i="39" s="1"/>
  <c r="K60" i="39"/>
  <c r="K63" i="39" s="1"/>
  <c r="J398" i="37"/>
  <c r="J399" i="37" s="1"/>
  <c r="J400" i="37" s="1"/>
  <c r="F99" i="36" s="1"/>
  <c r="J130" i="31" s="1"/>
  <c r="K135" i="38" s="1"/>
  <c r="J354" i="37"/>
  <c r="J355" i="37" s="1"/>
  <c r="J356" i="37" s="1"/>
  <c r="F95" i="36" s="1"/>
  <c r="J126" i="31" s="1"/>
  <c r="K131" i="38" s="1"/>
  <c r="J310" i="37"/>
  <c r="J311" i="37" s="1"/>
  <c r="J312" i="37" s="1"/>
  <c r="F91" i="36" s="1"/>
  <c r="J122" i="31" s="1"/>
  <c r="K127" i="38" s="1"/>
  <c r="J376" i="37"/>
  <c r="J377" i="37" s="1"/>
  <c r="J378" i="37" s="1"/>
  <c r="F97" i="36" s="1"/>
  <c r="J128" i="31" s="1"/>
  <c r="K133" i="38" s="1"/>
  <c r="J332" i="37"/>
  <c r="J333" i="37" s="1"/>
  <c r="J334" i="37" s="1"/>
  <c r="F93" i="36" s="1"/>
  <c r="J124" i="31" s="1"/>
  <c r="K129" i="38" s="1"/>
  <c r="E114" i="36"/>
  <c r="G114" i="36" s="1"/>
  <c r="E92" i="36"/>
  <c r="G92" i="36" s="1"/>
  <c r="E115" i="36"/>
  <c r="G115" i="36" s="1"/>
  <c r="E93" i="36"/>
  <c r="G93" i="36" s="1"/>
  <c r="E100" i="36"/>
  <c r="G100" i="36" s="1"/>
  <c r="E94" i="36"/>
  <c r="G94" i="36" s="1"/>
  <c r="E117" i="36"/>
  <c r="G117" i="36" s="1"/>
  <c r="E96" i="36"/>
  <c r="G96" i="36" s="1"/>
  <c r="E116" i="36"/>
  <c r="G116" i="36" s="1"/>
  <c r="E97" i="36"/>
  <c r="G97" i="36" s="1"/>
  <c r="E98" i="36"/>
  <c r="G98" i="36" s="1"/>
  <c r="E113" i="36"/>
  <c r="G113" i="36" s="1"/>
  <c r="K294" i="29"/>
  <c r="K297" i="29" s="1"/>
  <c r="J297" i="29"/>
  <c r="J298" i="29" s="1"/>
  <c r="K393" i="29"/>
  <c r="K396" i="29" s="1"/>
  <c r="J396" i="29"/>
  <c r="J397" i="29" s="1"/>
  <c r="K349" i="29"/>
  <c r="K352" i="29" s="1"/>
  <c r="J352" i="29"/>
  <c r="J353" i="29" s="1"/>
  <c r="K305" i="29"/>
  <c r="K308" i="29" s="1"/>
  <c r="J308" i="29"/>
  <c r="J309" i="29" s="1"/>
  <c r="K382" i="29"/>
  <c r="K385" i="29" s="1"/>
  <c r="J385" i="29"/>
  <c r="J386" i="29" s="1"/>
  <c r="K338" i="29"/>
  <c r="K341" i="29" s="1"/>
  <c r="J341" i="29"/>
  <c r="J342" i="29" s="1"/>
  <c r="J409" i="37"/>
  <c r="J410" i="37" s="1"/>
  <c r="J411" i="37" s="1"/>
  <c r="F100" i="36" s="1"/>
  <c r="J131" i="31" s="1"/>
  <c r="K136" i="38" s="1"/>
  <c r="J365" i="37"/>
  <c r="J366" i="37" s="1"/>
  <c r="J367" i="37" s="1"/>
  <c r="F96" i="36" s="1"/>
  <c r="J127" i="31" s="1"/>
  <c r="K132" i="38" s="1"/>
  <c r="J321" i="37"/>
  <c r="J322" i="37" s="1"/>
  <c r="J323" i="37" s="1"/>
  <c r="F92" i="36" s="1"/>
  <c r="J123" i="31" s="1"/>
  <c r="K128" i="38" s="1"/>
  <c r="K371" i="29"/>
  <c r="K374" i="29" s="1"/>
  <c r="J374" i="29"/>
  <c r="J375" i="29" s="1"/>
  <c r="K327" i="29"/>
  <c r="K330" i="29" s="1"/>
  <c r="J330" i="29"/>
  <c r="J331" i="29" s="1"/>
  <c r="K404" i="29"/>
  <c r="K407" i="29" s="1"/>
  <c r="J407" i="29"/>
  <c r="J408" i="29" s="1"/>
  <c r="K360" i="29"/>
  <c r="K363" i="29" s="1"/>
  <c r="J363" i="29"/>
  <c r="J364" i="29" s="1"/>
  <c r="K316" i="29"/>
  <c r="K319" i="29" s="1"/>
  <c r="J319" i="29"/>
  <c r="J320" i="29" s="1"/>
  <c r="J475" i="37"/>
  <c r="J476" i="37" s="1"/>
  <c r="J477" i="37" s="1"/>
  <c r="J387" i="37"/>
  <c r="J388" i="37" s="1"/>
  <c r="J389" i="37" s="1"/>
  <c r="F98" i="36" s="1"/>
  <c r="J129" i="31" s="1"/>
  <c r="K134" i="38" s="1"/>
  <c r="J343" i="37"/>
  <c r="J344" i="37" s="1"/>
  <c r="J345" i="37" s="1"/>
  <c r="F94" i="36" s="1"/>
  <c r="J125" i="31" s="1"/>
  <c r="K130" i="38" s="1"/>
  <c r="J299" i="37"/>
  <c r="J300" i="37" s="1"/>
  <c r="J301" i="37" s="1"/>
  <c r="F90" i="36" s="1"/>
  <c r="J121" i="31" s="1"/>
  <c r="K126" i="38" s="1"/>
  <c r="E119" i="36"/>
  <c r="G119" i="36" s="1"/>
  <c r="A353" i="33"/>
  <c r="J364" i="33"/>
  <c r="I364" i="33"/>
  <c r="J363" i="33"/>
  <c r="I363" i="33"/>
  <c r="J362" i="33"/>
  <c r="I362" i="33"/>
  <c r="J361" i="33"/>
  <c r="I361" i="33"/>
  <c r="J360" i="33"/>
  <c r="I360" i="33"/>
  <c r="J359" i="33"/>
  <c r="I359" i="33"/>
  <c r="J358" i="33"/>
  <c r="I358" i="33"/>
  <c r="J357" i="33"/>
  <c r="I357" i="33"/>
  <c r="J356" i="33"/>
  <c r="I356" i="33"/>
  <c r="J355" i="33"/>
  <c r="I355" i="33"/>
  <c r="J354" i="33"/>
  <c r="I354" i="33"/>
  <c r="A347" i="33"/>
  <c r="L325" i="33"/>
  <c r="K325" i="33"/>
  <c r="J325" i="33"/>
  <c r="E325" i="33"/>
  <c r="D325" i="33"/>
  <c r="C325" i="33"/>
  <c r="L324" i="33"/>
  <c r="K324" i="33"/>
  <c r="J324" i="33"/>
  <c r="E324" i="33"/>
  <c r="D324" i="33"/>
  <c r="C324" i="33"/>
  <c r="L323" i="33"/>
  <c r="K323" i="33"/>
  <c r="J323" i="33"/>
  <c r="E323" i="33"/>
  <c r="D323" i="33"/>
  <c r="C323" i="33"/>
  <c r="L322" i="33"/>
  <c r="K322" i="33"/>
  <c r="J322" i="33"/>
  <c r="E322" i="33"/>
  <c r="D322" i="33"/>
  <c r="C322" i="33"/>
  <c r="L321" i="33"/>
  <c r="K321" i="33"/>
  <c r="J321" i="33"/>
  <c r="E321" i="33"/>
  <c r="D321" i="33"/>
  <c r="C321" i="33"/>
  <c r="L320" i="33"/>
  <c r="K320" i="33"/>
  <c r="J320" i="33"/>
  <c r="E320" i="33"/>
  <c r="D320" i="33"/>
  <c r="C320" i="33"/>
  <c r="L319" i="33"/>
  <c r="K319" i="33"/>
  <c r="J319" i="33"/>
  <c r="E319" i="33"/>
  <c r="D319" i="33"/>
  <c r="C319" i="33"/>
  <c r="L318" i="33"/>
  <c r="K318" i="33"/>
  <c r="J318" i="33"/>
  <c r="E318" i="33"/>
  <c r="D318" i="33"/>
  <c r="C318" i="33"/>
  <c r="L317" i="33"/>
  <c r="K317" i="33"/>
  <c r="J317" i="33"/>
  <c r="E317" i="33"/>
  <c r="D317" i="33"/>
  <c r="C317" i="33"/>
  <c r="L316" i="33"/>
  <c r="K316" i="33"/>
  <c r="J316" i="33"/>
  <c r="E316" i="33"/>
  <c r="D316" i="33"/>
  <c r="C316" i="33"/>
  <c r="L315" i="33"/>
  <c r="K315" i="33"/>
  <c r="J315" i="33"/>
  <c r="E315" i="33"/>
  <c r="D315" i="33"/>
  <c r="C315" i="33"/>
  <c r="L306" i="33"/>
  <c r="K306" i="33"/>
  <c r="J306" i="33"/>
  <c r="E306" i="33"/>
  <c r="D306" i="33"/>
  <c r="C306" i="33"/>
  <c r="L305" i="33"/>
  <c r="K305" i="33"/>
  <c r="J305" i="33"/>
  <c r="E305" i="33"/>
  <c r="D305" i="33"/>
  <c r="C305" i="33"/>
  <c r="L304" i="33"/>
  <c r="K304" i="33"/>
  <c r="J304" i="33"/>
  <c r="E304" i="33"/>
  <c r="D304" i="33"/>
  <c r="C304" i="33"/>
  <c r="L303" i="33"/>
  <c r="K303" i="33"/>
  <c r="J303" i="33"/>
  <c r="E303" i="33"/>
  <c r="D303" i="33"/>
  <c r="C303" i="33"/>
  <c r="L302" i="33"/>
  <c r="K302" i="33"/>
  <c r="J302" i="33"/>
  <c r="E302" i="33"/>
  <c r="D302" i="33"/>
  <c r="C302" i="33"/>
  <c r="L301" i="33"/>
  <c r="K301" i="33"/>
  <c r="J301" i="33"/>
  <c r="E301" i="33"/>
  <c r="D301" i="33"/>
  <c r="C301" i="33"/>
  <c r="L300" i="33"/>
  <c r="K300" i="33"/>
  <c r="J300" i="33"/>
  <c r="E300" i="33"/>
  <c r="D300" i="33"/>
  <c r="C300" i="33"/>
  <c r="L299" i="33"/>
  <c r="K299" i="33"/>
  <c r="J299" i="33"/>
  <c r="E299" i="33"/>
  <c r="D299" i="33"/>
  <c r="C299" i="33"/>
  <c r="L298" i="33"/>
  <c r="K298" i="33"/>
  <c r="J298" i="33"/>
  <c r="E298" i="33"/>
  <c r="D298" i="33"/>
  <c r="C298" i="33"/>
  <c r="L297" i="33"/>
  <c r="K297" i="33"/>
  <c r="J297" i="33"/>
  <c r="E297" i="33"/>
  <c r="D297" i="33"/>
  <c r="C297" i="33"/>
  <c r="L296" i="33"/>
  <c r="K296" i="33"/>
  <c r="J296" i="33"/>
  <c r="E296" i="33"/>
  <c r="D296" i="33"/>
  <c r="C296" i="33"/>
  <c r="L287" i="33"/>
  <c r="K287" i="33"/>
  <c r="J287" i="33"/>
  <c r="E287" i="33"/>
  <c r="D287" i="33"/>
  <c r="C287" i="33"/>
  <c r="L286" i="33"/>
  <c r="K286" i="33"/>
  <c r="J286" i="33"/>
  <c r="E286" i="33"/>
  <c r="D286" i="33"/>
  <c r="C286" i="33"/>
  <c r="L285" i="33"/>
  <c r="K285" i="33"/>
  <c r="J285" i="33"/>
  <c r="E285" i="33"/>
  <c r="D285" i="33"/>
  <c r="C285" i="33"/>
  <c r="L284" i="33"/>
  <c r="K284" i="33"/>
  <c r="J284" i="33"/>
  <c r="E284" i="33"/>
  <c r="D284" i="33"/>
  <c r="C284" i="33"/>
  <c r="L283" i="33"/>
  <c r="K283" i="33"/>
  <c r="J283" i="33"/>
  <c r="E283" i="33"/>
  <c r="D283" i="33"/>
  <c r="C283" i="33"/>
  <c r="L282" i="33"/>
  <c r="K282" i="33"/>
  <c r="J282" i="33"/>
  <c r="E282" i="33"/>
  <c r="D282" i="33"/>
  <c r="C282" i="33"/>
  <c r="L281" i="33"/>
  <c r="K281" i="33"/>
  <c r="J281" i="33"/>
  <c r="E281" i="33"/>
  <c r="D281" i="33"/>
  <c r="C281" i="33"/>
  <c r="L280" i="33"/>
  <c r="K280" i="33"/>
  <c r="J280" i="33"/>
  <c r="E280" i="33"/>
  <c r="D280" i="33"/>
  <c r="C280" i="33"/>
  <c r="L279" i="33"/>
  <c r="K279" i="33"/>
  <c r="J279" i="33"/>
  <c r="E279" i="33"/>
  <c r="D279" i="33"/>
  <c r="C279" i="33"/>
  <c r="L278" i="33"/>
  <c r="K278" i="33"/>
  <c r="J278" i="33"/>
  <c r="E278" i="33"/>
  <c r="D278" i="33"/>
  <c r="C278" i="33"/>
  <c r="L277" i="33"/>
  <c r="K277" i="33"/>
  <c r="J277" i="33"/>
  <c r="E277" i="33"/>
  <c r="D277" i="33"/>
  <c r="C277" i="33"/>
  <c r="L268" i="33"/>
  <c r="K268" i="33"/>
  <c r="J268" i="33"/>
  <c r="E268" i="33"/>
  <c r="D268" i="33"/>
  <c r="C268" i="33"/>
  <c r="L267" i="33"/>
  <c r="K267" i="33"/>
  <c r="J267" i="33"/>
  <c r="E267" i="33"/>
  <c r="D267" i="33"/>
  <c r="C267" i="33"/>
  <c r="L266" i="33"/>
  <c r="K266" i="33"/>
  <c r="J266" i="33"/>
  <c r="E266" i="33"/>
  <c r="D266" i="33"/>
  <c r="C266" i="33"/>
  <c r="L265" i="33"/>
  <c r="K265" i="33"/>
  <c r="J265" i="33"/>
  <c r="E265" i="33"/>
  <c r="D265" i="33"/>
  <c r="C265" i="33"/>
  <c r="L264" i="33"/>
  <c r="K264" i="33"/>
  <c r="J264" i="33"/>
  <c r="E264" i="33"/>
  <c r="D264" i="33"/>
  <c r="C264" i="33"/>
  <c r="L263" i="33"/>
  <c r="K263" i="33"/>
  <c r="J263" i="33"/>
  <c r="E263" i="33"/>
  <c r="D263" i="33"/>
  <c r="C263" i="33"/>
  <c r="L262" i="33"/>
  <c r="K262" i="33"/>
  <c r="J262" i="33"/>
  <c r="E262" i="33"/>
  <c r="D262" i="33"/>
  <c r="C262" i="33"/>
  <c r="L261" i="33"/>
  <c r="K261" i="33"/>
  <c r="J261" i="33"/>
  <c r="E261" i="33"/>
  <c r="D261" i="33"/>
  <c r="C261" i="33"/>
  <c r="L260" i="33"/>
  <c r="K260" i="33"/>
  <c r="J260" i="33"/>
  <c r="E260" i="33"/>
  <c r="D260" i="33"/>
  <c r="C260" i="33"/>
  <c r="L259" i="33"/>
  <c r="K259" i="33"/>
  <c r="J259" i="33"/>
  <c r="E259" i="33"/>
  <c r="D259" i="33"/>
  <c r="C259" i="33"/>
  <c r="L258" i="33"/>
  <c r="K258" i="33"/>
  <c r="J258" i="33"/>
  <c r="E258" i="33"/>
  <c r="D258" i="33"/>
  <c r="C258" i="33"/>
  <c r="L249" i="33"/>
  <c r="K249" i="33"/>
  <c r="J249" i="33"/>
  <c r="E249" i="33"/>
  <c r="D249" i="33"/>
  <c r="C249" i="33"/>
  <c r="L248" i="33"/>
  <c r="K248" i="33"/>
  <c r="J248" i="33"/>
  <c r="E248" i="33"/>
  <c r="D248" i="33"/>
  <c r="C248" i="33"/>
  <c r="L247" i="33"/>
  <c r="K247" i="33"/>
  <c r="J247" i="33"/>
  <c r="E247" i="33"/>
  <c r="D247" i="33"/>
  <c r="C247" i="33"/>
  <c r="L246" i="33"/>
  <c r="K246" i="33"/>
  <c r="J246" i="33"/>
  <c r="E246" i="33"/>
  <c r="D246" i="33"/>
  <c r="C246" i="33"/>
  <c r="L245" i="33"/>
  <c r="K245" i="33"/>
  <c r="J245" i="33"/>
  <c r="E245" i="33"/>
  <c r="D245" i="33"/>
  <c r="C245" i="33"/>
  <c r="L244" i="33"/>
  <c r="K244" i="33"/>
  <c r="J244" i="33"/>
  <c r="E244" i="33"/>
  <c r="D244" i="33"/>
  <c r="C244" i="33"/>
  <c r="L243" i="33"/>
  <c r="K243" i="33"/>
  <c r="J243" i="33"/>
  <c r="E243" i="33"/>
  <c r="D243" i="33"/>
  <c r="C243" i="33"/>
  <c r="L242" i="33"/>
  <c r="K242" i="33"/>
  <c r="J242" i="33"/>
  <c r="E242" i="33"/>
  <c r="D242" i="33"/>
  <c r="C242" i="33"/>
  <c r="L241" i="33"/>
  <c r="K241" i="33"/>
  <c r="J241" i="33"/>
  <c r="E241" i="33"/>
  <c r="D241" i="33"/>
  <c r="C241" i="33"/>
  <c r="L240" i="33"/>
  <c r="K240" i="33"/>
  <c r="J240" i="33"/>
  <c r="E240" i="33"/>
  <c r="D240" i="33"/>
  <c r="C240" i="33"/>
  <c r="L239" i="33"/>
  <c r="K239" i="33"/>
  <c r="J239" i="33"/>
  <c r="E239" i="33"/>
  <c r="D239" i="33"/>
  <c r="C239" i="33"/>
  <c r="P232" i="33"/>
  <c r="P230" i="33"/>
  <c r="L230" i="33"/>
  <c r="K230" i="33"/>
  <c r="J230" i="33"/>
  <c r="E230" i="33"/>
  <c r="D230" i="33"/>
  <c r="C230" i="33"/>
  <c r="P229" i="33"/>
  <c r="L229" i="33"/>
  <c r="K229" i="33"/>
  <c r="J229" i="33"/>
  <c r="E229" i="33"/>
  <c r="D229" i="33"/>
  <c r="C229" i="33"/>
  <c r="P228" i="33"/>
  <c r="L228" i="33"/>
  <c r="K228" i="33"/>
  <c r="J228" i="33"/>
  <c r="E228" i="33"/>
  <c r="D228" i="33"/>
  <c r="C228" i="33"/>
  <c r="P227" i="33"/>
  <c r="L227" i="33"/>
  <c r="K227" i="33"/>
  <c r="J227" i="33"/>
  <c r="E227" i="33"/>
  <c r="D227" i="33"/>
  <c r="C227" i="33"/>
  <c r="P226" i="33"/>
  <c r="L226" i="33"/>
  <c r="K226" i="33"/>
  <c r="J226" i="33"/>
  <c r="E226" i="33"/>
  <c r="D226" i="33"/>
  <c r="C226" i="33"/>
  <c r="P225" i="33"/>
  <c r="L225" i="33"/>
  <c r="K225" i="33"/>
  <c r="J225" i="33"/>
  <c r="E225" i="33"/>
  <c r="D225" i="33"/>
  <c r="C225" i="33"/>
  <c r="P224" i="33"/>
  <c r="L224" i="33"/>
  <c r="K224" i="33"/>
  <c r="J224" i="33"/>
  <c r="E224" i="33"/>
  <c r="D224" i="33"/>
  <c r="C224" i="33"/>
  <c r="P223" i="33"/>
  <c r="L223" i="33"/>
  <c r="K223" i="33"/>
  <c r="J223" i="33"/>
  <c r="E223" i="33"/>
  <c r="D223" i="33"/>
  <c r="C223" i="33"/>
  <c r="P222" i="33"/>
  <c r="L222" i="33"/>
  <c r="K222" i="33"/>
  <c r="J222" i="33"/>
  <c r="E222" i="33"/>
  <c r="D222" i="33"/>
  <c r="C222" i="33"/>
  <c r="L221" i="33"/>
  <c r="K221" i="33"/>
  <c r="J221" i="33"/>
  <c r="E221" i="33"/>
  <c r="D221" i="33"/>
  <c r="C221" i="33"/>
  <c r="L220" i="33"/>
  <c r="K220" i="33"/>
  <c r="J220" i="33"/>
  <c r="E220" i="33"/>
  <c r="D220" i="33"/>
  <c r="C220" i="33"/>
  <c r="L211" i="33"/>
  <c r="K211" i="33"/>
  <c r="J211" i="33"/>
  <c r="E211" i="33"/>
  <c r="D211" i="33"/>
  <c r="C211" i="33"/>
  <c r="P210" i="33"/>
  <c r="L210" i="33"/>
  <c r="K210" i="33"/>
  <c r="J210" i="33"/>
  <c r="E210" i="33"/>
  <c r="D210" i="33"/>
  <c r="C210" i="33"/>
  <c r="P209" i="33"/>
  <c r="L209" i="33"/>
  <c r="K209" i="33"/>
  <c r="J209" i="33"/>
  <c r="E209" i="33"/>
  <c r="D209" i="33"/>
  <c r="C209" i="33"/>
  <c r="P208" i="33"/>
  <c r="L208" i="33"/>
  <c r="K208" i="33"/>
  <c r="J208" i="33"/>
  <c r="E208" i="33"/>
  <c r="D208" i="33"/>
  <c r="C208" i="33"/>
  <c r="P207" i="33"/>
  <c r="L207" i="33"/>
  <c r="K207" i="33"/>
  <c r="J207" i="33"/>
  <c r="E207" i="33"/>
  <c r="D207" i="33"/>
  <c r="C207" i="33"/>
  <c r="P206" i="33"/>
  <c r="L206" i="33"/>
  <c r="K206" i="33"/>
  <c r="J206" i="33"/>
  <c r="E206" i="33"/>
  <c r="D206" i="33"/>
  <c r="C206" i="33"/>
  <c r="P205" i="33"/>
  <c r="L205" i="33"/>
  <c r="K205" i="33"/>
  <c r="J205" i="33"/>
  <c r="E205" i="33"/>
  <c r="D205" i="33"/>
  <c r="C205" i="33"/>
  <c r="P204" i="33"/>
  <c r="L204" i="33"/>
  <c r="K204" i="33"/>
  <c r="J204" i="33"/>
  <c r="E204" i="33"/>
  <c r="D204" i="33"/>
  <c r="C204" i="33"/>
  <c r="P203" i="33"/>
  <c r="L203" i="33"/>
  <c r="K203" i="33"/>
  <c r="J203" i="33"/>
  <c r="E203" i="33"/>
  <c r="D203" i="33"/>
  <c r="C203" i="33"/>
  <c r="P202" i="33"/>
  <c r="L202" i="33"/>
  <c r="K202" i="33"/>
  <c r="J202" i="33"/>
  <c r="E202" i="33"/>
  <c r="D202" i="33"/>
  <c r="C202" i="33"/>
  <c r="P201" i="33"/>
  <c r="L201" i="33"/>
  <c r="K201" i="33"/>
  <c r="J201" i="33"/>
  <c r="E201" i="33"/>
  <c r="D201" i="33"/>
  <c r="C201" i="33"/>
  <c r="P200" i="33"/>
  <c r="L132" i="33"/>
  <c r="M326" i="33" s="1"/>
  <c r="F132" i="33"/>
  <c r="F326" i="33" s="1"/>
  <c r="L131" i="33"/>
  <c r="M307" i="33" s="1"/>
  <c r="F131" i="33"/>
  <c r="F307" i="33" s="1"/>
  <c r="L130" i="33"/>
  <c r="M288" i="33" s="1"/>
  <c r="F130" i="33"/>
  <c r="F288" i="33" s="1"/>
  <c r="L129" i="33"/>
  <c r="M269" i="33" s="1"/>
  <c r="F129" i="33"/>
  <c r="F269" i="33" s="1"/>
  <c r="L128" i="33"/>
  <c r="M250" i="33" s="1"/>
  <c r="F128" i="33"/>
  <c r="F250" i="33" s="1"/>
  <c r="L127" i="33"/>
  <c r="M231" i="33" s="1"/>
  <c r="F127" i="33"/>
  <c r="F231" i="33" s="1"/>
  <c r="L126" i="33"/>
  <c r="M212" i="33" s="1"/>
  <c r="F126" i="33"/>
  <c r="F212" i="33" s="1"/>
  <c r="K125" i="33"/>
  <c r="J125" i="33"/>
  <c r="H123" i="33"/>
  <c r="L121" i="33"/>
  <c r="M325" i="33" s="1"/>
  <c r="F121" i="33"/>
  <c r="F325" i="33" s="1"/>
  <c r="L120" i="33"/>
  <c r="M306" i="33" s="1"/>
  <c r="F120" i="33"/>
  <c r="F306" i="33" s="1"/>
  <c r="L119" i="33"/>
  <c r="M287" i="33" s="1"/>
  <c r="F119" i="33"/>
  <c r="F287" i="33" s="1"/>
  <c r="L118" i="33"/>
  <c r="M268" i="33" s="1"/>
  <c r="F118" i="33"/>
  <c r="F268" i="33" s="1"/>
  <c r="L117" i="33"/>
  <c r="M249" i="33" s="1"/>
  <c r="F117" i="33"/>
  <c r="F249" i="33" s="1"/>
  <c r="L116" i="33"/>
  <c r="M230" i="33" s="1"/>
  <c r="F116" i="33"/>
  <c r="F230" i="33" s="1"/>
  <c r="L115" i="33"/>
  <c r="M211" i="33" s="1"/>
  <c r="F115" i="33"/>
  <c r="F211" i="33" s="1"/>
  <c r="K114" i="33"/>
  <c r="J114" i="33"/>
  <c r="H112" i="33"/>
  <c r="L110" i="33"/>
  <c r="M324" i="33" s="1"/>
  <c r="F110" i="33"/>
  <c r="F324" i="33" s="1"/>
  <c r="L109" i="33"/>
  <c r="M305" i="33" s="1"/>
  <c r="F109" i="33"/>
  <c r="F305" i="33" s="1"/>
  <c r="L108" i="33"/>
  <c r="M286" i="33" s="1"/>
  <c r="F108" i="33"/>
  <c r="F286" i="33" s="1"/>
  <c r="L107" i="33"/>
  <c r="M267" i="33" s="1"/>
  <c r="F107" i="33"/>
  <c r="F267" i="33" s="1"/>
  <c r="L106" i="33"/>
  <c r="M248" i="33" s="1"/>
  <c r="F106" i="33"/>
  <c r="F248" i="33" s="1"/>
  <c r="L105" i="33"/>
  <c r="M229" i="33" s="1"/>
  <c r="F105" i="33"/>
  <c r="F229" i="33" s="1"/>
  <c r="L104" i="33"/>
  <c r="M210" i="33" s="1"/>
  <c r="F104" i="33"/>
  <c r="F210" i="33" s="1"/>
  <c r="K103" i="33"/>
  <c r="J103" i="33"/>
  <c r="H101" i="33"/>
  <c r="L99" i="33"/>
  <c r="M323" i="33" s="1"/>
  <c r="F99" i="33"/>
  <c r="F323" i="33" s="1"/>
  <c r="L98" i="33"/>
  <c r="M304" i="33" s="1"/>
  <c r="F98" i="33"/>
  <c r="F304" i="33" s="1"/>
  <c r="L97" i="33"/>
  <c r="M285" i="33" s="1"/>
  <c r="F97" i="33"/>
  <c r="F285" i="33" s="1"/>
  <c r="L96" i="33"/>
  <c r="M266" i="33" s="1"/>
  <c r="F96" i="33"/>
  <c r="F266" i="33" s="1"/>
  <c r="L95" i="33"/>
  <c r="M247" i="33" s="1"/>
  <c r="F95" i="33"/>
  <c r="F247" i="33" s="1"/>
  <c r="L94" i="33"/>
  <c r="M228" i="33" s="1"/>
  <c r="F94" i="33"/>
  <c r="F228" i="33" s="1"/>
  <c r="L93" i="33"/>
  <c r="M209" i="33" s="1"/>
  <c r="F93" i="33"/>
  <c r="F209" i="33" s="1"/>
  <c r="K92" i="33"/>
  <c r="J92" i="33"/>
  <c r="H90" i="33"/>
  <c r="L88" i="33"/>
  <c r="M322" i="33" s="1"/>
  <c r="F88" i="33"/>
  <c r="F322" i="33" s="1"/>
  <c r="L87" i="33"/>
  <c r="M303" i="33" s="1"/>
  <c r="F87" i="33"/>
  <c r="F303" i="33" s="1"/>
  <c r="L86" i="33"/>
  <c r="M284" i="33" s="1"/>
  <c r="F86" i="33"/>
  <c r="F284" i="33" s="1"/>
  <c r="L85" i="33"/>
  <c r="M265" i="33" s="1"/>
  <c r="F85" i="33"/>
  <c r="F265" i="33" s="1"/>
  <c r="L84" i="33"/>
  <c r="M246" i="33" s="1"/>
  <c r="F84" i="33"/>
  <c r="F246" i="33" s="1"/>
  <c r="L83" i="33"/>
  <c r="M227" i="33" s="1"/>
  <c r="F83" i="33"/>
  <c r="F227" i="33" s="1"/>
  <c r="L82" i="33"/>
  <c r="M208" i="33" s="1"/>
  <c r="F82" i="33"/>
  <c r="F208" i="33" s="1"/>
  <c r="K81" i="33"/>
  <c r="J81" i="33"/>
  <c r="H79" i="33"/>
  <c r="L77" i="33"/>
  <c r="M321" i="33" s="1"/>
  <c r="F77" i="33"/>
  <c r="F321" i="33" s="1"/>
  <c r="L76" i="33"/>
  <c r="M302" i="33" s="1"/>
  <c r="F76" i="33"/>
  <c r="F302" i="33" s="1"/>
  <c r="L75" i="33"/>
  <c r="M283" i="33" s="1"/>
  <c r="F75" i="33"/>
  <c r="F283" i="33" s="1"/>
  <c r="L74" i="33"/>
  <c r="M264" i="33" s="1"/>
  <c r="F74" i="33"/>
  <c r="F264" i="33" s="1"/>
  <c r="L73" i="33"/>
  <c r="M245" i="33" s="1"/>
  <c r="F73" i="33"/>
  <c r="F245" i="33" s="1"/>
  <c r="L72" i="33"/>
  <c r="M226" i="33" s="1"/>
  <c r="F72" i="33"/>
  <c r="F226" i="33" s="1"/>
  <c r="L71" i="33"/>
  <c r="M207" i="33" s="1"/>
  <c r="F71" i="33"/>
  <c r="F207" i="33" s="1"/>
  <c r="K70" i="33"/>
  <c r="J70" i="33"/>
  <c r="H68" i="33"/>
  <c r="L66" i="33"/>
  <c r="M320" i="33" s="1"/>
  <c r="F66" i="33"/>
  <c r="F320" i="33" s="1"/>
  <c r="L65" i="33"/>
  <c r="M301" i="33" s="1"/>
  <c r="F65" i="33"/>
  <c r="F301" i="33" s="1"/>
  <c r="L64" i="33"/>
  <c r="M282" i="33" s="1"/>
  <c r="F64" i="33"/>
  <c r="F282" i="33" s="1"/>
  <c r="L63" i="33"/>
  <c r="M263" i="33" s="1"/>
  <c r="F63" i="33"/>
  <c r="F263" i="33" s="1"/>
  <c r="L62" i="33"/>
  <c r="M244" i="33" s="1"/>
  <c r="F62" i="33"/>
  <c r="F244" i="33" s="1"/>
  <c r="L61" i="33"/>
  <c r="M225" i="33" s="1"/>
  <c r="F61" i="33"/>
  <c r="F225" i="33" s="1"/>
  <c r="L60" i="33"/>
  <c r="M206" i="33" s="1"/>
  <c r="F60" i="33"/>
  <c r="F206" i="33" s="1"/>
  <c r="K59" i="33"/>
  <c r="J59" i="33"/>
  <c r="H57" i="33"/>
  <c r="L55" i="33"/>
  <c r="M319" i="33" s="1"/>
  <c r="F55" i="33"/>
  <c r="F319" i="33" s="1"/>
  <c r="L54" i="33"/>
  <c r="M300" i="33" s="1"/>
  <c r="F54" i="33"/>
  <c r="F300" i="33" s="1"/>
  <c r="L53" i="33"/>
  <c r="M281" i="33" s="1"/>
  <c r="F53" i="33"/>
  <c r="F281" i="33" s="1"/>
  <c r="L52" i="33"/>
  <c r="M262" i="33" s="1"/>
  <c r="F52" i="33"/>
  <c r="F262" i="33" s="1"/>
  <c r="L51" i="33"/>
  <c r="M243" i="33" s="1"/>
  <c r="F51" i="33"/>
  <c r="F243" i="33" s="1"/>
  <c r="L50" i="33"/>
  <c r="M220" i="33" s="1"/>
  <c r="F50" i="33"/>
  <c r="F224" i="33" s="1"/>
  <c r="L49" i="33"/>
  <c r="M205" i="33" s="1"/>
  <c r="F49" i="33"/>
  <c r="F205" i="33" s="1"/>
  <c r="K48" i="33"/>
  <c r="J48" i="33"/>
  <c r="H46" i="33"/>
  <c r="L44" i="33"/>
  <c r="M318" i="33" s="1"/>
  <c r="F44" i="33"/>
  <c r="F318" i="33" s="1"/>
  <c r="L43" i="33"/>
  <c r="M299" i="33" s="1"/>
  <c r="F43" i="33"/>
  <c r="F299" i="33" s="1"/>
  <c r="L42" i="33"/>
  <c r="M280" i="33" s="1"/>
  <c r="F42" i="33"/>
  <c r="F280" i="33" s="1"/>
  <c r="L41" i="33"/>
  <c r="M261" i="33" s="1"/>
  <c r="F41" i="33"/>
  <c r="F261" i="33" s="1"/>
  <c r="L40" i="33"/>
  <c r="M242" i="33" s="1"/>
  <c r="F40" i="33"/>
  <c r="F242" i="33" s="1"/>
  <c r="L39" i="33"/>
  <c r="M223" i="33" s="1"/>
  <c r="F39" i="33"/>
  <c r="F223" i="33" s="1"/>
  <c r="L38" i="33"/>
  <c r="M204" i="33" s="1"/>
  <c r="F38" i="33"/>
  <c r="F204" i="33" s="1"/>
  <c r="K37" i="33"/>
  <c r="J37" i="33"/>
  <c r="H35" i="33"/>
  <c r="L33" i="33"/>
  <c r="M317" i="33" s="1"/>
  <c r="F33" i="33"/>
  <c r="F317" i="33" s="1"/>
  <c r="L32" i="33"/>
  <c r="M298" i="33" s="1"/>
  <c r="F32" i="33"/>
  <c r="F298" i="33" s="1"/>
  <c r="L31" i="33"/>
  <c r="M279" i="33" s="1"/>
  <c r="F31" i="33"/>
  <c r="F279" i="33" s="1"/>
  <c r="L30" i="33"/>
  <c r="M260" i="33" s="1"/>
  <c r="F30" i="33"/>
  <c r="F260" i="33" s="1"/>
  <c r="L29" i="33"/>
  <c r="M241" i="33" s="1"/>
  <c r="F29" i="33"/>
  <c r="F241" i="33" s="1"/>
  <c r="L28" i="33"/>
  <c r="M222" i="33" s="1"/>
  <c r="F28" i="33"/>
  <c r="F222" i="33" s="1"/>
  <c r="L27" i="33"/>
  <c r="M203" i="33" s="1"/>
  <c r="F27" i="33"/>
  <c r="F203" i="33" s="1"/>
  <c r="K26" i="33"/>
  <c r="J26" i="33"/>
  <c r="H24" i="33"/>
  <c r="L22" i="33"/>
  <c r="M316" i="33" s="1"/>
  <c r="F22" i="33"/>
  <c r="F316" i="33" s="1"/>
  <c r="L21" i="33"/>
  <c r="M297" i="33" s="1"/>
  <c r="F21" i="33"/>
  <c r="F297" i="33" s="1"/>
  <c r="L20" i="33"/>
  <c r="M278" i="33" s="1"/>
  <c r="F20" i="33"/>
  <c r="F278" i="33" s="1"/>
  <c r="L19" i="33"/>
  <c r="M259" i="33" s="1"/>
  <c r="F19" i="33"/>
  <c r="F259" i="33" s="1"/>
  <c r="L18" i="33"/>
  <c r="M240" i="33" s="1"/>
  <c r="F18" i="33"/>
  <c r="F240" i="33" s="1"/>
  <c r="L17" i="33"/>
  <c r="M221" i="33" s="1"/>
  <c r="F17" i="33"/>
  <c r="F221" i="33" s="1"/>
  <c r="L16" i="33"/>
  <c r="M202" i="33" s="1"/>
  <c r="F16" i="33"/>
  <c r="F202" i="33" s="1"/>
  <c r="K15" i="33"/>
  <c r="J15" i="33"/>
  <c r="H13" i="33"/>
  <c r="L11" i="33"/>
  <c r="M315" i="33" s="1"/>
  <c r="F11" i="33"/>
  <c r="F315" i="33" s="1"/>
  <c r="L10" i="33"/>
  <c r="M296" i="33" s="1"/>
  <c r="F10" i="33"/>
  <c r="F296" i="33" s="1"/>
  <c r="L9" i="33"/>
  <c r="F9" i="33"/>
  <c r="F277" i="33" s="1"/>
  <c r="L8" i="33"/>
  <c r="M258" i="33" s="1"/>
  <c r="F8" i="33"/>
  <c r="F258" i="33" s="1"/>
  <c r="L7" i="33"/>
  <c r="M239" i="33" s="1"/>
  <c r="F7" i="33"/>
  <c r="F239" i="33" s="1"/>
  <c r="L6" i="33"/>
  <c r="F6" i="33"/>
  <c r="F220" i="33" s="1"/>
  <c r="L5" i="33"/>
  <c r="M201" i="33" s="1"/>
  <c r="F5" i="33"/>
  <c r="F201" i="33" s="1"/>
  <c r="J4" i="33"/>
  <c r="H2" i="33"/>
  <c r="B25" i="19"/>
  <c r="A372" i="33" l="1"/>
  <c r="A334" i="33" s="1"/>
  <c r="H100" i="36"/>
  <c r="H131" i="31" s="1"/>
  <c r="H136" i="38" s="1"/>
  <c r="H98" i="36"/>
  <c r="H129" i="31" s="1"/>
  <c r="H134" i="38" s="1"/>
  <c r="G129" i="31"/>
  <c r="G134" i="38" s="1"/>
  <c r="H97" i="36"/>
  <c r="H128" i="31" s="1"/>
  <c r="H133" i="38" s="1"/>
  <c r="H96" i="36"/>
  <c r="H127" i="31" s="1"/>
  <c r="H132" i="38" s="1"/>
  <c r="G127" i="31"/>
  <c r="G132" i="38" s="1"/>
  <c r="H94" i="36"/>
  <c r="H125" i="31" s="1"/>
  <c r="H130" i="38" s="1"/>
  <c r="G124" i="31"/>
  <c r="G129" i="38" s="1"/>
  <c r="H93" i="36"/>
  <c r="H124" i="31" s="1"/>
  <c r="H129" i="38" s="1"/>
  <c r="H92" i="36"/>
  <c r="H123" i="31" s="1"/>
  <c r="H128" i="38" s="1"/>
  <c r="H117" i="36"/>
  <c r="G150" i="31"/>
  <c r="G152" i="38" s="1"/>
  <c r="H115" i="36"/>
  <c r="H113" i="36"/>
  <c r="G146" i="31"/>
  <c r="G148" i="38" s="1"/>
  <c r="H116" i="36"/>
  <c r="H114" i="36"/>
  <c r="H147" i="31" s="1"/>
  <c r="H149" i="38" s="1"/>
  <c r="G147" i="31"/>
  <c r="G149" i="38" s="1"/>
  <c r="G152" i="31"/>
  <c r="G154" i="38" s="1"/>
  <c r="H119" i="36"/>
  <c r="H112" i="36"/>
  <c r="G145" i="31"/>
  <c r="G147" i="38" s="1"/>
  <c r="J10" i="39"/>
  <c r="J11" i="39" s="1"/>
  <c r="J12" i="39" s="1"/>
  <c r="F112" i="36" s="1"/>
  <c r="J145" i="31" s="1"/>
  <c r="K147" i="38" s="1"/>
  <c r="J43" i="39"/>
  <c r="J44" i="39" s="1"/>
  <c r="J45" i="39" s="1"/>
  <c r="F115" i="36" s="1"/>
  <c r="J148" i="31" s="1"/>
  <c r="K150" i="38" s="1"/>
  <c r="J21" i="39"/>
  <c r="J22" i="39" s="1"/>
  <c r="J23" i="39" s="1"/>
  <c r="F113" i="36" s="1"/>
  <c r="J146" i="31" s="1"/>
  <c r="K148" i="38" s="1"/>
  <c r="J54" i="39"/>
  <c r="J55" i="39" s="1"/>
  <c r="J56" i="39" s="1"/>
  <c r="F116" i="36" s="1"/>
  <c r="J149" i="31" s="1"/>
  <c r="K151" i="38" s="1"/>
  <c r="J87" i="39"/>
  <c r="J88" i="39" s="1"/>
  <c r="J89" i="39" s="1"/>
  <c r="F119" i="36" s="1"/>
  <c r="J152" i="31" s="1"/>
  <c r="K154" i="38" s="1"/>
  <c r="J65" i="39"/>
  <c r="J66" i="39" s="1"/>
  <c r="J67" i="39" s="1"/>
  <c r="F117" i="36" s="1"/>
  <c r="J150" i="31" s="1"/>
  <c r="K152" i="38" s="1"/>
  <c r="J76" i="39"/>
  <c r="J77" i="39" s="1"/>
  <c r="J78" i="39" s="1"/>
  <c r="F118" i="36" s="1"/>
  <c r="J151" i="31" s="1"/>
  <c r="K153" i="38" s="1"/>
  <c r="J32" i="39"/>
  <c r="J33" i="39" s="1"/>
  <c r="J34" i="39" s="1"/>
  <c r="F114" i="36" s="1"/>
  <c r="J147" i="31" s="1"/>
  <c r="K149" i="38" s="1"/>
  <c r="F147" i="31"/>
  <c r="K147" i="31" s="1"/>
  <c r="E118" i="36"/>
  <c r="G118" i="36" s="1"/>
  <c r="J343" i="29"/>
  <c r="J344" i="29" s="1"/>
  <c r="J345" i="29" s="1"/>
  <c r="F70" i="36" s="1"/>
  <c r="J79" i="31" s="1"/>
  <c r="K84" i="38" s="1"/>
  <c r="F146" i="31"/>
  <c r="K146" i="31" s="1"/>
  <c r="F128" i="31"/>
  <c r="K128" i="31" s="1"/>
  <c r="G128" i="31"/>
  <c r="G133" i="38" s="1"/>
  <c r="F125" i="31"/>
  <c r="K125" i="31" s="1"/>
  <c r="G125" i="31"/>
  <c r="G130" i="38" s="1"/>
  <c r="F149" i="31"/>
  <c r="K149" i="31" s="1"/>
  <c r="G149" i="31"/>
  <c r="G151" i="38" s="1"/>
  <c r="F131" i="31"/>
  <c r="K131" i="31" s="1"/>
  <c r="G131" i="31"/>
  <c r="G136" i="38" s="1"/>
  <c r="F123" i="31"/>
  <c r="K123" i="31" s="1"/>
  <c r="G123" i="31"/>
  <c r="G128" i="38" s="1"/>
  <c r="F152" i="31"/>
  <c r="K152" i="31" s="1"/>
  <c r="F129" i="31"/>
  <c r="K129" i="31" s="1"/>
  <c r="F127" i="31"/>
  <c r="K127" i="31" s="1"/>
  <c r="F124" i="31"/>
  <c r="K124" i="31" s="1"/>
  <c r="F145" i="31"/>
  <c r="K145" i="31" s="1"/>
  <c r="F150" i="31"/>
  <c r="K150" i="31" s="1"/>
  <c r="F148" i="31"/>
  <c r="K148" i="31" s="1"/>
  <c r="G148" i="31"/>
  <c r="G150" i="38" s="1"/>
  <c r="C25" i="31"/>
  <c r="C25" i="38"/>
  <c r="C24" i="31"/>
  <c r="C24" i="38"/>
  <c r="E91" i="36"/>
  <c r="G91" i="36" s="1"/>
  <c r="E99" i="36"/>
  <c r="G99" i="36" s="1"/>
  <c r="E90" i="36"/>
  <c r="G90" i="36" s="1"/>
  <c r="E95" i="36"/>
  <c r="G95" i="36" s="1"/>
  <c r="J332" i="29"/>
  <c r="J333" i="29" s="1"/>
  <c r="J334" i="29" s="1"/>
  <c r="F69" i="36" s="1"/>
  <c r="J78" i="31" s="1"/>
  <c r="K83" i="38" s="1"/>
  <c r="J321" i="29"/>
  <c r="J322" i="29" s="1"/>
  <c r="J323" i="29" s="1"/>
  <c r="F68" i="36" s="1"/>
  <c r="J77" i="31" s="1"/>
  <c r="K82" i="38" s="1"/>
  <c r="J409" i="29"/>
  <c r="J410" i="29" s="1"/>
  <c r="J411" i="29" s="1"/>
  <c r="F76" i="36" s="1"/>
  <c r="J85" i="31" s="1"/>
  <c r="K90" i="38" s="1"/>
  <c r="J354" i="29"/>
  <c r="J355" i="29" s="1"/>
  <c r="J356" i="29" s="1"/>
  <c r="F71" i="36" s="1"/>
  <c r="J80" i="31" s="1"/>
  <c r="K85" i="38" s="1"/>
  <c r="J299" i="29"/>
  <c r="J300" i="29" s="1"/>
  <c r="J301" i="29" s="1"/>
  <c r="F66" i="36" s="1"/>
  <c r="J75" i="31" s="1"/>
  <c r="K80" i="38" s="1"/>
  <c r="J365" i="29"/>
  <c r="J366" i="29" s="1"/>
  <c r="J367" i="29" s="1"/>
  <c r="F72" i="36" s="1"/>
  <c r="J81" i="31" s="1"/>
  <c r="K86" i="38" s="1"/>
  <c r="J376" i="29"/>
  <c r="J377" i="29" s="1"/>
  <c r="J378" i="29" s="1"/>
  <c r="F73" i="36" s="1"/>
  <c r="J82" i="31" s="1"/>
  <c r="K87" i="38" s="1"/>
  <c r="J387" i="29"/>
  <c r="J388" i="29" s="1"/>
  <c r="J389" i="29" s="1"/>
  <c r="F74" i="36" s="1"/>
  <c r="J83" i="31" s="1"/>
  <c r="K88" i="38" s="1"/>
  <c r="J310" i="29"/>
  <c r="J311" i="29" s="1"/>
  <c r="J312" i="29" s="1"/>
  <c r="F67" i="36" s="1"/>
  <c r="J76" i="31" s="1"/>
  <c r="K81" i="38" s="1"/>
  <c r="J398" i="29"/>
  <c r="J399" i="29" s="1"/>
  <c r="J400" i="29" s="1"/>
  <c r="F75" i="36" s="1"/>
  <c r="J84" i="31" s="1"/>
  <c r="K89" i="38" s="1"/>
  <c r="M277" i="33"/>
  <c r="M224" i="33"/>
  <c r="B334" i="33"/>
  <c r="C336" i="33" s="1"/>
  <c r="H336" i="33" s="1"/>
  <c r="B157" i="31"/>
  <c r="B158" i="38" s="1"/>
  <c r="F347" i="33"/>
  <c r="F334" i="33" l="1"/>
  <c r="F337" i="33" s="1"/>
  <c r="A339" i="33"/>
  <c r="C338" i="33"/>
  <c r="D343" i="33"/>
  <c r="B339" i="33"/>
  <c r="D338" i="33"/>
  <c r="A342" i="33"/>
  <c r="K334" i="33"/>
  <c r="A341" i="33"/>
  <c r="B342" i="33"/>
  <c r="C339" i="33"/>
  <c r="D342" i="33"/>
  <c r="C342" i="33"/>
  <c r="C343" i="33"/>
  <c r="D339" i="33"/>
  <c r="A343" i="33"/>
  <c r="B341" i="33"/>
  <c r="B337" i="33"/>
  <c r="A340" i="33"/>
  <c r="C337" i="33"/>
  <c r="C340" i="33"/>
  <c r="A338" i="33"/>
  <c r="D337" i="33"/>
  <c r="B340" i="33"/>
  <c r="A337" i="33"/>
  <c r="D341" i="33"/>
  <c r="C341" i="33"/>
  <c r="D340" i="33"/>
  <c r="B338" i="33"/>
  <c r="B343" i="33"/>
  <c r="H152" i="31"/>
  <c r="H154" i="38" s="1"/>
  <c r="H150" i="31"/>
  <c r="H152" i="38" s="1"/>
  <c r="H149" i="31"/>
  <c r="H151" i="38" s="1"/>
  <c r="H148" i="31"/>
  <c r="H150" i="38" s="1"/>
  <c r="H146" i="31"/>
  <c r="H148" i="38" s="1"/>
  <c r="H145" i="31"/>
  <c r="H147" i="38" s="1"/>
  <c r="H99" i="36"/>
  <c r="H130" i="31" s="1"/>
  <c r="H135" i="38" s="1"/>
  <c r="G130" i="31"/>
  <c r="G135" i="38" s="1"/>
  <c r="H95" i="36"/>
  <c r="H126" i="31" s="1"/>
  <c r="H131" i="38" s="1"/>
  <c r="G126" i="31"/>
  <c r="G131" i="38" s="1"/>
  <c r="H91" i="36"/>
  <c r="H122" i="31" s="1"/>
  <c r="H127" i="38" s="1"/>
  <c r="G122" i="31"/>
  <c r="G127" i="38" s="1"/>
  <c r="G121" i="31"/>
  <c r="G126" i="38" s="1"/>
  <c r="H90" i="36"/>
  <c r="H121" i="31" s="1"/>
  <c r="H126" i="38" s="1"/>
  <c r="H118" i="36"/>
  <c r="G151" i="31"/>
  <c r="G153" i="38" s="1"/>
  <c r="F149" i="38"/>
  <c r="F151" i="31"/>
  <c r="K151" i="31" s="1"/>
  <c r="F134" i="38"/>
  <c r="F151" i="38"/>
  <c r="F133" i="38"/>
  <c r="F152" i="38"/>
  <c r="F132" i="38"/>
  <c r="F154" i="38"/>
  <c r="F136" i="38"/>
  <c r="F130" i="38"/>
  <c r="F150" i="38"/>
  <c r="F148" i="38"/>
  <c r="F147" i="38"/>
  <c r="F129" i="38"/>
  <c r="F128" i="38"/>
  <c r="F126" i="31"/>
  <c r="K126" i="31" s="1"/>
  <c r="F121" i="31"/>
  <c r="K121" i="31" s="1"/>
  <c r="F122" i="31"/>
  <c r="K122" i="31" s="1"/>
  <c r="F130" i="31"/>
  <c r="K130" i="31" s="1"/>
  <c r="E75" i="36"/>
  <c r="G75" i="36" s="1"/>
  <c r="E66" i="36"/>
  <c r="G66" i="36" s="1"/>
  <c r="E74" i="36"/>
  <c r="G74" i="36" s="1"/>
  <c r="E73" i="36"/>
  <c r="G73" i="36" s="1"/>
  <c r="E72" i="36"/>
  <c r="G72" i="36" s="1"/>
  <c r="E70" i="36"/>
  <c r="G70" i="36" s="1"/>
  <c r="E68" i="36"/>
  <c r="G68" i="36" s="1"/>
  <c r="E69" i="36"/>
  <c r="G69" i="36" s="1"/>
  <c r="E71" i="36"/>
  <c r="G71" i="36" s="1"/>
  <c r="E67" i="36"/>
  <c r="G67" i="36" s="1"/>
  <c r="E76" i="36"/>
  <c r="G76" i="36" s="1"/>
  <c r="I341" i="33"/>
  <c r="H343" i="33"/>
  <c r="F342" i="33"/>
  <c r="H342" i="33"/>
  <c r="I339" i="33"/>
  <c r="G342" i="33"/>
  <c r="H337" i="33"/>
  <c r="G340" i="33"/>
  <c r="F341" i="33"/>
  <c r="B336" i="33"/>
  <c r="G336" i="33" s="1"/>
  <c r="G334" i="33"/>
  <c r="L334" i="33" s="1"/>
  <c r="I337" i="33"/>
  <c r="I340" i="33"/>
  <c r="H339" i="33"/>
  <c r="F343" i="33"/>
  <c r="I343" i="33" l="1"/>
  <c r="F339" i="33"/>
  <c r="H338" i="33"/>
  <c r="H341" i="33"/>
  <c r="G338" i="33"/>
  <c r="I342" i="33"/>
  <c r="G343" i="33"/>
  <c r="G341" i="33"/>
  <c r="H340" i="33"/>
  <c r="F340" i="33"/>
  <c r="I338" i="33"/>
  <c r="G339" i="33"/>
  <c r="O338" i="33"/>
  <c r="O339" i="33"/>
  <c r="B348" i="33"/>
  <c r="B346" i="33"/>
  <c r="D348" i="33"/>
  <c r="D346" i="33"/>
  <c r="F338" i="33"/>
  <c r="G337" i="33"/>
  <c r="H151" i="31"/>
  <c r="H153" i="38" s="1"/>
  <c r="H71" i="36"/>
  <c r="H80" i="31" s="1"/>
  <c r="H85" i="38" s="1"/>
  <c r="G80" i="31"/>
  <c r="G85" i="38" s="1"/>
  <c r="G81" i="31"/>
  <c r="G86" i="38" s="1"/>
  <c r="H72" i="36"/>
  <c r="H81" i="31" s="1"/>
  <c r="H86" i="38" s="1"/>
  <c r="H75" i="36"/>
  <c r="H84" i="31" s="1"/>
  <c r="H89" i="38" s="1"/>
  <c r="G84" i="31"/>
  <c r="G89" i="38" s="1"/>
  <c r="G78" i="31"/>
  <c r="G83" i="38" s="1"/>
  <c r="H69" i="36"/>
  <c r="H78" i="31" s="1"/>
  <c r="H83" i="38" s="1"/>
  <c r="H73" i="36"/>
  <c r="H82" i="31" s="1"/>
  <c r="H87" i="38" s="1"/>
  <c r="G82" i="31"/>
  <c r="G87" i="38" s="1"/>
  <c r="G85" i="31"/>
  <c r="G90" i="38" s="1"/>
  <c r="H76" i="36"/>
  <c r="H85" i="31" s="1"/>
  <c r="H90" i="38" s="1"/>
  <c r="G77" i="31"/>
  <c r="G82" i="38" s="1"/>
  <c r="H68" i="36"/>
  <c r="H77" i="31" s="1"/>
  <c r="H82" i="38" s="1"/>
  <c r="G83" i="31"/>
  <c r="G88" i="38" s="1"/>
  <c r="H74" i="36"/>
  <c r="H83" i="31" s="1"/>
  <c r="H88" i="38" s="1"/>
  <c r="H67" i="36"/>
  <c r="H76" i="31" s="1"/>
  <c r="H81" i="38" s="1"/>
  <c r="G76" i="31"/>
  <c r="G81" i="38" s="1"/>
  <c r="G79" i="31"/>
  <c r="G84" i="38" s="1"/>
  <c r="H70" i="36"/>
  <c r="H79" i="31" s="1"/>
  <c r="H84" i="38" s="1"/>
  <c r="G75" i="31"/>
  <c r="G80" i="38" s="1"/>
  <c r="H66" i="36"/>
  <c r="H75" i="31" s="1"/>
  <c r="H80" i="38" s="1"/>
  <c r="F153" i="38"/>
  <c r="R145" i="31"/>
  <c r="M145" i="31" s="1"/>
  <c r="F135" i="38"/>
  <c r="F131" i="38"/>
  <c r="F127" i="38"/>
  <c r="F126" i="38"/>
  <c r="F85" i="31"/>
  <c r="K85" i="31" s="1"/>
  <c r="F77" i="31"/>
  <c r="K77" i="31" s="1"/>
  <c r="F83" i="31"/>
  <c r="K83" i="31" s="1"/>
  <c r="F76" i="31"/>
  <c r="K76" i="31" s="1"/>
  <c r="F79" i="31"/>
  <c r="K79" i="31" s="1"/>
  <c r="F75" i="31"/>
  <c r="K75" i="31" s="1"/>
  <c r="F80" i="31"/>
  <c r="K80" i="31" s="1"/>
  <c r="F81" i="31"/>
  <c r="K81" i="31" s="1"/>
  <c r="F84" i="31"/>
  <c r="K84" i="31" s="1"/>
  <c r="F78" i="31"/>
  <c r="K78" i="31" s="1"/>
  <c r="F82" i="31"/>
  <c r="K82" i="31" s="1"/>
  <c r="M343" i="33" l="1"/>
  <c r="G15" i="38"/>
  <c r="M342" i="33"/>
  <c r="G14" i="38"/>
  <c r="I348" i="33"/>
  <c r="C347" i="33"/>
  <c r="M338" i="33" s="1"/>
  <c r="G346" i="33"/>
  <c r="G348" i="33"/>
  <c r="I346" i="33"/>
  <c r="W158" i="31"/>
  <c r="S121" i="31"/>
  <c r="M119" i="31" s="1"/>
  <c r="F86" i="38"/>
  <c r="F87" i="38"/>
  <c r="F89" i="38"/>
  <c r="F85" i="38"/>
  <c r="F84" i="38"/>
  <c r="F88" i="38"/>
  <c r="F90" i="38"/>
  <c r="F83" i="38"/>
  <c r="F82" i="38"/>
  <c r="F81" i="38"/>
  <c r="F80" i="38"/>
  <c r="L342" i="33" l="1"/>
  <c r="E14" i="31" s="1"/>
  <c r="E14" i="38"/>
  <c r="H347" i="33"/>
  <c r="M339" i="33" s="1"/>
  <c r="S75" i="31"/>
  <c r="M73" i="31" s="1"/>
  <c r="D49" i="31"/>
  <c r="D49" i="38" s="1"/>
  <c r="E49" i="31"/>
  <c r="E49" i="38" s="1"/>
  <c r="D50" i="31"/>
  <c r="D50" i="38" s="1"/>
  <c r="E50" i="31"/>
  <c r="E50" i="38" s="1"/>
  <c r="D51" i="31"/>
  <c r="D51" i="38" s="1"/>
  <c r="E51" i="31"/>
  <c r="E51" i="38" s="1"/>
  <c r="D52" i="31"/>
  <c r="D52" i="38" s="1"/>
  <c r="E52" i="31"/>
  <c r="E52" i="38" s="1"/>
  <c r="D53" i="31"/>
  <c r="D53" i="38" s="1"/>
  <c r="E53" i="31"/>
  <c r="E53" i="38" s="1"/>
  <c r="D54" i="31"/>
  <c r="D54" i="38" s="1"/>
  <c r="E54" i="31"/>
  <c r="E54" i="38" s="1"/>
  <c r="D55" i="31"/>
  <c r="D55" i="38" s="1"/>
  <c r="E55" i="31"/>
  <c r="E55" i="38" s="1"/>
  <c r="D56" i="31"/>
  <c r="D56" i="38" s="1"/>
  <c r="E56" i="31"/>
  <c r="E56" i="38" s="1"/>
  <c r="D57" i="31"/>
  <c r="D57" i="38" s="1"/>
  <c r="E57" i="31"/>
  <c r="E57" i="38" s="1"/>
  <c r="D58" i="31"/>
  <c r="D58" i="38" s="1"/>
  <c r="E58" i="31"/>
  <c r="E58" i="38" s="1"/>
  <c r="D48" i="31"/>
  <c r="D48" i="38" s="1"/>
  <c r="E48" i="31"/>
  <c r="E48" i="38" s="1"/>
  <c r="D34" i="31"/>
  <c r="D34" i="38" s="1"/>
  <c r="D35" i="31"/>
  <c r="D35" i="38" s="1"/>
  <c r="D36" i="31"/>
  <c r="D36" i="38" s="1"/>
  <c r="D37" i="31"/>
  <c r="D37" i="38" s="1"/>
  <c r="D38" i="31"/>
  <c r="D38" i="38" s="1"/>
  <c r="D39" i="31"/>
  <c r="D39" i="38" s="1"/>
  <c r="D40" i="31"/>
  <c r="D40" i="38" s="1"/>
  <c r="D41" i="31"/>
  <c r="D41" i="38" s="1"/>
  <c r="D42" i="31"/>
  <c r="D42" i="38" s="1"/>
  <c r="D43" i="31"/>
  <c r="D43" i="38" s="1"/>
  <c r="D33" i="31"/>
  <c r="D33" i="38" s="1"/>
  <c r="E34" i="31"/>
  <c r="E35" i="31"/>
  <c r="E36" i="31"/>
  <c r="E37" i="31"/>
  <c r="E38" i="31"/>
  <c r="E39" i="31"/>
  <c r="E40" i="31"/>
  <c r="E41" i="31"/>
  <c r="E42" i="31"/>
  <c r="E43" i="31"/>
  <c r="E33" i="31"/>
  <c r="L343" i="33" l="1"/>
  <c r="E15" i="31" s="1"/>
  <c r="E15" i="38"/>
  <c r="H24" i="38"/>
  <c r="K24" i="31"/>
  <c r="E38" i="38"/>
  <c r="P38" i="31"/>
  <c r="O38" i="31"/>
  <c r="E41" i="38"/>
  <c r="P41" i="31"/>
  <c r="O41" i="31"/>
  <c r="E37" i="38"/>
  <c r="P37" i="31"/>
  <c r="O37" i="31"/>
  <c r="E42" i="38"/>
  <c r="O42" i="31"/>
  <c r="P42" i="31"/>
  <c r="E33" i="38"/>
  <c r="P33" i="31"/>
  <c r="O33" i="31"/>
  <c r="E34" i="38"/>
  <c r="P34" i="31"/>
  <c r="O34" i="31"/>
  <c r="E40" i="38"/>
  <c r="P40" i="31"/>
  <c r="O40" i="31"/>
  <c r="E36" i="38"/>
  <c r="P36" i="31"/>
  <c r="O36" i="31"/>
  <c r="E43" i="38"/>
  <c r="O43" i="31"/>
  <c r="P43" i="31"/>
  <c r="E39" i="38"/>
  <c r="P39" i="31"/>
  <c r="O39" i="31"/>
  <c r="E35" i="38"/>
  <c r="P35" i="31"/>
  <c r="O35" i="31"/>
  <c r="H25" i="38"/>
  <c r="K25" i="31"/>
  <c r="H26" i="38" l="1"/>
  <c r="K26" i="31"/>
  <c r="E283" i="29"/>
  <c r="E272" i="29"/>
  <c r="E261" i="29"/>
  <c r="E250" i="29"/>
  <c r="E239" i="29"/>
  <c r="E228" i="29"/>
  <c r="E217" i="29"/>
  <c r="E205" i="29"/>
  <c r="E194" i="29"/>
  <c r="E183" i="29"/>
  <c r="E172" i="29"/>
  <c r="E155" i="29"/>
  <c r="E140" i="29"/>
  <c r="E125" i="29"/>
  <c r="E110" i="29"/>
  <c r="E95" i="29"/>
  <c r="E80" i="29"/>
  <c r="E65" i="29"/>
  <c r="E50" i="29"/>
  <c r="E35" i="29"/>
  <c r="E20" i="29"/>
  <c r="E5" i="29"/>
  <c r="L24" i="31" l="1"/>
  <c r="M156" i="31" s="1"/>
  <c r="K158" i="19" s="1"/>
  <c r="E4" i="31"/>
  <c r="E4" i="38" s="1"/>
  <c r="E5" i="31"/>
  <c r="E5" i="38" s="1"/>
  <c r="E6" i="31"/>
  <c r="E6" i="38" s="1"/>
  <c r="E8" i="31"/>
  <c r="E8" i="38" s="1"/>
  <c r="D17" i="45" s="1"/>
  <c r="E9" i="31"/>
  <c r="E9" i="38" s="1"/>
  <c r="D19" i="45" s="1"/>
  <c r="E10" i="31"/>
  <c r="E10" i="38" s="1"/>
  <c r="D15" i="45" s="1"/>
  <c r="E11" i="31"/>
  <c r="E11" i="38" s="1"/>
  <c r="D21" i="45" s="1"/>
  <c r="E19" i="31"/>
  <c r="E20" i="31"/>
  <c r="D29" i="31"/>
  <c r="B87" i="31"/>
  <c r="D87" i="31"/>
  <c r="B156" i="31"/>
  <c r="B157" i="38" s="1"/>
  <c r="B166" i="31"/>
  <c r="B167" i="38" s="1"/>
  <c r="B167" i="31"/>
  <c r="B168" i="38" s="1"/>
  <c r="B168" i="31"/>
  <c r="B169" i="38" s="1"/>
  <c r="B175" i="31"/>
  <c r="B176" i="38" s="1"/>
  <c r="D18" i="45" s="1"/>
  <c r="E9" i="29"/>
  <c r="E10" i="29"/>
  <c r="E11" i="29"/>
  <c r="E24" i="29"/>
  <c r="E25" i="29"/>
  <c r="E26" i="29"/>
  <c r="E39" i="29"/>
  <c r="E40" i="29"/>
  <c r="E41" i="29"/>
  <c r="E54" i="29"/>
  <c r="E55" i="29"/>
  <c r="E56" i="29"/>
  <c r="E69" i="29"/>
  <c r="E70" i="29"/>
  <c r="E71" i="29"/>
  <c r="E84" i="29"/>
  <c r="E85" i="29"/>
  <c r="E86" i="29"/>
  <c r="E99" i="29"/>
  <c r="E100" i="29"/>
  <c r="E101" i="29"/>
  <c r="E114" i="29"/>
  <c r="E115" i="29"/>
  <c r="E116" i="29"/>
  <c r="E129" i="29"/>
  <c r="E130" i="29"/>
  <c r="E131" i="29"/>
  <c r="E144" i="29"/>
  <c r="E145" i="29"/>
  <c r="E146" i="29"/>
  <c r="E159" i="29"/>
  <c r="E160" i="29"/>
  <c r="E161" i="29"/>
  <c r="E174" i="29"/>
  <c r="E185" i="29"/>
  <c r="E196" i="29"/>
  <c r="E207" i="29"/>
  <c r="E219" i="29"/>
  <c r="E230" i="29"/>
  <c r="E241" i="29"/>
  <c r="E252" i="29"/>
  <c r="E263" i="29"/>
  <c r="E274" i="29"/>
  <c r="E285" i="29"/>
  <c r="K156" i="19" l="1"/>
  <c r="K159" i="19" s="1"/>
  <c r="M147" i="19"/>
  <c r="F18" i="43"/>
  <c r="D10" i="45"/>
  <c r="E18" i="43"/>
  <c r="D9" i="45"/>
  <c r="C18" i="43"/>
  <c r="D8" i="45"/>
  <c r="G18" i="43"/>
  <c r="E7" i="38"/>
  <c r="D16" i="45" s="1"/>
  <c r="E20" i="38"/>
  <c r="K20" i="31"/>
  <c r="E19" i="38"/>
  <c r="K19" i="31"/>
  <c r="F185" i="29"/>
  <c r="I185" i="29" s="1"/>
  <c r="J185" i="29" s="1"/>
  <c r="K185" i="29" s="1"/>
  <c r="F252" i="29"/>
  <c r="I252" i="29" s="1"/>
  <c r="J252" i="29" s="1"/>
  <c r="K252" i="29" s="1"/>
  <c r="F241" i="29"/>
  <c r="I241" i="29" s="1"/>
  <c r="J241" i="29" s="1"/>
  <c r="K241" i="29" s="1"/>
  <c r="F196" i="29"/>
  <c r="I196" i="29" s="1"/>
  <c r="J196" i="29" s="1"/>
  <c r="K196" i="29" s="1"/>
  <c r="F274" i="29"/>
  <c r="I274" i="29" s="1"/>
  <c r="J274" i="29" s="1"/>
  <c r="K274" i="29" s="1"/>
  <c r="F230" i="29"/>
  <c r="I230" i="29" s="1"/>
  <c r="J230" i="29" s="1"/>
  <c r="K230" i="29" s="1"/>
  <c r="F263" i="29"/>
  <c r="I263" i="29" s="1"/>
  <c r="J263" i="29" s="1"/>
  <c r="K263" i="29" s="1"/>
  <c r="F285" i="29"/>
  <c r="I285" i="29" s="1"/>
  <c r="J285" i="29" s="1"/>
  <c r="K285" i="29" s="1"/>
  <c r="F219" i="29"/>
  <c r="I219" i="29" s="1"/>
  <c r="J219" i="29" s="1"/>
  <c r="K219" i="29" s="1"/>
  <c r="F207" i="29"/>
  <c r="I207" i="29" s="1"/>
  <c r="J207" i="29" s="1"/>
  <c r="K207" i="29" s="1"/>
  <c r="F174" i="29"/>
  <c r="I174" i="29" s="1"/>
  <c r="J174" i="29" s="1"/>
  <c r="K174" i="29" s="1"/>
  <c r="J162" i="19" l="1"/>
  <c r="W154" i="31"/>
  <c r="I80" i="19"/>
  <c r="B20" i="37" s="1"/>
  <c r="F20" i="37" s="1"/>
  <c r="I20" i="37" s="1"/>
  <c r="J20" i="37" s="1"/>
  <c r="I81" i="19"/>
  <c r="B35" i="37" s="1"/>
  <c r="F35" i="37" s="1"/>
  <c r="I35" i="37" s="1"/>
  <c r="J35" i="37" s="1"/>
  <c r="I82" i="19"/>
  <c r="B50" i="37" s="1"/>
  <c r="F50" i="37" s="1"/>
  <c r="I50" i="37" s="1"/>
  <c r="J50" i="37" s="1"/>
  <c r="I83" i="19"/>
  <c r="B65" i="37" s="1"/>
  <c r="F65" i="37" s="1"/>
  <c r="I65" i="37" s="1"/>
  <c r="J65" i="37" s="1"/>
  <c r="I84" i="19"/>
  <c r="B80" i="37" s="1"/>
  <c r="F80" i="37" s="1"/>
  <c r="I80" i="37" s="1"/>
  <c r="J80" i="37" s="1"/>
  <c r="I85" i="19"/>
  <c r="B95" i="37" s="1"/>
  <c r="F95" i="37" s="1"/>
  <c r="I95" i="37" s="1"/>
  <c r="J95" i="37" s="1"/>
  <c r="I86" i="19"/>
  <c r="B110" i="37" s="1"/>
  <c r="F110" i="37" s="1"/>
  <c r="I110" i="37" s="1"/>
  <c r="J110" i="37" s="1"/>
  <c r="I87" i="19"/>
  <c r="B125" i="37" s="1"/>
  <c r="F125" i="37" s="1"/>
  <c r="I125" i="37" s="1"/>
  <c r="J125" i="37" s="1"/>
  <c r="I88" i="19"/>
  <c r="B140" i="37" s="1"/>
  <c r="F140" i="37" s="1"/>
  <c r="I140" i="37" s="1"/>
  <c r="J140" i="37" s="1"/>
  <c r="I89" i="19"/>
  <c r="B155" i="37" s="1"/>
  <c r="F155" i="37" s="1"/>
  <c r="I155" i="37" s="1"/>
  <c r="J155" i="37" s="1"/>
  <c r="I94" i="19"/>
  <c r="B172" i="37" s="1"/>
  <c r="F172" i="37" s="1"/>
  <c r="I172" i="37" s="1"/>
  <c r="J172" i="37" s="1"/>
  <c r="I95" i="19"/>
  <c r="B183" i="37" s="1"/>
  <c r="F183" i="37" s="1"/>
  <c r="I183" i="37" s="1"/>
  <c r="J183" i="37" s="1"/>
  <c r="I96" i="19"/>
  <c r="B194" i="37" s="1"/>
  <c r="F194" i="37" s="1"/>
  <c r="I194" i="37" s="1"/>
  <c r="J194" i="37" s="1"/>
  <c r="I97" i="19"/>
  <c r="B205" i="37" s="1"/>
  <c r="F205" i="37" s="1"/>
  <c r="I205" i="37" s="1"/>
  <c r="J205" i="37" s="1"/>
  <c r="I98" i="19"/>
  <c r="B217" i="37" s="1"/>
  <c r="F217" i="37" s="1"/>
  <c r="I217" i="37" s="1"/>
  <c r="J217" i="37" s="1"/>
  <c r="I99" i="19"/>
  <c r="B228" i="37" s="1"/>
  <c r="F228" i="37" s="1"/>
  <c r="I228" i="37" s="1"/>
  <c r="J228" i="37" s="1"/>
  <c r="I100" i="19"/>
  <c r="B239" i="37" s="1"/>
  <c r="F239" i="37" s="1"/>
  <c r="I239" i="37" s="1"/>
  <c r="J239" i="37" s="1"/>
  <c r="I101" i="19"/>
  <c r="B250" i="37" s="1"/>
  <c r="F250" i="37" s="1"/>
  <c r="I250" i="37" s="1"/>
  <c r="J250" i="37" s="1"/>
  <c r="I102" i="19"/>
  <c r="B261" i="37" s="1"/>
  <c r="F261" i="37" s="1"/>
  <c r="I261" i="37" s="1"/>
  <c r="J261" i="37" s="1"/>
  <c r="I103" i="19"/>
  <c r="I104" i="19"/>
  <c r="B283" i="37" s="1"/>
  <c r="F283" i="37" s="1"/>
  <c r="I283" i="37" s="1"/>
  <c r="J283" i="37" s="1"/>
  <c r="K283" i="37" s="1"/>
  <c r="I79" i="19"/>
  <c r="B5" i="37" s="1"/>
  <c r="F5" i="37" s="1"/>
  <c r="I5" i="37" s="1"/>
  <c r="J5" i="37" s="1"/>
  <c r="H104" i="19"/>
  <c r="B160" i="36" s="1"/>
  <c r="D160" i="36" s="1"/>
  <c r="H80" i="19"/>
  <c r="C42" i="36" s="1"/>
  <c r="I46" i="36" s="1"/>
  <c r="H81" i="19"/>
  <c r="C43" i="36" s="1"/>
  <c r="I50" i="36" s="1"/>
  <c r="H82" i="19"/>
  <c r="C44" i="36" s="1"/>
  <c r="I54" i="36" s="1"/>
  <c r="H83" i="19"/>
  <c r="C45" i="36" s="1"/>
  <c r="I58" i="36" s="1"/>
  <c r="H84" i="19"/>
  <c r="C46" i="36" s="1"/>
  <c r="N42" i="36" s="1"/>
  <c r="H85" i="19"/>
  <c r="C47" i="36" s="1"/>
  <c r="N46" i="36" s="1"/>
  <c r="H86" i="19"/>
  <c r="C48" i="36" s="1"/>
  <c r="N50" i="36" s="1"/>
  <c r="H87" i="19"/>
  <c r="C49" i="36" s="1"/>
  <c r="N54" i="36" s="1"/>
  <c r="H88" i="19"/>
  <c r="C50" i="36" s="1"/>
  <c r="N58" i="36" s="1"/>
  <c r="H89" i="19"/>
  <c r="C51" i="36" s="1"/>
  <c r="S42" i="36" s="1"/>
  <c r="H94" i="19"/>
  <c r="B150" i="36" s="1"/>
  <c r="D150" i="36" s="1"/>
  <c r="H95" i="19"/>
  <c r="B151" i="36" s="1"/>
  <c r="D151" i="36" s="1"/>
  <c r="H96" i="19"/>
  <c r="B152" i="36" s="1"/>
  <c r="D152" i="36" s="1"/>
  <c r="H97" i="19"/>
  <c r="B153" i="36" s="1"/>
  <c r="D153" i="36" s="1"/>
  <c r="H98" i="19"/>
  <c r="B154" i="36" s="1"/>
  <c r="D154" i="36" s="1"/>
  <c r="H99" i="19"/>
  <c r="B155" i="36" s="1"/>
  <c r="D155" i="36" s="1"/>
  <c r="H100" i="19"/>
  <c r="B156" i="36" s="1"/>
  <c r="D156" i="36" s="1"/>
  <c r="H101" i="19"/>
  <c r="B157" i="36" s="1"/>
  <c r="D157" i="36" s="1"/>
  <c r="H102" i="19"/>
  <c r="B158" i="36" s="1"/>
  <c r="D158" i="36" s="1"/>
  <c r="H103" i="19"/>
  <c r="B159" i="36" s="1"/>
  <c r="D159" i="36" s="1"/>
  <c r="H79" i="19"/>
  <c r="C41" i="36" s="1"/>
  <c r="I42" i="36" s="1"/>
  <c r="B272" i="37" l="1"/>
  <c r="F272" i="37" s="1"/>
  <c r="I272" i="37" s="1"/>
  <c r="J272" i="37" s="1"/>
  <c r="J165" i="19"/>
  <c r="A148" i="19" s="1"/>
  <c r="F112" i="31"/>
  <c r="K112" i="31" s="1"/>
  <c r="G112" i="31"/>
  <c r="G117" i="38" s="1"/>
  <c r="F108" i="31"/>
  <c r="K108" i="31" s="1"/>
  <c r="G108" i="31"/>
  <c r="G113" i="38" s="1"/>
  <c r="F113" i="31"/>
  <c r="K113" i="31" s="1"/>
  <c r="G113" i="31"/>
  <c r="G118" i="38" s="1"/>
  <c r="F115" i="31"/>
  <c r="K115" i="31" s="1"/>
  <c r="G115" i="31"/>
  <c r="G120" i="38" s="1"/>
  <c r="F111" i="31"/>
  <c r="K111" i="31" s="1"/>
  <c r="G111" i="31"/>
  <c r="G116" i="38" s="1"/>
  <c r="F107" i="31"/>
  <c r="K107" i="31" s="1"/>
  <c r="G107" i="31"/>
  <c r="G112" i="38" s="1"/>
  <c r="F116" i="31"/>
  <c r="K116" i="31" s="1"/>
  <c r="G116" i="31"/>
  <c r="G121" i="38" s="1"/>
  <c r="F110" i="31"/>
  <c r="K110" i="31" s="1"/>
  <c r="G110" i="31"/>
  <c r="G115" i="38" s="1"/>
  <c r="F106" i="31"/>
  <c r="K106" i="31" s="1"/>
  <c r="G106" i="31"/>
  <c r="G111" i="38" s="1"/>
  <c r="F114" i="31"/>
  <c r="K114" i="31" s="1"/>
  <c r="G114" i="31"/>
  <c r="G119" i="38" s="1"/>
  <c r="F109" i="31"/>
  <c r="K109" i="31" s="1"/>
  <c r="G109" i="31"/>
  <c r="G114" i="38" s="1"/>
  <c r="Q41" i="36"/>
  <c r="O43" i="36"/>
  <c r="O41" i="36"/>
  <c r="Q43" i="36"/>
  <c r="K228" i="37"/>
  <c r="K231" i="37" s="1"/>
  <c r="J231" i="37"/>
  <c r="J232" i="37" s="1"/>
  <c r="K125" i="37"/>
  <c r="K132" i="37" s="1"/>
  <c r="J132" i="37"/>
  <c r="J133" i="37" s="1"/>
  <c r="K65" i="37"/>
  <c r="K72" i="37" s="1"/>
  <c r="J72" i="37"/>
  <c r="J73" i="37" s="1"/>
  <c r="O53" i="36"/>
  <c r="Q53" i="36"/>
  <c r="Q55" i="36"/>
  <c r="O55" i="36"/>
  <c r="J57" i="36"/>
  <c r="J59" i="36"/>
  <c r="L59" i="36"/>
  <c r="L57" i="36"/>
  <c r="K261" i="37"/>
  <c r="K264" i="37" s="1"/>
  <c r="J264" i="37"/>
  <c r="J265" i="37" s="1"/>
  <c r="K217" i="37"/>
  <c r="K220" i="37" s="1"/>
  <c r="J220" i="37"/>
  <c r="J221" i="37" s="1"/>
  <c r="K172" i="37"/>
  <c r="K175" i="37" s="1"/>
  <c r="J175" i="37"/>
  <c r="J176" i="37" s="1"/>
  <c r="K110" i="37"/>
  <c r="K117" i="37" s="1"/>
  <c r="J117" i="37"/>
  <c r="J118" i="37" s="1"/>
  <c r="K50" i="37"/>
  <c r="K57" i="37" s="1"/>
  <c r="J57" i="37"/>
  <c r="J58" i="37" s="1"/>
  <c r="K272" i="37"/>
  <c r="K275" i="37" s="1"/>
  <c r="J275" i="37"/>
  <c r="J276" i="37" s="1"/>
  <c r="K5" i="37"/>
  <c r="K12" i="37" s="1"/>
  <c r="J12" i="37"/>
  <c r="J13" i="37" s="1"/>
  <c r="K250" i="37"/>
  <c r="K253" i="37" s="1"/>
  <c r="J253" i="37"/>
  <c r="J254" i="37" s="1"/>
  <c r="K205" i="37"/>
  <c r="K208" i="37" s="1"/>
  <c r="J208" i="37"/>
  <c r="J209" i="37" s="1"/>
  <c r="K155" i="37"/>
  <c r="K162" i="37" s="1"/>
  <c r="J162" i="37"/>
  <c r="J163" i="37" s="1"/>
  <c r="K95" i="37"/>
  <c r="K102" i="37" s="1"/>
  <c r="J102" i="37"/>
  <c r="J103" i="37" s="1"/>
  <c r="K35" i="37"/>
  <c r="K42" i="37" s="1"/>
  <c r="J42" i="37"/>
  <c r="J43" i="37" s="1"/>
  <c r="J43" i="36"/>
  <c r="L41" i="36"/>
  <c r="L43" i="36"/>
  <c r="J41" i="36"/>
  <c r="Q57" i="36"/>
  <c r="Q59" i="36"/>
  <c r="O57" i="36"/>
  <c r="O59" i="36"/>
  <c r="L47" i="36"/>
  <c r="L45" i="36"/>
  <c r="J45" i="36"/>
  <c r="J47" i="36"/>
  <c r="K183" i="37"/>
  <c r="K186" i="37" s="1"/>
  <c r="J186" i="37"/>
  <c r="J187" i="37" s="1"/>
  <c r="O49" i="36"/>
  <c r="Q51" i="36"/>
  <c r="Q49" i="36"/>
  <c r="O51" i="36"/>
  <c r="J53" i="36"/>
  <c r="J55" i="36"/>
  <c r="L55" i="36"/>
  <c r="L53" i="36"/>
  <c r="V43" i="36"/>
  <c r="T41" i="36"/>
  <c r="V41" i="36"/>
  <c r="T43" i="36"/>
  <c r="Q47" i="36"/>
  <c r="O47" i="36"/>
  <c r="O45" i="36"/>
  <c r="Q45" i="36"/>
  <c r="J49" i="36"/>
  <c r="L51" i="36"/>
  <c r="J51" i="36"/>
  <c r="L49" i="36"/>
  <c r="K286" i="37"/>
  <c r="J286" i="37"/>
  <c r="J287" i="37" s="1"/>
  <c r="K239" i="37"/>
  <c r="K242" i="37" s="1"/>
  <c r="J242" i="37"/>
  <c r="J243" i="37" s="1"/>
  <c r="K194" i="37"/>
  <c r="K197" i="37" s="1"/>
  <c r="J197" i="37"/>
  <c r="J198" i="37" s="1"/>
  <c r="K140" i="37"/>
  <c r="K147" i="37" s="1"/>
  <c r="J147" i="37"/>
  <c r="J148" i="37" s="1"/>
  <c r="K80" i="37"/>
  <c r="K87" i="37" s="1"/>
  <c r="J87" i="37"/>
  <c r="J88" i="37" s="1"/>
  <c r="K20" i="37"/>
  <c r="K27" i="37" s="1"/>
  <c r="J27" i="37"/>
  <c r="J28" i="37" s="1"/>
  <c r="H58" i="19"/>
  <c r="B146" i="36" s="1"/>
  <c r="D146" i="36" s="1"/>
  <c r="I58" i="19"/>
  <c r="H57" i="19"/>
  <c r="B145" i="36" s="1"/>
  <c r="D145" i="36" s="1"/>
  <c r="I57" i="19"/>
  <c r="H56" i="19"/>
  <c r="B144" i="36" s="1"/>
  <c r="D144" i="36" s="1"/>
  <c r="I56" i="19"/>
  <c r="H55" i="19"/>
  <c r="B143" i="36" s="1"/>
  <c r="D143" i="36" s="1"/>
  <c r="I55" i="19"/>
  <c r="H54" i="19"/>
  <c r="B142" i="36" s="1"/>
  <c r="D142" i="36" s="1"/>
  <c r="I54" i="19"/>
  <c r="H53" i="19"/>
  <c r="B141" i="36" s="1"/>
  <c r="D141" i="36" s="1"/>
  <c r="I53" i="19"/>
  <c r="H52" i="19"/>
  <c r="B140" i="36" s="1"/>
  <c r="D140" i="36" s="1"/>
  <c r="I52" i="19"/>
  <c r="H51" i="19"/>
  <c r="B139" i="36" s="1"/>
  <c r="D139" i="36" s="1"/>
  <c r="I51" i="19"/>
  <c r="H50" i="19"/>
  <c r="B138" i="36" s="1"/>
  <c r="D138" i="36" s="1"/>
  <c r="I50" i="19"/>
  <c r="H49" i="19"/>
  <c r="B137" i="36" s="1"/>
  <c r="D137" i="36" s="1"/>
  <c r="I49" i="19"/>
  <c r="H48" i="19"/>
  <c r="B136" i="36" s="1"/>
  <c r="D136" i="36" s="1"/>
  <c r="I48" i="19"/>
  <c r="B172" i="29" s="1"/>
  <c r="I35" i="19"/>
  <c r="I36" i="19"/>
  <c r="I37" i="19"/>
  <c r="I38" i="19"/>
  <c r="I39" i="19"/>
  <c r="I40" i="19"/>
  <c r="I41" i="19"/>
  <c r="I42" i="19"/>
  <c r="I43" i="19"/>
  <c r="I44" i="19"/>
  <c r="H35" i="19"/>
  <c r="C20" i="36" s="1"/>
  <c r="H37" i="19"/>
  <c r="C22" i="36" s="1"/>
  <c r="H38" i="19"/>
  <c r="C23" i="36" s="1"/>
  <c r="H39" i="19"/>
  <c r="C24" i="36" s="1"/>
  <c r="H40" i="19"/>
  <c r="C25" i="36" s="1"/>
  <c r="H41" i="19"/>
  <c r="C26" i="36" s="1"/>
  <c r="H42" i="19"/>
  <c r="C27" i="36" s="1"/>
  <c r="H43" i="19"/>
  <c r="C28" i="36" s="1"/>
  <c r="H44" i="19"/>
  <c r="C29" i="36" s="1"/>
  <c r="I34" i="19"/>
  <c r="H34" i="19"/>
  <c r="C19" i="36" s="1"/>
  <c r="B163" i="31" l="1"/>
  <c r="B164" i="38" s="1"/>
  <c r="L33" i="19" s="1"/>
  <c r="L30" i="19"/>
  <c r="F119" i="38"/>
  <c r="F115" i="38"/>
  <c r="F120" i="38"/>
  <c r="F121" i="38"/>
  <c r="F116" i="38"/>
  <c r="F118" i="38"/>
  <c r="F117" i="38"/>
  <c r="F112" i="38"/>
  <c r="F113" i="38"/>
  <c r="F114" i="38"/>
  <c r="F111" i="38"/>
  <c r="F48" i="31"/>
  <c r="K48" i="31" s="1"/>
  <c r="G48" i="31"/>
  <c r="G48" i="38" s="1"/>
  <c r="F50" i="31"/>
  <c r="K50" i="31" s="1"/>
  <c r="G50" i="31"/>
  <c r="G50" i="38" s="1"/>
  <c r="F52" i="31"/>
  <c r="K52" i="31" s="1"/>
  <c r="G52" i="31"/>
  <c r="G52" i="38" s="1"/>
  <c r="F54" i="31"/>
  <c r="K54" i="31" s="1"/>
  <c r="G54" i="31"/>
  <c r="G54" i="38" s="1"/>
  <c r="F56" i="31"/>
  <c r="K56" i="31" s="1"/>
  <c r="G56" i="31"/>
  <c r="G56" i="38" s="1"/>
  <c r="F58" i="31"/>
  <c r="K58" i="31" s="1"/>
  <c r="G58" i="31"/>
  <c r="G58" i="38" s="1"/>
  <c r="F49" i="31"/>
  <c r="K49" i="31" s="1"/>
  <c r="G49" i="31"/>
  <c r="G49" i="38" s="1"/>
  <c r="F51" i="31"/>
  <c r="K51" i="31" s="1"/>
  <c r="G51" i="31"/>
  <c r="G51" i="38" s="1"/>
  <c r="F53" i="31"/>
  <c r="K53" i="31" s="1"/>
  <c r="G53" i="31"/>
  <c r="G53" i="38" s="1"/>
  <c r="F55" i="31"/>
  <c r="K55" i="31" s="1"/>
  <c r="G55" i="31"/>
  <c r="G55" i="38" s="1"/>
  <c r="F57" i="31"/>
  <c r="K57" i="31" s="1"/>
  <c r="G57" i="31"/>
  <c r="G57" i="38" s="1"/>
  <c r="P54" i="36"/>
  <c r="D49" i="36" s="1"/>
  <c r="E49" i="36" s="1"/>
  <c r="G49" i="36" s="1"/>
  <c r="K46" i="36"/>
  <c r="D42" i="36" s="1"/>
  <c r="E42" i="36" s="1"/>
  <c r="G42" i="36" s="1"/>
  <c r="U42" i="36"/>
  <c r="D51" i="36" s="1"/>
  <c r="E51" i="36" s="1"/>
  <c r="G51" i="36" s="1"/>
  <c r="K54" i="36"/>
  <c r="D44" i="36" s="1"/>
  <c r="E44" i="36" s="1"/>
  <c r="G44" i="36" s="1"/>
  <c r="P58" i="36"/>
  <c r="D50" i="36" s="1"/>
  <c r="E50" i="36" s="1"/>
  <c r="G50" i="36" s="1"/>
  <c r="P50" i="36"/>
  <c r="D48" i="36" s="1"/>
  <c r="E48" i="36" s="1"/>
  <c r="G48" i="36" s="1"/>
  <c r="J188" i="37"/>
  <c r="J189" i="37" s="1"/>
  <c r="J190" i="37" s="1"/>
  <c r="C151" i="36" s="1"/>
  <c r="K42" i="36"/>
  <c r="D41" i="36" s="1"/>
  <c r="E41" i="36" s="1"/>
  <c r="G41" i="36" s="1"/>
  <c r="P42" i="36"/>
  <c r="D46" i="36" s="1"/>
  <c r="E46" i="36" s="1"/>
  <c r="G46" i="36" s="1"/>
  <c r="K50" i="36"/>
  <c r="D43" i="36" s="1"/>
  <c r="E43" i="36" s="1"/>
  <c r="G43" i="36" s="1"/>
  <c r="P46" i="36"/>
  <c r="D47" i="36" s="1"/>
  <c r="E47" i="36" s="1"/>
  <c r="G47" i="36" s="1"/>
  <c r="K58" i="36"/>
  <c r="D45" i="36" s="1"/>
  <c r="E45" i="36" s="1"/>
  <c r="G45" i="36" s="1"/>
  <c r="B50" i="29"/>
  <c r="F50" i="29" s="1"/>
  <c r="I50" i="29" s="1"/>
  <c r="J50" i="29" s="1"/>
  <c r="K50" i="29" s="1"/>
  <c r="B155" i="29"/>
  <c r="F155" i="29" s="1"/>
  <c r="I155" i="29" s="1"/>
  <c r="J155" i="29" s="1"/>
  <c r="K155" i="29" s="1"/>
  <c r="B95" i="29"/>
  <c r="F95" i="29" s="1"/>
  <c r="I95" i="29" s="1"/>
  <c r="J95" i="29" s="1"/>
  <c r="K95" i="29" s="1"/>
  <c r="B35" i="29"/>
  <c r="F35" i="29" s="1"/>
  <c r="I35" i="29" s="1"/>
  <c r="J35" i="29" s="1"/>
  <c r="K35" i="29" s="1"/>
  <c r="B183" i="29"/>
  <c r="F183" i="29" s="1"/>
  <c r="I183" i="29" s="1"/>
  <c r="J183" i="29" s="1"/>
  <c r="K183" i="29" s="1"/>
  <c r="B205" i="29"/>
  <c r="F205" i="29" s="1"/>
  <c r="I205" i="29" s="1"/>
  <c r="J205" i="29" s="1"/>
  <c r="K205" i="29" s="1"/>
  <c r="B228" i="29"/>
  <c r="F228" i="29" s="1"/>
  <c r="I228" i="29" s="1"/>
  <c r="J228" i="29" s="1"/>
  <c r="K228" i="29" s="1"/>
  <c r="B250" i="29"/>
  <c r="F250" i="29" s="1"/>
  <c r="I250" i="29" s="1"/>
  <c r="J250" i="29" s="1"/>
  <c r="K250" i="29" s="1"/>
  <c r="B272" i="29"/>
  <c r="F272" i="29" s="1"/>
  <c r="I272" i="29" s="1"/>
  <c r="J272" i="29" s="1"/>
  <c r="K272" i="29" s="1"/>
  <c r="J29" i="37"/>
  <c r="J30" i="37" s="1"/>
  <c r="J31" i="37" s="1"/>
  <c r="F42" i="36" s="1"/>
  <c r="I92" i="31" s="1"/>
  <c r="K97" i="38" s="1"/>
  <c r="J149" i="37"/>
  <c r="J150" i="37" s="1"/>
  <c r="J151" i="37" s="1"/>
  <c r="F50" i="36" s="1"/>
  <c r="I100" i="31" s="1"/>
  <c r="K105" i="38" s="1"/>
  <c r="J244" i="37"/>
  <c r="J245" i="37" s="1"/>
  <c r="J246" i="37" s="1"/>
  <c r="C156" i="36" s="1"/>
  <c r="J104" i="37"/>
  <c r="J105" i="37" s="1"/>
  <c r="J106" i="37" s="1"/>
  <c r="F47" i="36" s="1"/>
  <c r="I97" i="31" s="1"/>
  <c r="K102" i="38" s="1"/>
  <c r="J210" i="37"/>
  <c r="J211" i="37" s="1"/>
  <c r="J212" i="37" s="1"/>
  <c r="C153" i="36" s="1"/>
  <c r="J14" i="37"/>
  <c r="J15" i="37" s="1"/>
  <c r="J16" i="37" s="1"/>
  <c r="F41" i="36" s="1"/>
  <c r="I91" i="31" s="1"/>
  <c r="K96" i="38" s="1"/>
  <c r="J59" i="37"/>
  <c r="J60" i="37" s="1"/>
  <c r="J61" i="37" s="1"/>
  <c r="F44" i="36" s="1"/>
  <c r="I94" i="31" s="1"/>
  <c r="K99" i="38" s="1"/>
  <c r="J177" i="37"/>
  <c r="J178" i="37" s="1"/>
  <c r="J179" i="37" s="1"/>
  <c r="C150" i="36" s="1"/>
  <c r="J266" i="37"/>
  <c r="J267" i="37" s="1"/>
  <c r="J268" i="37" s="1"/>
  <c r="C158" i="36" s="1"/>
  <c r="J74" i="37"/>
  <c r="J75" i="37" s="1"/>
  <c r="J76" i="37" s="1"/>
  <c r="F45" i="36" s="1"/>
  <c r="I95" i="31" s="1"/>
  <c r="K100" i="38" s="1"/>
  <c r="J233" i="37"/>
  <c r="J234" i="37" s="1"/>
  <c r="J235" i="37" s="1"/>
  <c r="C155" i="36" s="1"/>
  <c r="B110" i="29"/>
  <c r="F110" i="29" s="1"/>
  <c r="I110" i="29" s="1"/>
  <c r="J110" i="29" s="1"/>
  <c r="K110" i="29" s="1"/>
  <c r="B140" i="29"/>
  <c r="F140" i="29" s="1"/>
  <c r="I140" i="29" s="1"/>
  <c r="J140" i="29" s="1"/>
  <c r="K140" i="29" s="1"/>
  <c r="B80" i="29"/>
  <c r="F80" i="29" s="1"/>
  <c r="I80" i="29" s="1"/>
  <c r="J80" i="29" s="1"/>
  <c r="K80" i="29" s="1"/>
  <c r="B20" i="29"/>
  <c r="F20" i="29" s="1"/>
  <c r="I20" i="29" s="1"/>
  <c r="J20" i="29" s="1"/>
  <c r="K20" i="29" s="1"/>
  <c r="B5" i="29"/>
  <c r="F5" i="29" s="1"/>
  <c r="I5" i="29" s="1"/>
  <c r="J5" i="29" s="1"/>
  <c r="K5" i="29" s="1"/>
  <c r="B125" i="29"/>
  <c r="F125" i="29" s="1"/>
  <c r="I125" i="29" s="1"/>
  <c r="J125" i="29" s="1"/>
  <c r="K125" i="29" s="1"/>
  <c r="B65" i="29"/>
  <c r="F65" i="29" s="1"/>
  <c r="I65" i="29" s="1"/>
  <c r="J65" i="29" s="1"/>
  <c r="K65" i="29" s="1"/>
  <c r="B194" i="29"/>
  <c r="F194" i="29" s="1"/>
  <c r="I194" i="29" s="1"/>
  <c r="J194" i="29" s="1"/>
  <c r="K194" i="29" s="1"/>
  <c r="B217" i="29"/>
  <c r="F217" i="29" s="1"/>
  <c r="I217" i="29" s="1"/>
  <c r="J217" i="29" s="1"/>
  <c r="K217" i="29" s="1"/>
  <c r="B239" i="29"/>
  <c r="F239" i="29" s="1"/>
  <c r="I239" i="29" s="1"/>
  <c r="J239" i="29" s="1"/>
  <c r="K239" i="29" s="1"/>
  <c r="B261" i="29"/>
  <c r="F261" i="29" s="1"/>
  <c r="I261" i="29" s="1"/>
  <c r="J261" i="29" s="1"/>
  <c r="K261" i="29" s="1"/>
  <c r="B283" i="29"/>
  <c r="F283" i="29" s="1"/>
  <c r="I283" i="29" s="1"/>
  <c r="J283" i="29" s="1"/>
  <c r="K283" i="29" s="1"/>
  <c r="J89" i="37"/>
  <c r="J90" i="37" s="1"/>
  <c r="J91" i="37" s="1"/>
  <c r="F46" i="36" s="1"/>
  <c r="I96" i="31" s="1"/>
  <c r="K101" i="38" s="1"/>
  <c r="J199" i="37"/>
  <c r="J200" i="37" s="1"/>
  <c r="J201" i="37" s="1"/>
  <c r="C152" i="36" s="1"/>
  <c r="J288" i="37"/>
  <c r="J289" i="37" s="1"/>
  <c r="J290" i="37" s="1"/>
  <c r="C160" i="36" s="1"/>
  <c r="J44" i="37"/>
  <c r="J45" i="37" s="1"/>
  <c r="J46" i="37" s="1"/>
  <c r="F43" i="36" s="1"/>
  <c r="I93" i="31" s="1"/>
  <c r="K98" i="38" s="1"/>
  <c r="J164" i="37"/>
  <c r="J165" i="37" s="1"/>
  <c r="J166" i="37" s="1"/>
  <c r="F51" i="36" s="1"/>
  <c r="I101" i="31" s="1"/>
  <c r="K106" i="38" s="1"/>
  <c r="J255" i="37"/>
  <c r="J256" i="37" s="1"/>
  <c r="J257" i="37" s="1"/>
  <c r="C157" i="36" s="1"/>
  <c r="J277" i="37"/>
  <c r="J278" i="37" s="1"/>
  <c r="J279" i="37" s="1"/>
  <c r="C159" i="36" s="1"/>
  <c r="J119" i="37"/>
  <c r="J120" i="37" s="1"/>
  <c r="J121" i="37" s="1"/>
  <c r="F48" i="36" s="1"/>
  <c r="I98" i="31" s="1"/>
  <c r="K103" i="38" s="1"/>
  <c r="J222" i="37"/>
  <c r="J223" i="37" s="1"/>
  <c r="J224" i="37" s="1"/>
  <c r="C154" i="36" s="1"/>
  <c r="J134" i="37"/>
  <c r="J135" i="37" s="1"/>
  <c r="J136" i="37" s="1"/>
  <c r="F49" i="36" s="1"/>
  <c r="I99" i="31" s="1"/>
  <c r="K104" i="38" s="1"/>
  <c r="N36" i="36"/>
  <c r="O37" i="36" s="1"/>
  <c r="N20" i="36"/>
  <c r="Q19" i="36" s="1"/>
  <c r="I20" i="36"/>
  <c r="L19" i="36" s="1"/>
  <c r="N28" i="36"/>
  <c r="Q29" i="36" s="1"/>
  <c r="I32" i="36"/>
  <c r="L31" i="36" s="1"/>
  <c r="S20" i="36"/>
  <c r="T21" i="36" s="1"/>
  <c r="N24" i="36"/>
  <c r="Q23" i="36" s="1"/>
  <c r="N32" i="36"/>
  <c r="I28" i="36"/>
  <c r="I24" i="36"/>
  <c r="I36" i="36"/>
  <c r="F172" i="29"/>
  <c r="I172" i="29" s="1"/>
  <c r="J172" i="29" s="1"/>
  <c r="Q25" i="36" l="1"/>
  <c r="V19" i="36"/>
  <c r="J33" i="36"/>
  <c r="O19" i="36"/>
  <c r="F57" i="38"/>
  <c r="F53" i="38"/>
  <c r="F56" i="38"/>
  <c r="F52" i="38"/>
  <c r="T130" i="31"/>
  <c r="M104" i="31" s="1"/>
  <c r="F55" i="38"/>
  <c r="F58" i="38"/>
  <c r="F54" i="38"/>
  <c r="F51" i="38"/>
  <c r="F50" i="38"/>
  <c r="F49" i="38"/>
  <c r="F48" i="38"/>
  <c r="I114" i="31"/>
  <c r="K119" i="38" s="1"/>
  <c r="I56" i="31"/>
  <c r="K56" i="38" s="1"/>
  <c r="I109" i="31"/>
  <c r="K114" i="38" s="1"/>
  <c r="I51" i="31"/>
  <c r="K51" i="38" s="1"/>
  <c r="F93" i="31"/>
  <c r="K93" i="31" s="1"/>
  <c r="G93" i="31"/>
  <c r="G98" i="38" s="1"/>
  <c r="F98" i="31"/>
  <c r="K98" i="31" s="1"/>
  <c r="G98" i="31"/>
  <c r="G103" i="38" s="1"/>
  <c r="F92" i="31"/>
  <c r="K92" i="31" s="1"/>
  <c r="G92" i="31"/>
  <c r="G97" i="38" s="1"/>
  <c r="I110" i="31"/>
  <c r="K115" i="38" s="1"/>
  <c r="I52" i="31"/>
  <c r="K52" i="38" s="1"/>
  <c r="I106" i="31"/>
  <c r="K111" i="38" s="1"/>
  <c r="I48" i="31"/>
  <c r="K48" i="38" s="1"/>
  <c r="F96" i="31"/>
  <c r="K96" i="31" s="1"/>
  <c r="G96" i="31"/>
  <c r="G101" i="38" s="1"/>
  <c r="F100" i="31"/>
  <c r="K100" i="31" s="1"/>
  <c r="G100" i="31"/>
  <c r="G105" i="38" s="1"/>
  <c r="F99" i="31"/>
  <c r="K99" i="31" s="1"/>
  <c r="G99" i="31"/>
  <c r="G104" i="38" s="1"/>
  <c r="I115" i="31"/>
  <c r="K120" i="38" s="1"/>
  <c r="I57" i="31"/>
  <c r="K57" i="38" s="1"/>
  <c r="I116" i="31"/>
  <c r="K121" i="38" s="1"/>
  <c r="I58" i="31"/>
  <c r="K58" i="38" s="1"/>
  <c r="I111" i="31"/>
  <c r="K116" i="38" s="1"/>
  <c r="I53" i="31"/>
  <c r="K53" i="38" s="1"/>
  <c r="I112" i="31"/>
  <c r="K117" i="38" s="1"/>
  <c r="I54" i="31"/>
  <c r="K54" i="38" s="1"/>
  <c r="F95" i="31"/>
  <c r="K95" i="31" s="1"/>
  <c r="G95" i="31"/>
  <c r="G100" i="38" s="1"/>
  <c r="F91" i="31"/>
  <c r="K91" i="31" s="1"/>
  <c r="G91" i="31"/>
  <c r="G96" i="38" s="1"/>
  <c r="F94" i="31"/>
  <c r="K94" i="31" s="1"/>
  <c r="G94" i="31"/>
  <c r="G99" i="38" s="1"/>
  <c r="I113" i="31"/>
  <c r="K118" i="38" s="1"/>
  <c r="I55" i="31"/>
  <c r="K55" i="38" s="1"/>
  <c r="I108" i="31"/>
  <c r="K113" i="38" s="1"/>
  <c r="I50" i="31"/>
  <c r="K50" i="38" s="1"/>
  <c r="F97" i="31"/>
  <c r="K97" i="31" s="1"/>
  <c r="G97" i="31"/>
  <c r="G102" i="38" s="1"/>
  <c r="I107" i="31"/>
  <c r="K112" i="38" s="1"/>
  <c r="I49" i="31"/>
  <c r="K49" i="38" s="1"/>
  <c r="F101" i="31"/>
  <c r="K101" i="31" s="1"/>
  <c r="G101" i="31"/>
  <c r="G106" i="38" s="1"/>
  <c r="L21" i="36"/>
  <c r="V21" i="36"/>
  <c r="O21" i="36"/>
  <c r="Q27" i="36"/>
  <c r="T19" i="36"/>
  <c r="Q35" i="36"/>
  <c r="Q37" i="36"/>
  <c r="O35" i="36"/>
  <c r="J31" i="36"/>
  <c r="J21" i="36"/>
  <c r="O27" i="36"/>
  <c r="O29" i="36"/>
  <c r="J19" i="36"/>
  <c r="O25" i="36"/>
  <c r="O23" i="36"/>
  <c r="L33" i="36"/>
  <c r="Q21" i="36"/>
  <c r="L37" i="36"/>
  <c r="J35" i="36"/>
  <c r="J37" i="36"/>
  <c r="L35" i="36"/>
  <c r="L25" i="36"/>
  <c r="L23" i="36"/>
  <c r="J25" i="36"/>
  <c r="J23" i="36"/>
  <c r="L29" i="36"/>
  <c r="L27" i="36"/>
  <c r="J27" i="36"/>
  <c r="J29" i="36"/>
  <c r="Q33" i="36"/>
  <c r="Q31" i="36"/>
  <c r="O31" i="36"/>
  <c r="O33" i="36"/>
  <c r="F96" i="29"/>
  <c r="I96" i="29" s="1"/>
  <c r="J96" i="29" s="1"/>
  <c r="F156" i="29"/>
  <c r="I156" i="29" s="1"/>
  <c r="J156" i="29" s="1"/>
  <c r="F66" i="29"/>
  <c r="I66" i="29" s="1"/>
  <c r="J66" i="29" s="1"/>
  <c r="F141" i="29"/>
  <c r="I141" i="29" s="1"/>
  <c r="J141" i="29" s="1"/>
  <c r="F81" i="29"/>
  <c r="I81" i="29" s="1"/>
  <c r="J81" i="29" s="1"/>
  <c r="F126" i="29"/>
  <c r="I126" i="29" s="1"/>
  <c r="J126" i="29" s="1"/>
  <c r="F36" i="29"/>
  <c r="I36" i="29" s="1"/>
  <c r="J36" i="29" s="1"/>
  <c r="F111" i="29"/>
  <c r="I111" i="29" s="1"/>
  <c r="J111" i="29" s="1"/>
  <c r="F51" i="29"/>
  <c r="I51" i="29" s="1"/>
  <c r="J51" i="29" s="1"/>
  <c r="F21" i="29"/>
  <c r="I21" i="29" s="1"/>
  <c r="J21" i="29" s="1"/>
  <c r="F6" i="29"/>
  <c r="I6" i="29" s="1"/>
  <c r="J6" i="29" s="1"/>
  <c r="K172" i="29"/>
  <c r="F273" i="29"/>
  <c r="I273" i="29" s="1"/>
  <c r="J273" i="29" s="1"/>
  <c r="F229" i="29"/>
  <c r="I229" i="29" s="1"/>
  <c r="J229" i="29" s="1"/>
  <c r="F184" i="29"/>
  <c r="I184" i="29" s="1"/>
  <c r="J184" i="29" s="1"/>
  <c r="F206" i="29"/>
  <c r="I206" i="29" s="1"/>
  <c r="J206" i="29" s="1"/>
  <c r="F195" i="29"/>
  <c r="I195" i="29" s="1"/>
  <c r="J195" i="29" s="1"/>
  <c r="F262" i="29"/>
  <c r="I262" i="29" s="1"/>
  <c r="J262" i="29" s="1"/>
  <c r="F218" i="29"/>
  <c r="I218" i="29" s="1"/>
  <c r="J218" i="29" s="1"/>
  <c r="F173" i="29"/>
  <c r="I173" i="29" s="1"/>
  <c r="J173" i="29" s="1"/>
  <c r="K173" i="29" s="1"/>
  <c r="F251" i="29"/>
  <c r="I251" i="29" s="1"/>
  <c r="J251" i="29" s="1"/>
  <c r="F240" i="29"/>
  <c r="I240" i="29" s="1"/>
  <c r="J240" i="29" s="1"/>
  <c r="F284" i="29"/>
  <c r="I284" i="29" s="1"/>
  <c r="J284" i="29" s="1"/>
  <c r="F68" i="29"/>
  <c r="I68" i="29" s="1"/>
  <c r="J68" i="29" s="1"/>
  <c r="K68" i="29" s="1"/>
  <c r="F23" i="29"/>
  <c r="I23" i="29" s="1"/>
  <c r="J23" i="29" s="1"/>
  <c r="K23" i="29" s="1"/>
  <c r="F71" i="29"/>
  <c r="I71" i="29" s="1"/>
  <c r="J71" i="29" s="1"/>
  <c r="K71" i="29" s="1"/>
  <c r="F158" i="29"/>
  <c r="I158" i="29" s="1"/>
  <c r="J158" i="29" s="1"/>
  <c r="K158" i="29" s="1"/>
  <c r="F113" i="29"/>
  <c r="I113" i="29" s="1"/>
  <c r="J113" i="29" s="1"/>
  <c r="K113" i="29" s="1"/>
  <c r="F98" i="29"/>
  <c r="I98" i="29" s="1"/>
  <c r="J98" i="29" s="1"/>
  <c r="K98" i="29" s="1"/>
  <c r="F37" i="29"/>
  <c r="I37" i="29" s="1"/>
  <c r="J37" i="29" s="1"/>
  <c r="K37" i="29" s="1"/>
  <c r="F97" i="29"/>
  <c r="I97" i="29" s="1"/>
  <c r="J97" i="29" s="1"/>
  <c r="K97" i="29" s="1"/>
  <c r="F157" i="29"/>
  <c r="I157" i="29" s="1"/>
  <c r="J157" i="29" s="1"/>
  <c r="K157" i="29" s="1"/>
  <c r="F52" i="29"/>
  <c r="I52" i="29" s="1"/>
  <c r="J52" i="29" s="1"/>
  <c r="K52" i="29" s="1"/>
  <c r="F112" i="29"/>
  <c r="I112" i="29" s="1"/>
  <c r="J112" i="29" s="1"/>
  <c r="K112" i="29" s="1"/>
  <c r="F67" i="29"/>
  <c r="I67" i="29" s="1"/>
  <c r="J67" i="29" s="1"/>
  <c r="K67" i="29" s="1"/>
  <c r="F127" i="29"/>
  <c r="I127" i="29" s="1"/>
  <c r="J127" i="29" s="1"/>
  <c r="K127" i="29" s="1"/>
  <c r="F22" i="29"/>
  <c r="I22" i="29" s="1"/>
  <c r="J22" i="29" s="1"/>
  <c r="K22" i="29" s="1"/>
  <c r="F82" i="29"/>
  <c r="I82" i="29" s="1"/>
  <c r="J82" i="29" s="1"/>
  <c r="K82" i="29" s="1"/>
  <c r="F142" i="29"/>
  <c r="I142" i="29" s="1"/>
  <c r="J142" i="29" s="1"/>
  <c r="K142" i="29" s="1"/>
  <c r="F53" i="29"/>
  <c r="I53" i="29" s="1"/>
  <c r="J53" i="29" s="1"/>
  <c r="K53" i="29" s="1"/>
  <c r="F86" i="29"/>
  <c r="I86" i="29" s="1"/>
  <c r="J86" i="29" s="1"/>
  <c r="K86" i="29" s="1"/>
  <c r="F41" i="29"/>
  <c r="I41" i="29" s="1"/>
  <c r="J41" i="29" s="1"/>
  <c r="K41" i="29" s="1"/>
  <c r="F161" i="29"/>
  <c r="I161" i="29" s="1"/>
  <c r="J161" i="29" s="1"/>
  <c r="K161" i="29" s="1"/>
  <c r="F7" i="29"/>
  <c r="I7" i="29" s="1"/>
  <c r="J7" i="29" s="1"/>
  <c r="K7" i="29" s="1"/>
  <c r="F143" i="29"/>
  <c r="I143" i="29" s="1"/>
  <c r="J143" i="29" s="1"/>
  <c r="K143" i="29" s="1"/>
  <c r="F116" i="29"/>
  <c r="I116" i="29" s="1"/>
  <c r="J116" i="29" s="1"/>
  <c r="K116" i="29" s="1"/>
  <c r="F38" i="29"/>
  <c r="I38" i="29" s="1"/>
  <c r="J38" i="29" s="1"/>
  <c r="K38" i="29" s="1"/>
  <c r="F26" i="29"/>
  <c r="I26" i="29" s="1"/>
  <c r="J26" i="29" s="1"/>
  <c r="K26" i="29" s="1"/>
  <c r="F146" i="29"/>
  <c r="I146" i="29" s="1"/>
  <c r="J146" i="29" s="1"/>
  <c r="K146" i="29" s="1"/>
  <c r="F101" i="29"/>
  <c r="I101" i="29" s="1"/>
  <c r="J101" i="29" s="1"/>
  <c r="K101" i="29" s="1"/>
  <c r="F128" i="29"/>
  <c r="I128" i="29" s="1"/>
  <c r="J128" i="29" s="1"/>
  <c r="K128" i="29" s="1"/>
  <c r="F8" i="29"/>
  <c r="I8" i="29" s="1"/>
  <c r="J8" i="29" s="1"/>
  <c r="K8" i="29" s="1"/>
  <c r="F83" i="29"/>
  <c r="I83" i="29" s="1"/>
  <c r="J83" i="29" s="1"/>
  <c r="K83" i="29" s="1"/>
  <c r="F56" i="29"/>
  <c r="I56" i="29" s="1"/>
  <c r="J56" i="29" s="1"/>
  <c r="K56" i="29" s="1"/>
  <c r="F11" i="29"/>
  <c r="I11" i="29" s="1"/>
  <c r="J11" i="29" s="1"/>
  <c r="K11" i="29" s="1"/>
  <c r="F131" i="29"/>
  <c r="I131" i="29" s="1"/>
  <c r="J131" i="29" s="1"/>
  <c r="K131" i="29" s="1"/>
  <c r="U20" i="36" l="1"/>
  <c r="D29" i="36" s="1"/>
  <c r="E29" i="36" s="1"/>
  <c r="P20" i="36"/>
  <c r="D24" i="36" s="1"/>
  <c r="E24" i="36" s="1"/>
  <c r="T85" i="31"/>
  <c r="M46" i="31" s="1"/>
  <c r="F106" i="38"/>
  <c r="F102" i="38"/>
  <c r="F104" i="38"/>
  <c r="F101" i="38"/>
  <c r="F103" i="38"/>
  <c r="F100" i="38"/>
  <c r="F105" i="38"/>
  <c r="F99" i="38"/>
  <c r="F97" i="38"/>
  <c r="F98" i="38"/>
  <c r="F96" i="38"/>
  <c r="P28" i="36"/>
  <c r="D26" i="36" s="1"/>
  <c r="E26" i="36" s="1"/>
  <c r="P36" i="36"/>
  <c r="D28" i="36" s="1"/>
  <c r="E28" i="36" s="1"/>
  <c r="G28" i="36" s="1"/>
  <c r="K32" i="36"/>
  <c r="D22" i="36" s="1"/>
  <c r="E22" i="36" s="1"/>
  <c r="G22" i="36" s="1"/>
  <c r="K20" i="36"/>
  <c r="D19" i="36" s="1"/>
  <c r="E19" i="36" s="1"/>
  <c r="G19" i="36" s="1"/>
  <c r="P24" i="36"/>
  <c r="D25" i="36" s="1"/>
  <c r="E25" i="36" s="1"/>
  <c r="G25" i="36" s="1"/>
  <c r="P32" i="36"/>
  <c r="D27" i="36" s="1"/>
  <c r="E27" i="36" s="1"/>
  <c r="G27" i="36" s="1"/>
  <c r="K28" i="36"/>
  <c r="D21" i="36" s="1"/>
  <c r="E21" i="36" s="1"/>
  <c r="G21" i="36" s="1"/>
  <c r="K36" i="36"/>
  <c r="D23" i="36" s="1"/>
  <c r="E23" i="36" s="1"/>
  <c r="G23" i="36" s="1"/>
  <c r="K24" i="36"/>
  <c r="D20" i="36" s="1"/>
  <c r="E20" i="36" s="1"/>
  <c r="G20" i="36" s="1"/>
  <c r="K262" i="29"/>
  <c r="K264" i="29" s="1"/>
  <c r="J264" i="29"/>
  <c r="J265" i="29" s="1"/>
  <c r="K195" i="29"/>
  <c r="K197" i="29" s="1"/>
  <c r="J197" i="29"/>
  <c r="J198" i="29" s="1"/>
  <c r="K229" i="29"/>
  <c r="K231" i="29" s="1"/>
  <c r="J231" i="29"/>
  <c r="J232" i="29" s="1"/>
  <c r="K251" i="29"/>
  <c r="K253" i="29" s="1"/>
  <c r="J253" i="29"/>
  <c r="J254" i="29" s="1"/>
  <c r="K273" i="29"/>
  <c r="K275" i="29" s="1"/>
  <c r="J275" i="29"/>
  <c r="J276" i="29" s="1"/>
  <c r="K206" i="29"/>
  <c r="K208" i="29" s="1"/>
  <c r="J208" i="29"/>
  <c r="J209" i="29" s="1"/>
  <c r="K175" i="29"/>
  <c r="K284" i="29"/>
  <c r="K286" i="29" s="1"/>
  <c r="J286" i="29"/>
  <c r="J287" i="29" s="1"/>
  <c r="K240" i="29"/>
  <c r="K242" i="29" s="1"/>
  <c r="J242" i="29"/>
  <c r="J243" i="29" s="1"/>
  <c r="K218" i="29"/>
  <c r="K220" i="29" s="1"/>
  <c r="J220" i="29"/>
  <c r="J221" i="29" s="1"/>
  <c r="K184" i="29"/>
  <c r="K186" i="29" s="1"/>
  <c r="J186" i="29"/>
  <c r="J187" i="29" s="1"/>
  <c r="J175" i="29"/>
  <c r="J176" i="29" s="1"/>
  <c r="K66" i="29"/>
  <c r="K51" i="29"/>
  <c r="F115" i="29"/>
  <c r="I115" i="29" s="1"/>
  <c r="J115" i="29" s="1"/>
  <c r="K115" i="29" s="1"/>
  <c r="F114" i="29"/>
  <c r="I114" i="29" s="1"/>
  <c r="J114" i="29" s="1"/>
  <c r="K114" i="29" s="1"/>
  <c r="F159" i="29"/>
  <c r="I159" i="29" s="1"/>
  <c r="J159" i="29" s="1"/>
  <c r="K159" i="29" s="1"/>
  <c r="F160" i="29"/>
  <c r="I160" i="29" s="1"/>
  <c r="J160" i="29" s="1"/>
  <c r="K160" i="29" s="1"/>
  <c r="K156" i="29"/>
  <c r="K36" i="29"/>
  <c r="K141" i="29"/>
  <c r="K21" i="29"/>
  <c r="F39" i="29"/>
  <c r="I39" i="29" s="1"/>
  <c r="J39" i="29" s="1"/>
  <c r="K39" i="29" s="1"/>
  <c r="F40" i="29"/>
  <c r="I40" i="29" s="1"/>
  <c r="J40" i="29" s="1"/>
  <c r="K40" i="29" s="1"/>
  <c r="F144" i="29"/>
  <c r="I144" i="29" s="1"/>
  <c r="J144" i="29" s="1"/>
  <c r="K144" i="29" s="1"/>
  <c r="F145" i="29"/>
  <c r="I145" i="29" s="1"/>
  <c r="J145" i="29" s="1"/>
  <c r="K145" i="29" s="1"/>
  <c r="F99" i="29"/>
  <c r="I99" i="29" s="1"/>
  <c r="J99" i="29" s="1"/>
  <c r="K99" i="29" s="1"/>
  <c r="F100" i="29"/>
  <c r="I100" i="29" s="1"/>
  <c r="J100" i="29" s="1"/>
  <c r="K100" i="29" s="1"/>
  <c r="K126" i="29"/>
  <c r="K111" i="29"/>
  <c r="F130" i="29"/>
  <c r="I130" i="29" s="1"/>
  <c r="J130" i="29" s="1"/>
  <c r="K130" i="29" s="1"/>
  <c r="F129" i="29"/>
  <c r="I129" i="29" s="1"/>
  <c r="J129" i="29" s="1"/>
  <c r="K129" i="29" s="1"/>
  <c r="F84" i="29"/>
  <c r="I84" i="29" s="1"/>
  <c r="J84" i="29" s="1"/>
  <c r="K84" i="29" s="1"/>
  <c r="F85" i="29"/>
  <c r="I85" i="29" s="1"/>
  <c r="J85" i="29" s="1"/>
  <c r="K85" i="29" s="1"/>
  <c r="F10" i="29"/>
  <c r="I10" i="29" s="1"/>
  <c r="J10" i="29" s="1"/>
  <c r="K10" i="29" s="1"/>
  <c r="F9" i="29"/>
  <c r="I9" i="29" s="1"/>
  <c r="J9" i="29" s="1"/>
  <c r="K9" i="29" s="1"/>
  <c r="K6" i="29"/>
  <c r="K96" i="29"/>
  <c r="K81" i="29"/>
  <c r="F24" i="29"/>
  <c r="I24" i="29" s="1"/>
  <c r="J24" i="29" s="1"/>
  <c r="K24" i="29" s="1"/>
  <c r="F25" i="29"/>
  <c r="I25" i="29" s="1"/>
  <c r="J25" i="29" s="1"/>
  <c r="K25" i="29" s="1"/>
  <c r="F40" i="31" l="1"/>
  <c r="K40" i="31" s="1"/>
  <c r="G26" i="36"/>
  <c r="G40" i="31" s="1"/>
  <c r="G40" i="38" s="1"/>
  <c r="F38" i="31"/>
  <c r="K38" i="31" s="1"/>
  <c r="G24" i="36"/>
  <c r="G38" i="31" s="1"/>
  <c r="G38" i="38" s="1"/>
  <c r="F43" i="31"/>
  <c r="K43" i="31" s="1"/>
  <c r="G29" i="36"/>
  <c r="G43" i="31" s="1"/>
  <c r="G43" i="38" s="1"/>
  <c r="T121" i="31"/>
  <c r="M89" i="31" s="1"/>
  <c r="F35" i="31"/>
  <c r="K35" i="31" s="1"/>
  <c r="G35" i="31"/>
  <c r="G35" i="38" s="1"/>
  <c r="F36" i="31"/>
  <c r="K36" i="31" s="1"/>
  <c r="G36" i="31"/>
  <c r="G36" i="38" s="1"/>
  <c r="F41" i="31"/>
  <c r="K41" i="31" s="1"/>
  <c r="G41" i="31"/>
  <c r="G41" i="38" s="1"/>
  <c r="F42" i="31"/>
  <c r="K42" i="31" s="1"/>
  <c r="G42" i="31"/>
  <c r="G42" i="38" s="1"/>
  <c r="F34" i="31"/>
  <c r="K34" i="31" s="1"/>
  <c r="G34" i="31"/>
  <c r="G34" i="38" s="1"/>
  <c r="F39" i="31"/>
  <c r="K39" i="31" s="1"/>
  <c r="G39" i="31"/>
  <c r="G39" i="38" s="1"/>
  <c r="F37" i="31"/>
  <c r="K37" i="31" s="1"/>
  <c r="G37" i="31"/>
  <c r="G37" i="38" s="1"/>
  <c r="F33" i="31"/>
  <c r="K33" i="31" s="1"/>
  <c r="G33" i="31"/>
  <c r="G33" i="38" s="1"/>
  <c r="J244" i="29"/>
  <c r="J245" i="29" s="1"/>
  <c r="J246" i="29" s="1"/>
  <c r="J188" i="29"/>
  <c r="J189" i="29" s="1"/>
  <c r="J190" i="29" s="1"/>
  <c r="J222" i="29"/>
  <c r="J223" i="29" s="1"/>
  <c r="J224" i="29" s="1"/>
  <c r="J288" i="29"/>
  <c r="J289" i="29" s="1"/>
  <c r="J290" i="29" s="1"/>
  <c r="J177" i="29"/>
  <c r="J178" i="29" s="1"/>
  <c r="J179" i="29" s="1"/>
  <c r="J210" i="29"/>
  <c r="J211" i="29" s="1"/>
  <c r="J212" i="29" s="1"/>
  <c r="J255" i="29"/>
  <c r="J256" i="29" s="1"/>
  <c r="J257" i="29" s="1"/>
  <c r="J199" i="29"/>
  <c r="J200" i="29" s="1"/>
  <c r="J201" i="29" s="1"/>
  <c r="J277" i="29"/>
  <c r="J278" i="29" s="1"/>
  <c r="J279" i="29" s="1"/>
  <c r="J233" i="29"/>
  <c r="J234" i="29" s="1"/>
  <c r="J235" i="29" s="1"/>
  <c r="J266" i="29"/>
  <c r="J267" i="29" s="1"/>
  <c r="J268" i="29" s="1"/>
  <c r="K102" i="29"/>
  <c r="J87" i="29"/>
  <c r="J88" i="29" s="1"/>
  <c r="K117" i="29"/>
  <c r="J117" i="29"/>
  <c r="J118" i="29" s="1"/>
  <c r="J102" i="29"/>
  <c r="J103" i="29" s="1"/>
  <c r="J42" i="29"/>
  <c r="J43" i="29" s="1"/>
  <c r="J132" i="29"/>
  <c r="J133" i="29" s="1"/>
  <c r="J27" i="29"/>
  <c r="J28" i="29" s="1"/>
  <c r="K132" i="29"/>
  <c r="K27" i="29"/>
  <c r="K42" i="29"/>
  <c r="K147" i="29"/>
  <c r="J162" i="29"/>
  <c r="J163" i="29" s="1"/>
  <c r="F70" i="29"/>
  <c r="I70" i="29" s="1"/>
  <c r="J70" i="29" s="1"/>
  <c r="K70" i="29" s="1"/>
  <c r="F69" i="29"/>
  <c r="I69" i="29" s="1"/>
  <c r="J69" i="29" s="1"/>
  <c r="J12" i="29"/>
  <c r="J13" i="29" s="1"/>
  <c r="F55" i="29"/>
  <c r="I55" i="29" s="1"/>
  <c r="J55" i="29" s="1"/>
  <c r="K55" i="29" s="1"/>
  <c r="F54" i="29"/>
  <c r="I54" i="29" s="1"/>
  <c r="J54" i="29" s="1"/>
  <c r="K87" i="29"/>
  <c r="K12" i="29"/>
  <c r="J147" i="29"/>
  <c r="J148" i="29" s="1"/>
  <c r="K162" i="29"/>
  <c r="F43" i="38" l="1"/>
  <c r="F40" i="38"/>
  <c r="F38" i="38"/>
  <c r="T126" i="31"/>
  <c r="F39" i="38"/>
  <c r="F42" i="38"/>
  <c r="F41" i="38"/>
  <c r="F37" i="38"/>
  <c r="F36" i="38"/>
  <c r="F34" i="38"/>
  <c r="F35" i="38"/>
  <c r="F33" i="38"/>
  <c r="C141" i="36"/>
  <c r="C138" i="36"/>
  <c r="C140" i="36"/>
  <c r="C139" i="36"/>
  <c r="C137" i="36"/>
  <c r="C143" i="36"/>
  <c r="C136" i="36"/>
  <c r="C142" i="36"/>
  <c r="C144" i="36"/>
  <c r="C145" i="36"/>
  <c r="C146" i="36"/>
  <c r="J104" i="29"/>
  <c r="J105" i="29" s="1"/>
  <c r="J106" i="29" s="1"/>
  <c r="F25" i="36" s="1"/>
  <c r="I39" i="31" s="1"/>
  <c r="K39" i="38" s="1"/>
  <c r="J29" i="29"/>
  <c r="J30" i="29" s="1"/>
  <c r="J31" i="29" s="1"/>
  <c r="F20" i="36" s="1"/>
  <c r="I34" i="31" s="1"/>
  <c r="K34" i="38" s="1"/>
  <c r="J89" i="29"/>
  <c r="J90" i="29" s="1"/>
  <c r="J91" i="29" s="1"/>
  <c r="F24" i="36" s="1"/>
  <c r="I38" i="31" s="1"/>
  <c r="K38" i="38" s="1"/>
  <c r="J149" i="29"/>
  <c r="J150" i="29" s="1"/>
  <c r="J151" i="29" s="1"/>
  <c r="F28" i="36" s="1"/>
  <c r="I42" i="31" s="1"/>
  <c r="K42" i="38" s="1"/>
  <c r="J44" i="29"/>
  <c r="J45" i="29" s="1"/>
  <c r="J46" i="29" s="1"/>
  <c r="F21" i="36" s="1"/>
  <c r="I35" i="31" s="1"/>
  <c r="K35" i="38" s="1"/>
  <c r="J119" i="29"/>
  <c r="J120" i="29" s="1"/>
  <c r="J121" i="29" s="1"/>
  <c r="F26" i="36" s="1"/>
  <c r="I40" i="31" s="1"/>
  <c r="K40" i="38" s="1"/>
  <c r="K54" i="29"/>
  <c r="K57" i="29" s="1"/>
  <c r="J57" i="29"/>
  <c r="J58" i="29" s="1"/>
  <c r="K69" i="29"/>
  <c r="K72" i="29" s="1"/>
  <c r="J72" i="29"/>
  <c r="J73" i="29" s="1"/>
  <c r="J14" i="29"/>
  <c r="J15" i="29" s="1"/>
  <c r="J16" i="29" s="1"/>
  <c r="F19" i="36" s="1"/>
  <c r="I33" i="31" s="1"/>
  <c r="K33" i="38" s="1"/>
  <c r="J164" i="29"/>
  <c r="J165" i="29" s="1"/>
  <c r="J166" i="29" s="1"/>
  <c r="F29" i="36" s="1"/>
  <c r="I43" i="31" s="1"/>
  <c r="K43" i="38" s="1"/>
  <c r="J134" i="29"/>
  <c r="J135" i="29" s="1"/>
  <c r="J136" i="29" s="1"/>
  <c r="F27" i="36" s="1"/>
  <c r="I41" i="31" s="1"/>
  <c r="K41" i="38" s="1"/>
  <c r="T128" i="31" l="1"/>
  <c r="L89" i="31" s="1"/>
  <c r="S151" i="31" s="1"/>
  <c r="T75" i="31"/>
  <c r="J59" i="29"/>
  <c r="J60" i="29" s="1"/>
  <c r="J61" i="29" s="1"/>
  <c r="F22" i="36" s="1"/>
  <c r="I36" i="31" s="1"/>
  <c r="K36" i="38" s="1"/>
  <c r="J74" i="29"/>
  <c r="J75" i="29" s="1"/>
  <c r="J76" i="29" s="1"/>
  <c r="F23" i="36" s="1"/>
  <c r="I37" i="31" s="1"/>
  <c r="K37" i="38" s="1"/>
  <c r="M31" i="31" l="1"/>
  <c r="T80" i="31" s="1"/>
  <c r="T82" i="31" s="1"/>
  <c r="L31" i="31" l="1"/>
  <c r="S150" i="31" s="1"/>
  <c r="M148" i="19"/>
  <c r="N147" i="19" s="1"/>
  <c r="W155" i="31" s="1"/>
  <c r="T151" i="31" l="1"/>
  <c r="W157" i="31" s="1"/>
  <c r="T150" i="31"/>
  <c r="W156" i="31" s="1"/>
  <c r="H184" i="31" l="1"/>
  <c r="L32" i="19" l="1"/>
  <c r="H1" i="45"/>
  <c r="D2" i="19"/>
  <c r="A2" i="31" s="1"/>
  <c r="A2" i="38" s="1"/>
  <c r="A156" i="19"/>
  <c r="B171" i="31" l="1"/>
  <c r="B172" i="38" s="1"/>
  <c r="L31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Isro Mahensa</author>
  </authors>
  <commentList>
    <comment ref="G27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inputkan nilai Arus bocor (closed) ke kolom sebelah jika nilai ini keluar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0" authorId="0" shapeId="0" xr:uid="{3B3E0AB1-16C9-4B45-B4DE-3F2528CFE77E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L338" authorId="0" shapeId="0" xr:uid="{00000000-0006-0000-0F00-000001000000}">
      <text>
        <r>
          <rPr>
            <b/>
            <sz val="9"/>
            <rFont val="Tahoma"/>
            <family val="2"/>
          </rPr>
          <t>HP:</t>
        </r>
        <r>
          <rPr>
            <sz val="9"/>
            <rFont val="Tahoma"/>
            <family val="2"/>
          </rPr>
          <t xml:space="preserve">
dari input data</t>
        </r>
      </text>
    </comment>
  </commentList>
</comments>
</file>

<file path=xl/sharedStrings.xml><?xml version="1.0" encoding="utf-8"?>
<sst xmlns="http://schemas.openxmlformats.org/spreadsheetml/2006/main" count="4985" uniqueCount="731">
  <si>
    <t>LEMBAR KERJA KALIBRASI AUDIOMETER</t>
  </si>
  <si>
    <t>Nomor Sertifikat / Nomor Surat Keterangan : 4  / ………… /…….… - ........  / E -……….……   Dt / DL</t>
  </si>
  <si>
    <t>Merek</t>
  </si>
  <si>
    <t>:</t>
  </si>
  <si>
    <t xml:space="preserve">Model/Tipe                    </t>
  </si>
  <si>
    <t xml:space="preserve">No. Seri                          </t>
  </si>
  <si>
    <t>Tanggal Penerimaan Alat</t>
  </si>
  <si>
    <t xml:space="preserve">Tanggal Kalibrasi                           </t>
  </si>
  <si>
    <t xml:space="preserve">Tempat Kalibrasi                             </t>
  </si>
  <si>
    <t xml:space="preserve">Nama Ruang                                    </t>
  </si>
  <si>
    <t>I. Kondisi Ruang</t>
  </si>
  <si>
    <t>Awal</t>
  </si>
  <si>
    <t>Akhir</t>
  </si>
  <si>
    <t>1. Suhu</t>
  </si>
  <si>
    <r>
      <t>0</t>
    </r>
    <r>
      <rPr>
        <sz val="12"/>
        <rFont val="Arial"/>
        <family val="2"/>
      </rPr>
      <t>C</t>
    </r>
  </si>
  <si>
    <t xml:space="preserve">2. Kelembaban </t>
  </si>
  <si>
    <t>%RH</t>
  </si>
  <si>
    <t>3. Tegangan Jala - jala    :</t>
  </si>
  <si>
    <t>Volt</t>
  </si>
  <si>
    <t>II. Pemeriksaan Kondisi Fisik dan Fungsi Alat</t>
  </si>
  <si>
    <t>Score</t>
  </si>
  <si>
    <t>1. Fisik</t>
  </si>
  <si>
    <t>: Baik  /  Tidak baik</t>
  </si>
  <si>
    <t>2. Fungsi</t>
  </si>
  <si>
    <t>III. Pengujian Keselamatan Listrik</t>
  </si>
  <si>
    <t>No</t>
  </si>
  <si>
    <t xml:space="preserve">Parameter </t>
  </si>
  <si>
    <t>Hasil ukur</t>
  </si>
  <si>
    <t>Ambang Batas yang diijinkan</t>
  </si>
  <si>
    <t xml:space="preserve">Resistansi isolasi </t>
  </si>
  <si>
    <t>MΏ</t>
  </si>
  <si>
    <t>&gt; 2 MΏ</t>
  </si>
  <si>
    <t>v</t>
  </si>
  <si>
    <t>Resistansi pembumian protektif</t>
  </si>
  <si>
    <t>Ώ</t>
  </si>
  <si>
    <r>
      <t>&lt;</t>
    </r>
    <r>
      <rPr>
        <sz val="12"/>
        <rFont val="Arial"/>
        <family val="2"/>
      </rPr>
      <t xml:space="preserve"> 0.2 / 0.4 Ώ</t>
    </r>
  </si>
  <si>
    <t>Arus bocor peralatan untuk peralatan elektromedik kelas I / II</t>
  </si>
  <si>
    <t xml:space="preserve"> µA</t>
  </si>
  <si>
    <r>
      <t>&lt;</t>
    </r>
    <r>
      <rPr>
        <sz val="12"/>
        <rFont val="Arial"/>
        <family val="2"/>
      </rPr>
      <t xml:space="preserve"> 500 / 100  µA</t>
    </r>
  </si>
  <si>
    <t>IV. Pengujian Kinerja</t>
  </si>
  <si>
    <t>A. Earphone Kanan, SN(...............................)</t>
  </si>
  <si>
    <t>1. Kalibrasi Hearing Level</t>
  </si>
  <si>
    <t>Parameter</t>
  </si>
  <si>
    <t>Setting Alat</t>
  </si>
  <si>
    <t>Pembacaan Standar</t>
  </si>
  <si>
    <t>Toleransi</t>
  </si>
  <si>
    <t>Batas</t>
  </si>
  <si>
    <t>Frekuensi (Hz)</t>
  </si>
  <si>
    <t>Sound Level (dB)</t>
  </si>
  <si>
    <t>I</t>
  </si>
  <si>
    <t>II</t>
  </si>
  <si>
    <t>III</t>
  </si>
  <si>
    <t>Hearing Level (dB)</t>
  </si>
  <si>
    <t>± 5 dBHL</t>
  </si>
  <si>
    <t>maksimal 3 titik keluar</t>
  </si>
  <si>
    <t>± 8 dBHL</t>
  </si>
  <si>
    <t>2. Kalibrasi Akurasi Frekuensi</t>
  </si>
  <si>
    <t>*MAX</t>
  </si>
  <si>
    <t>*nilai MAX dari alat</t>
  </si>
  <si>
    <t>3. Kalibrasi Total Harmonic Distortion</t>
  </si>
  <si>
    <t>Total Harmonic Distortion       (%)</t>
  </si>
  <si>
    <t>minimal 3 keluar</t>
  </si>
  <si>
    <t>Air                       Conduction</t>
  </si>
  <si>
    <t>B. Earphone Kiri, SN(...............................)</t>
  </si>
  <si>
    <t>maksimal 3 keluar</t>
  </si>
  <si>
    <t>Air  Conduction</t>
  </si>
  <si>
    <t>C. Bone Conduction</t>
  </si>
  <si>
    <t>Total Harmonic Distortion       (Hz)</t>
  </si>
  <si>
    <t>minimal 2 keluar</t>
  </si>
  <si>
    <t>Bone Conduction</t>
  </si>
  <si>
    <t>V. Keterangan</t>
  </si>
  <si>
    <t>1. Ketidakpastian pengukuran dilaporkan pada tingkat kepercayaan 95% dengan faktor cakupan k=2</t>
  </si>
  <si>
    <t xml:space="preserve">2  Type earphone : </t>
  </si>
  <si>
    <t>3  …………………………………………………………………………………………………………………………</t>
  </si>
  <si>
    <t>VI. Alat Ukur Yang Digunakan</t>
  </si>
  <si>
    <t>Audiometer Analyzer, Merek : Larson Davis, Model : System 824, SN : A4488, A4563</t>
  </si>
  <si>
    <t>Audiometer Analyzer, Merek : Larson Davis, Model : 831C, SN : 11318, 11319, 11418</t>
  </si>
  <si>
    <t>Electrycal Safety Analyzer, Merek : Fluke Model : ESA 620 No Seri :1837056, 1834020</t>
  </si>
  <si>
    <r>
      <t xml:space="preserve">Electrycal Safety Analyzer, Merek : Fluke, Model : ESA 615, No Seri </t>
    </r>
    <r>
      <rPr>
        <sz val="9"/>
        <rFont val="Arial"/>
        <family val="2"/>
      </rPr>
      <t>:</t>
    </r>
    <r>
      <rPr>
        <sz val="12"/>
        <rFont val="Arial"/>
        <family val="2"/>
      </rPr>
      <t>2853077, 2853078, 3148907, 3148908</t>
    </r>
  </si>
  <si>
    <t>3699030, 4670010, 4669058</t>
  </si>
  <si>
    <t>Thermohygrometer,Merek : KIMO, Model : KH - 210 - AO, SN : 14082463, 15062872, 15062874, 15062875, 15062873</t>
  </si>
  <si>
    <t>Thermohygrometer,Merek : SEKONIC, Model : ST-50A, SN : HE 21-000670, HE 21-000669</t>
  </si>
  <si>
    <t>Digital Thermohygrometer, Merek : GREISINGER, Model : GFTB 200, SN: 34903046,  34903053, 34903051</t>
  </si>
  <si>
    <t>Digital Thermohygro Barometer : EXTECH, SD700, SN : A.100609, A.100605, A.100611, A.100616,  A.100617</t>
  </si>
  <si>
    <t xml:space="preserve">A.100618, A.100586 </t>
  </si>
  <si>
    <t>VII. Kesimpulan</t>
  </si>
  <si>
    <t>Alat yang dikalibrasi dinyatakan LAIK PAKAI / TIDAK LAIK PAKAI</t>
  </si>
  <si>
    <t>VIII. Petugas Kalibrasi</t>
  </si>
  <si>
    <t>……………………………………………</t>
  </si>
  <si>
    <t>No.</t>
  </si>
  <si>
    <t>Tanggal</t>
  </si>
  <si>
    <t>Revisi</t>
  </si>
  <si>
    <t>Oleh</t>
  </si>
  <si>
    <t>MK - 007 - 18</t>
  </si>
  <si>
    <t>MK 007 - 18</t>
  </si>
  <si>
    <t>Pemeriksaan Kondisi Fisik dan Fungsi Komponen Alat</t>
  </si>
  <si>
    <t>Pemeriksaan kondisi fisik dan fungsi alat</t>
  </si>
  <si>
    <t>Hasil pengukuran keselamatan listrik</t>
  </si>
  <si>
    <t>Hasil pengujian keselamatan listrik</t>
  </si>
  <si>
    <t>Rumus STDEV DB Thermohyro masih manual</t>
  </si>
  <si>
    <t>DONE</t>
  </si>
  <si>
    <t>Arya</t>
  </si>
  <si>
    <t>List SN Thermohygro KIMO di LK belum lengkap</t>
  </si>
  <si>
    <t>Pemilihan no. sertifikat / surat ket masih manual</t>
  </si>
  <si>
    <t>11 Mei 2021</t>
  </si>
  <si>
    <t>Rumus koreksi terbalik</t>
  </si>
  <si>
    <t>10 Februari 2022</t>
  </si>
  <si>
    <t>Menambahkan Sheet Cetak Sertifikat</t>
  </si>
  <si>
    <t>Septi</t>
  </si>
  <si>
    <t>30 Mei 2022</t>
  </si>
  <si>
    <t xml:space="preserve">penambahan alat standart </t>
  </si>
  <si>
    <t>Isra</t>
  </si>
  <si>
    <t>25.1.2023</t>
  </si>
  <si>
    <t>Error kesimpulan saat tidak terdapat grounding</t>
  </si>
  <si>
    <t>Done</t>
  </si>
  <si>
    <t>keterangan tidak terdapat grounding belum otomatis</t>
  </si>
  <si>
    <t>Venna</t>
  </si>
  <si>
    <t>Rev 7 : 25.1.2023</t>
  </si>
  <si>
    <t>INPUT DATA KALIBRASI AUDIOMETER</t>
  </si>
  <si>
    <t>1 / V - 21 / E - 061 Dt</t>
  </si>
  <si>
    <t xml:space="preserve">Arus bocor peralatan untuk peralatan elektromedik kelas I </t>
  </si>
  <si>
    <t>≤ 500 µA</t>
  </si>
  <si>
    <t xml:space="preserve">Merek                                     </t>
  </si>
  <si>
    <t>gsi</t>
  </si>
  <si>
    <t>Arus bocor peralatan untuk peralatan elektromedik kelas II</t>
  </si>
  <si>
    <t>≤ 100 µA</t>
  </si>
  <si>
    <t xml:space="preserve">Model/Tipe                         </t>
  </si>
  <si>
    <t>GSI 18</t>
  </si>
  <si>
    <t xml:space="preserve">No. Seri                                  </t>
  </si>
  <si>
    <t>650051202</t>
  </si>
  <si>
    <t>Resistansi pembumian protektif ( kabel catu daya dapat dilepas )</t>
  </si>
  <si>
    <t>≤ 0.2 Ω</t>
  </si>
  <si>
    <t>12 Mei 2022</t>
  </si>
  <si>
    <t xml:space="preserve">Tanggal Kalibrasi                            </t>
  </si>
  <si>
    <t>Resistansi pembumian protektif ( kabel catu daya tidak dapat dilepas )</t>
  </si>
  <si>
    <t>≤ 0.3 Ω</t>
  </si>
  <si>
    <t xml:space="preserve">Tempat Kalibrasi                          </t>
  </si>
  <si>
    <t>Laboratorium Kalibrasi LPFK Banjarbaru</t>
  </si>
  <si>
    <t xml:space="preserve">Nama Ruang                                         </t>
  </si>
  <si>
    <t>-</t>
  </si>
  <si>
    <t xml:space="preserve">Metode Kerja                    </t>
  </si>
  <si>
    <t>I.Kondisi Ruang</t>
  </si>
  <si>
    <t>3. Tegangan Jala - jala                :</t>
  </si>
  <si>
    <t xml:space="preserve">1. Fisik             </t>
  </si>
  <si>
    <t>Baik</t>
  </si>
  <si>
    <t xml:space="preserve">2. Fungsi        </t>
  </si>
  <si>
    <t>OL</t>
  </si>
  <si>
    <t>MΩ</t>
  </si>
  <si>
    <t>&gt; 2 MΩ</t>
  </si>
  <si>
    <t>Ω</t>
  </si>
  <si>
    <t>NC</t>
  </si>
  <si>
    <t xml:space="preserve">IV. Pengujian Kinerja </t>
  </si>
  <si>
    <t xml:space="preserve">     A. Earphone Kanan, SN : </t>
  </si>
  <si>
    <t xml:space="preserve">Rata - rata </t>
  </si>
  <si>
    <t>STDV</t>
  </si>
  <si>
    <t>MAX</t>
  </si>
  <si>
    <t>Rata - rata</t>
  </si>
  <si>
    <t>Total Harmonic Distortion (%)</t>
  </si>
  <si>
    <t>Air                    Conduction</t>
  </si>
  <si>
    <t xml:space="preserve">      B. Earphone Kiri, SN : </t>
  </si>
  <si>
    <t>Total Harmonic Distortion (Hz)</t>
  </si>
  <si>
    <t xml:space="preserve">      C. Bone Conduction</t>
  </si>
  <si>
    <t>Ketidakpastian pengukuran dilaporkan pada tingkat kepercayaan 95% dengan faktor cakupan k=2</t>
  </si>
  <si>
    <t>Type earphone : DD 45</t>
  </si>
  <si>
    <t>Hasil Skor</t>
  </si>
  <si>
    <t>Tidak terdapat grounding di ruangan</t>
  </si>
  <si>
    <t>VI. Alat Ukur yang digunakan</t>
  </si>
  <si>
    <t>Audiometer Analyzer, Merek : Larson Davis, Model : 831C, SN : 11418</t>
  </si>
  <si>
    <t>NO</t>
  </si>
  <si>
    <t>Electrical Safety Analyzer, Merek : Fluke, Model : ESA 615, SN : 3699030</t>
  </si>
  <si>
    <t>Thermohygrolight, Merek : Sekonic, Model : ST-50A, SN : HE-21.000669</t>
  </si>
  <si>
    <t>Gusti Arya Dinata</t>
  </si>
  <si>
    <t>IX. Tanggal pembuatan laporan</t>
  </si>
  <si>
    <t>Alat tidak boleh digunakan pada instalasi yang tanpa dilengkapi grounding</t>
  </si>
  <si>
    <t xml:space="preserve">                                            </t>
  </si>
  <si>
    <t>Achmad Fauzan Adzim</t>
  </si>
  <si>
    <t>Choirul Huda</t>
  </si>
  <si>
    <t>Tidak Baik</t>
  </si>
  <si>
    <t>Dany Firmanto</t>
  </si>
  <si>
    <t>Donny Martha</t>
  </si>
  <si>
    <t>Fikry Faradinna</t>
  </si>
  <si>
    <t>Hamdan Syarif</t>
  </si>
  <si>
    <t>Hary Ernanto</t>
  </si>
  <si>
    <t>Isra Mahensa</t>
  </si>
  <si>
    <t>Muhammad Arrizal Septiawan</t>
  </si>
  <si>
    <t>Muhammad Iqbal Saiful Rahman</t>
  </si>
  <si>
    <t>Muhammad Irfan Husnuzhzhan</t>
  </si>
  <si>
    <t>Muhammad Zaenuri Sugiasmoro</t>
  </si>
  <si>
    <t>Rangga Setya Hantoko</t>
  </si>
  <si>
    <t>Septia Khairunnisa</t>
  </si>
  <si>
    <t>Taufik Priawan</t>
  </si>
  <si>
    <t>Venna Filosofia</t>
  </si>
  <si>
    <t xml:space="preserve">Wardimanul Abrar </t>
  </si>
  <si>
    <t>Fatimah Novrianisa</t>
  </si>
  <si>
    <t>UNCERTAINTY</t>
  </si>
  <si>
    <t>EARPHONE KANAN</t>
  </si>
  <si>
    <t>Hearing Level 70dB (125 Hz)</t>
  </si>
  <si>
    <t>Sumber</t>
  </si>
  <si>
    <t>u</t>
  </si>
  <si>
    <t>satuan</t>
  </si>
  <si>
    <t>dist</t>
  </si>
  <si>
    <t>div</t>
  </si>
  <si>
    <t>ui</t>
  </si>
  <si>
    <t>vi</t>
  </si>
  <si>
    <t>ci</t>
  </si>
  <si>
    <t>ui.ci</t>
  </si>
  <si>
    <t>(ui.ci)^2</t>
  </si>
  <si>
    <t>(ui.ci)^4/vi</t>
  </si>
  <si>
    <t>Repeatibility</t>
  </si>
  <si>
    <t>dB</t>
  </si>
  <si>
    <t>normal</t>
  </si>
  <si>
    <t>Sertifikat Standart SLM</t>
  </si>
  <si>
    <t>Sertifikat Standart Acoustic Calibrator</t>
  </si>
  <si>
    <t>Sertifikat Standart Microphone</t>
  </si>
  <si>
    <t>Drift Standart SLM</t>
  </si>
  <si>
    <t>rect.</t>
  </si>
  <si>
    <t>Drift Standart Acoustic Calibrator</t>
  </si>
  <si>
    <t>Drift Standart Microphone</t>
  </si>
  <si>
    <t>Jumlah</t>
  </si>
  <si>
    <t>Ketidakpastian baku gabungan, Uc</t>
  </si>
  <si>
    <r>
      <t>Uc</t>
    </r>
    <r>
      <rPr>
        <sz val="8"/>
        <rFont val="Times New Roman"/>
        <family val="1"/>
      </rPr>
      <t xml:space="preserve"> = </t>
    </r>
    <r>
      <rPr>
        <sz val="8"/>
        <rFont val="Symbol"/>
        <family val="1"/>
        <charset val="2"/>
      </rPr>
      <t>Ö</t>
    </r>
    <r>
      <rPr>
        <sz val="8"/>
        <rFont val="Times New Roman"/>
        <family val="1"/>
      </rPr>
      <t xml:space="preserve"> [</t>
    </r>
    <r>
      <rPr>
        <sz val="8"/>
        <rFont val="Symbol"/>
        <family val="1"/>
        <charset val="2"/>
      </rPr>
      <t>S</t>
    </r>
    <r>
      <rPr>
        <sz val="8"/>
        <rFont val="Times New Roman"/>
        <family val="1"/>
      </rPr>
      <t>(u</t>
    </r>
    <r>
      <rPr>
        <vertAlign val="subscript"/>
        <sz val="8"/>
        <rFont val="Times New Roman"/>
        <family val="1"/>
      </rPr>
      <t>i</t>
    </r>
    <r>
      <rPr>
        <sz val="8"/>
        <rFont val="Times New Roman"/>
        <family val="1"/>
      </rPr>
      <t xml:space="preserve"> c</t>
    </r>
    <r>
      <rPr>
        <vertAlign val="subscript"/>
        <sz val="8"/>
        <rFont val="Times New Roman"/>
        <family val="1"/>
      </rPr>
      <t>i</t>
    </r>
    <r>
      <rPr>
        <sz val="8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</si>
  <si>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</si>
  <si>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8"/>
        <rFont val="Times New Roman"/>
        <family val="1"/>
      </rPr>
      <t>eff</t>
    </r>
    <r>
      <rPr>
        <sz val="8"/>
        <rFont val="Times New Roman"/>
        <family val="1"/>
      </rPr>
      <t xml:space="preserve"> = u</t>
    </r>
    <r>
      <rPr>
        <vertAlign val="subscript"/>
        <sz val="8"/>
        <rFont val="Times New Roman"/>
        <family val="1"/>
      </rPr>
      <t>c</t>
    </r>
    <r>
      <rPr>
        <vertAlign val="superscript"/>
        <sz val="8"/>
        <rFont val="Times New Roman"/>
        <family val="1"/>
      </rPr>
      <t>4</t>
    </r>
    <r>
      <rPr>
        <sz val="8"/>
        <rFont val="Times New Roman"/>
        <family val="1"/>
      </rPr>
      <t xml:space="preserve"> / [</t>
    </r>
    <r>
      <rPr>
        <sz val="8"/>
        <rFont val="Symbol"/>
        <family val="1"/>
        <charset val="2"/>
      </rPr>
      <t>S</t>
    </r>
    <r>
      <rPr>
        <sz val="8"/>
        <rFont val="Times New Roman"/>
        <family val="1"/>
      </rPr>
      <t>(u</t>
    </r>
    <r>
      <rPr>
        <vertAlign val="subscript"/>
        <sz val="8"/>
        <rFont val="Times New Roman"/>
        <family val="1"/>
      </rPr>
      <t>i</t>
    </r>
    <r>
      <rPr>
        <sz val="8"/>
        <rFont val="Times New Roman"/>
        <family val="1"/>
      </rPr>
      <t xml:space="preserve"> c</t>
    </r>
    <r>
      <rPr>
        <vertAlign val="subscript"/>
        <sz val="8"/>
        <rFont val="Times New Roman"/>
        <family val="1"/>
      </rPr>
      <t>i</t>
    </r>
    <r>
      <rPr>
        <sz val="8"/>
        <rFont val="Times New Roman"/>
        <family val="1"/>
      </rPr>
      <t>)</t>
    </r>
    <r>
      <rPr>
        <vertAlign val="superscript"/>
        <sz val="8"/>
        <rFont val="Times New Roman"/>
        <family val="1"/>
      </rPr>
      <t xml:space="preserve"> 4</t>
    </r>
    <r>
      <rPr>
        <sz val="8"/>
        <rFont val="Times New Roman"/>
        <family val="1"/>
      </rPr>
      <t>/</t>
    </r>
    <r>
      <rPr>
        <sz val="8"/>
        <rFont val="Symbol"/>
        <family val="1"/>
        <charset val="2"/>
      </rPr>
      <t>n</t>
    </r>
    <r>
      <rPr>
        <vertAlign val="subscript"/>
        <sz val="8"/>
        <rFont val="Times New Roman"/>
        <family val="1"/>
      </rPr>
      <t>i</t>
    </r>
    <r>
      <rPr>
        <sz val="8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</si>
  <si>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</si>
  <si>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</si>
  <si>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</si>
  <si>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</si>
  <si>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Hearing Level 90dB (250 Hz)</t>
  </si>
  <si>
    <t>Hearing Level 120dB (500 Hz)</t>
  </si>
  <si>
    <t>Hearing Level 120dB (750 Hz)</t>
  </si>
  <si>
    <t>Hearing Level 120dB (1000 Hz)</t>
  </si>
  <si>
    <t>Hearing Level 120dB (1500 Hz)</t>
  </si>
  <si>
    <t>Hearing Level 120dB (2000 Hz)</t>
  </si>
  <si>
    <t>Hearing Level 120dB (3000 Hz)</t>
  </si>
  <si>
    <t>Hearing Level 120dB (4000 Hz)</t>
  </si>
  <si>
    <t>Hearing Level 110dB (6000 Hz)</t>
  </si>
  <si>
    <t>Hearing Level 100dB (8000 Hz)</t>
  </si>
  <si>
    <t>Frekuensi 125 Hz (MAX dB)</t>
  </si>
  <si>
    <t>Hz</t>
  </si>
  <si>
    <t>Frekuensi 250 Hz (MAX dB)</t>
  </si>
  <si>
    <t>Frekuensi 500 Hz (MAX dB)</t>
  </si>
  <si>
    <t>Frekuensi 750 Hz (MAX dB)</t>
  </si>
  <si>
    <t>Frekuensi 1000 Hz (MAX dB)</t>
  </si>
  <si>
    <t>Frekuensi 1500 Hz (MAX dB)</t>
  </si>
  <si>
    <t>Frekuensi 2000 Hz (MAX dB)</t>
  </si>
  <si>
    <t>Frekuensi 3000 Hz (MAX dB)</t>
  </si>
  <si>
    <t>Frekuensi 4000 Hz (MAX dB)</t>
  </si>
  <si>
    <t>Frekuensi 6000 Hz (MAX dB)</t>
  </si>
  <si>
    <t>Frekuensi 8000 Hz (MAX dB)</t>
  </si>
  <si>
    <t>Total Harmonic Distortion 70dB (125 Hz)</t>
  </si>
  <si>
    <t>%</t>
  </si>
  <si>
    <t>Total Harmonic Distortion 90dB (250 Hz)</t>
  </si>
  <si>
    <t>Total Harmonic Distortion 110dB (500 Hz)</t>
  </si>
  <si>
    <t>Total Harmonic Distortion 110dB (750 Hz)</t>
  </si>
  <si>
    <t>Total Harmonic Distortion 110dB (1000 Hz)</t>
  </si>
  <si>
    <t>Total Harmonic Distortion 110dB (1500 Hz)</t>
  </si>
  <si>
    <t>Total Harmonic Distortion 110dB (2000 Hz)</t>
  </si>
  <si>
    <t>Total Harmonic Distortion 110dB (3000 Hz)</t>
  </si>
  <si>
    <t>Total Harmonic Distortion 110dB (4000 Hz)</t>
  </si>
  <si>
    <t>Total Harmonic Distortion 110dB (6000 Hz)</t>
  </si>
  <si>
    <t>Total Harmonic Distortion 110dB (8000 Hz)</t>
  </si>
  <si>
    <t>EARPHONE KIRI</t>
  </si>
  <si>
    <t>Total Harmonic Distortion 20dB (250 Hz)</t>
  </si>
  <si>
    <t>Total Harmonic Distortion 50dB (500 Hz)</t>
  </si>
  <si>
    <t>Total Harmonic Distortion 500dB (750 Hz)</t>
  </si>
  <si>
    <t>Total Harmonic Distortion 60dB (1000 Hz)</t>
  </si>
  <si>
    <t>Total Harmonic Distortion 60dB (1500 Hz)</t>
  </si>
  <si>
    <t>Total Harmonic Distortion 60dB (2000 Hz)</t>
  </si>
  <si>
    <t>Total Harmonic Distortion 60dB (3000 Hz)</t>
  </si>
  <si>
    <t>Total Harmonic Distortion 600dB (4000 Hz)</t>
  </si>
  <si>
    <t>HASIL KALIBRASI AUDIOMETER</t>
  </si>
  <si>
    <t xml:space="preserve">Merek                                 </t>
  </si>
  <si>
    <t xml:space="preserve">Model/Tipe                        </t>
  </si>
  <si>
    <t xml:space="preserve">No. Seri                               </t>
  </si>
  <si>
    <t xml:space="preserve">Tanggal Kalibrasi                  </t>
  </si>
  <si>
    <t xml:space="preserve">Tempat Kalibrasi                    </t>
  </si>
  <si>
    <t xml:space="preserve">Nama Ruang                                   </t>
  </si>
  <si>
    <t>I.</t>
  </si>
  <si>
    <t>Kondisi Ruang</t>
  </si>
  <si>
    <t>1.</t>
  </si>
  <si>
    <t xml:space="preserve">Suhu                            </t>
  </si>
  <si>
    <t>2.</t>
  </si>
  <si>
    <t xml:space="preserve">Kelembaban </t>
  </si>
  <si>
    <t>3.</t>
  </si>
  <si>
    <t xml:space="preserve">Tegangan Jala - jala                  </t>
  </si>
  <si>
    <t>II.</t>
  </si>
  <si>
    <t>Pemeriksaan Kondisi Fisik dan Fungsi Alat</t>
  </si>
  <si>
    <t xml:space="preserve">Fisik          </t>
  </si>
  <si>
    <t xml:space="preserve">Fungsi      </t>
  </si>
  <si>
    <t>III.</t>
  </si>
  <si>
    <t>Pengujian Keselamatan Listrik</t>
  </si>
  <si>
    <t>IV.</t>
  </si>
  <si>
    <t>Pengujian Kinerja</t>
  </si>
  <si>
    <t>Koreksi</t>
  </si>
  <si>
    <t>Ketidakpastian Pengukuran</t>
  </si>
  <si>
    <t>Batas Atas</t>
  </si>
  <si>
    <t>Batas Bawah</t>
  </si>
  <si>
    <t>Kesalahan Relatif (%)</t>
  </si>
  <si>
    <t>Earphone Kanan</t>
  </si>
  <si>
    <t>score 1</t>
  </si>
  <si>
    <t>score 2</t>
  </si>
  <si>
    <t>SUM</t>
  </si>
  <si>
    <t>Max</t>
  </si>
  <si>
    <t>ALL E.Kanan</t>
  </si>
  <si>
    <t>Sum</t>
  </si>
  <si>
    <t>Earphone Kiri</t>
  </si>
  <si>
    <t>ALL E.Kiri</t>
  </si>
  <si>
    <t>Score Akhir</t>
  </si>
  <si>
    <t>E Kanan</t>
  </si>
  <si>
    <t>E Kiri</t>
  </si>
  <si>
    <t>Ket :</t>
  </si>
  <si>
    <t>Precentace</t>
  </si>
  <si>
    <t>Score 1</t>
  </si>
  <si>
    <t>Kondisi Fisik dan Fungsi Alat</t>
  </si>
  <si>
    <t>V.</t>
  </si>
  <si>
    <t>Keterangan</t>
  </si>
  <si>
    <t>Score 2</t>
  </si>
  <si>
    <t>Score 3</t>
  </si>
  <si>
    <t>Pengukuran Earphone Kanan</t>
  </si>
  <si>
    <t>Score 4</t>
  </si>
  <si>
    <t>Pengukuran Earphone Kiri</t>
  </si>
  <si>
    <t>Score 5</t>
  </si>
  <si>
    <t>Pengukuran Bone</t>
  </si>
  <si>
    <t>VI.</t>
  </si>
  <si>
    <t>Alat Ukur yang digunakan</t>
  </si>
  <si>
    <t>VII.</t>
  </si>
  <si>
    <t>Kesimpulan</t>
  </si>
  <si>
    <t>VIII.</t>
  </si>
  <si>
    <t>Petugas Kalibrasi</t>
  </si>
  <si>
    <t>NAMA</t>
  </si>
  <si>
    <t>Paraf</t>
  </si>
  <si>
    <t>Total</t>
  </si>
  <si>
    <t>Dibuat oleh :</t>
  </si>
  <si>
    <t>Penyelia :</t>
  </si>
  <si>
    <t>Tegangan Jala - jala</t>
  </si>
  <si>
    <t>Halaman 2 dari 3 halaman</t>
  </si>
  <si>
    <t>Menyetujui,</t>
  </si>
  <si>
    <t>Kepala Instalasi Laboratorium</t>
  </si>
  <si>
    <t>Pengujian dan Kalibrasi</t>
  </si>
  <si>
    <t>Choirul Huda, S.Tr. Kes</t>
  </si>
  <si>
    <t>Halaman 3 dari 3 halaman</t>
  </si>
  <si>
    <t>Farid Wajidi, SKM</t>
  </si>
  <si>
    <t>NIP 196712101990031012</t>
  </si>
  <si>
    <t>NIP 198008062010121001</t>
  </si>
  <si>
    <t>SERTIFIKAT KALIBRASI</t>
  </si>
  <si>
    <t>Bulan</t>
  </si>
  <si>
    <t>Tahun</t>
  </si>
  <si>
    <t xml:space="preserve">                                                                 </t>
  </si>
  <si>
    <t>Mei</t>
  </si>
  <si>
    <t xml:space="preserve">Nama Alat            : </t>
  </si>
  <si>
    <t>Audiometer</t>
  </si>
  <si>
    <t xml:space="preserve">Nomor Order           : </t>
  </si>
  <si>
    <t>Model / Tipe</t>
  </si>
  <si>
    <t>Nomor Seri</t>
  </si>
  <si>
    <t>Nama Pemilik      :</t>
  </si>
  <si>
    <t>RSUD Datu Sanggul</t>
  </si>
  <si>
    <t xml:space="preserve">Identitas Pemilik     : </t>
  </si>
  <si>
    <t>Negeri</t>
  </si>
  <si>
    <t>Alamat Pemilik</t>
  </si>
  <si>
    <t>Jalan Brigjend Hasan Basri</t>
  </si>
  <si>
    <t>Metode Kerja</t>
  </si>
  <si>
    <t>Banjarbaru,</t>
  </si>
  <si>
    <t>Kepala Loka Pengamanan</t>
  </si>
  <si>
    <t>Fasilitas Kesehatan Banjarbaru</t>
  </si>
  <si>
    <t>Yuni Irmawati, SKM., MA</t>
  </si>
  <si>
    <t>NIP 197806222002122001</t>
  </si>
  <si>
    <t>SURAT KETERANGAN</t>
  </si>
  <si>
    <t xml:space="preserve">Dengan ini kami sampaikan bahwa setelah dilakukan pengujian / kalibrasi alat kesehatan oleh tim Loka Pengamanan Fasilitas Kesehatan Banjarbaru, </t>
  </si>
  <si>
    <t>Nama Pemilik Alat</t>
  </si>
  <si>
    <t>Alamat</t>
  </si>
  <si>
    <t>Nomor Order</t>
  </si>
  <si>
    <t>Bahwa alat kesehatan tersebut dibawah ini :</t>
  </si>
  <si>
    <t>Nama Alat</t>
  </si>
  <si>
    <t>Merk</t>
  </si>
  <si>
    <t>Model</t>
  </si>
  <si>
    <t>Serial Number</t>
  </si>
  <si>
    <t>Tanggal Kalibrasi</t>
  </si>
  <si>
    <r>
      <t xml:space="preserve">Dinyatakan </t>
    </r>
    <r>
      <rPr>
        <b/>
        <i/>
        <u/>
        <sz val="12"/>
        <color theme="1"/>
        <rFont val="Times New Roman"/>
        <family val="1"/>
      </rPr>
      <t xml:space="preserve">tidak aman untuk pelayanan </t>
    </r>
    <r>
      <rPr>
        <sz val="12"/>
        <color theme="1"/>
        <rFont val="Times New Roman"/>
        <family val="1"/>
      </rPr>
      <t>dikarenakan pembacaan alat melebihi batas toleransi maksimal yang diijinkan (Hasil Terlampir).</t>
    </r>
  </si>
  <si>
    <t>Demikian surat keterangan ini dibuat, untuk dapat digunakan bilamana diperlukan.</t>
  </si>
  <si>
    <t xml:space="preserve">Banjarbaru, </t>
  </si>
  <si>
    <t>Kepala LPFK Banjarbaru</t>
  </si>
  <si>
    <t>Kode Alat</t>
  </si>
  <si>
    <t>Kode MK</t>
  </si>
  <si>
    <t>Suction Pump</t>
  </si>
  <si>
    <t>T.S - 046 - 18 / REV : 1</t>
  </si>
  <si>
    <t>MK 046 - 18</t>
  </si>
  <si>
    <t>Januari</t>
  </si>
  <si>
    <t>Analitical Balance</t>
  </si>
  <si>
    <t>GM.S - 004-18 / REV : 1</t>
  </si>
  <si>
    <t>MK 004 - 18</t>
  </si>
  <si>
    <t xml:space="preserve">Februari </t>
  </si>
  <si>
    <t>Anasthesi Ventilator</t>
  </si>
  <si>
    <t>FV. S - 09 / REV : 0</t>
  </si>
  <si>
    <t>FV.MK - 09</t>
  </si>
  <si>
    <t xml:space="preserve">Maret </t>
  </si>
  <si>
    <t>OA.S - 007-18 / REV : 1</t>
  </si>
  <si>
    <t xml:space="preserve">April </t>
  </si>
  <si>
    <t>Autoclave</t>
  </si>
  <si>
    <t>SH.S - 01 / REV : 0</t>
  </si>
  <si>
    <t>SH.MK - 01</t>
  </si>
  <si>
    <t>Baby Incubator</t>
  </si>
  <si>
    <t>SH.S - 02 / REV : 0</t>
  </si>
  <si>
    <t>SH.MK - 02</t>
  </si>
  <si>
    <t>Juni</t>
  </si>
  <si>
    <t>Patient Monitor</t>
  </si>
  <si>
    <t>KL.S - 05 / REV : 0</t>
  </si>
  <si>
    <t>KL.MK - 05</t>
  </si>
  <si>
    <t xml:space="preserve">Juli </t>
  </si>
  <si>
    <t>Blood Bank</t>
  </si>
  <si>
    <t>SH.S - 03 / REV : 0</t>
  </si>
  <si>
    <t>SH.MK - 03</t>
  </si>
  <si>
    <t>Agustus</t>
  </si>
  <si>
    <t>Blood Pressure Monitor</t>
  </si>
  <si>
    <t>T.S 014-18 / REV : 1</t>
  </si>
  <si>
    <t>MK 014 - 18</t>
  </si>
  <si>
    <t>September</t>
  </si>
  <si>
    <t>Centrifuge</t>
  </si>
  <si>
    <t>WF.S - 016-18 / REV : 0</t>
  </si>
  <si>
    <t>MK 016 - 18</t>
  </si>
  <si>
    <t xml:space="preserve">Oktober </t>
  </si>
  <si>
    <t>Centrifuge Refrigerator</t>
  </si>
  <si>
    <t>November</t>
  </si>
  <si>
    <t>CPAP</t>
  </si>
  <si>
    <t>FV.S 017-18 / REV : 0</t>
  </si>
  <si>
    <t>MK 017-18</t>
  </si>
  <si>
    <t>Desember</t>
  </si>
  <si>
    <t>CTG</t>
  </si>
  <si>
    <t>OA.S - 015-18 / REV : 1</t>
  </si>
  <si>
    <t>MK 015 - 18</t>
  </si>
  <si>
    <t>Defibrillator</t>
  </si>
  <si>
    <t>KL.S - 03 / REV : 0</t>
  </si>
  <si>
    <t>KL.MK - 03</t>
  </si>
  <si>
    <t>Defibrillator Monitor</t>
  </si>
  <si>
    <t>KL.S - 14 / REV : 0</t>
  </si>
  <si>
    <t>KL.MK - 14</t>
  </si>
  <si>
    <t>Defibrillator with ECG</t>
  </si>
  <si>
    <t>Dental Unit</t>
  </si>
  <si>
    <t>GM.S - 03 / REV : 0</t>
  </si>
  <si>
    <t>GM.MK - 03</t>
  </si>
  <si>
    <t>Fetal Doppler</t>
  </si>
  <si>
    <t>OA.S - 024 - 18 / REV : 1</t>
  </si>
  <si>
    <t>MK 024 - 18</t>
  </si>
  <si>
    <t>Electrocardiograph</t>
  </si>
  <si>
    <t>KL.S - 020-18 / REV : 0</t>
  </si>
  <si>
    <t>MK 020 - 18</t>
  </si>
  <si>
    <t>EEG</t>
  </si>
  <si>
    <t>KL.S - 021-18 / REV : 1</t>
  </si>
  <si>
    <t>MK 021 - 18</t>
  </si>
  <si>
    <t>Elektro Stimulator</t>
  </si>
  <si>
    <t>KL.S - 11 / REV : 0</t>
  </si>
  <si>
    <t>KL.MK - 11</t>
  </si>
  <si>
    <t>Electrosurgery Unit</t>
  </si>
  <si>
    <t>KL.S - 06 / REV : 0</t>
  </si>
  <si>
    <t>KL.MK - 06</t>
  </si>
  <si>
    <t>Examination Lamp</t>
  </si>
  <si>
    <t>OA.S - 04 / REV : 0</t>
  </si>
  <si>
    <t>OA.MK - 04</t>
  </si>
  <si>
    <t>Flowmeter</t>
  </si>
  <si>
    <t>FV.S - 025-18 / REV : 0</t>
  </si>
  <si>
    <t>MK 025 - 18</t>
  </si>
  <si>
    <t>Hemodialisa</t>
  </si>
  <si>
    <t>FV.S - 12 / REV : 0</t>
  </si>
  <si>
    <t>FV.MK - 12</t>
  </si>
  <si>
    <t>Head Lamp</t>
  </si>
  <si>
    <t>OA.S - 011 / REV : 0</t>
  </si>
  <si>
    <t>OA.MK - 011</t>
  </si>
  <si>
    <t>Heart Rate Monitor</t>
  </si>
  <si>
    <t>Infant Warmer</t>
  </si>
  <si>
    <t>SH.S - 04 / REV : 0</t>
  </si>
  <si>
    <t>SH.MK - 04</t>
  </si>
  <si>
    <t>Infusion Pump</t>
  </si>
  <si>
    <t>FV.S - 027-18 / REV : 0</t>
  </si>
  <si>
    <t>MK 027-18</t>
  </si>
  <si>
    <t>Inkubator Laboratorium</t>
  </si>
  <si>
    <t>SH.S - 028 - 18 / REV : 1</t>
  </si>
  <si>
    <t>MK 028 - 18</t>
  </si>
  <si>
    <t>Laboratorium Refrigerator</t>
  </si>
  <si>
    <t>SH.S - 07 / REV : 0</t>
  </si>
  <si>
    <t>SH.MK - 07</t>
  </si>
  <si>
    <t>Rotator</t>
  </si>
  <si>
    <t>WF.S - 040-18 / REV : 1</t>
  </si>
  <si>
    <t>MK 040-18</t>
  </si>
  <si>
    <t>Lampu Operasi (Ceiling Type)</t>
  </si>
  <si>
    <t>OA.S - 029-18 / REV : 0</t>
  </si>
  <si>
    <t>MK 029 - 18</t>
  </si>
  <si>
    <t>Lampu Operasi (Mobile Type)</t>
  </si>
  <si>
    <t>OA.S - 06 / REV : 0</t>
  </si>
  <si>
    <t>OA.MK - 06 (IEC 60601 - 2 41)</t>
  </si>
  <si>
    <t>Anesthesi Unit</t>
  </si>
  <si>
    <t>FV.S - 07 / REV : 0</t>
  </si>
  <si>
    <t>FV.MK - 07</t>
  </si>
  <si>
    <t>Mikropipet Fixed</t>
  </si>
  <si>
    <t>FV.S - 114-19 / REV : 0</t>
  </si>
  <si>
    <t>MK 114 - 2019</t>
  </si>
  <si>
    <t>Mikropipet Variable</t>
  </si>
  <si>
    <t>FV.S - 13 / REV : 0</t>
  </si>
  <si>
    <t>FV.MK - 13</t>
  </si>
  <si>
    <t>Nebulizer</t>
  </si>
  <si>
    <t>FV.S - 035-18 / REV : 0</t>
  </si>
  <si>
    <t>MK 035 - 18</t>
  </si>
  <si>
    <t>Oxygen Concentrator</t>
  </si>
  <si>
    <t>FV.S - 037-18 / REV : 0</t>
  </si>
  <si>
    <t>MK 037 - 18</t>
  </si>
  <si>
    <t>Oven</t>
  </si>
  <si>
    <t>SH.S - 036-18 /REV : 0</t>
  </si>
  <si>
    <t>MK 036 - 18</t>
  </si>
  <si>
    <t>Phototherapy</t>
  </si>
  <si>
    <t>OA.S - 038-18 / REV : 0</t>
  </si>
  <si>
    <t>MK 038 - 18</t>
  </si>
  <si>
    <t>Pulse Oxymeter</t>
  </si>
  <si>
    <t>OA.S - 041-18 / REV : 1</t>
  </si>
  <si>
    <t>MK 041-18</t>
  </si>
  <si>
    <t>Short Wave Diathermi</t>
  </si>
  <si>
    <t>Sphygmomanometer</t>
  </si>
  <si>
    <t>T.S - 042 - 18 / REV : 1</t>
  </si>
  <si>
    <t>MK 042 - 18</t>
  </si>
  <si>
    <t>Spirometer</t>
  </si>
  <si>
    <t>FV.S - 04 / REV : 0</t>
  </si>
  <si>
    <t>FV.MK - 04</t>
  </si>
  <si>
    <t>Sterilisator Basah</t>
  </si>
  <si>
    <t>SH.LHU - 08 / REV.0</t>
  </si>
  <si>
    <t>SH.MK - 08</t>
  </si>
  <si>
    <t>Sterilisator Kering</t>
  </si>
  <si>
    <t>SH.S - 044-18 / REV : 1</t>
  </si>
  <si>
    <t>MK 044 - 18</t>
  </si>
  <si>
    <t>Suction Thorax</t>
  </si>
  <si>
    <t>Syringe Pump</t>
  </si>
  <si>
    <t>FV.S - 047-18 / REV : 0</t>
  </si>
  <si>
    <t>MK 047 - 18</t>
  </si>
  <si>
    <t>Thermometer Klinik</t>
  </si>
  <si>
    <t>SH.S - 11 / REV : 0</t>
  </si>
  <si>
    <t>SH.MK - 11</t>
  </si>
  <si>
    <t>Timbangan Bayi</t>
  </si>
  <si>
    <t>GM.S - 051-18 / REV : 0</t>
  </si>
  <si>
    <t>MK 051-18</t>
  </si>
  <si>
    <t>Traction Unit</t>
  </si>
  <si>
    <t>GM.S - 07 / REV : 1</t>
  </si>
  <si>
    <t>GM.MK - 07</t>
  </si>
  <si>
    <t>Treadmill</t>
  </si>
  <si>
    <t>WF.S - 054-18 / REV : 1</t>
  </si>
  <si>
    <t>MK 054 - 18</t>
  </si>
  <si>
    <t>Treadmill with ECG</t>
  </si>
  <si>
    <t>Ultrasound Therapy</t>
  </si>
  <si>
    <t>KL.MK - 10</t>
  </si>
  <si>
    <t>USG</t>
  </si>
  <si>
    <t>OA.S - 065 - 18 / REV : 0</t>
  </si>
  <si>
    <t>MK 065 - 18</t>
  </si>
  <si>
    <t>UV Lamp</t>
  </si>
  <si>
    <t>UV Sterilizer</t>
  </si>
  <si>
    <t>OA.S - 067 - 18 / REV : 0</t>
  </si>
  <si>
    <t>MK 067 - 18</t>
  </si>
  <si>
    <t>Vacuum Extractor</t>
  </si>
  <si>
    <t>Vaporizer</t>
  </si>
  <si>
    <t>FV.S - 08 / REV : 0</t>
  </si>
  <si>
    <t>FV.MK - 08 (ECRI 436 - 20010301)</t>
  </si>
  <si>
    <t>Ventilator</t>
  </si>
  <si>
    <t>FV.S - 10 / REV : 0</t>
  </si>
  <si>
    <t>FV.MK - 10</t>
  </si>
  <si>
    <t>Wall Suction</t>
  </si>
  <si>
    <t>T.S - 04 / REV : 0</t>
  </si>
  <si>
    <t>T.MK - 04 (ECRI 459 - 20010301)</t>
  </si>
  <si>
    <t>Water Bath</t>
  </si>
  <si>
    <t>SH.S - 09 / REV : 0</t>
  </si>
  <si>
    <t>SK.MK - 09</t>
  </si>
  <si>
    <t>Mikropipet Multi Channel</t>
  </si>
  <si>
    <t>Parafin Bath</t>
  </si>
  <si>
    <t>Stirrer</t>
  </si>
  <si>
    <t>Medical Freezer</t>
  </si>
  <si>
    <t>Blood Warmer</t>
  </si>
  <si>
    <t>SH.S - 081 - 2019 / REV :0</t>
  </si>
  <si>
    <t>MK 081 - 2019</t>
  </si>
  <si>
    <r>
      <t>Defibrillator with ECG with SPO</t>
    </r>
    <r>
      <rPr>
        <sz val="11"/>
        <color theme="1"/>
        <rFont val="Calibri"/>
        <family val="2"/>
      </rPr>
      <t>₂</t>
    </r>
  </si>
  <si>
    <t>Bedside Monitor with Defibrillator</t>
  </si>
  <si>
    <t>KL. S - 14 / REV : 0</t>
  </si>
  <si>
    <t>HFNC</t>
  </si>
  <si>
    <t>FV.S - 14 / REV : 0</t>
  </si>
  <si>
    <t>FV.MK - 14</t>
  </si>
  <si>
    <t>Timbangan Dewasa</t>
  </si>
  <si>
    <t>GM.S - 141-2019 / REV : 0</t>
  </si>
  <si>
    <t>MK 141 - 19</t>
  </si>
  <si>
    <t>INTERPOLASI</t>
  </si>
  <si>
    <t xml:space="preserve">Hearing Level </t>
  </si>
  <si>
    <t>Rata rata</t>
  </si>
  <si>
    <t>Koreksi Interpolasi</t>
  </si>
  <si>
    <t>Rata Terkoreksi</t>
  </si>
  <si>
    <t>UB</t>
  </si>
  <si>
    <t>Total Harmonic Distortion</t>
  </si>
  <si>
    <t>Air Conduction</t>
  </si>
  <si>
    <t>Kesalahan Relatif</t>
  </si>
  <si>
    <t>koreksi</t>
  </si>
  <si>
    <t>Frekuensi</t>
  </si>
  <si>
    <t>Sertifikat standart =Acoustic Calibrator CAL250/5432</t>
  </si>
  <si>
    <t>Audiometer Analyzer, Merek : Larson Davis, Model : System 824, SN : A4488</t>
  </si>
  <si>
    <t>Audiometer Analyzer, Merek : Larson Davis, Model : System 824, SN : A4563</t>
  </si>
  <si>
    <t>Audiometer Analyzer, Merek : Larson Davis, Model : 831C, SN : 11318</t>
  </si>
  <si>
    <t>Audiometer Analyzer, Merek : Larson Davis, Model : 831C, SN : 11319</t>
  </si>
  <si>
    <t>U95 dB</t>
  </si>
  <si>
    <t>U95 Hz</t>
  </si>
  <si>
    <t>U95 THD</t>
  </si>
  <si>
    <t>U SLM</t>
  </si>
  <si>
    <t>Sertifikat Standart Micrphone</t>
  </si>
  <si>
    <t>System 824 (A4488)</t>
  </si>
  <si>
    <t>System 824 (A4563)</t>
  </si>
  <si>
    <t>System 831C (11318)</t>
  </si>
  <si>
    <t>Koreksi SLM</t>
  </si>
  <si>
    <t>Setting dB</t>
  </si>
  <si>
    <t>Driff</t>
  </si>
  <si>
    <t>U95</t>
  </si>
  <si>
    <t>System 831C (11319)</t>
  </si>
  <si>
    <t>System 831C (11418)</t>
  </si>
  <si>
    <t>System 824 (.............)</t>
  </si>
  <si>
    <t>KOREKSI PS320</t>
  </si>
  <si>
    <t>Audiometer Analyzer, Merek : Larson Davis, Model : ............., SN : ...............</t>
  </si>
  <si>
    <t>Hasil Kalibrasi Hearing tertelusur ke Satuan Internasional ( SI ) melalui Puslit Metrologi - LIPI</t>
  </si>
  <si>
    <t>Hasil Kalibrasi Hearing tertelusur ke Satuan Internasional ( SI ) melalui LARSON DAVIS</t>
  </si>
  <si>
    <t>Hasil Kalibrasi Frekuensi tertelusur ke Satuan Internasional ( SI ) melalui Puslit Metrologi - LIPI</t>
  </si>
  <si>
    <t>Hasil Kalibrasi Frekuensi tertelusur ke Satuan Internasional ( SI ) melalui LARSON DAVIS</t>
  </si>
  <si>
    <t>Hasil Kalibrasi Total Harmonic Distortion tertelusur ke Satuan Internasional ( SI ) melalui Puslit Metrologi - LIPI</t>
  </si>
  <si>
    <t>Hasil Kalibrasi Total Harmonic Distortion tertelusur ke Satuan Internasional ( SI ) melalui LARSON DAVIS</t>
  </si>
  <si>
    <t>INPUT DATA SERTIFIKAT ESA</t>
  </si>
  <si>
    <t xml:space="preserve"> 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</si>
  <si>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</si>
  <si>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</si>
  <si>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</si>
  <si>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</si>
  <si>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</si>
  <si>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</si>
  <si>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</si>
  <si>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</si>
  <si>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( V )</t>
  </si>
  <si>
    <t>Current Leakage</t>
  </si>
  <si>
    <t>( uA )</t>
  </si>
  <si>
    <t>Main-PE</t>
  </si>
  <si>
    <r>
      <rPr>
        <b/>
        <i/>
        <sz val="11"/>
        <rFont val="Times New Roman"/>
        <family val="1"/>
      </rP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</si>
  <si>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</si>
  <si>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rPr>
        <b/>
        <i/>
        <sz val="11"/>
        <rFont val="Times New Roman"/>
        <family val="1"/>
      </rP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</si>
  <si>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</si>
  <si>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</si>
  <si>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</si>
  <si>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</si>
  <si>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</si>
  <si>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</si>
  <si>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G</t>
  </si>
  <si>
    <t>ESA 615 (3699030)</t>
  </si>
  <si>
    <t>H</t>
  </si>
  <si>
    <t>ESA 615 (4670010)</t>
  </si>
  <si>
    <t>ESA (4669058)</t>
  </si>
  <si>
    <t>No urut alat</t>
  </si>
  <si>
    <t>IV</t>
  </si>
  <si>
    <t>V</t>
  </si>
  <si>
    <t>VI</t>
  </si>
  <si>
    <t>Tegangan jala-jala listrik</t>
  </si>
  <si>
    <t>Pembacaan terkoreksi</t>
  </si>
  <si>
    <t>Hasil</t>
  </si>
  <si>
    <t>Tahanan isolasi kabel catu daya</t>
  </si>
  <si>
    <t>Arus bocor</t>
  </si>
  <si>
    <t>Hasil pengujian Keselamatan Listrik tertelusur ke Satuan Internasional ( SI ) melalui PT. Kaliman (LK-032-IDN)</t>
  </si>
  <si>
    <t>Hasil pengujian Keselamatan Listrik tertelusur ke Satuan Internasional ( SI ) melalui PT. CALTEK PTE LTD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</si>
  <si>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</si>
  <si>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</si>
  <si>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4670010</t>
  </si>
  <si>
    <t>Electrical Safety Analyzer, Merek : Fluke, Model : ESA 615, SN : 4669058</t>
  </si>
  <si>
    <t>INPUT SERTIFIKAT THERMOHYGROMETER</t>
  </si>
  <si>
    <t>KOREKSI KIMO THERMOHYGROMETER 15062873</t>
  </si>
  <si>
    <t>Suhu</t>
  </si>
  <si>
    <t>DRIFT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</si>
  <si>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</si>
  <si>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</si>
  <si>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</si>
  <si>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</si>
  <si>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</si>
  <si>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</si>
  <si>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</si>
  <si>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</si>
  <si>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</si>
  <si>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</si>
  <si>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</si>
  <si>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</si>
  <si>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SD700/A.100609</t>
  </si>
  <si>
    <t>KOREKSI Extech SD700/A.100605</t>
  </si>
  <si>
    <t>KOREKSI Extech SD700/A.100611</t>
  </si>
  <si>
    <t>KOREKSI Extech SD700/A.100616</t>
  </si>
  <si>
    <t>KOREKSI Extech SD700/A.100617</t>
  </si>
  <si>
    <t>KOREKSI Extech SD700/A.100618</t>
  </si>
  <si>
    <t>KOREKSI Extech SD700/A.100586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</si>
  <si>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</si>
  <si>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</si>
  <si>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</si>
  <si>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</si>
  <si>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</si>
  <si>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Konversi TEXT</t>
  </si>
  <si>
    <t xml:space="preserve"> °C</t>
  </si>
  <si>
    <t xml:space="preserve"> %RH</t>
  </si>
  <si>
    <t xml:space="preserve">( </t>
  </si>
  <si>
    <t xml:space="preserve"> ± </t>
  </si>
  <si>
    <t xml:space="preserve"> )</t>
  </si>
  <si>
    <t>INTERPOLASI KOREKSI SUHU</t>
  </si>
  <si>
    <t>INTERPOLASI KOREKSI KELEMBABAN</t>
  </si>
  <si>
    <t>Thermohygrolight, Merek : KIMO, Model : KH-210-AO, SN : 14082463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</si>
  <si>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</si>
  <si>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</si>
  <si>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</si>
  <si>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</si>
  <si>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HE-21.000670</t>
  </si>
  <si>
    <t>Digital Thermohygro Barometer : EXTECH, SD700, SN : A.100609</t>
  </si>
  <si>
    <t>Digital Thermohygro Barometer : EXTECH, SD700, SN : A.100605</t>
  </si>
  <si>
    <t>Digital Thermohygro Barometer : EXTECH, SD700, SN : A.100611</t>
  </si>
  <si>
    <t>Digital Thermohygro Barometer : EXTECH, SD700, SN : A.100616</t>
  </si>
  <si>
    <t>Digital Thermohygro Barometer : EXTECH, SD700, SN : A.100617</t>
  </si>
  <si>
    <t>Digital Thermohygro Barometer : EXTECH, SD700, SN : A.100618</t>
  </si>
  <si>
    <t>Digital Thermohygro Barometer : EXTECH, SD700, SN : A.100586</t>
  </si>
  <si>
    <t>Kesimpulan :</t>
  </si>
  <si>
    <t>KESIMPULAN</t>
  </si>
  <si>
    <t>SIMBOL</t>
  </si>
  <si>
    <t>Nomor Sertifikat : 4 /</t>
  </si>
  <si>
    <t>Alat yang dikalibrasi dalam batas toleransi dan dinyatakan LAIK PAKAI, dimana hasil atau skor akhir sama dengan atau melampaui 70 % berdasarkan Keputusan Direktur Jenderal Pelayanan Kesehatan No : HK.02.02/V/0412/2020</t>
  </si>
  <si>
    <t>Nomor Surat Keterangan : 4 / M -</t>
  </si>
  <si>
    <t>Alat yang dikalibrasi melebihi batas toleransi dan dinyatakan TIDAK LAIK PAKAI,  dimana hasil atau skor akhir dibawah 70 % berdasarkan Keputusan Direktur Jenderal Pelayanan Kesehatan No : HK.02.02/V/0412/2020</t>
  </si>
  <si>
    <t>Laik Pakai, disarankan untuk dikalibrasi ulang pada tanggal…......</t>
  </si>
  <si>
    <t>±</t>
  </si>
  <si>
    <t>°C</t>
  </si>
  <si>
    <t>(Hz)</t>
  </si>
  <si>
    <t>(dBHL)</t>
  </si>
  <si>
    <t>Electrical Safety Analyzer, Merek : Fluke, Model : ESA 620, SN : 1837056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</si>
  <si>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</si>
  <si>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</si>
  <si>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</si>
  <si>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Thermohygrolight, Merek : KIMO, Model : KH-210-AO, SN : 15062873</t>
  </si>
  <si>
    <t>Thermohygrolight, Merek : KIMO, Model : KH-210-AO, SN : 15062874</t>
  </si>
  <si>
    <t>Thermohygrolight, Merek : KIMO, Model : KH-210-AO, SN : 15062872</t>
  </si>
  <si>
    <t>Thermohygrolight, Merek : KIMO, Model : KH-210-AO, SN : 15062875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</si>
</sst>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164" formatCode="0.0"/>
    <numFmt numFmtId="165" formatCode="0.0000"/>
    <numFmt numFmtId="166" formatCode="0.000"/>
    <numFmt numFmtId="167" formatCode="\±\ 0.0"/>
    <numFmt numFmtId="168" formatCode="\±\ \ \ 0.0"/>
    <numFmt numFmtId="169" formatCode="\±\ \ \ 0.00"/>
    <numFmt numFmtId="170" formatCode="0.0\ \ \ \ \±"/>
    <numFmt numFmtId="171" formatCode="0.0\ \ \°\C"/>
    <numFmt numFmtId="172" formatCode="0.0\ \ &quot;%RH&quot;"/>
    <numFmt numFmtId="173" formatCode="0.0\ \V\o\l\t"/>
    <numFmt numFmtId="174" formatCode="0.0\ &quot;MΩ&quot;"/>
    <numFmt numFmtId="175" formatCode="0.0\ &quot;µA&quot;"/>
    <numFmt numFmtId="176" formatCode="0.00000"/>
    <numFmt numFmtId="177" formatCode="\±\ 0\ &quot;%&quot;"/>
    <numFmt numFmtId="178" formatCode="\±\ 0.0\ &quot;Hz&quot;"/>
    <numFmt numFmtId="179" formatCode="\±\ 0\ &quot;Hz&quot;"/>
    <numFmt numFmtId="180" formatCode="\±\ 0.00"/>
    <numFmt numFmtId="181" formatCode="0\ &quot;%&quot;"/>
    <numFmt numFmtId="182" formatCode="0.00\ &quot;%&quot;"/>
    <numFmt numFmtId="183" formatCode="0.0\ &quot;%&quot;"/>
    <numFmt numFmtId="184" formatCode="0.00000000"/>
    <numFmt numFmtId="185" formatCode="[$-421]dd\ mmmm\ yyyy;@"/>
    <numFmt numFmtId="186" formatCode="0.000\ &quot;Ω&quot;"/>
    <numFmt numFmtId="187" formatCode="[$-C09]d\ mmmm\ yyyy;@"/>
    <numFmt numFmtId="188" formatCode="[$-F800]dddd\,\ mmmm\ dd\,\ yyyy"/>
  </numFmts>
  <fonts count="100">
    <font>
      <sz val="10"/>
      <name val="Arial"/>
    </font>
    <font>
      <sz val="12"/>
      <name val="Times New Roman"/>
      <family val="1"/>
    </font>
    <font>
      <sz val="11"/>
      <name val="Times New Roman"/>
      <family val="1"/>
    </font>
    <font>
      <sz val="12"/>
      <name val="Calibri"/>
      <family val="2"/>
    </font>
    <font>
      <sz val="8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name val="Times New Roman"/>
      <family val="1"/>
    </font>
    <font>
      <i/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sz val="8"/>
      <name val="Arial"/>
      <family val="2"/>
    </font>
    <font>
      <b/>
      <i/>
      <sz val="8"/>
      <name val="Arial"/>
      <family val="2"/>
    </font>
    <font>
      <b/>
      <i/>
      <sz val="10"/>
      <name val="Arial"/>
      <family val="2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i/>
      <sz val="8"/>
      <name val="Calibri"/>
      <family val="2"/>
      <scheme val="minor"/>
    </font>
    <font>
      <b/>
      <i/>
      <sz val="8"/>
      <name val="Times New Roman"/>
      <family val="1"/>
    </font>
    <font>
      <vertAlign val="subscript"/>
      <sz val="8"/>
      <name val="Times New Roman"/>
      <family val="1"/>
    </font>
    <font>
      <sz val="8"/>
      <name val="Times New Roman"/>
      <family val="1"/>
    </font>
    <font>
      <sz val="8"/>
      <name val="Symbol"/>
      <family val="1"/>
      <charset val="2"/>
    </font>
    <font>
      <vertAlign val="superscript"/>
      <sz val="8"/>
      <name val="Times New Roman"/>
      <family val="1"/>
    </font>
    <font>
      <u/>
      <sz val="8"/>
      <name val="Calibri"/>
      <family val="2"/>
      <scheme val="minor"/>
    </font>
    <font>
      <b/>
      <sz val="12"/>
      <name val="Arial"/>
      <family val="2"/>
    </font>
    <font>
      <b/>
      <sz val="14"/>
      <name val="Times New Roman"/>
      <family val="1"/>
    </font>
    <font>
      <sz val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b/>
      <sz val="9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b/>
      <u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b/>
      <sz val="8"/>
      <color theme="0"/>
      <name val="Times New Roman"/>
      <family val="1"/>
    </font>
    <font>
      <sz val="10"/>
      <name val="Calibri"/>
      <family val="2"/>
    </font>
    <font>
      <b/>
      <i/>
      <u/>
      <sz val="10"/>
      <name val="Arial"/>
      <family val="2"/>
    </font>
    <font>
      <b/>
      <i/>
      <sz val="18"/>
      <name val="Arial"/>
      <family val="2"/>
    </font>
    <font>
      <b/>
      <i/>
      <u/>
      <sz val="20"/>
      <name val="Arial"/>
      <family val="2"/>
    </font>
    <font>
      <b/>
      <i/>
      <u/>
      <sz val="8"/>
      <name val="Arial"/>
      <family val="2"/>
    </font>
    <font>
      <sz val="24"/>
      <name val="Calibri"/>
      <family val="2"/>
      <scheme val="minor"/>
    </font>
    <font>
      <b/>
      <sz val="12"/>
      <name val="Times New Roman"/>
      <family val="1"/>
    </font>
    <font>
      <sz val="22"/>
      <name val="Arial"/>
      <family val="2"/>
    </font>
    <font>
      <b/>
      <sz val="12"/>
      <color theme="0"/>
      <name val="Times New Roman"/>
      <family val="1"/>
    </font>
    <font>
      <sz val="12"/>
      <name val="Arial"/>
      <family val="2"/>
    </font>
    <font>
      <sz val="13"/>
      <name val="Arial"/>
      <family val="2"/>
    </font>
    <font>
      <b/>
      <sz val="14"/>
      <name val="Arial"/>
      <family val="2"/>
    </font>
    <font>
      <vertAlign val="superscript"/>
      <sz val="12"/>
      <name val="Arial"/>
      <family val="2"/>
    </font>
    <font>
      <i/>
      <u/>
      <sz val="12"/>
      <name val="Arial"/>
      <family val="2"/>
    </font>
    <font>
      <u/>
      <sz val="12"/>
      <name val="Arial"/>
      <family val="2"/>
    </font>
    <font>
      <b/>
      <i/>
      <sz val="12"/>
      <name val="Arial"/>
      <family val="2"/>
    </font>
    <font>
      <sz val="14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b/>
      <sz val="11"/>
      <name val="Arial"/>
      <family val="2"/>
    </font>
    <font>
      <sz val="12"/>
      <color indexed="10"/>
      <name val="Arial"/>
      <family val="2"/>
    </font>
    <font>
      <sz val="12"/>
      <name val="Aria;"/>
      <charset val="1"/>
    </font>
    <font>
      <b/>
      <sz val="12"/>
      <name val="Aria;"/>
      <charset val="1"/>
    </font>
    <font>
      <sz val="11"/>
      <name val="Arial"/>
      <family val="2"/>
    </font>
    <font>
      <b/>
      <sz val="13"/>
      <name val="Arial"/>
      <family val="2"/>
    </font>
    <font>
      <i/>
      <sz val="12"/>
      <name val="Aria;"/>
      <charset val="1"/>
    </font>
    <font>
      <i/>
      <sz val="12"/>
      <name val="Arial"/>
      <family val="2"/>
    </font>
    <font>
      <b/>
      <i/>
      <sz val="12"/>
      <name val="Aria;"/>
      <charset val="1"/>
    </font>
    <font>
      <sz val="8"/>
      <name val="Aria;"/>
      <charset val="1"/>
    </font>
    <font>
      <sz val="9"/>
      <color indexed="81"/>
      <name val="Tahoma"/>
      <family val="2"/>
    </font>
    <font>
      <sz val="8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u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sz val="11"/>
      <color theme="1"/>
      <name val="Calibri"/>
      <family val="2"/>
    </font>
    <font>
      <b/>
      <u/>
      <sz val="24"/>
      <name val="Times New Roman"/>
      <family val="1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 tint="-0.34998626667073579"/>
      <name val="Arial"/>
      <family val="2"/>
    </font>
    <font>
      <b/>
      <sz val="9"/>
      <color indexed="81"/>
      <name val="Tahoma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3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9" fillId="0" borderId="0"/>
  </cellStyleXfs>
  <cellXfs count="1313">
    <xf numFmtId="0" fontId="0" fillId="0" borderId="0" xfId="0"/>
    <xf numFmtId="0" fontId="8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12" fillId="0" borderId="0" xfId="0" applyFont="1"/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vertical="top" wrapText="1"/>
    </xf>
    <xf numFmtId="0" fontId="15" fillId="0" borderId="3" xfId="0" applyFont="1" applyBorder="1" applyAlignment="1" applyProtection="1">
      <alignment horizontal="center"/>
      <protection hidden="1"/>
    </xf>
    <xf numFmtId="0" fontId="5" fillId="2" borderId="22" xfId="0" applyFont="1" applyFill="1" applyBorder="1" applyAlignment="1" applyProtection="1">
      <alignment horizontal="left" vertical="top" wrapText="1"/>
      <protection hidden="1"/>
    </xf>
    <xf numFmtId="0" fontId="5" fillId="11" borderId="3" xfId="0" applyFont="1" applyFill="1" applyBorder="1" applyAlignment="1" applyProtection="1">
      <alignment horizontal="left" vertical="top" wrapText="1"/>
      <protection hidden="1"/>
    </xf>
    <xf numFmtId="0" fontId="5" fillId="2" borderId="1" xfId="0" applyFont="1" applyFill="1" applyBorder="1" applyAlignment="1" applyProtection="1">
      <alignment horizontal="left" vertical="top"/>
      <protection hidden="1"/>
    </xf>
    <xf numFmtId="0" fontId="8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1" fillId="0" borderId="0" xfId="0" applyFont="1"/>
    <xf numFmtId="0" fontId="4" fillId="0" borderId="0" xfId="0" applyFont="1" applyAlignment="1">
      <alignment horizontal="left" vertical="top" wrapText="1"/>
    </xf>
    <xf numFmtId="2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/>
    </xf>
    <xf numFmtId="0" fontId="7" fillId="2" borderId="3" xfId="0" applyFont="1" applyFill="1" applyBorder="1" applyAlignment="1">
      <alignment horizontal="left" vertical="top" wrapText="1"/>
    </xf>
    <xf numFmtId="0" fontId="19" fillId="0" borderId="3" xfId="0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68" fontId="8" fillId="0" borderId="3" xfId="0" applyNumberFormat="1" applyFont="1" applyBorder="1" applyAlignment="1">
      <alignment horizontal="center" vertical="center"/>
    </xf>
    <xf numFmtId="168" fontId="8" fillId="0" borderId="0" xfId="0" applyNumberFormat="1" applyFont="1" applyAlignment="1">
      <alignment horizontal="center" vertical="center"/>
    </xf>
    <xf numFmtId="0" fontId="10" fillId="0" borderId="3" xfId="0" applyFont="1" applyBorder="1" applyAlignment="1">
      <alignment horizontal="center"/>
    </xf>
    <xf numFmtId="169" fontId="8" fillId="0" borderId="3" xfId="0" applyNumberFormat="1" applyFont="1" applyBorder="1" applyAlignment="1">
      <alignment horizontal="center" vertical="center"/>
    </xf>
    <xf numFmtId="0" fontId="17" fillId="0" borderId="0" xfId="0" applyFont="1"/>
    <xf numFmtId="0" fontId="22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24" xfId="0" applyFont="1" applyBorder="1"/>
    <xf numFmtId="0" fontId="17" fillId="0" borderId="25" xfId="0" applyFont="1" applyBorder="1"/>
    <xf numFmtId="0" fontId="17" fillId="0" borderId="26" xfId="0" applyFont="1" applyBorder="1"/>
    <xf numFmtId="0" fontId="18" fillId="0" borderId="3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33" xfId="0" applyFont="1" applyBorder="1" applyAlignment="1">
      <alignment horizontal="center"/>
    </xf>
    <xf numFmtId="0" fontId="17" fillId="0" borderId="32" xfId="0" applyFont="1" applyBorder="1"/>
    <xf numFmtId="2" fontId="17" fillId="0" borderId="3" xfId="0" applyNumberFormat="1" applyFont="1" applyBorder="1" applyAlignment="1">
      <alignment horizontal="right"/>
    </xf>
    <xf numFmtId="0" fontId="17" fillId="0" borderId="3" xfId="0" applyFont="1" applyBorder="1" applyAlignment="1">
      <alignment horizontal="right" vertical="center"/>
    </xf>
    <xf numFmtId="0" fontId="17" fillId="0" borderId="3" xfId="0" applyFont="1" applyBorder="1" applyAlignment="1">
      <alignment horizontal="right"/>
    </xf>
    <xf numFmtId="0" fontId="17" fillId="0" borderId="33" xfId="0" applyFont="1" applyBorder="1" applyAlignment="1">
      <alignment horizontal="right"/>
    </xf>
    <xf numFmtId="0" fontId="17" fillId="0" borderId="32" xfId="0" applyFont="1" applyBorder="1" applyAlignment="1">
      <alignment horizontal="left" vertical="top"/>
    </xf>
    <xf numFmtId="164" fontId="17" fillId="0" borderId="3" xfId="0" applyNumberFormat="1" applyFont="1" applyBorder="1" applyAlignment="1">
      <alignment horizontal="right" vertical="center"/>
    </xf>
    <xf numFmtId="2" fontId="17" fillId="0" borderId="3" xfId="0" applyNumberFormat="1" applyFont="1" applyBorder="1" applyAlignment="1">
      <alignment horizontal="right" vertical="center"/>
    </xf>
    <xf numFmtId="1" fontId="17" fillId="0" borderId="3" xfId="0" applyNumberFormat="1" applyFont="1" applyBorder="1" applyAlignment="1">
      <alignment horizontal="right" vertical="center"/>
    </xf>
    <xf numFmtId="2" fontId="17" fillId="0" borderId="33" xfId="0" applyNumberFormat="1" applyFont="1" applyBorder="1" applyAlignment="1">
      <alignment horizontal="right" vertical="center"/>
    </xf>
    <xf numFmtId="2" fontId="11" fillId="0" borderId="0" xfId="0" applyNumberFormat="1" applyFont="1"/>
    <xf numFmtId="164" fontId="17" fillId="0" borderId="3" xfId="0" applyNumberFormat="1" applyFont="1" applyBorder="1" applyAlignment="1">
      <alignment horizontal="right"/>
    </xf>
    <xf numFmtId="164" fontId="17" fillId="0" borderId="33" xfId="0" applyNumberFormat="1" applyFont="1" applyBorder="1" applyAlignment="1">
      <alignment horizontal="right"/>
    </xf>
    <xf numFmtId="0" fontId="23" fillId="0" borderId="20" xfId="1" applyFont="1" applyBorder="1"/>
    <xf numFmtId="0" fontId="23" fillId="0" borderId="4" xfId="1" applyFont="1" applyBorder="1"/>
    <xf numFmtId="0" fontId="23" fillId="0" borderId="2" xfId="1" applyFont="1" applyBorder="1"/>
    <xf numFmtId="0" fontId="17" fillId="0" borderId="3" xfId="0" applyFont="1" applyBorder="1"/>
    <xf numFmtId="0" fontId="17" fillId="0" borderId="33" xfId="0" applyFont="1" applyBorder="1"/>
    <xf numFmtId="0" fontId="24" fillId="0" borderId="1" xfId="1" applyFont="1" applyBorder="1"/>
    <xf numFmtId="0" fontId="24" fillId="0" borderId="4" xfId="1" applyFont="1" applyBorder="1"/>
    <xf numFmtId="0" fontId="24" fillId="0" borderId="2" xfId="1" applyFont="1" applyBorder="1"/>
    <xf numFmtId="0" fontId="26" fillId="0" borderId="1" xfId="1" applyFont="1" applyBorder="1"/>
    <xf numFmtId="0" fontId="26" fillId="0" borderId="4" xfId="1" applyFont="1" applyBorder="1"/>
    <xf numFmtId="0" fontId="26" fillId="0" borderId="2" xfId="1" applyFont="1" applyBorder="1"/>
    <xf numFmtId="0" fontId="25" fillId="0" borderId="1" xfId="1" applyFont="1" applyBorder="1"/>
    <xf numFmtId="0" fontId="25" fillId="0" borderId="4" xfId="1" applyFont="1" applyBorder="1"/>
    <xf numFmtId="0" fontId="25" fillId="0" borderId="2" xfId="1" applyFont="1" applyBorder="1"/>
    <xf numFmtId="0" fontId="23" fillId="0" borderId="21" xfId="1" applyFont="1" applyBorder="1"/>
    <xf numFmtId="0" fontId="23" fillId="0" borderId="15" xfId="1" applyFont="1" applyBorder="1"/>
    <xf numFmtId="0" fontId="23" fillId="0" borderId="38" xfId="1" applyFont="1" applyBorder="1"/>
    <xf numFmtId="0" fontId="25" fillId="0" borderId="39" xfId="1" applyFont="1" applyBorder="1"/>
    <xf numFmtId="0" fontId="25" fillId="0" borderId="15" xfId="1" applyFont="1" applyBorder="1"/>
    <xf numFmtId="0" fontId="25" fillId="0" borderId="38" xfId="1" applyFont="1" applyBorder="1"/>
    <xf numFmtId="0" fontId="17" fillId="0" borderId="28" xfId="0" applyFont="1" applyBorder="1"/>
    <xf numFmtId="0" fontId="21" fillId="0" borderId="29" xfId="0" applyFont="1" applyBorder="1"/>
    <xf numFmtId="166" fontId="17" fillId="0" borderId="3" xfId="0" applyNumberFormat="1" applyFont="1" applyBorder="1" applyAlignment="1">
      <alignment horizontal="right"/>
    </xf>
    <xf numFmtId="166" fontId="17" fillId="0" borderId="3" xfId="0" applyNumberFormat="1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vertical="center"/>
    </xf>
    <xf numFmtId="0" fontId="20" fillId="0" borderId="0" xfId="0" applyFont="1"/>
    <xf numFmtId="2" fontId="20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vertical="center"/>
    </xf>
    <xf numFmtId="2" fontId="11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/>
    </xf>
    <xf numFmtId="0" fontId="23" fillId="0" borderId="0" xfId="1" applyFont="1"/>
    <xf numFmtId="0" fontId="25" fillId="0" borderId="0" xfId="1" applyFont="1"/>
    <xf numFmtId="0" fontId="21" fillId="0" borderId="0" xfId="0" applyFont="1"/>
    <xf numFmtId="0" fontId="28" fillId="0" borderId="0" xfId="0" applyFont="1"/>
    <xf numFmtId="1" fontId="17" fillId="0" borderId="3" xfId="0" applyNumberFormat="1" applyFont="1" applyBorder="1"/>
    <xf numFmtId="0" fontId="31" fillId="0" borderId="0" xfId="1" applyFont="1"/>
    <xf numFmtId="0" fontId="12" fillId="0" borderId="0" xfId="1"/>
    <xf numFmtId="0" fontId="12" fillId="0" borderId="17" xfId="1" applyBorder="1" applyProtection="1">
      <protection locked="0"/>
    </xf>
    <xf numFmtId="0" fontId="12" fillId="0" borderId="0" xfId="1" applyProtection="1">
      <protection locked="0"/>
    </xf>
    <xf numFmtId="0" fontId="15" fillId="13" borderId="3" xfId="1" applyFont="1" applyFill="1" applyBorder="1" applyAlignment="1" applyProtection="1">
      <alignment horizontal="center" vertical="center"/>
      <protection locked="0"/>
    </xf>
    <xf numFmtId="164" fontId="15" fillId="14" borderId="3" xfId="1" applyNumberFormat="1" applyFont="1" applyFill="1" applyBorder="1" applyAlignment="1" applyProtection="1">
      <alignment horizontal="center" vertical="center"/>
      <protection locked="0"/>
    </xf>
    <xf numFmtId="0" fontId="19" fillId="14" borderId="3" xfId="1" applyFont="1" applyFill="1" applyBorder="1" applyAlignment="1" applyProtection="1">
      <alignment horizontal="center" vertical="center"/>
      <protection locked="0"/>
    </xf>
    <xf numFmtId="0" fontId="19" fillId="13" borderId="3" xfId="1" applyFont="1" applyFill="1" applyBorder="1" applyAlignment="1" applyProtection="1">
      <alignment horizontal="center" vertical="center"/>
      <protection locked="0"/>
    </xf>
    <xf numFmtId="0" fontId="12" fillId="0" borderId="3" xfId="1" applyBorder="1" applyProtection="1">
      <protection locked="0"/>
    </xf>
    <xf numFmtId="164" fontId="12" fillId="14" borderId="3" xfId="1" applyNumberFormat="1" applyFill="1" applyBorder="1" applyAlignment="1" applyProtection="1">
      <alignment horizontal="center" vertical="center"/>
      <protection locked="0"/>
    </xf>
    <xf numFmtId="2" fontId="12" fillId="13" borderId="3" xfId="1" applyNumberFormat="1" applyFill="1" applyBorder="1" applyAlignment="1" applyProtection="1">
      <alignment horizontal="center"/>
      <protection locked="0"/>
    </xf>
    <xf numFmtId="0" fontId="12" fillId="0" borderId="19" xfId="1" applyBorder="1" applyProtection="1">
      <protection locked="0"/>
    </xf>
    <xf numFmtId="164" fontId="12" fillId="14" borderId="3" xfId="1" applyNumberFormat="1" applyFill="1" applyBorder="1" applyAlignment="1" applyProtection="1">
      <alignment horizontal="center"/>
      <protection locked="0"/>
    </xf>
    <xf numFmtId="0" fontId="12" fillId="14" borderId="3" xfId="1" quotePrefix="1" applyFill="1" applyBorder="1" applyAlignment="1" applyProtection="1">
      <alignment horizontal="center"/>
      <protection locked="0"/>
    </xf>
    <xf numFmtId="164" fontId="12" fillId="14" borderId="3" xfId="1" quotePrefix="1" applyNumberFormat="1" applyFill="1" applyBorder="1" applyAlignment="1" applyProtection="1">
      <alignment horizontal="center"/>
      <protection locked="0"/>
    </xf>
    <xf numFmtId="0" fontId="12" fillId="0" borderId="13" xfId="1" applyBorder="1" applyProtection="1">
      <protection locked="0"/>
    </xf>
    <xf numFmtId="0" fontId="12" fillId="0" borderId="16" xfId="1" applyBorder="1" applyProtection="1">
      <protection locked="0"/>
    </xf>
    <xf numFmtId="0" fontId="12" fillId="0" borderId="8" xfId="1" applyBorder="1" applyProtection="1">
      <protection locked="0"/>
    </xf>
    <xf numFmtId="0" fontId="15" fillId="14" borderId="3" xfId="1" applyFont="1" applyFill="1" applyBorder="1" applyAlignment="1" applyProtection="1">
      <alignment horizontal="center" vertical="center"/>
      <protection locked="0"/>
    </xf>
    <xf numFmtId="0" fontId="12" fillId="14" borderId="0" xfId="1" applyFill="1" applyAlignment="1" applyProtection="1">
      <alignment horizontal="center"/>
      <protection locked="0"/>
    </xf>
    <xf numFmtId="0" fontId="15" fillId="13" borderId="24" xfId="1" applyFont="1" applyFill="1" applyBorder="1" applyAlignment="1" applyProtection="1">
      <alignment horizontal="center" vertical="center"/>
      <protection locked="0"/>
    </xf>
    <xf numFmtId="0" fontId="15" fillId="14" borderId="26" xfId="1" applyFont="1" applyFill="1" applyBorder="1" applyAlignment="1" applyProtection="1">
      <alignment horizontal="center" vertical="center"/>
      <protection locked="0"/>
    </xf>
    <xf numFmtId="0" fontId="19" fillId="14" borderId="57" xfId="1" applyFont="1" applyFill="1" applyBorder="1" applyAlignment="1" applyProtection="1">
      <alignment horizontal="center" vertical="center"/>
      <protection locked="0"/>
    </xf>
    <xf numFmtId="0" fontId="19" fillId="13" borderId="57" xfId="1" applyFont="1" applyFill="1" applyBorder="1" applyAlignment="1" applyProtection="1">
      <alignment horizontal="center" vertical="center"/>
      <protection locked="0"/>
    </xf>
    <xf numFmtId="0" fontId="15" fillId="13" borderId="27" xfId="1" applyFont="1" applyFill="1" applyBorder="1" applyAlignment="1" applyProtection="1">
      <alignment horizontal="center" vertical="center"/>
      <protection locked="0"/>
    </xf>
    <xf numFmtId="0" fontId="15" fillId="14" borderId="29" xfId="1" applyFont="1" applyFill="1" applyBorder="1" applyAlignment="1" applyProtection="1">
      <alignment horizontal="center" vertical="center"/>
      <protection locked="0"/>
    </xf>
    <xf numFmtId="164" fontId="12" fillId="14" borderId="43" xfId="1" applyNumberFormat="1" applyFill="1" applyBorder="1" applyAlignment="1" applyProtection="1">
      <alignment horizontal="center" vertical="center"/>
      <protection locked="0"/>
    </xf>
    <xf numFmtId="164" fontId="12" fillId="14" borderId="41" xfId="1" applyNumberFormat="1" applyFill="1" applyBorder="1" applyAlignment="1" applyProtection="1">
      <alignment horizontal="center" vertical="center"/>
      <protection locked="0"/>
    </xf>
    <xf numFmtId="2" fontId="12" fillId="13" borderId="44" xfId="1" applyNumberFormat="1" applyFill="1" applyBorder="1" applyAlignment="1" applyProtection="1">
      <alignment horizontal="center"/>
      <protection locked="0"/>
    </xf>
    <xf numFmtId="164" fontId="12" fillId="14" borderId="32" xfId="1" applyNumberFormat="1" applyFill="1" applyBorder="1" applyAlignment="1" applyProtection="1">
      <alignment horizontal="center" vertical="center"/>
      <protection locked="0"/>
    </xf>
    <xf numFmtId="2" fontId="12" fillId="13" borderId="33" xfId="1" applyNumberFormat="1" applyFill="1" applyBorder="1" applyAlignment="1" applyProtection="1">
      <alignment horizontal="center"/>
      <protection locked="0"/>
    </xf>
    <xf numFmtId="164" fontId="12" fillId="14" borderId="20" xfId="1" applyNumberFormat="1" applyFill="1" applyBorder="1" applyAlignment="1" applyProtection="1">
      <alignment horizontal="center"/>
      <protection locked="0"/>
    </xf>
    <xf numFmtId="164" fontId="12" fillId="14" borderId="21" xfId="1" applyNumberFormat="1" applyFill="1" applyBorder="1" applyAlignment="1" applyProtection="1">
      <alignment horizontal="center"/>
      <protection locked="0"/>
    </xf>
    <xf numFmtId="164" fontId="12" fillId="14" borderId="28" xfId="1" applyNumberFormat="1" applyFill="1" applyBorder="1" applyAlignment="1" applyProtection="1">
      <alignment horizontal="center"/>
      <protection locked="0"/>
    </xf>
    <xf numFmtId="2" fontId="12" fillId="13" borderId="29" xfId="1" applyNumberFormat="1" applyFill="1" applyBorder="1" applyAlignment="1" applyProtection="1">
      <alignment horizontal="center"/>
      <protection locked="0"/>
    </xf>
    <xf numFmtId="0" fontId="12" fillId="0" borderId="9" xfId="1" applyBorder="1" applyProtection="1">
      <protection locked="0"/>
    </xf>
    <xf numFmtId="0" fontId="12" fillId="14" borderId="28" xfId="1" quotePrefix="1" applyFill="1" applyBorder="1" applyAlignment="1" applyProtection="1">
      <alignment horizontal="center"/>
      <protection locked="0"/>
    </xf>
    <xf numFmtId="0" fontId="12" fillId="2" borderId="8" xfId="1" applyFill="1" applyBorder="1" applyAlignment="1" applyProtection="1">
      <alignment horizontal="center" vertical="center"/>
      <protection locked="0"/>
    </xf>
    <xf numFmtId="164" fontId="12" fillId="2" borderId="0" xfId="1" applyNumberFormat="1" applyFill="1" applyAlignment="1" applyProtection="1">
      <alignment horizontal="center"/>
      <protection locked="0"/>
    </xf>
    <xf numFmtId="0" fontId="12" fillId="2" borderId="0" xfId="1" quotePrefix="1" applyFill="1" applyAlignment="1" applyProtection="1">
      <alignment horizontal="center"/>
      <protection locked="0"/>
    </xf>
    <xf numFmtId="166" fontId="12" fillId="2" borderId="0" xfId="1" applyNumberFormat="1" applyFill="1" applyAlignment="1" applyProtection="1">
      <alignment horizontal="center"/>
      <protection locked="0"/>
    </xf>
    <xf numFmtId="0" fontId="12" fillId="2" borderId="0" xfId="1" applyFill="1" applyProtection="1">
      <protection locked="0"/>
    </xf>
    <xf numFmtId="164" fontId="15" fillId="14" borderId="29" xfId="1" applyNumberFormat="1" applyFont="1" applyFill="1" applyBorder="1" applyAlignment="1" applyProtection="1">
      <alignment horizontal="center" vertical="center"/>
      <protection locked="0"/>
    </xf>
    <xf numFmtId="164" fontId="15" fillId="14" borderId="26" xfId="1" applyNumberFormat="1" applyFont="1" applyFill="1" applyBorder="1" applyAlignment="1" applyProtection="1">
      <alignment horizontal="center" vertical="center"/>
      <protection locked="0"/>
    </xf>
    <xf numFmtId="1" fontId="12" fillId="14" borderId="43" xfId="1" applyNumberFormat="1" applyFill="1" applyBorder="1" applyAlignment="1" applyProtection="1">
      <alignment horizontal="center" vertical="center"/>
      <protection locked="0"/>
    </xf>
    <xf numFmtId="1" fontId="12" fillId="14" borderId="32" xfId="1" applyNumberFormat="1" applyFill="1" applyBorder="1" applyAlignment="1" applyProtection="1">
      <alignment horizontal="center" vertical="center"/>
      <protection locked="0"/>
    </xf>
    <xf numFmtId="1" fontId="12" fillId="14" borderId="20" xfId="1" applyNumberFormat="1" applyFill="1" applyBorder="1" applyAlignment="1" applyProtection="1">
      <alignment horizontal="center"/>
      <protection locked="0"/>
    </xf>
    <xf numFmtId="1" fontId="12" fillId="14" borderId="21" xfId="1" applyNumberFormat="1" applyFill="1" applyBorder="1" applyAlignment="1" applyProtection="1">
      <alignment horizontal="center"/>
      <protection locked="0"/>
    </xf>
    <xf numFmtId="2" fontId="12" fillId="2" borderId="0" xfId="1" applyNumberFormat="1" applyFill="1" applyAlignment="1" applyProtection="1">
      <alignment horizontal="center"/>
      <protection locked="0"/>
    </xf>
    <xf numFmtId="0" fontId="19" fillId="14" borderId="57" xfId="1" quotePrefix="1" applyFont="1" applyFill="1" applyBorder="1" applyAlignment="1" applyProtection="1">
      <alignment horizontal="center" vertical="center"/>
      <protection locked="0"/>
    </xf>
    <xf numFmtId="166" fontId="12" fillId="14" borderId="41" xfId="1" applyNumberFormat="1" applyFill="1" applyBorder="1" applyAlignment="1" applyProtection="1">
      <alignment horizontal="center" vertical="center"/>
      <protection locked="0"/>
    </xf>
    <xf numFmtId="166" fontId="12" fillId="14" borderId="3" xfId="1" applyNumberFormat="1" applyFill="1" applyBorder="1" applyAlignment="1" applyProtection="1">
      <alignment horizontal="center" vertical="center"/>
      <protection locked="0"/>
    </xf>
    <xf numFmtId="164" fontId="12" fillId="14" borderId="31" xfId="1" applyNumberFormat="1" applyFill="1" applyBorder="1" applyAlignment="1" applyProtection="1">
      <alignment horizontal="center" vertical="center"/>
      <protection locked="0"/>
    </xf>
    <xf numFmtId="164" fontId="12" fillId="14" borderId="21" xfId="1" applyNumberFormat="1" applyFill="1" applyBorder="1" applyAlignment="1" applyProtection="1">
      <alignment horizontal="center" vertical="center"/>
      <protection locked="0"/>
    </xf>
    <xf numFmtId="0" fontId="13" fillId="2" borderId="17" xfId="1" applyFont="1" applyFill="1" applyBorder="1" applyAlignment="1">
      <alignment vertical="center"/>
    </xf>
    <xf numFmtId="0" fontId="13" fillId="2" borderId="17" xfId="1" applyFont="1" applyFill="1" applyBorder="1" applyAlignment="1">
      <alignment horizontal="center" vertical="center"/>
    </xf>
    <xf numFmtId="0" fontId="34" fillId="15" borderId="3" xfId="1" applyFont="1" applyFill="1" applyBorder="1" applyAlignment="1">
      <alignment horizontal="center" vertical="center"/>
    </xf>
    <xf numFmtId="0" fontId="32" fillId="15" borderId="3" xfId="1" applyFont="1" applyFill="1" applyBorder="1" applyAlignment="1">
      <alignment horizontal="center" vertical="center"/>
    </xf>
    <xf numFmtId="0" fontId="31" fillId="9" borderId="3" xfId="1" applyFont="1" applyFill="1" applyBorder="1" applyAlignment="1">
      <alignment horizontal="center" vertical="center"/>
    </xf>
    <xf numFmtId="164" fontId="33" fillId="9" borderId="33" xfId="1" applyNumberFormat="1" applyFont="1" applyFill="1" applyBorder="1" applyAlignment="1">
      <alignment horizontal="center" vertical="center"/>
    </xf>
    <xf numFmtId="0" fontId="31" fillId="15" borderId="3" xfId="1" applyFont="1" applyFill="1" applyBorder="1" applyAlignment="1">
      <alignment horizontal="center" vertical="center"/>
    </xf>
    <xf numFmtId="2" fontId="31" fillId="15" borderId="3" xfId="1" applyNumberFormat="1" applyFont="1" applyFill="1" applyBorder="1" applyAlignment="1">
      <alignment horizontal="center" vertical="center"/>
    </xf>
    <xf numFmtId="0" fontId="31" fillId="9" borderId="3" xfId="1" applyFont="1" applyFill="1" applyBorder="1" applyAlignment="1">
      <alignment horizontal="center"/>
    </xf>
    <xf numFmtId="0" fontId="33" fillId="9" borderId="33" xfId="1" applyFont="1" applyFill="1" applyBorder="1" applyAlignment="1">
      <alignment horizontal="center" vertical="center"/>
    </xf>
    <xf numFmtId="0" fontId="33" fillId="9" borderId="33" xfId="1" applyFont="1" applyFill="1" applyBorder="1" applyAlignment="1">
      <alignment horizontal="center"/>
    </xf>
    <xf numFmtId="2" fontId="31" fillId="15" borderId="3" xfId="1" applyNumberFormat="1" applyFont="1" applyFill="1" applyBorder="1" applyAlignment="1">
      <alignment horizontal="center"/>
    </xf>
    <xf numFmtId="0" fontId="31" fillId="0" borderId="19" xfId="1" applyFont="1" applyBorder="1"/>
    <xf numFmtId="0" fontId="31" fillId="2" borderId="48" xfId="1" applyFont="1" applyFill="1" applyBorder="1" applyAlignment="1">
      <alignment horizontal="center" vertical="center"/>
    </xf>
    <xf numFmtId="0" fontId="31" fillId="2" borderId="49" xfId="1" applyFont="1" applyFill="1" applyBorder="1" applyAlignment="1">
      <alignment horizontal="center" vertical="center"/>
    </xf>
    <xf numFmtId="2" fontId="31" fillId="2" borderId="61" xfId="1" applyNumberFormat="1" applyFont="1" applyFill="1" applyBorder="1" applyAlignment="1">
      <alignment horizontal="center"/>
    </xf>
    <xf numFmtId="2" fontId="31" fillId="2" borderId="19" xfId="1" applyNumberFormat="1" applyFont="1" applyFill="1" applyBorder="1" applyAlignment="1">
      <alignment horizontal="center"/>
    </xf>
    <xf numFmtId="0" fontId="31" fillId="2" borderId="0" xfId="1" applyFont="1" applyFill="1"/>
    <xf numFmtId="0" fontId="31" fillId="2" borderId="3" xfId="1" applyFont="1" applyFill="1" applyBorder="1" applyAlignment="1">
      <alignment horizontal="center" vertical="center"/>
    </xf>
    <xf numFmtId="2" fontId="31" fillId="2" borderId="3" xfId="1" applyNumberFormat="1" applyFont="1" applyFill="1" applyBorder="1" applyAlignment="1">
      <alignment horizontal="center"/>
    </xf>
    <xf numFmtId="0" fontId="31" fillId="2" borderId="19" xfId="1" applyFont="1" applyFill="1" applyBorder="1"/>
    <xf numFmtId="2" fontId="31" fillId="2" borderId="22" xfId="1" applyNumberFormat="1" applyFont="1" applyFill="1" applyBorder="1" applyAlignment="1">
      <alignment horizontal="center" vertical="center"/>
    </xf>
    <xf numFmtId="2" fontId="31" fillId="2" borderId="50" xfId="1" applyNumberFormat="1" applyFont="1" applyFill="1" applyBorder="1" applyAlignment="1">
      <alignment horizontal="center" vertical="center"/>
    </xf>
    <xf numFmtId="164" fontId="36" fillId="9" borderId="33" xfId="1" applyNumberFormat="1" applyFont="1" applyFill="1" applyBorder="1" applyAlignment="1">
      <alignment horizontal="center" vertical="center"/>
    </xf>
    <xf numFmtId="0" fontId="12" fillId="0" borderId="19" xfId="1" applyBorder="1"/>
    <xf numFmtId="0" fontId="31" fillId="2" borderId="61" xfId="1" applyFont="1" applyFill="1" applyBorder="1" applyAlignment="1">
      <alignment horizontal="center" vertical="center"/>
    </xf>
    <xf numFmtId="0" fontId="31" fillId="2" borderId="8" xfId="1" applyFont="1" applyFill="1" applyBorder="1" applyAlignment="1">
      <alignment horizontal="center" vertical="center"/>
    </xf>
    <xf numFmtId="0" fontId="31" fillId="0" borderId="8" xfId="1" applyFont="1" applyBorder="1" applyAlignment="1">
      <alignment horizontal="center" vertical="center"/>
    </xf>
    <xf numFmtId="0" fontId="31" fillId="2" borderId="0" xfId="1" applyFont="1" applyFill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13" fillId="2" borderId="17" xfId="1" applyFont="1" applyFill="1" applyBorder="1" applyAlignment="1">
      <alignment horizontal="left" vertical="center" wrapText="1"/>
    </xf>
    <xf numFmtId="0" fontId="34" fillId="2" borderId="32" xfId="1" applyFont="1" applyFill="1" applyBorder="1" applyAlignment="1">
      <alignment horizontal="center" vertical="center"/>
    </xf>
    <xf numFmtId="0" fontId="32" fillId="2" borderId="32" xfId="1" applyFont="1" applyFill="1" applyBorder="1" applyAlignment="1">
      <alignment horizontal="center" vertical="center"/>
    </xf>
    <xf numFmtId="0" fontId="34" fillId="2" borderId="3" xfId="1" applyFont="1" applyFill="1" applyBorder="1" applyAlignment="1">
      <alignment horizontal="center" vertical="center"/>
    </xf>
    <xf numFmtId="0" fontId="35" fillId="2" borderId="32" xfId="1" applyFont="1" applyFill="1" applyBorder="1" applyAlignment="1">
      <alignment horizontal="center" vertical="center"/>
    </xf>
    <xf numFmtId="164" fontId="31" fillId="2" borderId="32" xfId="1" applyNumberFormat="1" applyFont="1" applyFill="1" applyBorder="1" applyAlignment="1">
      <alignment horizontal="center" vertical="center"/>
    </xf>
    <xf numFmtId="164" fontId="31" fillId="2" borderId="3" xfId="1" applyNumberFormat="1" applyFont="1" applyFill="1" applyBorder="1" applyAlignment="1">
      <alignment horizontal="center" vertical="center"/>
    </xf>
    <xf numFmtId="164" fontId="31" fillId="2" borderId="33" xfId="1" applyNumberFormat="1" applyFont="1" applyFill="1" applyBorder="1" applyAlignment="1">
      <alignment horizontal="center" vertical="center"/>
    </xf>
    <xf numFmtId="1" fontId="25" fillId="2" borderId="32" xfId="1" applyNumberFormat="1" applyFont="1" applyFill="1" applyBorder="1" applyAlignment="1">
      <alignment horizontal="center"/>
    </xf>
    <xf numFmtId="164" fontId="25" fillId="9" borderId="3" xfId="1" applyNumberFormat="1" applyFont="1" applyFill="1" applyBorder="1" applyAlignment="1">
      <alignment horizontal="center"/>
    </xf>
    <xf numFmtId="164" fontId="25" fillId="2" borderId="3" xfId="1" applyNumberFormat="1" applyFont="1" applyFill="1" applyBorder="1" applyAlignment="1">
      <alignment horizontal="center"/>
    </xf>
    <xf numFmtId="164" fontId="25" fillId="2" borderId="33" xfId="1" applyNumberFormat="1" applyFont="1" applyFill="1" applyBorder="1" applyAlignment="1">
      <alignment horizontal="center"/>
    </xf>
    <xf numFmtId="11" fontId="31" fillId="2" borderId="19" xfId="1" applyNumberFormat="1" applyFont="1" applyFill="1" applyBorder="1" applyAlignment="1">
      <alignment horizontal="center"/>
    </xf>
    <xf numFmtId="1" fontId="25" fillId="2" borderId="27" xfId="1" applyNumberFormat="1" applyFont="1" applyFill="1" applyBorder="1" applyAlignment="1">
      <alignment horizontal="center"/>
    </xf>
    <xf numFmtId="164" fontId="25" fillId="9" borderId="28" xfId="1" applyNumberFormat="1" applyFont="1" applyFill="1" applyBorder="1" applyAlignment="1">
      <alignment horizontal="center"/>
    </xf>
    <xf numFmtId="164" fontId="25" fillId="2" borderId="28" xfId="1" applyNumberFormat="1" applyFont="1" applyFill="1" applyBorder="1" applyAlignment="1">
      <alignment horizontal="center"/>
    </xf>
    <xf numFmtId="164" fontId="25" fillId="2" borderId="29" xfId="1" applyNumberFormat="1" applyFont="1" applyFill="1" applyBorder="1" applyAlignment="1">
      <alignment horizontal="center"/>
    </xf>
    <xf numFmtId="0" fontId="31" fillId="2" borderId="0" xfId="1" applyFont="1" applyFill="1" applyAlignment="1">
      <alignment horizontal="center"/>
    </xf>
    <xf numFmtId="165" fontId="31" fillId="2" borderId="0" xfId="1" applyNumberFormat="1" applyFont="1" applyFill="1" applyAlignment="1">
      <alignment horizontal="center"/>
    </xf>
    <xf numFmtId="165" fontId="31" fillId="2" borderId="19" xfId="1" applyNumberFormat="1" applyFont="1" applyFill="1" applyBorder="1" applyAlignment="1">
      <alignment horizontal="center"/>
    </xf>
    <xf numFmtId="0" fontId="33" fillId="2" borderId="19" xfId="1" applyFont="1" applyFill="1" applyBorder="1"/>
    <xf numFmtId="0" fontId="2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vertical="center"/>
    </xf>
    <xf numFmtId="0" fontId="35" fillId="2" borderId="19" xfId="1" applyFont="1" applyFill="1" applyBorder="1"/>
    <xf numFmtId="176" fontId="2" fillId="2" borderId="19" xfId="1" applyNumberFormat="1" applyFont="1" applyFill="1" applyBorder="1" applyAlignment="1">
      <alignment horizontal="center"/>
    </xf>
    <xf numFmtId="164" fontId="31" fillId="2" borderId="27" xfId="1" applyNumberFormat="1" applyFont="1" applyFill="1" applyBorder="1" applyAlignment="1">
      <alignment horizontal="center" vertical="center"/>
    </xf>
    <xf numFmtId="164" fontId="31" fillId="2" borderId="28" xfId="1" applyNumberFormat="1" applyFont="1" applyFill="1" applyBorder="1" applyAlignment="1">
      <alignment horizontal="center" vertical="center"/>
    </xf>
    <xf numFmtId="164" fontId="31" fillId="2" borderId="29" xfId="1" applyNumberFormat="1" applyFont="1" applyFill="1" applyBorder="1" applyAlignment="1">
      <alignment horizontal="center" vertical="center"/>
    </xf>
    <xf numFmtId="0" fontId="31" fillId="2" borderId="8" xfId="1" applyFont="1" applyFill="1" applyBorder="1"/>
    <xf numFmtId="0" fontId="31" fillId="2" borderId="3" xfId="1" applyFont="1" applyFill="1" applyBorder="1"/>
    <xf numFmtId="2" fontId="5" fillId="0" borderId="3" xfId="1" applyNumberFormat="1" applyFont="1" applyBorder="1" applyAlignment="1">
      <alignment horizontal="center" vertical="center"/>
    </xf>
    <xf numFmtId="166" fontId="1" fillId="2" borderId="19" xfId="1" applyNumberFormat="1" applyFont="1" applyFill="1" applyBorder="1" applyAlignment="1">
      <alignment horizontal="center"/>
    </xf>
    <xf numFmtId="0" fontId="13" fillId="2" borderId="0" xfId="1" applyFont="1" applyFill="1" applyAlignment="1">
      <alignment vertical="center"/>
    </xf>
    <xf numFmtId="0" fontId="2" fillId="2" borderId="0" xfId="1" applyFont="1" applyFill="1"/>
    <xf numFmtId="0" fontId="35" fillId="2" borderId="0" xfId="1" applyFont="1" applyFill="1"/>
    <xf numFmtId="165" fontId="35" fillId="2" borderId="19" xfId="1" applyNumberFormat="1" applyFont="1" applyFill="1" applyBorder="1" applyAlignment="1">
      <alignment horizontal="center"/>
    </xf>
    <xf numFmtId="164" fontId="13" fillId="2" borderId="25" xfId="1" applyNumberFormat="1" applyFont="1" applyFill="1" applyBorder="1" applyAlignment="1">
      <alignment horizontal="center"/>
    </xf>
    <xf numFmtId="164" fontId="13" fillId="2" borderId="26" xfId="1" applyNumberFormat="1" applyFont="1" applyFill="1" applyBorder="1" applyAlignment="1">
      <alignment horizontal="center"/>
    </xf>
    <xf numFmtId="0" fontId="34" fillId="2" borderId="0" xfId="1" applyFont="1" applyFill="1" applyAlignment="1">
      <alignment vertical="center"/>
    </xf>
    <xf numFmtId="0" fontId="13" fillId="2" borderId="43" xfId="1" applyFont="1" applyFill="1" applyBorder="1" applyAlignment="1">
      <alignment horizontal="center" vertical="center"/>
    </xf>
    <xf numFmtId="164" fontId="13" fillId="2" borderId="32" xfId="1" applyNumberFormat="1" applyFont="1" applyFill="1" applyBorder="1" applyAlignment="1">
      <alignment horizontal="center" vertical="center"/>
    </xf>
    <xf numFmtId="164" fontId="13" fillId="2" borderId="3" xfId="1" applyNumberFormat="1" applyFont="1" applyFill="1" applyBorder="1" applyAlignment="1">
      <alignment horizontal="center"/>
    </xf>
    <xf numFmtId="164" fontId="13" fillId="2" borderId="33" xfId="1" applyNumberFormat="1" applyFont="1" applyFill="1" applyBorder="1" applyAlignment="1">
      <alignment horizontal="center"/>
    </xf>
    <xf numFmtId="2" fontId="32" fillId="2" borderId="19" xfId="1" applyNumberFormat="1" applyFont="1" applyFill="1" applyBorder="1" applyAlignment="1">
      <alignment horizontal="center"/>
    </xf>
    <xf numFmtId="0" fontId="13" fillId="2" borderId="27" xfId="1" applyFont="1" applyFill="1" applyBorder="1" applyAlignment="1">
      <alignment horizontal="center" vertical="center"/>
    </xf>
    <xf numFmtId="164" fontId="13" fillId="2" borderId="31" xfId="1" applyNumberFormat="1" applyFont="1" applyFill="1" applyBorder="1" applyAlignment="1">
      <alignment horizontal="center"/>
    </xf>
    <xf numFmtId="164" fontId="13" fillId="2" borderId="28" xfId="1" applyNumberFormat="1" applyFont="1" applyFill="1" applyBorder="1" applyAlignment="1">
      <alignment horizontal="center"/>
    </xf>
    <xf numFmtId="164" fontId="13" fillId="2" borderId="47" xfId="1" applyNumberFormat="1" applyFont="1" applyFill="1" applyBorder="1" applyAlignment="1">
      <alignment horizontal="center"/>
    </xf>
    <xf numFmtId="166" fontId="31" fillId="2" borderId="13" xfId="1" applyNumberFormat="1" applyFont="1" applyFill="1" applyBorder="1" applyAlignment="1">
      <alignment horizontal="center"/>
    </xf>
    <xf numFmtId="0" fontId="31" fillId="2" borderId="13" xfId="1" applyFont="1" applyFill="1" applyBorder="1"/>
    <xf numFmtId="0" fontId="31" fillId="2" borderId="16" xfId="1" applyFont="1" applyFill="1" applyBorder="1"/>
    <xf numFmtId="2" fontId="31" fillId="2" borderId="16" xfId="1" applyNumberFormat="1" applyFont="1" applyFill="1" applyBorder="1" applyAlignment="1">
      <alignment horizontal="center"/>
    </xf>
    <xf numFmtId="0" fontId="31" fillId="15" borderId="20" xfId="1" applyFont="1" applyFill="1" applyBorder="1" applyAlignment="1" applyProtection="1">
      <alignment vertical="center"/>
      <protection locked="0"/>
    </xf>
    <xf numFmtId="0" fontId="31" fillId="15" borderId="4" xfId="1" applyFont="1" applyFill="1" applyBorder="1" applyAlignment="1" applyProtection="1">
      <alignment horizontal="center" vertical="center"/>
      <protection locked="0"/>
    </xf>
    <xf numFmtId="0" fontId="31" fillId="15" borderId="4" xfId="1" applyFont="1" applyFill="1" applyBorder="1" applyAlignment="1" applyProtection="1">
      <alignment vertical="center"/>
      <protection locked="0"/>
    </xf>
    <xf numFmtId="0" fontId="31" fillId="15" borderId="2" xfId="1" applyFont="1" applyFill="1" applyBorder="1" applyAlignment="1" applyProtection="1">
      <alignment vertical="center"/>
      <protection locked="0"/>
    </xf>
    <xf numFmtId="0" fontId="31" fillId="15" borderId="1" xfId="1" applyFont="1" applyFill="1" applyBorder="1" applyAlignment="1" applyProtection="1">
      <alignment vertical="center"/>
      <protection locked="0"/>
    </xf>
    <xf numFmtId="0" fontId="31" fillId="15" borderId="24" xfId="1" applyFont="1" applyFill="1" applyBorder="1" applyAlignment="1" applyProtection="1">
      <alignment horizontal="center" vertical="center"/>
      <protection locked="0"/>
    </xf>
    <xf numFmtId="0" fontId="31" fillId="15" borderId="26" xfId="1" applyFont="1" applyFill="1" applyBorder="1" applyAlignment="1" applyProtection="1">
      <alignment horizontal="center" vertical="center"/>
      <protection locked="0"/>
    </xf>
    <xf numFmtId="0" fontId="31" fillId="15" borderId="45" xfId="1" applyFont="1" applyFill="1" applyBorder="1" applyAlignment="1" applyProtection="1">
      <alignment horizontal="center" vertical="center"/>
      <protection locked="0"/>
    </xf>
    <xf numFmtId="0" fontId="31" fillId="15" borderId="32" xfId="1" applyFont="1" applyFill="1" applyBorder="1" applyAlignment="1" applyProtection="1">
      <alignment horizontal="center" vertical="center"/>
      <protection locked="0"/>
    </xf>
    <xf numFmtId="0" fontId="31" fillId="15" borderId="33" xfId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 wrapText="1"/>
    </xf>
    <xf numFmtId="0" fontId="12" fillId="0" borderId="3" xfId="1" applyBorder="1" applyAlignment="1">
      <alignment horizontal="center"/>
    </xf>
    <xf numFmtId="0" fontId="12" fillId="0" borderId="3" xfId="1" applyBorder="1" applyAlignment="1">
      <alignment horizontal="center" vertical="center"/>
    </xf>
    <xf numFmtId="0" fontId="12" fillId="0" borderId="3" xfId="1" quotePrefix="1" applyBorder="1" applyAlignment="1">
      <alignment horizontal="center" vertical="center"/>
    </xf>
    <xf numFmtId="2" fontId="12" fillId="0" borderId="3" xfId="1" applyNumberFormat="1" applyBorder="1" applyAlignment="1">
      <alignment horizontal="center"/>
    </xf>
    <xf numFmtId="0" fontId="7" fillId="0" borderId="3" xfId="1" applyFont="1" applyBorder="1" applyAlignment="1">
      <alignment horizontal="center"/>
    </xf>
    <xf numFmtId="164" fontId="12" fillId="0" borderId="3" xfId="1" applyNumberFormat="1" applyBorder="1" applyAlignment="1">
      <alignment horizontal="center" vertical="center"/>
    </xf>
    <xf numFmtId="0" fontId="12" fillId="0" borderId="3" xfId="1" applyBorder="1"/>
    <xf numFmtId="0" fontId="35" fillId="6" borderId="3" xfId="1" applyFont="1" applyFill="1" applyBorder="1" applyAlignment="1">
      <alignment horizontal="center" vertical="center"/>
    </xf>
    <xf numFmtId="0" fontId="15" fillId="6" borderId="3" xfId="1" applyFont="1" applyFill="1" applyBorder="1" applyAlignment="1">
      <alignment horizontal="center" vertical="center"/>
    </xf>
    <xf numFmtId="0" fontId="2" fillId="6" borderId="3" xfId="1" applyFont="1" applyFill="1" applyBorder="1" applyAlignment="1">
      <alignment horizontal="center" vertical="center"/>
    </xf>
    <xf numFmtId="1" fontId="2" fillId="6" borderId="3" xfId="1" applyNumberFormat="1" applyFont="1" applyFill="1" applyBorder="1" applyAlignment="1">
      <alignment horizontal="center" vertical="center"/>
    </xf>
    <xf numFmtId="2" fontId="2" fillId="6" borderId="3" xfId="1" applyNumberFormat="1" applyFont="1" applyFill="1" applyBorder="1" applyAlignment="1">
      <alignment horizontal="center" vertical="center"/>
    </xf>
    <xf numFmtId="2" fontId="2" fillId="6" borderId="33" xfId="1" applyNumberFormat="1" applyFont="1" applyFill="1" applyBorder="1" applyAlignment="1">
      <alignment horizontal="center" vertical="center"/>
    </xf>
    <xf numFmtId="1" fontId="31" fillId="6" borderId="3" xfId="1" applyNumberFormat="1" applyFont="1" applyFill="1" applyBorder="1" applyAlignment="1">
      <alignment horizontal="center" vertical="center"/>
    </xf>
    <xf numFmtId="2" fontId="31" fillId="6" borderId="3" xfId="1" applyNumberFormat="1" applyFont="1" applyFill="1" applyBorder="1" applyAlignment="1">
      <alignment horizontal="center" vertical="center"/>
    </xf>
    <xf numFmtId="2" fontId="31" fillId="6" borderId="33" xfId="1" applyNumberFormat="1" applyFont="1" applyFill="1" applyBorder="1" applyAlignment="1">
      <alignment horizontal="center" vertical="center"/>
    </xf>
    <xf numFmtId="1" fontId="12" fillId="6" borderId="3" xfId="1" applyNumberFormat="1" applyFill="1" applyBorder="1" applyAlignment="1">
      <alignment horizontal="center" vertical="center"/>
    </xf>
    <xf numFmtId="0" fontId="2" fillId="6" borderId="5" xfId="1" applyFont="1" applyFill="1" applyBorder="1" applyAlignment="1">
      <alignment horizontal="center" vertical="center"/>
    </xf>
    <xf numFmtId="1" fontId="2" fillId="6" borderId="5" xfId="1" applyNumberFormat="1" applyFont="1" applyFill="1" applyBorder="1" applyAlignment="1">
      <alignment horizontal="center" vertical="center"/>
    </xf>
    <xf numFmtId="2" fontId="31" fillId="6" borderId="5" xfId="1" applyNumberFormat="1" applyFont="1" applyFill="1" applyBorder="1" applyAlignment="1">
      <alignment horizontal="center" vertical="center"/>
    </xf>
    <xf numFmtId="2" fontId="31" fillId="6" borderId="37" xfId="1" applyNumberFormat="1" applyFont="1" applyFill="1" applyBorder="1" applyAlignment="1">
      <alignment horizontal="center" vertical="center"/>
    </xf>
    <xf numFmtId="1" fontId="2" fillId="6" borderId="41" xfId="1" applyNumberFormat="1" applyFont="1" applyFill="1" applyBorder="1" applyAlignment="1">
      <alignment horizontal="center" vertical="center"/>
    </xf>
    <xf numFmtId="1" fontId="12" fillId="6" borderId="41" xfId="1" applyNumberFormat="1" applyFill="1" applyBorder="1" applyAlignment="1">
      <alignment horizontal="center" vertical="center"/>
    </xf>
    <xf numFmtId="2" fontId="12" fillId="6" borderId="41" xfId="1" applyNumberFormat="1" applyFill="1" applyBorder="1" applyAlignment="1">
      <alignment horizontal="center" vertical="center"/>
    </xf>
    <xf numFmtId="2" fontId="12" fillId="6" borderId="41" xfId="1" quotePrefix="1" applyNumberFormat="1" applyFill="1" applyBorder="1" applyAlignment="1">
      <alignment horizontal="center" vertical="center"/>
    </xf>
    <xf numFmtId="2" fontId="12" fillId="6" borderId="44" xfId="1" applyNumberFormat="1" applyFill="1" applyBorder="1" applyAlignment="1">
      <alignment horizontal="center" vertical="center"/>
    </xf>
    <xf numFmtId="2" fontId="12" fillId="6" borderId="3" xfId="1" applyNumberFormat="1" applyFill="1" applyBorder="1" applyAlignment="1">
      <alignment horizontal="center" vertical="center"/>
    </xf>
    <xf numFmtId="2" fontId="12" fillId="6" borderId="3" xfId="1" quotePrefix="1" applyNumberFormat="1" applyFill="1" applyBorder="1" applyAlignment="1">
      <alignment horizontal="center" vertical="center"/>
    </xf>
    <xf numFmtId="2" fontId="12" fillId="6" borderId="33" xfId="1" applyNumberFormat="1" applyFill="1" applyBorder="1" applyAlignment="1">
      <alignment horizontal="center" vertical="center"/>
    </xf>
    <xf numFmtId="2" fontId="12" fillId="6" borderId="5" xfId="1" applyNumberFormat="1" applyFill="1" applyBorder="1" applyAlignment="1">
      <alignment horizontal="center" vertical="center"/>
    </xf>
    <xf numFmtId="2" fontId="12" fillId="6" borderId="37" xfId="1" applyNumberFormat="1" applyFill="1" applyBorder="1" applyAlignment="1">
      <alignment horizontal="center" vertical="center"/>
    </xf>
    <xf numFmtId="0" fontId="12" fillId="0" borderId="5" xfId="1" applyBorder="1" applyAlignment="1">
      <alignment horizontal="center"/>
    </xf>
    <xf numFmtId="1" fontId="2" fillId="6" borderId="34" xfId="1" applyNumberFormat="1" applyFont="1" applyFill="1" applyBorder="1" applyAlignment="1">
      <alignment horizontal="center" vertical="center"/>
    </xf>
    <xf numFmtId="0" fontId="12" fillId="6" borderId="25" xfId="1" applyFill="1" applyBorder="1" applyAlignment="1">
      <alignment horizontal="center" vertical="center"/>
    </xf>
    <xf numFmtId="1" fontId="12" fillId="6" borderId="1" xfId="1" applyNumberFormat="1" applyFill="1" applyBorder="1" applyAlignment="1">
      <alignment horizontal="center" vertical="center"/>
    </xf>
    <xf numFmtId="0" fontId="12" fillId="6" borderId="3" xfId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1" fontId="2" fillId="6" borderId="62" xfId="1" applyNumberFormat="1" applyFont="1" applyFill="1" applyBorder="1" applyAlignment="1">
      <alignment horizontal="center" vertical="center"/>
    </xf>
    <xf numFmtId="2" fontId="12" fillId="6" borderId="64" xfId="1" applyNumberFormat="1" applyFill="1" applyBorder="1" applyAlignment="1">
      <alignment horizontal="center" vertical="center"/>
    </xf>
    <xf numFmtId="0" fontId="49" fillId="0" borderId="3" xfId="1" applyFont="1" applyBorder="1" applyAlignment="1">
      <alignment horizontal="center" vertical="center"/>
    </xf>
    <xf numFmtId="0" fontId="12" fillId="0" borderId="0" xfId="1" applyAlignment="1">
      <alignment horizontal="left"/>
    </xf>
    <xf numFmtId="164" fontId="12" fillId="0" borderId="3" xfId="1" applyNumberFormat="1" applyBorder="1" applyAlignment="1">
      <alignment horizontal="center"/>
    </xf>
    <xf numFmtId="0" fontId="48" fillId="6" borderId="0" xfId="1" applyFont="1" applyFill="1" applyAlignment="1">
      <alignment horizontal="center" vertical="center"/>
    </xf>
    <xf numFmtId="0" fontId="12" fillId="0" borderId="0" xfId="1" applyAlignment="1">
      <alignment horizontal="center"/>
    </xf>
    <xf numFmtId="1" fontId="12" fillId="6" borderId="0" xfId="1" applyNumberFormat="1" applyFill="1" applyAlignment="1">
      <alignment horizontal="center" vertical="center"/>
    </xf>
    <xf numFmtId="2" fontId="12" fillId="0" borderId="0" xfId="1" applyNumberFormat="1" applyAlignment="1">
      <alignment horizontal="center"/>
    </xf>
    <xf numFmtId="2" fontId="51" fillId="0" borderId="3" xfId="0" applyNumberFormat="1" applyFont="1" applyBorder="1" applyAlignment="1">
      <alignment horizontal="center" vertical="center"/>
    </xf>
    <xf numFmtId="167" fontId="0" fillId="0" borderId="3" xfId="0" applyNumberFormat="1" applyBorder="1" applyAlignment="1">
      <alignment horizontal="center"/>
    </xf>
    <xf numFmtId="180" fontId="0" fillId="0" borderId="3" xfId="0" applyNumberFormat="1" applyBorder="1" applyAlignment="1">
      <alignment horizontal="center"/>
    </xf>
    <xf numFmtId="0" fontId="0" fillId="9" borderId="0" xfId="0" applyFill="1" applyAlignment="1">
      <alignment horizontal="left" vertical="center"/>
    </xf>
    <xf numFmtId="2" fontId="8" fillId="9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0" fillId="9" borderId="0" xfId="0" applyFill="1"/>
    <xf numFmtId="180" fontId="8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3" fillId="2" borderId="3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/>
    </xf>
    <xf numFmtId="2" fontId="13" fillId="2" borderId="33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 vertical="center"/>
    </xf>
    <xf numFmtId="166" fontId="13" fillId="2" borderId="3" xfId="0" applyNumberFormat="1" applyFont="1" applyFill="1" applyBorder="1" applyAlignment="1">
      <alignment horizontal="center"/>
    </xf>
    <xf numFmtId="2" fontId="13" fillId="2" borderId="27" xfId="0" applyNumberFormat="1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/>
    </xf>
    <xf numFmtId="2" fontId="13" fillId="2" borderId="29" xfId="0" applyNumberFormat="1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3" fillId="2" borderId="2" xfId="0" applyNumberFormat="1" applyFont="1" applyFill="1" applyBorder="1" applyAlignment="1">
      <alignment horizontal="center" vertical="center"/>
    </xf>
    <xf numFmtId="2" fontId="13" fillId="2" borderId="38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39" fillId="0" borderId="0" xfId="0" applyFont="1"/>
    <xf numFmtId="0" fontId="14" fillId="0" borderId="0" xfId="0" applyFont="1" applyAlignment="1">
      <alignment horizontal="left"/>
    </xf>
    <xf numFmtId="0" fontId="45" fillId="2" borderId="0" xfId="0" applyFont="1" applyFill="1" applyAlignment="1">
      <alignment horizontal="center" vertical="center"/>
    </xf>
    <xf numFmtId="0" fontId="45" fillId="2" borderId="0" xfId="0" applyFont="1" applyFill="1" applyAlignment="1">
      <alignment horizontal="center"/>
    </xf>
    <xf numFmtId="2" fontId="45" fillId="2" borderId="0" xfId="0" applyNumberFormat="1" applyFont="1" applyFill="1" applyAlignment="1">
      <alignment horizontal="center"/>
    </xf>
    <xf numFmtId="2" fontId="45" fillId="2" borderId="0" xfId="0" applyNumberFormat="1" applyFont="1" applyFill="1" applyAlignment="1">
      <alignment horizontal="center" vertical="center"/>
    </xf>
    <xf numFmtId="166" fontId="45" fillId="2" borderId="0" xfId="0" applyNumberFormat="1" applyFont="1" applyFill="1" applyAlignment="1">
      <alignment horizontal="center"/>
    </xf>
    <xf numFmtId="2" fontId="17" fillId="0" borderId="0" xfId="0" applyNumberFormat="1" applyFont="1"/>
    <xf numFmtId="166" fontId="17" fillId="0" borderId="28" xfId="0" applyNumberFormat="1" applyFont="1" applyBorder="1"/>
    <xf numFmtId="2" fontId="17" fillId="0" borderId="28" xfId="0" applyNumberFormat="1" applyFont="1" applyBorder="1"/>
    <xf numFmtId="164" fontId="17" fillId="0" borderId="28" xfId="0" applyNumberFormat="1" applyFont="1" applyBorder="1"/>
    <xf numFmtId="0" fontId="14" fillId="0" borderId="0" xfId="0" applyFont="1"/>
    <xf numFmtId="167" fontId="0" fillId="0" borderId="3" xfId="0" applyNumberFormat="1" applyBorder="1" applyAlignment="1">
      <alignment horizontal="center" vertical="center"/>
    </xf>
    <xf numFmtId="0" fontId="55" fillId="0" borderId="0" xfId="0" applyFont="1" applyAlignment="1">
      <alignment vertical="center"/>
    </xf>
    <xf numFmtId="0" fontId="57" fillId="2" borderId="0" xfId="0" applyFont="1" applyFill="1" applyAlignment="1">
      <alignment horizontal="center" vertical="center"/>
    </xf>
    <xf numFmtId="0" fontId="55" fillId="2" borderId="0" xfId="0" applyFont="1" applyFill="1" applyAlignment="1">
      <alignment vertical="center"/>
    </xf>
    <xf numFmtId="0" fontId="55" fillId="2" borderId="0" xfId="0" applyFont="1" applyFill="1" applyAlignment="1">
      <alignment horizontal="right" vertical="center"/>
    </xf>
    <xf numFmtId="0" fontId="29" fillId="2" borderId="0" xfId="0" applyFont="1" applyFill="1" applyAlignment="1">
      <alignment vertical="center"/>
    </xf>
    <xf numFmtId="0" fontId="55" fillId="0" borderId="0" xfId="0" applyFont="1" applyAlignment="1">
      <alignment horizontal="right" vertical="center"/>
    </xf>
    <xf numFmtId="0" fontId="55" fillId="0" borderId="3" xfId="0" applyFont="1" applyBorder="1" applyAlignment="1">
      <alignment horizontal="center" vertical="center"/>
    </xf>
    <xf numFmtId="0" fontId="55" fillId="2" borderId="3" xfId="0" applyFont="1" applyFill="1" applyBorder="1" applyAlignment="1">
      <alignment horizontal="center" vertical="center"/>
    </xf>
    <xf numFmtId="0" fontId="55" fillId="2" borderId="0" xfId="0" applyFont="1" applyFill="1" applyAlignment="1">
      <alignment horizontal="left" vertical="center"/>
    </xf>
    <xf numFmtId="0" fontId="55" fillId="2" borderId="3" xfId="0" applyFont="1" applyFill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8" fillId="2" borderId="0" xfId="0" applyFont="1" applyFill="1" applyAlignment="1">
      <alignment vertical="center"/>
    </xf>
    <xf numFmtId="0" fontId="55" fillId="2" borderId="3" xfId="0" applyFont="1" applyFill="1" applyBorder="1" applyAlignment="1">
      <alignment horizontal="left" vertical="center"/>
    </xf>
    <xf numFmtId="0" fontId="55" fillId="2" borderId="51" xfId="0" applyFont="1" applyFill="1" applyBorder="1" applyAlignment="1">
      <alignment horizontal="left" vertical="center"/>
    </xf>
    <xf numFmtId="0" fontId="55" fillId="0" borderId="51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58" fillId="0" borderId="0" xfId="0" quotePrefix="1" applyFont="1" applyAlignment="1">
      <alignment horizontal="left" vertical="center"/>
    </xf>
    <xf numFmtId="0" fontId="55" fillId="0" borderId="0" xfId="0" quotePrefix="1" applyFont="1" applyAlignment="1">
      <alignment horizontal="left" vertical="center"/>
    </xf>
    <xf numFmtId="0" fontId="59" fillId="0" borderId="0" xfId="0" applyFont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55" fillId="0" borderId="1" xfId="0" applyFont="1" applyBorder="1" applyAlignment="1">
      <alignment vertical="center"/>
    </xf>
    <xf numFmtId="0" fontId="55" fillId="0" borderId="4" xfId="0" applyFont="1" applyBorder="1" applyAlignment="1">
      <alignment vertical="center"/>
    </xf>
    <xf numFmtId="0" fontId="55" fillId="0" borderId="2" xfId="0" applyFont="1" applyBorder="1" applyAlignment="1">
      <alignment horizontal="center" vertical="center"/>
    </xf>
    <xf numFmtId="0" fontId="55" fillId="0" borderId="3" xfId="0" applyFont="1" applyBorder="1" applyAlignment="1">
      <alignment horizontal="right" vertical="center"/>
    </xf>
    <xf numFmtId="0" fontId="60" fillId="0" borderId="3" xfId="0" applyFont="1" applyBorder="1" applyAlignment="1">
      <alignment horizontal="center" vertical="center"/>
    </xf>
    <xf numFmtId="1" fontId="55" fillId="0" borderId="0" xfId="0" quotePrefix="1" applyNumberFormat="1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55" fillId="0" borderId="3" xfId="0" applyFont="1" applyBorder="1" applyAlignment="1">
      <alignment horizontal="center" vertical="center" wrapText="1"/>
    </xf>
    <xf numFmtId="0" fontId="55" fillId="0" borderId="5" xfId="0" applyFont="1" applyBorder="1" applyAlignment="1">
      <alignment horizontal="center" vertical="center"/>
    </xf>
    <xf numFmtId="0" fontId="55" fillId="0" borderId="0" xfId="0" applyFont="1" applyAlignment="1">
      <alignment horizontal="center" vertical="center" wrapText="1"/>
    </xf>
    <xf numFmtId="167" fontId="55" fillId="0" borderId="0" xfId="0" applyNumberFormat="1" applyFont="1" applyAlignment="1">
      <alignment horizontal="center" vertical="center" wrapText="1"/>
    </xf>
    <xf numFmtId="177" fontId="55" fillId="0" borderId="0" xfId="0" applyNumberFormat="1" applyFont="1" applyAlignment="1">
      <alignment horizontal="center" vertical="center" wrapText="1"/>
    </xf>
    <xf numFmtId="0" fontId="55" fillId="0" borderId="40" xfId="0" applyFont="1" applyBorder="1" applyAlignment="1">
      <alignment vertical="center"/>
    </xf>
    <xf numFmtId="164" fontId="55" fillId="0" borderId="0" xfId="0" applyNumberFormat="1" applyFont="1" applyAlignment="1">
      <alignment vertical="center"/>
    </xf>
    <xf numFmtId="164" fontId="29" fillId="0" borderId="0" xfId="0" applyNumberFormat="1" applyFont="1" applyAlignment="1">
      <alignment vertical="center"/>
    </xf>
    <xf numFmtId="164" fontId="29" fillId="0" borderId="0" xfId="0" applyNumberFormat="1" applyFont="1" applyAlignment="1">
      <alignment horizontal="left" vertical="center"/>
    </xf>
    <xf numFmtId="164" fontId="55" fillId="0" borderId="0" xfId="0" applyNumberFormat="1" applyFont="1" applyAlignment="1">
      <alignment horizontal="left" vertical="center"/>
    </xf>
    <xf numFmtId="0" fontId="64" fillId="2" borderId="0" xfId="0" applyFont="1" applyFill="1" applyAlignment="1" applyProtection="1">
      <alignment vertical="center"/>
      <protection locked="0"/>
    </xf>
    <xf numFmtId="0" fontId="55" fillId="0" borderId="0" xfId="0" applyFont="1" applyAlignment="1" applyProtection="1">
      <alignment vertical="center"/>
      <protection locked="0"/>
    </xf>
    <xf numFmtId="0" fontId="29" fillId="2" borderId="0" xfId="0" applyFont="1" applyFill="1" applyAlignment="1" applyProtection="1">
      <alignment vertical="center"/>
      <protection locked="0"/>
    </xf>
    <xf numFmtId="0" fontId="29" fillId="2" borderId="0" xfId="0" applyFont="1" applyFill="1" applyAlignment="1" applyProtection="1">
      <alignment horizontal="center" vertical="center"/>
      <protection locked="0"/>
    </xf>
    <xf numFmtId="0" fontId="55" fillId="2" borderId="0" xfId="0" applyFont="1" applyFill="1" applyAlignment="1" applyProtection="1">
      <alignment vertical="center"/>
      <protection locked="0"/>
    </xf>
    <xf numFmtId="0" fontId="55" fillId="2" borderId="0" xfId="0" applyFont="1" applyFill="1" applyAlignment="1" applyProtection="1">
      <alignment horizontal="right" vertical="center"/>
      <protection locked="0"/>
    </xf>
    <xf numFmtId="0" fontId="55" fillId="0" borderId="0" xfId="0" applyFont="1" applyAlignment="1" applyProtection="1">
      <alignment horizontal="center" vertical="center"/>
      <protection locked="0"/>
    </xf>
    <xf numFmtId="0" fontId="55" fillId="0" borderId="0" xfId="0" applyFont="1" applyAlignment="1" applyProtection="1">
      <alignment horizontal="left" vertical="center"/>
      <protection locked="0"/>
    </xf>
    <xf numFmtId="0" fontId="12" fillId="2" borderId="0" xfId="0" applyFont="1" applyFill="1" applyAlignment="1">
      <alignment horizontal="center" vertical="center" wrapText="1"/>
    </xf>
    <xf numFmtId="0" fontId="55" fillId="2" borderId="0" xfId="0" applyFont="1" applyFill="1" applyAlignment="1" applyProtection="1">
      <alignment horizontal="center" vertical="center" wrapText="1"/>
      <protection locked="0"/>
    </xf>
    <xf numFmtId="0" fontId="55" fillId="2" borderId="0" xfId="0" applyFont="1" applyFill="1" applyAlignment="1" applyProtection="1">
      <alignment horizontal="left" vertical="center"/>
      <protection locked="0"/>
    </xf>
    <xf numFmtId="0" fontId="55" fillId="0" borderId="0" xfId="0" applyFont="1" applyAlignment="1" applyProtection="1">
      <alignment horizontal="right" vertical="center"/>
      <protection locked="0"/>
    </xf>
    <xf numFmtId="164" fontId="55" fillId="0" borderId="0" xfId="0" applyNumberFormat="1" applyFont="1" applyAlignment="1" applyProtection="1">
      <alignment vertical="center"/>
      <protection locked="0"/>
    </xf>
    <xf numFmtId="164" fontId="55" fillId="0" borderId="0" xfId="0" applyNumberFormat="1" applyFont="1" applyAlignment="1" applyProtection="1">
      <alignment horizontal="left" vertical="center"/>
      <protection locked="0"/>
    </xf>
    <xf numFmtId="164" fontId="55" fillId="0" borderId="0" xfId="0" applyNumberFormat="1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58" fillId="0" borderId="0" xfId="0" quotePrefix="1" applyFont="1" applyAlignment="1" applyProtection="1">
      <alignment horizontal="center" vertical="center"/>
      <protection locked="0"/>
    </xf>
    <xf numFmtId="0" fontId="59" fillId="0" borderId="0" xfId="0" applyFont="1" applyAlignment="1" applyProtection="1">
      <alignment horizontal="center" vertical="center" wrapText="1"/>
      <protection locked="0"/>
    </xf>
    <xf numFmtId="0" fontId="29" fillId="0" borderId="0" xfId="0" applyFont="1" applyAlignment="1" applyProtection="1">
      <alignment vertical="center" wrapText="1"/>
      <protection locked="0"/>
    </xf>
    <xf numFmtId="0" fontId="60" fillId="0" borderId="0" xfId="0" applyFont="1" applyAlignment="1" applyProtection="1">
      <alignment vertical="center"/>
      <protection locked="0"/>
    </xf>
    <xf numFmtId="166" fontId="55" fillId="0" borderId="0" xfId="0" applyNumberFormat="1" applyFont="1" applyAlignment="1" applyProtection="1">
      <alignment horizontal="right" vertical="center"/>
      <protection locked="0"/>
    </xf>
    <xf numFmtId="0" fontId="55" fillId="0" borderId="3" xfId="0" applyFont="1" applyBorder="1" applyAlignment="1" applyProtection="1">
      <alignment horizontal="center" vertical="center"/>
      <protection locked="0"/>
    </xf>
    <xf numFmtId="2" fontId="55" fillId="0" borderId="0" xfId="0" applyNumberFormat="1" applyFont="1" applyAlignment="1" applyProtection="1">
      <alignment horizontal="right" vertical="center"/>
      <protection locked="0"/>
    </xf>
    <xf numFmtId="165" fontId="55" fillId="0" borderId="0" xfId="0" applyNumberFormat="1" applyFont="1" applyAlignment="1" applyProtection="1">
      <alignment horizontal="center" vertical="center"/>
      <protection locked="0"/>
    </xf>
    <xf numFmtId="165" fontId="55" fillId="0" borderId="0" xfId="0" applyNumberFormat="1" applyFont="1" applyAlignment="1" applyProtection="1">
      <alignment vertical="center"/>
      <protection locked="0"/>
    </xf>
    <xf numFmtId="165" fontId="55" fillId="0" borderId="0" xfId="0" applyNumberFormat="1" applyFont="1" applyAlignment="1" applyProtection="1">
      <alignment horizontal="right" vertical="center"/>
      <protection locked="0"/>
    </xf>
    <xf numFmtId="166" fontId="55" fillId="0" borderId="0" xfId="0" applyNumberFormat="1" applyFont="1" applyAlignment="1" applyProtection="1">
      <alignment horizontal="center" vertical="center"/>
      <protection locked="0"/>
    </xf>
    <xf numFmtId="165" fontId="55" fillId="0" borderId="0" xfId="0" applyNumberFormat="1" applyFont="1" applyAlignment="1" applyProtection="1">
      <alignment horizontal="center" vertical="center" wrapText="1"/>
      <protection locked="0"/>
    </xf>
    <xf numFmtId="1" fontId="55" fillId="0" borderId="0" xfId="0" applyNumberFormat="1" applyFont="1" applyAlignment="1" applyProtection="1">
      <alignment horizontal="center" vertical="center"/>
      <protection locked="0"/>
    </xf>
    <xf numFmtId="0" fontId="55" fillId="0" borderId="0" xfId="0" applyFont="1" applyAlignment="1" applyProtection="1">
      <alignment horizontal="center" vertical="center" wrapText="1"/>
      <protection locked="0"/>
    </xf>
    <xf numFmtId="0" fontId="55" fillId="0" borderId="28" xfId="0" applyFont="1" applyBorder="1" applyAlignment="1" applyProtection="1">
      <alignment horizontal="center" vertical="center"/>
      <protection locked="0"/>
    </xf>
    <xf numFmtId="165" fontId="55" fillId="6" borderId="0" xfId="0" applyNumberFormat="1" applyFont="1" applyFill="1" applyAlignment="1" applyProtection="1">
      <alignment horizontal="right" vertical="center"/>
      <protection locked="0"/>
    </xf>
    <xf numFmtId="1" fontId="55" fillId="6" borderId="0" xfId="0" applyNumberFormat="1" applyFont="1" applyFill="1" applyAlignment="1" applyProtection="1">
      <alignment horizontal="center" vertical="center"/>
      <protection locked="0"/>
    </xf>
    <xf numFmtId="165" fontId="55" fillId="7" borderId="0" xfId="0" applyNumberFormat="1" applyFont="1" applyFill="1" applyAlignment="1" applyProtection="1">
      <alignment horizontal="right" vertical="center"/>
      <protection locked="0"/>
    </xf>
    <xf numFmtId="1" fontId="55" fillId="7" borderId="0" xfId="0" applyNumberFormat="1" applyFont="1" applyFill="1" applyAlignment="1" applyProtection="1">
      <alignment horizontal="center" vertical="center"/>
      <protection locked="0"/>
    </xf>
    <xf numFmtId="0" fontId="55" fillId="6" borderId="0" xfId="0" applyFont="1" applyFill="1" applyAlignment="1" applyProtection="1">
      <alignment horizontal="center" vertical="center"/>
      <protection locked="0"/>
    </xf>
    <xf numFmtId="165" fontId="55" fillId="4" borderId="0" xfId="0" applyNumberFormat="1" applyFont="1" applyFill="1" applyAlignment="1" applyProtection="1">
      <alignment horizontal="right" vertical="center"/>
      <protection locked="0"/>
    </xf>
    <xf numFmtId="1" fontId="55" fillId="4" borderId="0" xfId="0" applyNumberFormat="1" applyFont="1" applyFill="1" applyAlignment="1" applyProtection="1">
      <alignment horizontal="center" vertical="center"/>
      <protection locked="0"/>
    </xf>
    <xf numFmtId="0" fontId="55" fillId="7" borderId="0" xfId="0" applyFont="1" applyFill="1" applyAlignment="1" applyProtection="1">
      <alignment horizontal="center" vertical="center"/>
      <protection locked="0"/>
    </xf>
    <xf numFmtId="165" fontId="55" fillId="3" borderId="0" xfId="0" applyNumberFormat="1" applyFont="1" applyFill="1" applyAlignment="1" applyProtection="1">
      <alignment horizontal="right" vertical="center"/>
      <protection locked="0"/>
    </xf>
    <xf numFmtId="1" fontId="55" fillId="3" borderId="0" xfId="0" applyNumberFormat="1" applyFont="1" applyFill="1" applyAlignment="1" applyProtection="1">
      <alignment horizontal="center" vertical="center"/>
      <protection locked="0"/>
    </xf>
    <xf numFmtId="0" fontId="55" fillId="4" borderId="0" xfId="0" applyFont="1" applyFill="1" applyAlignment="1" applyProtection="1">
      <alignment horizontal="center" vertical="center"/>
      <protection locked="0"/>
    </xf>
    <xf numFmtId="2" fontId="55" fillId="0" borderId="0" xfId="0" applyNumberFormat="1" applyFont="1" applyAlignment="1" applyProtection="1">
      <alignment horizontal="center" vertical="center"/>
      <protection locked="0"/>
    </xf>
    <xf numFmtId="165" fontId="55" fillId="5" borderId="0" xfId="0" applyNumberFormat="1" applyFont="1" applyFill="1" applyAlignment="1" applyProtection="1">
      <alignment horizontal="right" vertical="center"/>
      <protection locked="0"/>
    </xf>
    <xf numFmtId="1" fontId="55" fillId="5" borderId="0" xfId="0" applyNumberFormat="1" applyFont="1" applyFill="1" applyAlignment="1" applyProtection="1">
      <alignment horizontal="center" vertical="center"/>
      <protection locked="0"/>
    </xf>
    <xf numFmtId="0" fontId="55" fillId="3" borderId="0" xfId="0" applyFont="1" applyFill="1" applyAlignment="1" applyProtection="1">
      <alignment horizontal="center" vertical="center"/>
      <protection locked="0"/>
    </xf>
    <xf numFmtId="2" fontId="55" fillId="0" borderId="0" xfId="0" applyNumberFormat="1" applyFont="1" applyAlignment="1" applyProtection="1">
      <alignment vertical="center"/>
      <protection locked="0"/>
    </xf>
    <xf numFmtId="2" fontId="55" fillId="8" borderId="0" xfId="0" applyNumberFormat="1" applyFont="1" applyFill="1" applyAlignment="1" applyProtection="1">
      <alignment vertical="center"/>
      <protection locked="0"/>
    </xf>
    <xf numFmtId="2" fontId="55" fillId="0" borderId="0" xfId="0" applyNumberFormat="1" applyFont="1" applyAlignment="1">
      <alignment horizontal="center" vertical="center"/>
    </xf>
    <xf numFmtId="0" fontId="55" fillId="0" borderId="5" xfId="0" applyFont="1" applyBorder="1" applyAlignment="1">
      <alignment horizontal="center" vertical="center" wrapText="1"/>
    </xf>
    <xf numFmtId="2" fontId="55" fillId="2" borderId="0" xfId="0" applyNumberFormat="1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horizontal="left" vertical="center"/>
      <protection locked="0"/>
    </xf>
    <xf numFmtId="164" fontId="29" fillId="0" borderId="0" xfId="0" applyNumberFormat="1" applyFont="1" applyAlignment="1" applyProtection="1">
      <alignment vertical="center"/>
      <protection locked="0"/>
    </xf>
    <xf numFmtId="164" fontId="29" fillId="0" borderId="0" xfId="0" applyNumberFormat="1" applyFont="1" applyAlignment="1" applyProtection="1">
      <alignment horizontal="left" vertical="center"/>
      <protection locked="0"/>
    </xf>
    <xf numFmtId="0" fontId="55" fillId="2" borderId="0" xfId="0" applyFont="1" applyFill="1" applyAlignment="1" applyProtection="1">
      <alignment horizontal="center" vertical="center"/>
      <protection locked="0"/>
    </xf>
    <xf numFmtId="0" fontId="55" fillId="2" borderId="0" xfId="0" quotePrefix="1" applyFont="1" applyFill="1" applyAlignment="1" applyProtection="1">
      <alignment horizontal="center" vertical="center"/>
      <protection locked="0"/>
    </xf>
    <xf numFmtId="164" fontId="55" fillId="2" borderId="0" xfId="0" applyNumberFormat="1" applyFont="1" applyFill="1" applyAlignment="1" applyProtection="1">
      <alignment horizontal="right" vertical="center"/>
      <protection locked="0"/>
    </xf>
    <xf numFmtId="164" fontId="55" fillId="2" borderId="0" xfId="0" applyNumberFormat="1" applyFont="1" applyFill="1" applyAlignment="1" applyProtection="1">
      <alignment vertical="center"/>
      <protection locked="0"/>
    </xf>
    <xf numFmtId="166" fontId="55" fillId="2" borderId="0" xfId="0" applyNumberFormat="1" applyFont="1" applyFill="1" applyAlignment="1" applyProtection="1">
      <alignment horizontal="right" vertical="center"/>
      <protection locked="0"/>
    </xf>
    <xf numFmtId="164" fontId="66" fillId="0" borderId="0" xfId="0" applyNumberFormat="1" applyFont="1" applyAlignment="1" applyProtection="1">
      <alignment vertical="center"/>
      <protection locked="0"/>
    </xf>
    <xf numFmtId="0" fontId="60" fillId="2" borderId="0" xfId="0" applyFont="1" applyFill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center" vertical="center"/>
      <protection locked="0"/>
    </xf>
    <xf numFmtId="0" fontId="7" fillId="0" borderId="0" xfId="0" applyFont="1"/>
    <xf numFmtId="0" fontId="67" fillId="0" borderId="0" xfId="0" applyFont="1" applyAlignment="1" applyProtection="1">
      <alignment vertical="center"/>
      <protection locked="0"/>
    </xf>
    <xf numFmtId="0" fontId="67" fillId="0" borderId="3" xfId="0" applyFont="1" applyBorder="1" applyAlignment="1" applyProtection="1">
      <alignment vertical="center"/>
      <protection locked="0"/>
    </xf>
    <xf numFmtId="0" fontId="29" fillId="2" borderId="0" xfId="0" applyFont="1" applyFill="1" applyAlignment="1" applyProtection="1">
      <alignment vertical="center"/>
      <protection hidden="1"/>
    </xf>
    <xf numFmtId="0" fontId="55" fillId="0" borderId="0" xfId="0" applyFont="1" applyAlignment="1" applyProtection="1">
      <alignment vertical="center"/>
      <protection hidden="1"/>
    </xf>
    <xf numFmtId="0" fontId="55" fillId="0" borderId="0" xfId="0" applyFont="1" applyAlignment="1" applyProtection="1">
      <alignment horizontal="center" vertical="center"/>
      <protection hidden="1"/>
    </xf>
    <xf numFmtId="0" fontId="55" fillId="2" borderId="0" xfId="0" applyFont="1" applyFill="1" applyAlignment="1" applyProtection="1">
      <alignment horizontal="center" vertical="center"/>
      <protection hidden="1"/>
    </xf>
    <xf numFmtId="0" fontId="55" fillId="2" borderId="0" xfId="0" applyFont="1" applyFill="1" applyAlignment="1" applyProtection="1">
      <alignment vertical="center"/>
      <protection hidden="1"/>
    </xf>
    <xf numFmtId="0" fontId="55" fillId="2" borderId="0" xfId="0" applyFont="1" applyFill="1" applyAlignment="1" applyProtection="1">
      <alignment horizontal="left" vertical="center"/>
      <protection hidden="1"/>
    </xf>
    <xf numFmtId="0" fontId="55" fillId="0" borderId="0" xfId="0" applyFont="1" applyAlignment="1" applyProtection="1">
      <alignment horizontal="right" vertical="center"/>
      <protection hidden="1"/>
    </xf>
    <xf numFmtId="170" fontId="55" fillId="0" borderId="0" xfId="0" applyNumberFormat="1" applyFont="1" applyAlignment="1" applyProtection="1">
      <alignment horizontal="left" vertical="center"/>
      <protection hidden="1"/>
    </xf>
    <xf numFmtId="171" fontId="55" fillId="0" borderId="0" xfId="0" applyNumberFormat="1" applyFont="1" applyAlignment="1" applyProtection="1">
      <alignment horizontal="left" vertical="center"/>
      <protection hidden="1"/>
    </xf>
    <xf numFmtId="0" fontId="58" fillId="2" borderId="0" xfId="0" applyFont="1" applyFill="1" applyAlignment="1" applyProtection="1">
      <alignment vertical="center"/>
      <protection hidden="1"/>
    </xf>
    <xf numFmtId="172" fontId="55" fillId="0" borderId="0" xfId="0" applyNumberFormat="1" applyFont="1" applyAlignment="1" applyProtection="1">
      <alignment horizontal="left" vertical="center"/>
      <protection hidden="1"/>
    </xf>
    <xf numFmtId="173" fontId="55" fillId="0" borderId="0" xfId="0" applyNumberFormat="1" applyFont="1" applyAlignment="1" applyProtection="1">
      <alignment horizontal="left" vertical="center"/>
      <protection hidden="1"/>
    </xf>
    <xf numFmtId="168" fontId="55" fillId="0" borderId="0" xfId="0" applyNumberFormat="1" applyFont="1" applyAlignment="1" applyProtection="1">
      <alignment horizontal="left" vertical="center"/>
      <protection hidden="1"/>
    </xf>
    <xf numFmtId="0" fontId="29" fillId="0" borderId="0" xfId="0" applyFont="1" applyAlignment="1" applyProtection="1">
      <alignment vertical="center"/>
      <protection hidden="1"/>
    </xf>
    <xf numFmtId="0" fontId="58" fillId="0" borderId="0" xfId="0" quotePrefix="1" applyFont="1" applyAlignment="1" applyProtection="1">
      <alignment horizontal="left" vertical="center"/>
      <protection hidden="1"/>
    </xf>
    <xf numFmtId="0" fontId="55" fillId="0" borderId="0" xfId="0" quotePrefix="1" applyFont="1" applyAlignment="1" applyProtection="1">
      <alignment horizontal="left" vertical="center"/>
      <protection hidden="1"/>
    </xf>
    <xf numFmtId="0" fontId="55" fillId="0" borderId="0" xfId="0" applyFont="1" applyAlignment="1" applyProtection="1">
      <alignment horizontal="left" vertical="center"/>
      <protection hidden="1"/>
    </xf>
    <xf numFmtId="0" fontId="59" fillId="0" borderId="0" xfId="0" applyFont="1" applyAlignment="1" applyProtection="1">
      <alignment horizontal="center" vertical="center" wrapText="1"/>
      <protection hidden="1"/>
    </xf>
    <xf numFmtId="0" fontId="29" fillId="0" borderId="3" xfId="0" applyFont="1" applyBorder="1" applyAlignment="1" applyProtection="1">
      <alignment horizontal="center" vertical="center" wrapText="1"/>
      <protection hidden="1"/>
    </xf>
    <xf numFmtId="0" fontId="55" fillId="0" borderId="3" xfId="0" applyFont="1" applyBorder="1" applyAlignment="1" applyProtection="1">
      <alignment horizontal="center" vertical="center"/>
      <protection hidden="1"/>
    </xf>
    <xf numFmtId="0" fontId="55" fillId="0" borderId="1" xfId="0" applyFont="1" applyBorder="1" applyAlignment="1" applyProtection="1">
      <alignment vertical="center"/>
      <protection hidden="1"/>
    </xf>
    <xf numFmtId="0" fontId="55" fillId="0" borderId="4" xfId="0" applyFont="1" applyBorder="1" applyAlignment="1" applyProtection="1">
      <alignment vertical="center"/>
      <protection hidden="1"/>
    </xf>
    <xf numFmtId="0" fontId="55" fillId="0" borderId="4" xfId="0" applyFont="1" applyBorder="1" applyAlignment="1" applyProtection="1">
      <alignment horizontal="center" vertical="center"/>
      <protection hidden="1"/>
    </xf>
    <xf numFmtId="1" fontId="55" fillId="0" borderId="0" xfId="0" quotePrefix="1" applyNumberFormat="1" applyFont="1" applyAlignment="1" applyProtection="1">
      <alignment horizontal="center" vertical="center"/>
      <protection hidden="1"/>
    </xf>
    <xf numFmtId="164" fontId="55" fillId="0" borderId="0" xfId="0" applyNumberFormat="1" applyFont="1" applyAlignment="1" applyProtection="1">
      <alignment horizontal="right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55" fillId="0" borderId="3" xfId="0" applyFont="1" applyBorder="1" applyAlignment="1" applyProtection="1">
      <alignment horizontal="center" vertical="center" wrapText="1"/>
      <protection hidden="1"/>
    </xf>
    <xf numFmtId="164" fontId="55" fillId="0" borderId="3" xfId="0" applyNumberFormat="1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168" fontId="55" fillId="0" borderId="0" xfId="0" applyNumberFormat="1" applyFont="1" applyAlignment="1" applyProtection="1">
      <alignment vertical="center"/>
      <protection hidden="1"/>
    </xf>
    <xf numFmtId="164" fontId="55" fillId="0" borderId="0" xfId="0" applyNumberFormat="1" applyFont="1" applyAlignment="1" applyProtection="1">
      <alignment horizontal="center" vertical="center"/>
      <protection hidden="1"/>
    </xf>
    <xf numFmtId="168" fontId="55" fillId="0" borderId="0" xfId="0" applyNumberFormat="1" applyFont="1" applyAlignment="1" applyProtection="1">
      <alignment horizontal="center" vertical="center"/>
      <protection hidden="1"/>
    </xf>
    <xf numFmtId="164" fontId="55" fillId="0" borderId="0" xfId="0" applyNumberFormat="1" applyFont="1" applyAlignment="1" applyProtection="1">
      <alignment horizontal="right" vertical="center"/>
      <protection locked="0"/>
    </xf>
    <xf numFmtId="166" fontId="55" fillId="0" borderId="0" xfId="0" applyNumberFormat="1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55" fillId="0" borderId="3" xfId="0" applyFont="1" applyBorder="1" applyAlignment="1" applyProtection="1">
      <alignment horizontal="right" vertical="center"/>
      <protection locked="0"/>
    </xf>
    <xf numFmtId="0" fontId="55" fillId="0" borderId="3" xfId="0" applyFont="1" applyBorder="1" applyAlignment="1" applyProtection="1">
      <alignment vertical="center"/>
      <protection locked="0"/>
    </xf>
    <xf numFmtId="168" fontId="55" fillId="0" borderId="3" xfId="0" applyNumberFormat="1" applyFont="1" applyBorder="1" applyAlignment="1" applyProtection="1">
      <alignment horizontal="center" vertical="center"/>
      <protection hidden="1"/>
    </xf>
    <xf numFmtId="179" fontId="55" fillId="0" borderId="3" xfId="0" applyNumberFormat="1" applyFont="1" applyBorder="1" applyAlignment="1" applyProtection="1">
      <alignment horizontal="center" vertical="center"/>
      <protection hidden="1"/>
    </xf>
    <xf numFmtId="0" fontId="29" fillId="0" borderId="1" xfId="0" applyFont="1" applyBorder="1" applyAlignment="1" applyProtection="1">
      <alignment horizontal="center" vertical="center" wrapText="1"/>
      <protection hidden="1"/>
    </xf>
    <xf numFmtId="0" fontId="55" fillId="0" borderId="2" xfId="0" applyFont="1" applyBorder="1" applyAlignment="1" applyProtection="1">
      <alignment horizontal="center" vertical="center"/>
      <protection hidden="1"/>
    </xf>
    <xf numFmtId="167" fontId="55" fillId="0" borderId="3" xfId="0" applyNumberFormat="1" applyFont="1" applyBorder="1" applyAlignment="1" applyProtection="1">
      <alignment horizontal="center" vertical="center"/>
      <protection hidden="1"/>
    </xf>
    <xf numFmtId="174" fontId="55" fillId="0" borderId="1" xfId="0" applyNumberFormat="1" applyFont="1" applyBorder="1" applyAlignment="1" applyProtection="1">
      <alignment horizontal="center" vertical="center"/>
      <protection hidden="1"/>
    </xf>
    <xf numFmtId="175" fontId="55" fillId="0" borderId="1" xfId="0" applyNumberFormat="1" applyFont="1" applyBorder="1" applyAlignment="1" applyProtection="1">
      <alignment horizontal="center" vertical="center"/>
      <protection hidden="1"/>
    </xf>
    <xf numFmtId="178" fontId="55" fillId="0" borderId="3" xfId="0" applyNumberFormat="1" applyFont="1" applyBorder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9" fontId="55" fillId="0" borderId="0" xfId="0" applyNumberFormat="1" applyFont="1" applyAlignment="1" applyProtection="1">
      <alignment horizontal="center" vertical="center"/>
      <protection hidden="1"/>
    </xf>
    <xf numFmtId="0" fontId="71" fillId="0" borderId="3" xfId="0" applyFont="1" applyBorder="1" applyAlignment="1" applyProtection="1">
      <alignment horizontal="center" vertical="center"/>
      <protection locked="0"/>
    </xf>
    <xf numFmtId="0" fontId="59" fillId="0" borderId="0" xfId="0" applyFont="1" applyAlignment="1" applyProtection="1">
      <alignment vertical="center" wrapText="1"/>
      <protection hidden="1"/>
    </xf>
    <xf numFmtId="0" fontId="71" fillId="0" borderId="0" xfId="0" applyFont="1" applyAlignment="1" applyProtection="1">
      <alignment horizontal="center" vertical="center"/>
      <protection locked="0"/>
    </xf>
    <xf numFmtId="164" fontId="55" fillId="0" borderId="2" xfId="0" applyNumberFormat="1" applyFont="1" applyBorder="1" applyAlignment="1" applyProtection="1">
      <alignment horizontal="center" vertical="center"/>
      <protection hidden="1"/>
    </xf>
    <xf numFmtId="0" fontId="69" fillId="2" borderId="0" xfId="0" applyFont="1" applyFill="1" applyAlignment="1" applyProtection="1">
      <alignment vertical="center"/>
      <protection locked="0"/>
    </xf>
    <xf numFmtId="0" fontId="69" fillId="2" borderId="0" xfId="0" applyFont="1" applyFill="1" applyAlignment="1" applyProtection="1">
      <alignment vertical="center"/>
      <protection locked="0" hidden="1"/>
    </xf>
    <xf numFmtId="0" fontId="69" fillId="2" borderId="0" xfId="0" applyFont="1" applyFill="1" applyAlignment="1" applyProtection="1">
      <alignment horizontal="center" vertical="center"/>
      <protection locked="0"/>
    </xf>
    <xf numFmtId="0" fontId="65" fillId="2" borderId="0" xfId="2" applyFont="1" applyFill="1" applyAlignment="1" applyProtection="1">
      <alignment vertical="center"/>
      <protection locked="0"/>
    </xf>
    <xf numFmtId="0" fontId="69" fillId="2" borderId="0" xfId="2" applyFont="1" applyFill="1" applyAlignment="1" applyProtection="1">
      <alignment vertical="center"/>
      <protection locked="0"/>
    </xf>
    <xf numFmtId="178" fontId="62" fillId="0" borderId="3" xfId="0" applyNumberFormat="1" applyFont="1" applyBorder="1" applyAlignment="1">
      <alignment horizontal="center" vertical="center" wrapText="1"/>
    </xf>
    <xf numFmtId="179" fontId="62" fillId="0" borderId="3" xfId="0" applyNumberFormat="1" applyFont="1" applyBorder="1" applyAlignment="1">
      <alignment horizontal="center" vertical="center" wrapText="1"/>
    </xf>
    <xf numFmtId="0" fontId="55" fillId="0" borderId="67" xfId="0" applyFont="1" applyBorder="1" applyAlignment="1">
      <alignment horizontal="left" vertical="top"/>
    </xf>
    <xf numFmtId="0" fontId="55" fillId="0" borderId="6" xfId="0" applyFont="1" applyBorder="1" applyAlignment="1">
      <alignment horizontal="center" vertical="center" wrapText="1"/>
    </xf>
    <xf numFmtId="0" fontId="55" fillId="0" borderId="6" xfId="0" applyFont="1" applyBorder="1" applyAlignment="1">
      <alignment horizontal="center" vertical="center"/>
    </xf>
    <xf numFmtId="0" fontId="55" fillId="0" borderId="6" xfId="0" applyFont="1" applyBorder="1" applyAlignment="1">
      <alignment vertical="center"/>
    </xf>
    <xf numFmtId="0" fontId="12" fillId="0" borderId="6" xfId="0" applyFont="1" applyBorder="1" applyAlignment="1">
      <alignment horizontal="center" vertical="center"/>
    </xf>
    <xf numFmtId="167" fontId="62" fillId="0" borderId="6" xfId="0" applyNumberFormat="1" applyFont="1" applyBorder="1" applyAlignment="1">
      <alignment horizontal="center" vertical="center"/>
    </xf>
    <xf numFmtId="0" fontId="55" fillId="0" borderId="0" xfId="0" applyFont="1" applyAlignment="1">
      <alignment horizontal="left" vertical="top"/>
    </xf>
    <xf numFmtId="0" fontId="55" fillId="2" borderId="0" xfId="0" applyFont="1" applyFill="1" applyAlignment="1">
      <alignment horizontal="left" vertical="top"/>
    </xf>
    <xf numFmtId="0" fontId="55" fillId="0" borderId="0" xfId="0" applyFont="1" applyAlignment="1">
      <alignment vertical="top"/>
    </xf>
    <xf numFmtId="167" fontId="62" fillId="0" borderId="0" xfId="0" applyNumberFormat="1" applyFont="1" applyAlignment="1">
      <alignment horizontal="center" vertical="center"/>
    </xf>
    <xf numFmtId="0" fontId="63" fillId="0" borderId="3" xfId="0" applyFont="1" applyBorder="1" applyAlignment="1">
      <alignment horizontal="center" vertical="center" wrapText="1"/>
    </xf>
    <xf numFmtId="0" fontId="55" fillId="0" borderId="0" xfId="0" applyFont="1" applyAlignment="1">
      <alignment horizontal="left" vertical="center"/>
    </xf>
    <xf numFmtId="0" fontId="65" fillId="0" borderId="0" xfId="0" applyFont="1" applyAlignment="1" applyProtection="1">
      <alignment horizontal="left" vertical="center"/>
      <protection hidden="1"/>
    </xf>
    <xf numFmtId="0" fontId="55" fillId="0" borderId="67" xfId="0" applyFont="1" applyBorder="1" applyAlignment="1" applyProtection="1">
      <alignment horizontal="left" vertical="center"/>
      <protection hidden="1"/>
    </xf>
    <xf numFmtId="0" fontId="29" fillId="0" borderId="0" xfId="0" applyFont="1" applyAlignment="1" applyProtection="1">
      <alignment horizontal="left" vertical="center"/>
      <protection hidden="1"/>
    </xf>
    <xf numFmtId="0" fontId="67" fillId="0" borderId="0" xfId="0" quotePrefix="1" applyFont="1" applyAlignment="1" applyProtection="1">
      <alignment horizontal="center" vertical="center"/>
      <protection locked="0"/>
    </xf>
    <xf numFmtId="0" fontId="68" fillId="0" borderId="0" xfId="0" applyFont="1" applyAlignment="1" applyProtection="1">
      <alignment horizontal="center" vertical="center"/>
      <protection locked="0"/>
    </xf>
    <xf numFmtId="0" fontId="72" fillId="0" borderId="0" xfId="0" applyFont="1" applyAlignment="1" applyProtection="1">
      <alignment horizontal="center" vertical="center"/>
      <protection locked="0"/>
    </xf>
    <xf numFmtId="0" fontId="67" fillId="0" borderId="0" xfId="0" quotePrefix="1" applyFont="1" applyAlignment="1" applyProtection="1">
      <alignment vertical="center"/>
      <protection locked="0"/>
    </xf>
    <xf numFmtId="0" fontId="55" fillId="0" borderId="53" xfId="0" applyFont="1" applyBorder="1" applyAlignment="1">
      <alignment vertical="center"/>
    </xf>
    <xf numFmtId="181" fontId="17" fillId="2" borderId="3" xfId="0" applyNumberFormat="1" applyFont="1" applyFill="1" applyBorder="1" applyAlignment="1">
      <alignment horizontal="center"/>
    </xf>
    <xf numFmtId="0" fontId="69" fillId="0" borderId="0" xfId="1" applyFont="1" applyAlignment="1" applyProtection="1">
      <alignment vertical="center"/>
      <protection locked="0"/>
    </xf>
    <xf numFmtId="181" fontId="17" fillId="2" borderId="3" xfId="0" applyNumberFormat="1" applyFont="1" applyFill="1" applyBorder="1" applyAlignment="1">
      <alignment horizontal="center" vertical="center"/>
    </xf>
    <xf numFmtId="182" fontId="17" fillId="0" borderId="3" xfId="0" applyNumberFormat="1" applyFont="1" applyBorder="1" applyAlignment="1">
      <alignment horizontal="center" vertical="center"/>
    </xf>
    <xf numFmtId="0" fontId="67" fillId="0" borderId="3" xfId="0" applyFont="1" applyBorder="1" applyAlignment="1" applyProtection="1">
      <alignment horizontal="center" vertical="center"/>
      <protection locked="0"/>
    </xf>
    <xf numFmtId="0" fontId="73" fillId="0" borderId="0" xfId="0" applyFont="1" applyAlignment="1" applyProtection="1">
      <alignment vertical="center"/>
      <protection locked="0"/>
    </xf>
    <xf numFmtId="0" fontId="72" fillId="0" borderId="3" xfId="0" applyFont="1" applyBorder="1" applyAlignment="1" applyProtection="1">
      <alignment vertical="center"/>
      <protection locked="0"/>
    </xf>
    <xf numFmtId="165" fontId="67" fillId="0" borderId="3" xfId="0" applyNumberFormat="1" applyFont="1" applyBorder="1" applyAlignment="1" applyProtection="1">
      <alignment vertical="center"/>
      <protection locked="0"/>
    </xf>
    <xf numFmtId="0" fontId="71" fillId="0" borderId="0" xfId="0" applyFont="1" applyAlignment="1" applyProtection="1">
      <alignment vertical="center"/>
      <protection locked="0"/>
    </xf>
    <xf numFmtId="181" fontId="67" fillId="0" borderId="3" xfId="0" applyNumberFormat="1" applyFont="1" applyBorder="1" applyAlignment="1" applyProtection="1">
      <alignment horizontal="center" vertical="center"/>
      <protection locked="0"/>
    </xf>
    <xf numFmtId="0" fontId="67" fillId="0" borderId="3" xfId="0" applyFont="1" applyBorder="1" applyAlignment="1" applyProtection="1">
      <alignment horizontal="right" vertical="center"/>
      <protection locked="0"/>
    </xf>
    <xf numFmtId="0" fontId="74" fillId="0" borderId="3" xfId="0" applyFont="1" applyBorder="1" applyAlignment="1" applyProtection="1">
      <alignment horizontal="center" vertical="center" wrapText="1"/>
      <protection locked="0"/>
    </xf>
    <xf numFmtId="164" fontId="67" fillId="0" borderId="3" xfId="0" applyNumberFormat="1" applyFont="1" applyBorder="1" applyAlignment="1" applyProtection="1">
      <alignment horizontal="center" vertical="center"/>
      <protection locked="0"/>
    </xf>
    <xf numFmtId="183" fontId="55" fillId="0" borderId="1" xfId="0" applyNumberFormat="1" applyFont="1" applyBorder="1" applyAlignment="1" applyProtection="1">
      <alignment horizontal="center" vertical="center"/>
      <protection locked="0"/>
    </xf>
    <xf numFmtId="0" fontId="67" fillId="0" borderId="1" xfId="0" applyFont="1" applyBorder="1" applyAlignment="1" applyProtection="1">
      <alignment horizontal="left" vertical="center"/>
      <protection locked="0"/>
    </xf>
    <xf numFmtId="0" fontId="67" fillId="0" borderId="4" xfId="0" applyFont="1" applyBorder="1" applyAlignment="1" applyProtection="1">
      <alignment horizontal="left" vertical="center"/>
      <protection locked="0"/>
    </xf>
    <xf numFmtId="0" fontId="67" fillId="0" borderId="2" xfId="0" applyFont="1" applyBorder="1" applyAlignment="1" applyProtection="1">
      <alignment horizontal="left" vertical="center"/>
      <protection locked="0"/>
    </xf>
    <xf numFmtId="0" fontId="67" fillId="0" borderId="0" xfId="0" applyFont="1" applyAlignment="1" applyProtection="1">
      <alignment horizontal="center" vertical="center"/>
      <protection locked="0"/>
    </xf>
    <xf numFmtId="0" fontId="29" fillId="0" borderId="49" xfId="0" applyFont="1" applyBorder="1" applyAlignment="1" applyProtection="1">
      <alignment horizontal="center" vertical="center" wrapText="1"/>
      <protection hidden="1"/>
    </xf>
    <xf numFmtId="0" fontId="55" fillId="0" borderId="49" xfId="0" applyFont="1" applyBorder="1" applyAlignment="1" applyProtection="1">
      <alignment horizontal="center" vertical="center"/>
      <protection hidden="1"/>
    </xf>
    <xf numFmtId="0" fontId="55" fillId="0" borderId="49" xfId="0" applyFont="1" applyBorder="1" applyAlignment="1" applyProtection="1">
      <alignment horizontal="center" vertical="center" wrapText="1"/>
      <protection hidden="1"/>
    </xf>
    <xf numFmtId="168" fontId="55" fillId="0" borderId="49" xfId="0" applyNumberFormat="1" applyFont="1" applyBorder="1" applyAlignment="1" applyProtection="1">
      <alignment horizontal="center" vertical="center"/>
      <protection hidden="1"/>
    </xf>
    <xf numFmtId="168" fontId="55" fillId="0" borderId="22" xfId="0" applyNumberFormat="1" applyFont="1" applyBorder="1" applyAlignment="1" applyProtection="1">
      <alignment horizontal="center" vertical="center"/>
      <protection hidden="1"/>
    </xf>
    <xf numFmtId="169" fontId="55" fillId="0" borderId="49" xfId="0" applyNumberFormat="1" applyFont="1" applyBorder="1" applyAlignment="1" applyProtection="1">
      <alignment horizontal="center" vertical="center"/>
      <protection hidden="1"/>
    </xf>
    <xf numFmtId="169" fontId="55" fillId="0" borderId="22" xfId="0" applyNumberFormat="1" applyFont="1" applyBorder="1" applyAlignment="1" applyProtection="1">
      <alignment horizontal="center" vertical="center"/>
      <protection hidden="1"/>
    </xf>
    <xf numFmtId="0" fontId="55" fillId="0" borderId="22" xfId="0" applyFont="1" applyBorder="1" applyAlignment="1" applyProtection="1">
      <alignment horizontal="center" vertical="center" wrapText="1"/>
      <protection hidden="1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0" borderId="67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64" xfId="0" applyNumberFormat="1" applyBorder="1" applyAlignment="1">
      <alignment horizontal="center" vertical="center"/>
    </xf>
    <xf numFmtId="164" fontId="0" fillId="0" borderId="67" xfId="0" applyNumberForma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177" fontId="62" fillId="0" borderId="0" xfId="0" applyNumberFormat="1" applyFont="1" applyAlignment="1">
      <alignment horizontal="center" vertical="center" wrapText="1"/>
    </xf>
    <xf numFmtId="0" fontId="55" fillId="0" borderId="54" xfId="0" applyFont="1" applyBorder="1" applyAlignment="1">
      <alignment vertical="center"/>
    </xf>
    <xf numFmtId="164" fontId="67" fillId="0" borderId="0" xfId="0" applyNumberFormat="1" applyFont="1" applyAlignment="1" applyProtection="1">
      <alignment horizontal="center" vertical="center"/>
      <protection locked="0"/>
    </xf>
    <xf numFmtId="167" fontId="55" fillId="0" borderId="0" xfId="0" applyNumberFormat="1" applyFont="1" applyAlignment="1" applyProtection="1">
      <alignment horizontal="center" vertical="center"/>
      <protection hidden="1"/>
    </xf>
    <xf numFmtId="183" fontId="55" fillId="0" borderId="0" xfId="0" applyNumberFormat="1" applyFont="1" applyAlignment="1" applyProtection="1">
      <alignment horizontal="center" vertical="center"/>
      <protection locked="0"/>
    </xf>
    <xf numFmtId="0" fontId="67" fillId="0" borderId="6" xfId="0" applyFont="1" applyBorder="1" applyAlignment="1" applyProtection="1">
      <alignment vertical="center"/>
      <protection locked="0"/>
    </xf>
    <xf numFmtId="177" fontId="55" fillId="0" borderId="0" xfId="0" applyNumberFormat="1" applyFont="1" applyAlignment="1" applyProtection="1">
      <alignment horizontal="center" vertical="center"/>
      <protection hidden="1"/>
    </xf>
    <xf numFmtId="177" fontId="55" fillId="0" borderId="6" xfId="0" applyNumberFormat="1" applyFont="1" applyBorder="1" applyAlignment="1" applyProtection="1">
      <alignment horizontal="center" vertical="center"/>
      <protection hidden="1"/>
    </xf>
    <xf numFmtId="0" fontId="67" fillId="0" borderId="6" xfId="0" applyFont="1" applyBorder="1" applyAlignment="1" applyProtection="1">
      <alignment horizontal="center" vertical="center"/>
      <protection locked="0"/>
    </xf>
    <xf numFmtId="0" fontId="55" fillId="0" borderId="6" xfId="0" applyFont="1" applyBorder="1" applyAlignment="1" applyProtection="1">
      <alignment horizontal="center" vertical="center"/>
      <protection hidden="1"/>
    </xf>
    <xf numFmtId="164" fontId="55" fillId="0" borderId="6" xfId="0" applyNumberFormat="1" applyFont="1" applyBorder="1" applyAlignment="1" applyProtection="1">
      <alignment horizontal="center" vertical="center"/>
      <protection hidden="1"/>
    </xf>
    <xf numFmtId="164" fontId="67" fillId="0" borderId="6" xfId="0" applyNumberFormat="1" applyFont="1" applyBorder="1" applyAlignment="1" applyProtection="1">
      <alignment horizontal="center" vertical="center"/>
      <protection locked="0"/>
    </xf>
    <xf numFmtId="167" fontId="55" fillId="0" borderId="6" xfId="0" applyNumberFormat="1" applyFont="1" applyBorder="1" applyAlignment="1" applyProtection="1">
      <alignment horizontal="center" vertical="center"/>
      <protection hidden="1"/>
    </xf>
    <xf numFmtId="183" fontId="55" fillId="0" borderId="64" xfId="0" applyNumberFormat="1" applyFont="1" applyBorder="1" applyAlignment="1" applyProtection="1">
      <alignment horizontal="center" vertical="center"/>
      <protection locked="0"/>
    </xf>
    <xf numFmtId="0" fontId="55" fillId="0" borderId="61" xfId="0" applyFont="1" applyBorder="1" applyAlignment="1">
      <alignment vertical="center"/>
    </xf>
    <xf numFmtId="0" fontId="67" fillId="0" borderId="22" xfId="0" applyFont="1" applyBorder="1" applyAlignment="1" applyProtection="1">
      <alignment vertical="center"/>
      <protection locked="0"/>
    </xf>
    <xf numFmtId="0" fontId="67" fillId="0" borderId="62" xfId="0" applyFont="1" applyBorder="1" applyAlignment="1" applyProtection="1">
      <alignment vertical="center"/>
      <protection locked="0"/>
    </xf>
    <xf numFmtId="183" fontId="67" fillId="0" borderId="3" xfId="0" applyNumberFormat="1" applyFont="1" applyBorder="1" applyAlignment="1" applyProtection="1">
      <alignment horizontal="center" vertical="center"/>
      <protection locked="0"/>
    </xf>
    <xf numFmtId="2" fontId="55" fillId="8" borderId="0" xfId="0" quotePrefix="1" applyNumberFormat="1" applyFont="1" applyFill="1" applyAlignment="1" applyProtection="1">
      <alignment horizontal="center" vertical="center"/>
      <protection locked="0"/>
    </xf>
    <xf numFmtId="1" fontId="55" fillId="0" borderId="0" xfId="0" applyNumberFormat="1" applyFont="1" applyAlignment="1" applyProtection="1">
      <alignment vertical="center"/>
      <protection locked="0"/>
    </xf>
    <xf numFmtId="2" fontId="55" fillId="8" borderId="0" xfId="0" applyNumberFormat="1" applyFont="1" applyFill="1" applyAlignment="1" applyProtection="1">
      <alignment horizontal="right" vertical="center"/>
      <protection locked="0"/>
    </xf>
    <xf numFmtId="0" fontId="55" fillId="0" borderId="0" xfId="0" applyFont="1" applyAlignment="1" applyProtection="1">
      <alignment vertical="center" wrapText="1"/>
      <protection locked="0"/>
    </xf>
    <xf numFmtId="2" fontId="55" fillId="8" borderId="3" xfId="0" applyNumberFormat="1" applyFont="1" applyFill="1" applyBorder="1" applyAlignment="1" applyProtection="1">
      <alignment vertical="center"/>
      <protection locked="0"/>
    </xf>
    <xf numFmtId="2" fontId="55" fillId="8" borderId="3" xfId="0" quotePrefix="1" applyNumberFormat="1" applyFont="1" applyFill="1" applyBorder="1" applyAlignment="1" applyProtection="1">
      <alignment vertical="center"/>
      <protection locked="0"/>
    </xf>
    <xf numFmtId="2" fontId="55" fillId="8" borderId="1" xfId="0" applyNumberFormat="1" applyFont="1" applyFill="1" applyBorder="1" applyAlignment="1" applyProtection="1">
      <alignment vertical="center"/>
      <protection locked="0"/>
    </xf>
    <xf numFmtId="181" fontId="55" fillId="0" borderId="3" xfId="0" applyNumberFormat="1" applyFont="1" applyBorder="1" applyAlignment="1">
      <alignment horizontal="center" vertical="center"/>
    </xf>
    <xf numFmtId="181" fontId="55" fillId="0" borderId="3" xfId="0" applyNumberFormat="1" applyFont="1" applyBorder="1" applyAlignment="1" applyProtection="1">
      <alignment horizontal="center" vertical="center"/>
      <protection locked="0"/>
    </xf>
    <xf numFmtId="184" fontId="67" fillId="0" borderId="3" xfId="0" applyNumberFormat="1" applyFont="1" applyBorder="1" applyAlignment="1" applyProtection="1">
      <alignment vertical="center"/>
      <protection locked="0"/>
    </xf>
    <xf numFmtId="180" fontId="0" fillId="0" borderId="3" xfId="0" applyNumberFormat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2" borderId="0" xfId="0" applyNumberFormat="1" applyFont="1" applyFill="1" applyAlignment="1">
      <alignment horizontal="center" vertical="center"/>
    </xf>
    <xf numFmtId="166" fontId="13" fillId="2" borderId="0" xfId="0" applyNumberFormat="1" applyFont="1" applyFill="1" applyAlignment="1">
      <alignment horizontal="center"/>
    </xf>
    <xf numFmtId="180" fontId="55" fillId="0" borderId="3" xfId="0" applyNumberFormat="1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left" vertical="top" wrapText="1"/>
      <protection locked="0"/>
    </xf>
    <xf numFmtId="0" fontId="39" fillId="2" borderId="0" xfId="0" applyFont="1" applyFill="1" applyAlignment="1" applyProtection="1">
      <alignment horizontal="center" vertical="center"/>
      <protection locked="0"/>
    </xf>
    <xf numFmtId="0" fontId="56" fillId="12" borderId="0" xfId="0" applyFont="1" applyFill="1" applyAlignment="1" applyProtection="1">
      <alignment horizontal="center" vertical="center"/>
      <protection locked="0"/>
    </xf>
    <xf numFmtId="0" fontId="65" fillId="0" borderId="0" xfId="0" applyFont="1" applyAlignment="1">
      <alignment horizontal="center" vertical="center" wrapText="1"/>
    </xf>
    <xf numFmtId="0" fontId="61" fillId="0" borderId="3" xfId="0" applyFont="1" applyBorder="1" applyAlignment="1" applyProtection="1">
      <alignment horizontal="center" vertical="center"/>
      <protection locked="0"/>
    </xf>
    <xf numFmtId="0" fontId="61" fillId="0" borderId="3" xfId="0" quotePrefix="1" applyFont="1" applyBorder="1" applyAlignment="1" applyProtection="1">
      <alignment horizontal="center" vertical="center"/>
      <protection locked="0"/>
    </xf>
    <xf numFmtId="2" fontId="55" fillId="8" borderId="0" xfId="0" quotePrefix="1" applyNumberFormat="1" applyFont="1" applyFill="1" applyAlignment="1" applyProtection="1">
      <alignment vertical="center"/>
      <protection locked="0"/>
    </xf>
    <xf numFmtId="2" fontId="12" fillId="0" borderId="3" xfId="1" applyNumberFormat="1" applyBorder="1" applyAlignment="1">
      <alignment horizontal="center" vertical="center"/>
    </xf>
    <xf numFmtId="0" fontId="12" fillId="0" borderId="3" xfId="1" applyBorder="1" applyAlignment="1">
      <alignment vertical="top" wrapText="1"/>
    </xf>
    <xf numFmtId="0" fontId="0" fillId="0" borderId="3" xfId="0" applyBorder="1" applyAlignment="1">
      <alignment wrapText="1"/>
    </xf>
    <xf numFmtId="0" fontId="12" fillId="0" borderId="3" xfId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2" fillId="0" borderId="8" xfId="1" applyBorder="1" applyAlignment="1" applyProtection="1">
      <alignment horizontal="center" vertical="center"/>
      <protection locked="0"/>
    </xf>
    <xf numFmtId="169" fontId="55" fillId="0" borderId="0" xfId="0" applyNumberFormat="1" applyFont="1" applyAlignment="1" applyProtection="1">
      <alignment horizontal="center" vertical="center"/>
      <protection hidden="1"/>
    </xf>
    <xf numFmtId="164" fontId="12" fillId="14" borderId="0" xfId="1" applyNumberFormat="1" applyFill="1" applyAlignment="1" applyProtection="1">
      <alignment horizontal="center"/>
      <protection locked="0"/>
    </xf>
    <xf numFmtId="0" fontId="12" fillId="14" borderId="0" xfId="1" quotePrefix="1" applyFill="1" applyAlignment="1" applyProtection="1">
      <alignment horizontal="center"/>
      <protection locked="0"/>
    </xf>
    <xf numFmtId="2" fontId="12" fillId="13" borderId="0" xfId="1" applyNumberFormat="1" applyFill="1" applyAlignment="1" applyProtection="1">
      <alignment horizontal="center"/>
      <protection locked="0"/>
    </xf>
    <xf numFmtId="0" fontId="12" fillId="0" borderId="72" xfId="1" applyBorder="1" applyProtection="1">
      <protection locked="0"/>
    </xf>
    <xf numFmtId="0" fontId="31" fillId="15" borderId="42" xfId="1" applyFont="1" applyFill="1" applyBorder="1" applyAlignment="1" applyProtection="1">
      <alignment horizontal="center" vertical="center"/>
      <protection locked="0"/>
    </xf>
    <xf numFmtId="0" fontId="31" fillId="15" borderId="37" xfId="1" quotePrefix="1" applyFont="1" applyFill="1" applyBorder="1" applyAlignment="1" applyProtection="1">
      <alignment horizontal="center" vertical="center"/>
      <protection locked="0"/>
    </xf>
    <xf numFmtId="0" fontId="31" fillId="15" borderId="33" xfId="1" quotePrefix="1" applyFont="1" applyFill="1" applyBorder="1" applyAlignment="1" applyProtection="1">
      <alignment horizontal="center" vertical="center"/>
      <protection locked="0"/>
    </xf>
    <xf numFmtId="2" fontId="31" fillId="15" borderId="1" xfId="1" applyNumberFormat="1" applyFont="1" applyFill="1" applyBorder="1" applyAlignment="1">
      <alignment horizontal="center" vertical="center"/>
    </xf>
    <xf numFmtId="2" fontId="31" fillId="15" borderId="0" xfId="1" applyNumberFormat="1" applyFont="1" applyFill="1" applyAlignment="1">
      <alignment horizontal="center" vertical="center"/>
    </xf>
    <xf numFmtId="2" fontId="31" fillId="15" borderId="5" xfId="1" applyNumberFormat="1" applyFont="1" applyFill="1" applyBorder="1" applyAlignment="1">
      <alignment horizontal="center" vertical="center"/>
    </xf>
    <xf numFmtId="2" fontId="31" fillId="15" borderId="41" xfId="1" applyNumberFormat="1" applyFont="1" applyFill="1" applyBorder="1" applyAlignment="1">
      <alignment horizontal="center" vertical="center"/>
    </xf>
    <xf numFmtId="164" fontId="31" fillId="9" borderId="3" xfId="1" applyNumberFormat="1" applyFont="1" applyFill="1" applyBorder="1" applyAlignment="1">
      <alignment horizontal="center" vertical="center"/>
    </xf>
    <xf numFmtId="0" fontId="55" fillId="0" borderId="0" xfId="1" applyFont="1" applyAlignment="1" applyProtection="1">
      <alignment vertical="center"/>
      <protection locked="0"/>
    </xf>
    <xf numFmtId="0" fontId="55" fillId="0" borderId="12" xfId="0" applyFont="1" applyBorder="1" applyAlignment="1">
      <alignment vertical="center"/>
    </xf>
    <xf numFmtId="0" fontId="55" fillId="0" borderId="58" xfId="0" applyFont="1" applyBorder="1" applyAlignment="1">
      <alignment vertical="center"/>
    </xf>
    <xf numFmtId="0" fontId="77" fillId="0" borderId="3" xfId="0" applyFont="1" applyBorder="1" applyAlignment="1">
      <alignment horizontal="center" vertical="center"/>
    </xf>
    <xf numFmtId="185" fontId="12" fillId="0" borderId="3" xfId="0" applyNumberFormat="1" applyFont="1" applyBorder="1" applyAlignment="1">
      <alignment horizontal="center" vertical="center"/>
    </xf>
    <xf numFmtId="185" fontId="77" fillId="0" borderId="3" xfId="0" applyNumberFormat="1" applyFont="1" applyBorder="1" applyAlignment="1">
      <alignment horizontal="center" vertical="center"/>
    </xf>
    <xf numFmtId="0" fontId="78" fillId="0" borderId="3" xfId="0" applyFont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7" fillId="0" borderId="3" xfId="0" applyFont="1" applyBorder="1" applyAlignment="1">
      <alignment horizontal="center" vertical="center" wrapText="1"/>
    </xf>
    <xf numFmtId="0" fontId="69" fillId="11" borderId="3" xfId="0" applyFont="1" applyFill="1" applyBorder="1" applyAlignment="1" applyProtection="1">
      <alignment horizontal="center" vertical="top" wrapText="1"/>
      <protection hidden="1"/>
    </xf>
    <xf numFmtId="0" fontId="12" fillId="0" borderId="0" xfId="4"/>
    <xf numFmtId="0" fontId="40" fillId="16" borderId="0" xfId="4" applyFont="1" applyFill="1" applyAlignment="1" applyProtection="1">
      <alignment vertical="center"/>
      <protection locked="0"/>
    </xf>
    <xf numFmtId="0" fontId="40" fillId="16" borderId="0" xfId="4" applyFont="1" applyFill="1" applyAlignment="1" applyProtection="1">
      <alignment horizontal="center" vertical="center"/>
      <protection locked="0"/>
    </xf>
    <xf numFmtId="0" fontId="32" fillId="16" borderId="0" xfId="4" applyFont="1" applyFill="1" applyProtection="1">
      <protection locked="0"/>
    </xf>
    <xf numFmtId="0" fontId="32" fillId="16" borderId="0" xfId="4" applyFont="1" applyFill="1" applyAlignment="1" applyProtection="1">
      <alignment horizontal="center"/>
      <protection locked="0"/>
    </xf>
    <xf numFmtId="0" fontId="12" fillId="16" borderId="0" xfId="4" applyFill="1" applyProtection="1">
      <protection locked="0"/>
    </xf>
    <xf numFmtId="0" fontId="32" fillId="16" borderId="3" xfId="4" applyFont="1" applyFill="1" applyBorder="1" applyAlignment="1" applyProtection="1">
      <alignment horizontal="center" vertical="center"/>
      <protection locked="0"/>
    </xf>
    <xf numFmtId="0" fontId="19" fillId="16" borderId="3" xfId="4" applyFont="1" applyFill="1" applyBorder="1" applyAlignment="1" applyProtection="1">
      <alignment horizontal="center" vertical="center"/>
      <protection locked="0"/>
    </xf>
    <xf numFmtId="1" fontId="12" fillId="16" borderId="3" xfId="4" applyNumberFormat="1" applyFill="1" applyBorder="1" applyAlignment="1" applyProtection="1">
      <alignment horizontal="center" vertical="center"/>
      <protection locked="0"/>
    </xf>
    <xf numFmtId="2" fontId="14" fillId="16" borderId="3" xfId="4" quotePrefix="1" applyNumberFormat="1" applyFont="1" applyFill="1" applyBorder="1" applyAlignment="1" applyProtection="1">
      <alignment horizontal="center" vertical="center"/>
      <protection locked="0"/>
    </xf>
    <xf numFmtId="2" fontId="12" fillId="15" borderId="3" xfId="4" applyNumberFormat="1" applyFill="1" applyBorder="1" applyAlignment="1" applyProtection="1">
      <alignment horizontal="center"/>
      <protection locked="0"/>
    </xf>
    <xf numFmtId="2" fontId="14" fillId="16" borderId="3" xfId="4" applyNumberFormat="1" applyFont="1" applyFill="1" applyBorder="1" applyAlignment="1" applyProtection="1">
      <alignment horizontal="center" vertical="center"/>
      <protection locked="0"/>
    </xf>
    <xf numFmtId="2" fontId="12" fillId="16" borderId="3" xfId="4" applyNumberFormat="1" applyFill="1" applyBorder="1" applyAlignment="1" applyProtection="1">
      <alignment horizontal="center" vertical="center"/>
      <protection locked="0"/>
    </xf>
    <xf numFmtId="0" fontId="2" fillId="16" borderId="3" xfId="4" applyFont="1" applyFill="1" applyBorder="1" applyAlignment="1" applyProtection="1">
      <alignment horizontal="center" vertical="center"/>
      <protection locked="0"/>
    </xf>
    <xf numFmtId="0" fontId="14" fillId="16" borderId="3" xfId="4" applyFont="1" applyFill="1" applyBorder="1" applyAlignment="1" applyProtection="1">
      <alignment horizontal="center" vertical="center"/>
      <protection locked="0"/>
    </xf>
    <xf numFmtId="164" fontId="14" fillId="16" borderId="3" xfId="4" applyNumberFormat="1" applyFont="1" applyFill="1" applyBorder="1" applyAlignment="1" applyProtection="1">
      <alignment horizontal="center" vertical="center"/>
      <protection locked="0"/>
    </xf>
    <xf numFmtId="2" fontId="12" fillId="16" borderId="3" xfId="4" quotePrefix="1" applyNumberFormat="1" applyFill="1" applyBorder="1" applyAlignment="1" applyProtection="1">
      <alignment horizontal="center" vertical="center"/>
      <protection locked="0"/>
    </xf>
    <xf numFmtId="0" fontId="12" fillId="16" borderId="3" xfId="4" applyFill="1" applyBorder="1" applyAlignment="1" applyProtection="1">
      <alignment horizontal="center" vertical="center"/>
      <protection locked="0"/>
    </xf>
    <xf numFmtId="0" fontId="14" fillId="16" borderId="3" xfId="4" quotePrefix="1" applyFont="1" applyFill="1" applyBorder="1" applyAlignment="1" applyProtection="1">
      <alignment horizontal="center" vertical="center"/>
      <protection locked="0"/>
    </xf>
    <xf numFmtId="166" fontId="12" fillId="16" borderId="3" xfId="4" applyNumberFormat="1" applyFill="1" applyBorder="1" applyAlignment="1" applyProtection="1">
      <alignment horizontal="center" vertical="center"/>
      <protection locked="0"/>
    </xf>
    <xf numFmtId="164" fontId="12" fillId="16" borderId="3" xfId="4" applyNumberFormat="1" applyFill="1" applyBorder="1" applyAlignment="1" applyProtection="1">
      <alignment horizontal="center" vertical="center"/>
      <protection locked="0"/>
    </xf>
    <xf numFmtId="166" fontId="12" fillId="16" borderId="3" xfId="4" quotePrefix="1" applyNumberFormat="1" applyFill="1" applyBorder="1" applyAlignment="1" applyProtection="1">
      <alignment horizontal="center" vertical="center"/>
      <protection locked="0"/>
    </xf>
    <xf numFmtId="0" fontId="12" fillId="16" borderId="8" xfId="4" applyFill="1" applyBorder="1" applyProtection="1">
      <protection locked="0"/>
    </xf>
    <xf numFmtId="0" fontId="12" fillId="16" borderId="19" xfId="4" applyFill="1" applyBorder="1" applyProtection="1">
      <protection locked="0"/>
    </xf>
    <xf numFmtId="0" fontId="15" fillId="16" borderId="0" xfId="4" applyFont="1" applyFill="1" applyAlignment="1" applyProtection="1">
      <alignment vertical="center"/>
      <protection locked="0"/>
    </xf>
    <xf numFmtId="0" fontId="12" fillId="16" borderId="3" xfId="4" applyFill="1" applyBorder="1" applyAlignment="1" applyProtection="1">
      <alignment horizontal="right" vertical="center"/>
      <protection locked="0"/>
    </xf>
    <xf numFmtId="0" fontId="29" fillId="16" borderId="8" xfId="4" applyFont="1" applyFill="1" applyBorder="1" applyAlignment="1" applyProtection="1">
      <alignment horizontal="center" vertical="center" wrapText="1"/>
      <protection locked="0"/>
    </xf>
    <xf numFmtId="0" fontId="12" fillId="16" borderId="0" xfId="4" applyFill="1" applyAlignment="1" applyProtection="1">
      <alignment horizontal="center" vertical="center"/>
      <protection locked="0"/>
    </xf>
    <xf numFmtId="166" fontId="12" fillId="16" borderId="0" xfId="4" applyNumberFormat="1" applyFill="1" applyAlignment="1" applyProtection="1">
      <alignment horizontal="center" vertical="center"/>
      <protection locked="0"/>
    </xf>
    <xf numFmtId="0" fontId="29" fillId="16" borderId="0" xfId="4" applyFont="1" applyFill="1" applyAlignment="1" applyProtection="1">
      <alignment horizontal="center" vertical="center" wrapText="1"/>
      <protection locked="0"/>
    </xf>
    <xf numFmtId="0" fontId="12" fillId="16" borderId="0" xfId="4" applyFill="1" applyAlignment="1" applyProtection="1">
      <alignment horizontal="right" vertical="center"/>
      <protection locked="0"/>
    </xf>
    <xf numFmtId="0" fontId="12" fillId="16" borderId="3" xfId="4" quotePrefix="1" applyFill="1" applyBorder="1" applyAlignment="1" applyProtection="1">
      <alignment horizontal="center" vertical="center"/>
      <protection locked="0"/>
    </xf>
    <xf numFmtId="164" fontId="12" fillId="16" borderId="3" xfId="4" quotePrefix="1" applyNumberFormat="1" applyFill="1" applyBorder="1" applyAlignment="1" applyProtection="1">
      <alignment horizontal="center" vertical="center"/>
      <protection locked="0"/>
    </xf>
    <xf numFmtId="0" fontId="12" fillId="10" borderId="53" xfId="4" applyFill="1" applyBorder="1" applyProtection="1">
      <protection locked="0"/>
    </xf>
    <xf numFmtId="0" fontId="12" fillId="10" borderId="60" xfId="4" applyFill="1" applyBorder="1" applyProtection="1">
      <protection locked="0"/>
    </xf>
    <xf numFmtId="0" fontId="12" fillId="0" borderId="8" xfId="4" applyBorder="1"/>
    <xf numFmtId="0" fontId="12" fillId="0" borderId="0" xfId="4" applyAlignment="1">
      <alignment horizontal="center" vertical="center"/>
    </xf>
    <xf numFmtId="0" fontId="35" fillId="2" borderId="17" xfId="4" applyFont="1" applyFill="1" applyBorder="1"/>
    <xf numFmtId="0" fontId="35" fillId="2" borderId="0" xfId="4" applyFont="1" applyFill="1"/>
    <xf numFmtId="0" fontId="15" fillId="16" borderId="3" xfId="4" applyFont="1" applyFill="1" applyBorder="1" applyAlignment="1">
      <alignment horizontal="center" vertical="center"/>
    </xf>
    <xf numFmtId="0" fontId="12" fillId="0" borderId="0" xfId="4" applyAlignment="1">
      <alignment horizontal="center"/>
    </xf>
    <xf numFmtId="0" fontId="35" fillId="16" borderId="3" xfId="4" applyFont="1" applyFill="1" applyBorder="1" applyAlignment="1">
      <alignment horizontal="center" vertical="center"/>
    </xf>
    <xf numFmtId="0" fontId="2" fillId="16" borderId="3" xfId="4" applyFont="1" applyFill="1" applyBorder="1" applyAlignment="1">
      <alignment horizontal="center" vertical="center"/>
    </xf>
    <xf numFmtId="2" fontId="2" fillId="16" borderId="3" xfId="4" applyNumberFormat="1" applyFont="1" applyFill="1" applyBorder="1" applyAlignment="1">
      <alignment horizontal="center" vertical="center"/>
    </xf>
    <xf numFmtId="2" fontId="12" fillId="16" borderId="3" xfId="4" applyNumberFormat="1" applyFill="1" applyBorder="1" applyAlignment="1">
      <alignment horizontal="center"/>
    </xf>
    <xf numFmtId="1" fontId="2" fillId="16" borderId="3" xfId="4" applyNumberFormat="1" applyFont="1" applyFill="1" applyBorder="1" applyAlignment="1">
      <alignment horizontal="center" vertical="center"/>
    </xf>
    <xf numFmtId="2" fontId="31" fillId="16" borderId="3" xfId="4" applyNumberFormat="1" applyFont="1" applyFill="1" applyBorder="1" applyAlignment="1">
      <alignment horizontal="center" vertical="center"/>
    </xf>
    <xf numFmtId="1" fontId="12" fillId="16" borderId="3" xfId="4" applyNumberFormat="1" applyFill="1" applyBorder="1" applyAlignment="1">
      <alignment horizontal="center" vertical="center"/>
    </xf>
    <xf numFmtId="2" fontId="12" fillId="16" borderId="3" xfId="4" applyNumberFormat="1" applyFill="1" applyBorder="1" applyAlignment="1">
      <alignment horizontal="center" vertical="center"/>
    </xf>
    <xf numFmtId="2" fontId="12" fillId="16" borderId="3" xfId="4" quotePrefix="1" applyNumberFormat="1" applyFill="1" applyBorder="1" applyAlignment="1">
      <alignment horizontal="center" vertical="center"/>
    </xf>
    <xf numFmtId="0" fontId="12" fillId="0" borderId="19" xfId="4" applyBorder="1"/>
    <xf numFmtId="0" fontId="35" fillId="2" borderId="0" xfId="4" applyFont="1" applyFill="1" applyAlignment="1">
      <alignment horizontal="center"/>
    </xf>
    <xf numFmtId="0" fontId="19" fillId="16" borderId="3" xfId="4" applyFont="1" applyFill="1" applyBorder="1" applyAlignment="1">
      <alignment horizontal="center" vertical="center"/>
    </xf>
    <xf numFmtId="0" fontId="32" fillId="16" borderId="3" xfId="4" applyFont="1" applyFill="1" applyBorder="1" applyAlignment="1">
      <alignment horizontal="center" vertical="center"/>
    </xf>
    <xf numFmtId="0" fontId="12" fillId="16" borderId="3" xfId="4" applyFill="1" applyBorder="1" applyAlignment="1">
      <alignment horizontal="center" vertical="center"/>
    </xf>
    <xf numFmtId="0" fontId="41" fillId="2" borderId="24" xfId="4" applyFont="1" applyFill="1" applyBorder="1" applyAlignment="1">
      <alignment horizontal="center" vertical="center"/>
    </xf>
    <xf numFmtId="0" fontId="12" fillId="2" borderId="17" xfId="4" applyFill="1" applyBorder="1"/>
    <xf numFmtId="0" fontId="12" fillId="2" borderId="0" xfId="4" applyFill="1"/>
    <xf numFmtId="0" fontId="13" fillId="2" borderId="32" xfId="4" applyFont="1" applyFill="1" applyBorder="1" applyAlignment="1">
      <alignment horizontal="center" vertical="center"/>
    </xf>
    <xf numFmtId="0" fontId="13" fillId="2" borderId="3" xfId="4" applyFont="1" applyFill="1" applyBorder="1" applyAlignment="1">
      <alignment horizontal="center" vertical="center"/>
    </xf>
    <xf numFmtId="2" fontId="13" fillId="2" borderId="33" xfId="4" applyNumberFormat="1" applyFont="1" applyFill="1" applyBorder="1" applyAlignment="1">
      <alignment horizontal="center" vertical="center"/>
    </xf>
    <xf numFmtId="2" fontId="13" fillId="2" borderId="32" xfId="4" applyNumberFormat="1" applyFont="1" applyFill="1" applyBorder="1" applyAlignment="1">
      <alignment horizontal="center" vertical="center"/>
    </xf>
    <xf numFmtId="166" fontId="13" fillId="2" borderId="3" xfId="4" applyNumberFormat="1" applyFont="1" applyFill="1" applyBorder="1" applyAlignment="1">
      <alignment horizontal="center" vertical="center"/>
    </xf>
    <xf numFmtId="0" fontId="32" fillId="2" borderId="32" xfId="4" applyFont="1" applyFill="1" applyBorder="1" applyAlignment="1">
      <alignment horizontal="center" vertical="center"/>
    </xf>
    <xf numFmtId="0" fontId="19" fillId="2" borderId="3" xfId="4" applyFont="1" applyFill="1" applyBorder="1" applyAlignment="1">
      <alignment horizontal="center" vertical="center"/>
    </xf>
    <xf numFmtId="164" fontId="12" fillId="9" borderId="24" xfId="4" applyNumberFormat="1" applyFill="1" applyBorder="1" applyAlignment="1">
      <alignment horizontal="center" vertical="center" wrapText="1"/>
    </xf>
    <xf numFmtId="2" fontId="31" fillId="0" borderId="34" xfId="4" applyNumberFormat="1" applyFont="1" applyBorder="1" applyAlignment="1">
      <alignment horizontal="center" vertical="center"/>
    </xf>
    <xf numFmtId="164" fontId="25" fillId="0" borderId="26" xfId="4" applyNumberFormat="1" applyFont="1" applyBorder="1" applyAlignment="1">
      <alignment horizontal="center" vertical="center"/>
    </xf>
    <xf numFmtId="0" fontId="3" fillId="2" borderId="0" xfId="4" applyFont="1" applyFill="1" applyAlignment="1">
      <alignment vertical="center"/>
    </xf>
    <xf numFmtId="1" fontId="2" fillId="2" borderId="32" xfId="4" applyNumberFormat="1" applyFont="1" applyFill="1" applyBorder="1" applyAlignment="1">
      <alignment horizontal="center" vertical="center"/>
    </xf>
    <xf numFmtId="2" fontId="2" fillId="2" borderId="3" xfId="4" applyNumberFormat="1" applyFont="1" applyFill="1" applyBorder="1" applyAlignment="1">
      <alignment horizontal="center" vertical="center"/>
    </xf>
    <xf numFmtId="2" fontId="2" fillId="2" borderId="33" xfId="4" applyNumberFormat="1" applyFont="1" applyFill="1" applyBorder="1" applyAlignment="1">
      <alignment horizontal="center" vertical="center"/>
    </xf>
    <xf numFmtId="1" fontId="12" fillId="9" borderId="32" xfId="4" applyNumberFormat="1" applyFill="1" applyBorder="1" applyAlignment="1">
      <alignment horizontal="center" vertical="center" wrapText="1"/>
    </xf>
    <xf numFmtId="166" fontId="25" fillId="0" borderId="1" xfId="4" applyNumberFormat="1" applyFont="1" applyBorder="1" applyAlignment="1">
      <alignment horizontal="center" vertical="center"/>
    </xf>
    <xf numFmtId="166" fontId="25" fillId="0" borderId="44" xfId="4" applyNumberFormat="1" applyFont="1" applyBorder="1" applyAlignment="1">
      <alignment horizontal="center" vertical="center"/>
    </xf>
    <xf numFmtId="1" fontId="12" fillId="2" borderId="32" xfId="4" applyNumberFormat="1" applyFill="1" applyBorder="1" applyAlignment="1">
      <alignment horizontal="center" vertical="center"/>
    </xf>
    <xf numFmtId="2" fontId="12" fillId="2" borderId="3" xfId="4" applyNumberFormat="1" applyFill="1" applyBorder="1" applyAlignment="1">
      <alignment horizontal="center" vertical="center"/>
    </xf>
    <xf numFmtId="2" fontId="12" fillId="2" borderId="33" xfId="4" applyNumberFormat="1" applyFill="1" applyBorder="1" applyAlignment="1">
      <alignment horizontal="center" vertical="center"/>
    </xf>
    <xf numFmtId="165" fontId="31" fillId="0" borderId="1" xfId="4" applyNumberFormat="1" applyFont="1" applyBorder="1" applyAlignment="1">
      <alignment horizontal="center" vertical="center"/>
    </xf>
    <xf numFmtId="165" fontId="25" fillId="0" borderId="44" xfId="4" applyNumberFormat="1" applyFont="1" applyBorder="1" applyAlignment="1">
      <alignment horizontal="center" vertical="center"/>
    </xf>
    <xf numFmtId="0" fontId="12" fillId="2" borderId="0" xfId="4" applyFill="1" applyAlignment="1">
      <alignment horizontal="center" vertical="center"/>
    </xf>
    <xf numFmtId="165" fontId="31" fillId="0" borderId="39" xfId="4" applyNumberFormat="1" applyFont="1" applyBorder="1" applyAlignment="1">
      <alignment horizontal="center" vertical="center"/>
    </xf>
    <xf numFmtId="2" fontId="25" fillId="0" borderId="47" xfId="4" applyNumberFormat="1" applyFont="1" applyBorder="1" applyAlignment="1">
      <alignment horizontal="center" vertical="center"/>
    </xf>
    <xf numFmtId="164" fontId="12" fillId="9" borderId="32" xfId="4" applyNumberFormat="1" applyFill="1" applyBorder="1" applyAlignment="1">
      <alignment horizontal="center" vertical="center" wrapText="1"/>
    </xf>
    <xf numFmtId="2" fontId="42" fillId="2" borderId="0" xfId="4" applyNumberFormat="1" applyFont="1" applyFill="1" applyAlignment="1">
      <alignment horizontal="center" vertical="center" wrapText="1"/>
    </xf>
    <xf numFmtId="2" fontId="43" fillId="2" borderId="0" xfId="4" applyNumberFormat="1" applyFont="1" applyFill="1" applyAlignment="1">
      <alignment horizontal="center" vertical="center"/>
    </xf>
    <xf numFmtId="2" fontId="44" fillId="2" borderId="19" xfId="4" applyNumberFormat="1" applyFont="1" applyFill="1" applyBorder="1" applyAlignment="1">
      <alignment horizontal="center" vertical="center"/>
    </xf>
    <xf numFmtId="1" fontId="12" fillId="2" borderId="27" xfId="4" applyNumberFormat="1" applyFill="1" applyBorder="1" applyAlignment="1">
      <alignment horizontal="center" vertical="center"/>
    </xf>
    <xf numFmtId="2" fontId="12" fillId="2" borderId="28" xfId="4" applyNumberFormat="1" applyFill="1" applyBorder="1" applyAlignment="1">
      <alignment horizontal="center" vertical="center"/>
    </xf>
    <xf numFmtId="2" fontId="12" fillId="2" borderId="29" xfId="4" applyNumberFormat="1" applyFill="1" applyBorder="1" applyAlignment="1">
      <alignment horizontal="center" vertical="center"/>
    </xf>
    <xf numFmtId="166" fontId="13" fillId="2" borderId="33" xfId="4" applyNumberFormat="1" applyFont="1" applyFill="1" applyBorder="1" applyAlignment="1">
      <alignment horizontal="center" vertical="center"/>
    </xf>
    <xf numFmtId="0" fontId="19" fillId="2" borderId="25" xfId="4" applyFont="1" applyFill="1" applyBorder="1" applyAlignment="1">
      <alignment horizontal="center" vertical="center"/>
    </xf>
    <xf numFmtId="0" fontId="19" fillId="2" borderId="26" xfId="4" applyFont="1" applyFill="1" applyBorder="1" applyAlignment="1">
      <alignment horizontal="center" vertical="center"/>
    </xf>
    <xf numFmtId="166" fontId="13" fillId="2" borderId="32" xfId="4" applyNumberFormat="1" applyFont="1" applyFill="1" applyBorder="1" applyAlignment="1">
      <alignment horizontal="center" vertical="center"/>
    </xf>
    <xf numFmtId="164" fontId="12" fillId="0" borderId="0" xfId="4" applyNumberFormat="1"/>
    <xf numFmtId="0" fontId="19" fillId="2" borderId="33" xfId="4" applyFont="1" applyFill="1" applyBorder="1" applyAlignment="1">
      <alignment horizontal="center" vertical="center"/>
    </xf>
    <xf numFmtId="0" fontId="12" fillId="2" borderId="32" xfId="4" applyFill="1" applyBorder="1" applyAlignment="1">
      <alignment horizontal="center" vertical="center"/>
    </xf>
    <xf numFmtId="0" fontId="42" fillId="2" borderId="0" xfId="4" applyFont="1" applyFill="1"/>
    <xf numFmtId="0" fontId="42" fillId="2" borderId="19" xfId="4" applyFont="1" applyFill="1" applyBorder="1"/>
    <xf numFmtId="2" fontId="42" fillId="2" borderId="0" xfId="4" applyNumberFormat="1" applyFont="1" applyFill="1" applyAlignment="1">
      <alignment horizontal="center" vertical="center"/>
    </xf>
    <xf numFmtId="164" fontId="13" fillId="2" borderId="32" xfId="4" applyNumberFormat="1" applyFont="1" applyFill="1" applyBorder="1" applyAlignment="1">
      <alignment horizontal="center" vertical="center"/>
    </xf>
    <xf numFmtId="2" fontId="13" fillId="2" borderId="3" xfId="4" applyNumberFormat="1" applyFont="1" applyFill="1" applyBorder="1" applyAlignment="1">
      <alignment horizontal="center" vertical="center"/>
    </xf>
    <xf numFmtId="0" fontId="12" fillId="2" borderId="19" xfId="4" applyFill="1" applyBorder="1"/>
    <xf numFmtId="0" fontId="13" fillId="2" borderId="27" xfId="4" applyFont="1" applyFill="1" applyBorder="1" applyAlignment="1">
      <alignment horizontal="center" vertical="center"/>
    </xf>
    <xf numFmtId="0" fontId="13" fillId="2" borderId="28" xfId="4" applyFont="1" applyFill="1" applyBorder="1" applyAlignment="1">
      <alignment horizontal="center" vertical="center"/>
    </xf>
    <xf numFmtId="2" fontId="13" fillId="2" borderId="29" xfId="4" applyNumberFormat="1" applyFont="1" applyFill="1" applyBorder="1" applyAlignment="1">
      <alignment horizontal="center" vertical="center"/>
    </xf>
    <xf numFmtId="0" fontId="33" fillId="2" borderId="0" xfId="4" applyFont="1" applyFill="1"/>
    <xf numFmtId="0" fontId="33" fillId="2" borderId="19" xfId="4" applyFont="1" applyFill="1" applyBorder="1"/>
    <xf numFmtId="0" fontId="33" fillId="0" borderId="0" xfId="4" applyFont="1"/>
    <xf numFmtId="0" fontId="12" fillId="2" borderId="27" xfId="4" applyFill="1" applyBorder="1" applyAlignment="1">
      <alignment horizontal="center" vertical="center"/>
    </xf>
    <xf numFmtId="0" fontId="13" fillId="2" borderId="0" xfId="4" applyFont="1" applyFill="1" applyAlignment="1">
      <alignment horizontal="center" vertical="center"/>
    </xf>
    <xf numFmtId="0" fontId="13" fillId="2" borderId="19" xfId="4" applyFont="1" applyFill="1" applyBorder="1" applyAlignment="1">
      <alignment horizontal="center" vertical="center"/>
    </xf>
    <xf numFmtId="0" fontId="13" fillId="0" borderId="0" xfId="4" applyFont="1" applyAlignment="1">
      <alignment horizontal="center" vertical="center"/>
    </xf>
    <xf numFmtId="2" fontId="13" fillId="2" borderId="0" xfId="4" applyNumberFormat="1" applyFont="1" applyFill="1" applyAlignment="1">
      <alignment horizontal="center" vertical="center"/>
    </xf>
    <xf numFmtId="2" fontId="13" fillId="2" borderId="19" xfId="4" applyNumberFormat="1" applyFont="1" applyFill="1" applyBorder="1" applyAlignment="1">
      <alignment horizontal="center" vertical="center"/>
    </xf>
    <xf numFmtId="2" fontId="13" fillId="0" borderId="0" xfId="4" applyNumberFormat="1" applyFont="1" applyAlignment="1">
      <alignment horizontal="center" vertical="center"/>
    </xf>
    <xf numFmtId="0" fontId="12" fillId="2" borderId="33" xfId="4" applyFill="1" applyBorder="1" applyAlignment="1">
      <alignment horizontal="center" vertical="center"/>
    </xf>
    <xf numFmtId="0" fontId="45" fillId="2" borderId="0" xfId="4" applyFont="1" applyFill="1" applyAlignment="1">
      <alignment horizontal="center" vertical="center"/>
    </xf>
    <xf numFmtId="2" fontId="45" fillId="2" borderId="0" xfId="4" applyNumberFormat="1" applyFont="1" applyFill="1" applyAlignment="1">
      <alignment horizontal="center" vertical="center"/>
    </xf>
    <xf numFmtId="0" fontId="12" fillId="2" borderId="29" xfId="4" applyFill="1" applyBorder="1" applyAlignment="1">
      <alignment horizontal="center" vertical="center"/>
    </xf>
    <xf numFmtId="0" fontId="2" fillId="2" borderId="32" xfId="4" applyFont="1" applyFill="1" applyBorder="1" applyAlignment="1">
      <alignment horizontal="center" vertical="center"/>
    </xf>
    <xf numFmtId="166" fontId="2" fillId="2" borderId="3" xfId="4" applyNumberFormat="1" applyFont="1" applyFill="1" applyBorder="1" applyAlignment="1">
      <alignment horizontal="center" vertical="center"/>
    </xf>
    <xf numFmtId="0" fontId="2" fillId="2" borderId="33" xfId="4" applyFont="1" applyFill="1" applyBorder="1" applyAlignment="1">
      <alignment horizontal="center" vertical="center"/>
    </xf>
    <xf numFmtId="0" fontId="2" fillId="2" borderId="27" xfId="4" applyFont="1" applyFill="1" applyBorder="1" applyAlignment="1">
      <alignment horizontal="center" vertical="center"/>
    </xf>
    <xf numFmtId="0" fontId="2" fillId="2" borderId="28" xfId="4" applyFont="1" applyFill="1" applyBorder="1" applyAlignment="1">
      <alignment horizontal="center" vertical="center"/>
    </xf>
    <xf numFmtId="166" fontId="2" fillId="2" borderId="28" xfId="4" applyNumberFormat="1" applyFont="1" applyFill="1" applyBorder="1" applyAlignment="1">
      <alignment horizontal="center" vertical="center"/>
    </xf>
    <xf numFmtId="0" fontId="2" fillId="2" borderId="29" xfId="4" applyFont="1" applyFill="1" applyBorder="1" applyAlignment="1">
      <alignment horizontal="center" vertical="center"/>
    </xf>
    <xf numFmtId="0" fontId="12" fillId="2" borderId="8" xfId="4" applyFill="1" applyBorder="1"/>
    <xf numFmtId="0" fontId="12" fillId="2" borderId="9" xfId="4" applyFill="1" applyBorder="1"/>
    <xf numFmtId="0" fontId="12" fillId="2" borderId="13" xfId="4" applyFill="1" applyBorder="1"/>
    <xf numFmtId="0" fontId="45" fillId="2" borderId="13" xfId="4" applyFont="1" applyFill="1" applyBorder="1" applyAlignment="1">
      <alignment horizontal="center" vertical="center"/>
    </xf>
    <xf numFmtId="2" fontId="45" fillId="2" borderId="13" xfId="4" applyNumberFormat="1" applyFont="1" applyFill="1" applyBorder="1" applyAlignment="1">
      <alignment horizontal="center" vertical="center"/>
    </xf>
    <xf numFmtId="0" fontId="12" fillId="2" borderId="16" xfId="4" applyFill="1" applyBorder="1"/>
    <xf numFmtId="0" fontId="12" fillId="0" borderId="0" xfId="4" applyProtection="1">
      <protection locked="0"/>
    </xf>
    <xf numFmtId="0" fontId="2" fillId="0" borderId="20" xfId="4" applyFont="1" applyBorder="1" applyProtection="1">
      <protection locked="0"/>
    </xf>
    <xf numFmtId="0" fontId="2" fillId="0" borderId="4" xfId="4" applyFont="1" applyBorder="1" applyAlignment="1" applyProtection="1">
      <alignment horizontal="center" vertical="center"/>
      <protection locked="0"/>
    </xf>
    <xf numFmtId="0" fontId="31" fillId="0" borderId="4" xfId="4" applyFont="1" applyBorder="1" applyAlignment="1" applyProtection="1">
      <alignment horizontal="center" vertical="center"/>
      <protection locked="0"/>
    </xf>
    <xf numFmtId="0" fontId="31" fillId="0" borderId="4" xfId="4" applyFont="1" applyBorder="1" applyAlignment="1" applyProtection="1">
      <alignment vertical="center"/>
      <protection locked="0"/>
    </xf>
    <xf numFmtId="0" fontId="31" fillId="0" borderId="3" xfId="4" applyFont="1" applyBorder="1" applyAlignment="1" applyProtection="1">
      <alignment vertical="center"/>
      <protection locked="0"/>
    </xf>
    <xf numFmtId="0" fontId="31" fillId="0" borderId="33" xfId="4" applyFont="1" applyBorder="1" applyAlignment="1" applyProtection="1">
      <alignment horizontal="center" vertical="center"/>
      <protection locked="0"/>
    </xf>
    <xf numFmtId="0" fontId="46" fillId="0" borderId="32" xfId="4" applyFont="1" applyBorder="1" applyAlignment="1" applyProtection="1">
      <alignment horizontal="center" vertical="center"/>
      <protection locked="0"/>
    </xf>
    <xf numFmtId="0" fontId="46" fillId="0" borderId="1" xfId="4" applyFont="1" applyBorder="1" applyProtection="1">
      <protection locked="0"/>
    </xf>
    <xf numFmtId="0" fontId="46" fillId="0" borderId="4" xfId="4" applyFont="1" applyBorder="1" applyProtection="1">
      <protection locked="0"/>
    </xf>
    <xf numFmtId="0" fontId="46" fillId="0" borderId="45" xfId="4" applyFont="1" applyBorder="1" applyProtection="1">
      <protection locked="0"/>
    </xf>
    <xf numFmtId="0" fontId="46" fillId="0" borderId="9" xfId="4" applyFont="1" applyBorder="1" applyProtection="1">
      <protection locked="0"/>
    </xf>
    <xf numFmtId="0" fontId="46" fillId="0" borderId="13" xfId="4" applyFont="1" applyBorder="1" applyProtection="1">
      <protection locked="0"/>
    </xf>
    <xf numFmtId="0" fontId="46" fillId="0" borderId="16" xfId="4" applyFont="1" applyBorder="1" applyProtection="1">
      <protection locked="0"/>
    </xf>
    <xf numFmtId="0" fontId="56" fillId="8" borderId="0" xfId="0" applyFont="1" applyFill="1" applyAlignment="1" applyProtection="1">
      <alignment vertical="center"/>
      <protection locked="0"/>
    </xf>
    <xf numFmtId="0" fontId="0" fillId="0" borderId="3" xfId="0" applyBorder="1"/>
    <xf numFmtId="0" fontId="55" fillId="0" borderId="0" xfId="0" quotePrefix="1" applyFont="1" applyAlignment="1" applyProtection="1">
      <alignment vertical="center"/>
      <protection locked="0"/>
    </xf>
    <xf numFmtId="0" fontId="17" fillId="0" borderId="0" xfId="0" applyFont="1" applyAlignment="1" applyProtection="1">
      <alignment horizontal="right"/>
      <protection locked="0"/>
    </xf>
    <xf numFmtId="185" fontId="77" fillId="0" borderId="3" xfId="0" quotePrefix="1" applyNumberFormat="1" applyFont="1" applyBorder="1" applyAlignment="1">
      <alignment horizontal="center" vertical="center"/>
    </xf>
    <xf numFmtId="0" fontId="79" fillId="0" borderId="0" xfId="5"/>
    <xf numFmtId="0" fontId="79" fillId="0" borderId="0" xfId="5" applyProtection="1">
      <protection locked="0"/>
    </xf>
    <xf numFmtId="0" fontId="82" fillId="0" borderId="0" xfId="5" applyFont="1" applyAlignment="1">
      <alignment wrapText="1"/>
    </xf>
    <xf numFmtId="0" fontId="40" fillId="0" borderId="0" xfId="5" applyFont="1"/>
    <xf numFmtId="0" fontId="86" fillId="0" borderId="0" xfId="5" applyFont="1" applyAlignment="1">
      <alignment horizontal="right"/>
    </xf>
    <xf numFmtId="0" fontId="79" fillId="0" borderId="0" xfId="5" applyAlignment="1">
      <alignment horizontal="center" vertical="center" wrapText="1"/>
    </xf>
    <xf numFmtId="17" fontId="79" fillId="0" borderId="0" xfId="5" applyNumberFormat="1" applyAlignment="1">
      <alignment horizontal="center" vertical="center"/>
    </xf>
    <xf numFmtId="0" fontId="79" fillId="0" borderId="0" xfId="5" applyAlignment="1">
      <alignment horizontal="center" vertical="center"/>
    </xf>
    <xf numFmtId="0" fontId="79" fillId="0" borderId="0" xfId="5" applyAlignment="1" applyProtection="1">
      <alignment horizontal="center" vertical="center" wrapText="1"/>
      <protection locked="0"/>
    </xf>
    <xf numFmtId="0" fontId="79" fillId="0" borderId="0" xfId="5" applyAlignment="1" applyProtection="1">
      <alignment horizontal="center" vertical="center"/>
      <protection locked="0"/>
    </xf>
    <xf numFmtId="0" fontId="79" fillId="0" borderId="0" xfId="5" applyAlignment="1">
      <alignment horizontal="left" vertical="center"/>
    </xf>
    <xf numFmtId="0" fontId="79" fillId="0" borderId="0" xfId="5" quotePrefix="1" applyAlignment="1" applyProtection="1">
      <alignment horizontal="center" vertical="center"/>
      <protection locked="0"/>
    </xf>
    <xf numFmtId="0" fontId="89" fillId="0" borderId="0" xfId="5" applyFont="1" applyAlignment="1">
      <alignment horizontal="left" vertical="center" wrapText="1"/>
    </xf>
    <xf numFmtId="0" fontId="89" fillId="0" borderId="0" xfId="5" applyFont="1"/>
    <xf numFmtId="0" fontId="89" fillId="0" borderId="0" xfId="5" applyFont="1" applyAlignment="1">
      <alignment vertical="top"/>
    </xf>
    <xf numFmtId="0" fontId="89" fillId="0" borderId="0" xfId="5" applyFont="1" applyAlignment="1">
      <alignment vertical="center"/>
    </xf>
    <xf numFmtId="0" fontId="89" fillId="0" borderId="3" xfId="5" applyFont="1" applyBorder="1" applyAlignment="1">
      <alignment horizontal="center" vertical="center"/>
    </xf>
    <xf numFmtId="0" fontId="89" fillId="0" borderId="3" xfId="5" quotePrefix="1" applyFont="1" applyBorder="1" applyAlignment="1">
      <alignment horizontal="center" vertical="center"/>
    </xf>
    <xf numFmtId="0" fontId="89" fillId="0" borderId="2" xfId="5" applyFont="1" applyBorder="1" applyAlignment="1">
      <alignment horizontal="center" vertical="center" wrapText="1"/>
    </xf>
    <xf numFmtId="0" fontId="89" fillId="0" borderId="3" xfId="5" applyFont="1" applyBorder="1" applyAlignment="1">
      <alignment horizontal="center" vertical="center" wrapText="1"/>
    </xf>
    <xf numFmtId="11" fontId="89" fillId="0" borderId="3" xfId="5" applyNumberFormat="1" applyFont="1" applyBorder="1" applyAlignment="1">
      <alignment horizontal="center" vertical="center" wrapText="1"/>
    </xf>
    <xf numFmtId="0" fontId="89" fillId="0" borderId="0" xfId="5" quotePrefix="1" applyFont="1" applyAlignment="1">
      <alignment vertical="center"/>
    </xf>
    <xf numFmtId="0" fontId="79" fillId="0" borderId="0" xfId="5" applyAlignment="1">
      <alignment horizontal="center"/>
    </xf>
    <xf numFmtId="0" fontId="89" fillId="0" borderId="0" xfId="5" applyFont="1" applyAlignment="1">
      <alignment horizontal="left" vertical="center"/>
    </xf>
    <xf numFmtId="0" fontId="2" fillId="18" borderId="3" xfId="5" applyFont="1" applyFill="1" applyBorder="1"/>
    <xf numFmtId="0" fontId="2" fillId="18" borderId="1" xfId="5" applyFont="1" applyFill="1" applyBorder="1"/>
    <xf numFmtId="0" fontId="2" fillId="0" borderId="0" xfId="5" applyFont="1"/>
    <xf numFmtId="0" fontId="2" fillId="19" borderId="73" xfId="5" applyFont="1" applyFill="1" applyBorder="1"/>
    <xf numFmtId="0" fontId="85" fillId="0" borderId="3" xfId="5" applyFont="1" applyBorder="1"/>
    <xf numFmtId="0" fontId="85" fillId="0" borderId="3" xfId="5" applyFont="1" applyBorder="1" applyAlignment="1">
      <alignment horizontal="left"/>
    </xf>
    <xf numFmtId="0" fontId="79" fillId="0" borderId="73" xfId="5" applyBorder="1"/>
    <xf numFmtId="17" fontId="79" fillId="0" borderId="0" xfId="5" quotePrefix="1" applyNumberFormat="1"/>
    <xf numFmtId="0" fontId="85" fillId="0" borderId="0" xfId="5" applyFont="1"/>
    <xf numFmtId="0" fontId="85" fillId="0" borderId="0" xfId="5" applyFont="1" applyAlignment="1">
      <alignment horizontal="left"/>
    </xf>
    <xf numFmtId="0" fontId="79" fillId="0" borderId="0" xfId="5" quotePrefix="1"/>
    <xf numFmtId="0" fontId="12" fillId="0" borderId="0" xfId="5" applyFont="1"/>
    <xf numFmtId="0" fontId="35" fillId="0" borderId="2" xfId="5" applyFont="1" applyBorder="1" applyAlignment="1">
      <alignment horizontal="left" vertical="top" wrapText="1"/>
    </xf>
    <xf numFmtId="0" fontId="12" fillId="0" borderId="0" xfId="5" applyFont="1" applyAlignment="1">
      <alignment horizontal="left" vertical="top"/>
    </xf>
    <xf numFmtId="0" fontId="35" fillId="0" borderId="0" xfId="5" applyFont="1" applyAlignment="1">
      <alignment vertical="center" wrapText="1"/>
    </xf>
    <xf numFmtId="0" fontId="35" fillId="0" borderId="0" xfId="5" applyFont="1" applyAlignment="1">
      <alignment horizontal="center" vertical="center" wrapText="1"/>
    </xf>
    <xf numFmtId="0" fontId="12" fillId="0" borderId="0" xfId="5" applyFont="1" applyAlignment="1">
      <alignment vertical="top" wrapText="1"/>
    </xf>
    <xf numFmtId="0" fontId="35" fillId="0" borderId="1" xfId="5" applyFont="1" applyBorder="1" applyAlignment="1">
      <alignment vertical="top"/>
    </xf>
    <xf numFmtId="0" fontId="94" fillId="0" borderId="0" xfId="5" applyFont="1" applyAlignment="1">
      <alignment vertical="top"/>
    </xf>
    <xf numFmtId="0" fontId="35" fillId="0" borderId="0" xfId="5" applyFont="1" applyAlignment="1" applyProtection="1">
      <alignment horizontal="center" vertical="top" wrapText="1"/>
      <protection locked="0"/>
    </xf>
    <xf numFmtId="0" fontId="35" fillId="0" borderId="0" xfId="5" applyFont="1" applyAlignment="1">
      <alignment horizontal="center" vertical="top" wrapText="1"/>
    </xf>
    <xf numFmtId="0" fontId="35" fillId="0" borderId="0" xfId="5" applyFont="1" applyAlignment="1">
      <alignment vertical="top" wrapText="1"/>
    </xf>
    <xf numFmtId="0" fontId="82" fillId="0" borderId="0" xfId="5" applyFont="1" applyAlignment="1">
      <alignment horizontal="center" vertical="center" wrapText="1"/>
    </xf>
    <xf numFmtId="0" fontId="35" fillId="0" borderId="2" xfId="5" applyFont="1" applyBorder="1" applyAlignment="1" applyProtection="1">
      <alignment vertical="top" wrapText="1"/>
      <protection locked="0"/>
    </xf>
    <xf numFmtId="185" fontId="89" fillId="0" borderId="0" xfId="5" applyNumberFormat="1" applyFont="1" applyAlignment="1">
      <alignment horizontal="left" vertical="center"/>
    </xf>
    <xf numFmtId="0" fontId="89" fillId="0" borderId="0" xfId="5" applyFont="1" applyAlignment="1">
      <alignment horizontal="right" vertical="center"/>
    </xf>
    <xf numFmtId="0" fontId="42" fillId="0" borderId="0" xfId="5" applyFont="1" applyAlignment="1">
      <alignment horizontal="left" vertical="center" wrapText="1"/>
    </xf>
    <xf numFmtId="0" fontId="35" fillId="0" borderId="2" xfId="5" applyFont="1" applyBorder="1" applyAlignment="1" applyProtection="1">
      <alignment vertical="top"/>
      <protection locked="0"/>
    </xf>
    <xf numFmtId="0" fontId="35" fillId="0" borderId="2" xfId="5" applyFont="1" applyBorder="1" applyAlignment="1">
      <alignment horizontal="left" vertical="top"/>
    </xf>
    <xf numFmtId="0" fontId="12" fillId="0" borderId="3" xfId="0" applyFont="1" applyBorder="1"/>
    <xf numFmtId="0" fontId="95" fillId="0" borderId="0" xfId="0" applyFont="1"/>
    <xf numFmtId="0" fontId="35" fillId="0" borderId="1" xfId="5" applyFont="1" applyBorder="1" applyAlignment="1">
      <alignment horizontal="left" vertical="top" wrapText="1"/>
    </xf>
    <xf numFmtId="0" fontId="80" fillId="0" borderId="0" xfId="5" applyFont="1" applyAlignment="1">
      <alignment horizontal="center"/>
    </xf>
    <xf numFmtId="0" fontId="35" fillId="0" borderId="0" xfId="5" applyFont="1" applyAlignment="1">
      <alignment horizontal="justify" vertical="center" wrapText="1"/>
    </xf>
    <xf numFmtId="0" fontId="55" fillId="12" borderId="0" xfId="0" applyFont="1" applyFill="1" applyAlignment="1" applyProtection="1">
      <alignment horizontal="left" vertical="center"/>
      <protection locked="0"/>
    </xf>
    <xf numFmtId="0" fontId="55" fillId="12" borderId="0" xfId="0" quotePrefix="1" applyFont="1" applyFill="1" applyAlignment="1" applyProtection="1">
      <alignment horizontal="left" vertical="center"/>
      <protection locked="0"/>
    </xf>
    <xf numFmtId="0" fontId="55" fillId="0" borderId="75" xfId="0" applyFont="1" applyBorder="1" applyAlignment="1" applyProtection="1">
      <alignment vertical="center"/>
      <protection locked="0"/>
    </xf>
    <xf numFmtId="0" fontId="55" fillId="0" borderId="76" xfId="0" applyFont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/>
      <protection locked="0"/>
    </xf>
    <xf numFmtId="0" fontId="55" fillId="0" borderId="78" xfId="0" applyFont="1" applyBorder="1" applyAlignment="1" applyProtection="1">
      <alignment vertical="center"/>
      <protection locked="0"/>
    </xf>
    <xf numFmtId="1" fontId="61" fillId="0" borderId="78" xfId="0" applyNumberFormat="1" applyFont="1" applyBorder="1" applyAlignment="1" applyProtection="1">
      <alignment horizontal="center" vertical="center"/>
      <protection locked="0"/>
    </xf>
    <xf numFmtId="0" fontId="55" fillId="0" borderId="79" xfId="0" applyFont="1" applyBorder="1" applyAlignment="1" applyProtection="1">
      <alignment vertical="center"/>
      <protection locked="0"/>
    </xf>
    <xf numFmtId="0" fontId="55" fillId="0" borderId="82" xfId="0" applyFont="1" applyBorder="1" applyAlignment="1" applyProtection="1">
      <alignment vertical="center"/>
      <protection locked="0"/>
    </xf>
    <xf numFmtId="0" fontId="55" fillId="0" borderId="81" xfId="0" applyFont="1" applyBorder="1" applyAlignment="1" applyProtection="1">
      <alignment vertical="center"/>
      <protection locked="0"/>
    </xf>
    <xf numFmtId="0" fontId="55" fillId="0" borderId="4" xfId="0" applyFont="1" applyBorder="1" applyAlignment="1" applyProtection="1">
      <alignment vertical="center"/>
      <protection locked="0"/>
    </xf>
    <xf numFmtId="0" fontId="55" fillId="0" borderId="83" xfId="0" applyFont="1" applyBorder="1" applyAlignment="1" applyProtection="1">
      <alignment vertical="center"/>
      <protection locked="0"/>
    </xf>
    <xf numFmtId="0" fontId="55" fillId="0" borderId="84" xfId="0" quotePrefix="1" applyFont="1" applyBorder="1" applyAlignment="1" applyProtection="1">
      <alignment horizontal="center" vertical="center"/>
      <protection locked="0"/>
    </xf>
    <xf numFmtId="0" fontId="55" fillId="0" borderId="86" xfId="0" applyFont="1" applyBorder="1" applyAlignment="1" applyProtection="1">
      <alignment vertical="center"/>
      <protection locked="0"/>
    </xf>
    <xf numFmtId="0" fontId="55" fillId="0" borderId="85" xfId="0" applyFont="1" applyBorder="1" applyAlignment="1" applyProtection="1">
      <alignment vertical="center"/>
      <protection locked="0"/>
    </xf>
    <xf numFmtId="0" fontId="55" fillId="0" borderId="5" xfId="0" applyFont="1" applyBorder="1" applyAlignment="1" applyProtection="1">
      <alignment horizontal="center" vertical="center"/>
      <protection locked="0"/>
    </xf>
    <xf numFmtId="0" fontId="55" fillId="0" borderId="6" xfId="0" applyFont="1" applyBorder="1" applyAlignment="1" applyProtection="1">
      <alignment vertical="center"/>
      <protection locked="0"/>
    </xf>
    <xf numFmtId="0" fontId="55" fillId="0" borderId="87" xfId="0" applyFont="1" applyBorder="1" applyAlignment="1" applyProtection="1">
      <alignment vertical="center"/>
      <protection locked="0"/>
    </xf>
    <xf numFmtId="0" fontId="55" fillId="0" borderId="74" xfId="0" applyFont="1" applyBorder="1" applyAlignment="1" applyProtection="1">
      <alignment horizontal="center" vertical="center"/>
      <protection locked="0"/>
    </xf>
    <xf numFmtId="0" fontId="55" fillId="0" borderId="0" xfId="0" quotePrefix="1" applyFont="1" applyAlignment="1" applyProtection="1">
      <alignment horizontal="center" vertical="center"/>
      <protection locked="0"/>
    </xf>
    <xf numFmtId="0" fontId="55" fillId="0" borderId="62" xfId="0" quotePrefix="1" applyFont="1" applyBorder="1" applyAlignment="1" applyProtection="1">
      <alignment horizontal="center" vertical="center"/>
      <protection locked="0"/>
    </xf>
    <xf numFmtId="2" fontId="55" fillId="0" borderId="0" xfId="0" applyNumberFormat="1" applyFont="1" applyAlignment="1" applyProtection="1">
      <alignment horizontal="left" vertical="center"/>
      <protection locked="0"/>
    </xf>
    <xf numFmtId="0" fontId="55" fillId="0" borderId="80" xfId="0" quotePrefix="1" applyFont="1" applyBorder="1" applyAlignment="1" applyProtection="1">
      <alignment horizontal="center" vertical="center"/>
      <protection locked="0"/>
    </xf>
    <xf numFmtId="0" fontId="69" fillId="0" borderId="0" xfId="0" applyFont="1" applyAlignment="1" applyProtection="1">
      <alignment vertical="center"/>
      <protection locked="0"/>
    </xf>
    <xf numFmtId="0" fontId="69" fillId="2" borderId="0" xfId="2" applyFont="1" applyFill="1" applyAlignment="1" applyProtection="1">
      <alignment vertical="center"/>
      <protection hidden="1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right" vertical="center"/>
    </xf>
    <xf numFmtId="0" fontId="29" fillId="2" borderId="0" xfId="0" applyFont="1" applyFill="1" applyAlignment="1">
      <alignment horizontal="center" vertical="center"/>
    </xf>
    <xf numFmtId="0" fontId="55" fillId="12" borderId="0" xfId="0" applyFont="1" applyFill="1" applyAlignment="1">
      <alignment horizontal="left" vertical="center"/>
    </xf>
    <xf numFmtId="0" fontId="55" fillId="12" borderId="0" xfId="0" applyFont="1" applyFill="1" applyAlignment="1">
      <alignment vertical="center"/>
    </xf>
    <xf numFmtId="0" fontId="55" fillId="12" borderId="0" xfId="0" quotePrefix="1" applyFont="1" applyFill="1" applyAlignment="1">
      <alignment horizontal="left" vertical="center"/>
    </xf>
    <xf numFmtId="0" fontId="55" fillId="12" borderId="0" xfId="0" applyFont="1" applyFill="1" applyAlignment="1">
      <alignment horizontal="right" vertical="center"/>
    </xf>
    <xf numFmtId="0" fontId="55" fillId="2" borderId="0" xfId="0" applyFont="1" applyFill="1" applyAlignment="1">
      <alignment horizontal="center" vertical="center" wrapText="1"/>
    </xf>
    <xf numFmtId="164" fontId="55" fillId="0" borderId="0" xfId="0" applyNumberFormat="1" applyFont="1" applyAlignment="1">
      <alignment horizontal="center" vertical="center"/>
    </xf>
    <xf numFmtId="0" fontId="58" fillId="0" borderId="0" xfId="0" quotePrefix="1" applyFont="1" applyAlignment="1">
      <alignment horizontal="center" vertical="center"/>
    </xf>
    <xf numFmtId="0" fontId="59" fillId="0" borderId="0" xfId="0" applyFont="1" applyAlignment="1">
      <alignment vertical="center" wrapText="1"/>
    </xf>
    <xf numFmtId="0" fontId="65" fillId="0" borderId="3" xfId="0" applyFont="1" applyBorder="1" applyAlignment="1">
      <alignment horizontal="center" vertical="center" wrapText="1"/>
    </xf>
    <xf numFmtId="0" fontId="55" fillId="0" borderId="2" xfId="0" applyFont="1" applyBorder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55" fillId="0" borderId="25" xfId="0" applyFont="1" applyBorder="1" applyAlignment="1">
      <alignment horizontal="center" vertical="center"/>
    </xf>
    <xf numFmtId="164" fontId="55" fillId="0" borderId="3" xfId="0" applyNumberFormat="1" applyFont="1" applyBorder="1" applyAlignment="1">
      <alignment horizontal="center" vertical="center"/>
    </xf>
    <xf numFmtId="2" fontId="55" fillId="0" borderId="33" xfId="0" applyNumberFormat="1" applyFont="1" applyBorder="1" applyAlignment="1">
      <alignment horizontal="center" vertical="center"/>
    </xf>
    <xf numFmtId="0" fontId="55" fillId="0" borderId="28" xfId="0" applyFont="1" applyBorder="1" applyAlignment="1">
      <alignment horizontal="center" vertical="center"/>
    </xf>
    <xf numFmtId="164" fontId="55" fillId="0" borderId="28" xfId="0" applyNumberFormat="1" applyFont="1" applyBorder="1" applyAlignment="1">
      <alignment horizontal="center" vertical="center"/>
    </xf>
    <xf numFmtId="2" fontId="55" fillId="0" borderId="29" xfId="0" applyNumberFormat="1" applyFont="1" applyBorder="1" applyAlignment="1">
      <alignment horizontal="center" vertical="center"/>
    </xf>
    <xf numFmtId="0" fontId="55" fillId="0" borderId="8" xfId="0" applyFont="1" applyBorder="1" applyAlignment="1">
      <alignment horizontal="center" vertical="center"/>
    </xf>
    <xf numFmtId="0" fontId="55" fillId="0" borderId="67" xfId="0" applyFont="1" applyBorder="1" applyAlignment="1">
      <alignment horizontal="left" vertical="center"/>
    </xf>
    <xf numFmtId="0" fontId="55" fillId="12" borderId="0" xfId="0" applyFont="1" applyFill="1" applyAlignment="1">
      <alignment horizontal="center" vertical="center"/>
    </xf>
    <xf numFmtId="2" fontId="55" fillId="0" borderId="26" xfId="0" applyNumberFormat="1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55" fillId="17" borderId="25" xfId="0" quotePrefix="1" applyFont="1" applyFill="1" applyBorder="1" applyAlignment="1">
      <alignment horizontal="center" vertical="center"/>
    </xf>
    <xf numFmtId="164" fontId="55" fillId="0" borderId="25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55" fillId="17" borderId="3" xfId="0" quotePrefix="1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55" fillId="17" borderId="28" xfId="0" quotePrefix="1" applyFont="1" applyFill="1" applyBorder="1" applyAlignment="1">
      <alignment horizontal="center" vertical="center"/>
    </xf>
    <xf numFmtId="2" fontId="55" fillId="0" borderId="0" xfId="0" applyNumberFormat="1" applyFont="1" applyAlignment="1">
      <alignment vertical="center"/>
    </xf>
    <xf numFmtId="2" fontId="55" fillId="2" borderId="0" xfId="0" applyNumberFormat="1" applyFont="1" applyFill="1" applyAlignment="1">
      <alignment vertical="center"/>
    </xf>
    <xf numFmtId="164" fontId="55" fillId="0" borderId="6" xfId="0" applyNumberFormat="1" applyFont="1" applyBorder="1" applyAlignment="1">
      <alignment horizontal="center" vertical="center"/>
    </xf>
    <xf numFmtId="2" fontId="55" fillId="0" borderId="71" xfId="0" applyNumberFormat="1" applyFont="1" applyBorder="1" applyAlignment="1">
      <alignment horizontal="center" vertical="center"/>
    </xf>
    <xf numFmtId="0" fontId="55" fillId="0" borderId="13" xfId="0" applyFont="1" applyBorder="1" applyAlignment="1">
      <alignment horizontal="left" vertical="center"/>
    </xf>
    <xf numFmtId="0" fontId="55" fillId="0" borderId="13" xfId="0" applyFont="1" applyBorder="1" applyAlignment="1">
      <alignment horizontal="center" vertical="center"/>
    </xf>
    <xf numFmtId="164" fontId="55" fillId="0" borderId="13" xfId="0" applyNumberFormat="1" applyFont="1" applyBorder="1" applyAlignment="1">
      <alignment horizontal="center" vertical="center"/>
    </xf>
    <xf numFmtId="2" fontId="55" fillId="0" borderId="16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2" fontId="55" fillId="0" borderId="25" xfId="0" applyNumberFormat="1" applyFont="1" applyBorder="1" applyAlignment="1">
      <alignment horizontal="center" vertical="center"/>
    </xf>
    <xf numFmtId="2" fontId="55" fillId="0" borderId="3" xfId="0" applyNumberFormat="1" applyFont="1" applyBorder="1" applyAlignment="1">
      <alignment horizontal="center" vertical="center"/>
    </xf>
    <xf numFmtId="0" fontId="55" fillId="0" borderId="48" xfId="0" applyFont="1" applyBorder="1" applyAlignment="1">
      <alignment vertical="center" wrapText="1"/>
    </xf>
    <xf numFmtId="2" fontId="55" fillId="0" borderId="28" xfId="0" applyNumberFormat="1" applyFont="1" applyBorder="1" applyAlignment="1">
      <alignment horizontal="center" vertical="center"/>
    </xf>
    <xf numFmtId="0" fontId="55" fillId="0" borderId="8" xfId="0" applyFont="1" applyBorder="1" applyAlignment="1">
      <alignment vertical="center"/>
    </xf>
    <xf numFmtId="0" fontId="55" fillId="0" borderId="17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55" fillId="2" borderId="17" xfId="0" applyFont="1" applyFill="1" applyBorder="1" applyAlignment="1">
      <alignment horizontal="center" vertical="center"/>
    </xf>
    <xf numFmtId="0" fontId="55" fillId="2" borderId="0" xfId="0" applyFont="1" applyFill="1" applyAlignment="1">
      <alignment horizontal="center" vertical="center"/>
    </xf>
    <xf numFmtId="2" fontId="55" fillId="0" borderId="17" xfId="0" applyNumberFormat="1" applyFont="1" applyBorder="1" applyAlignment="1">
      <alignment horizontal="center" vertical="center"/>
    </xf>
    <xf numFmtId="2" fontId="55" fillId="0" borderId="18" xfId="0" applyNumberFormat="1" applyFont="1" applyBorder="1" applyAlignment="1">
      <alignment horizontal="center" vertical="center"/>
    </xf>
    <xf numFmtId="2" fontId="55" fillId="0" borderId="19" xfId="0" applyNumberFormat="1" applyFont="1" applyBorder="1" applyAlignment="1">
      <alignment horizontal="center" vertical="center"/>
    </xf>
    <xf numFmtId="2" fontId="55" fillId="17" borderId="25" xfId="0" quotePrefix="1" applyNumberFormat="1" applyFont="1" applyFill="1" applyBorder="1" applyAlignment="1">
      <alignment horizontal="center" vertical="center"/>
    </xf>
    <xf numFmtId="2" fontId="55" fillId="17" borderId="3" xfId="0" quotePrefix="1" applyNumberFormat="1" applyFont="1" applyFill="1" applyBorder="1" applyAlignment="1">
      <alignment horizontal="center" vertical="center"/>
    </xf>
    <xf numFmtId="2" fontId="55" fillId="17" borderId="28" xfId="0" quotePrefix="1" applyNumberFormat="1" applyFont="1" applyFill="1" applyBorder="1" applyAlignment="1">
      <alignment horizontal="center" vertical="center"/>
    </xf>
    <xf numFmtId="0" fontId="55" fillId="0" borderId="1" xfId="0" applyFont="1" applyBorder="1" applyAlignment="1" applyProtection="1">
      <alignment vertical="center"/>
      <protection locked="0"/>
    </xf>
    <xf numFmtId="0" fontId="55" fillId="0" borderId="4" xfId="0" applyFont="1" applyBorder="1" applyAlignment="1" applyProtection="1">
      <alignment horizontal="center" vertical="center"/>
      <protection locked="0"/>
    </xf>
    <xf numFmtId="0" fontId="67" fillId="0" borderId="3" xfId="0" applyFont="1" applyBorder="1" applyAlignment="1" applyProtection="1">
      <alignment horizontal="center" vertical="center" wrapText="1"/>
      <protection locked="0"/>
    </xf>
    <xf numFmtId="0" fontId="67" fillId="0" borderId="5" xfId="0" applyFont="1" applyBorder="1" applyAlignment="1" applyProtection="1">
      <alignment horizontal="center" vertical="center" wrapText="1"/>
      <protection locked="0"/>
    </xf>
    <xf numFmtId="0" fontId="67" fillId="0" borderId="41" xfId="0" applyFont="1" applyBorder="1" applyAlignment="1" applyProtection="1">
      <alignment horizontal="center" vertical="center" wrapText="1"/>
      <protection locked="0"/>
    </xf>
    <xf numFmtId="0" fontId="15" fillId="0" borderId="0" xfId="5" applyFont="1" applyProtection="1">
      <protection locked="0"/>
    </xf>
    <xf numFmtId="181" fontId="55" fillId="0" borderId="5" xfId="0" applyNumberFormat="1" applyFont="1" applyBorder="1" applyAlignment="1" applyProtection="1">
      <alignment vertical="center"/>
      <protection locked="0"/>
    </xf>
    <xf numFmtId="181" fontId="55" fillId="0" borderId="41" xfId="0" applyNumberFormat="1" applyFont="1" applyBorder="1" applyAlignment="1" applyProtection="1">
      <alignment vertical="center"/>
      <protection locked="0"/>
    </xf>
    <xf numFmtId="0" fontId="15" fillId="0" borderId="0" xfId="5" applyFont="1" applyAlignment="1" applyProtection="1">
      <alignment horizontal="center" wrapText="1"/>
      <protection hidden="1"/>
    </xf>
    <xf numFmtId="171" fontId="3" fillId="0" borderId="0" xfId="0" applyNumberFormat="1" applyFont="1" applyAlignment="1" applyProtection="1">
      <alignment horizontal="left" vertical="center"/>
      <protection hidden="1"/>
    </xf>
    <xf numFmtId="164" fontId="67" fillId="0" borderId="5" xfId="0" applyNumberFormat="1" applyFont="1" applyBorder="1" applyAlignment="1" applyProtection="1">
      <alignment horizontal="center" vertical="center"/>
      <protection locked="0"/>
    </xf>
    <xf numFmtId="164" fontId="67" fillId="0" borderId="49" xfId="0" applyNumberFormat="1" applyFont="1" applyBorder="1" applyAlignment="1" applyProtection="1">
      <alignment horizontal="center" vertical="center"/>
      <protection locked="0"/>
    </xf>
    <xf numFmtId="164" fontId="67" fillId="0" borderId="41" xfId="0" applyNumberFormat="1" applyFont="1" applyBorder="1" applyAlignment="1" applyProtection="1">
      <alignment horizontal="center" vertical="center"/>
      <protection locked="0"/>
    </xf>
    <xf numFmtId="174" fontId="55" fillId="0" borderId="64" xfId="0" applyNumberFormat="1" applyFont="1" applyBorder="1" applyAlignment="1" applyProtection="1">
      <alignment horizontal="center" vertical="center"/>
      <protection hidden="1"/>
    </xf>
    <xf numFmtId="186" fontId="55" fillId="0" borderId="2" xfId="0" applyNumberFormat="1" applyFont="1" applyBorder="1" applyAlignment="1" applyProtection="1">
      <alignment horizontal="center" vertical="center"/>
      <protection hidden="1"/>
    </xf>
    <xf numFmtId="175" fontId="55" fillId="0" borderId="2" xfId="0" applyNumberFormat="1" applyFont="1" applyBorder="1" applyAlignment="1" applyProtection="1">
      <alignment horizontal="center" vertical="center"/>
      <protection hidden="1"/>
    </xf>
    <xf numFmtId="0" fontId="55" fillId="0" borderId="1" xfId="0" applyFont="1" applyBorder="1" applyAlignment="1" applyProtection="1">
      <alignment horizontal="right" vertical="center"/>
      <protection hidden="1"/>
    </xf>
    <xf numFmtId="0" fontId="55" fillId="0" borderId="62" xfId="0" applyFont="1" applyBorder="1" applyAlignment="1" applyProtection="1">
      <alignment horizontal="right" vertical="center"/>
      <protection hidden="1"/>
    </xf>
    <xf numFmtId="0" fontId="97" fillId="8" borderId="0" xfId="0" quotePrefix="1" applyFont="1" applyFill="1" applyAlignment="1" applyProtection="1">
      <alignment vertical="center"/>
      <protection locked="0"/>
    </xf>
    <xf numFmtId="164" fontId="97" fillId="12" borderId="3" xfId="0" applyNumberFormat="1" applyFont="1" applyFill="1" applyBorder="1" applyAlignment="1" applyProtection="1">
      <alignment horizontal="center" vertical="center"/>
      <protection locked="0"/>
    </xf>
    <xf numFmtId="164" fontId="97" fillId="12" borderId="6" xfId="0" applyNumberFormat="1" applyFont="1" applyFill="1" applyBorder="1" applyAlignment="1" applyProtection="1">
      <alignment horizontal="center" vertical="center"/>
      <protection locked="0"/>
    </xf>
    <xf numFmtId="0" fontId="97" fillId="0" borderId="1" xfId="0" quotePrefix="1" applyFont="1" applyBorder="1" applyAlignment="1" applyProtection="1">
      <alignment horizontal="right" vertical="center"/>
      <protection locked="0"/>
    </xf>
    <xf numFmtId="164" fontId="97" fillId="0" borderId="1" xfId="0" quotePrefix="1" applyNumberFormat="1" applyFont="1" applyBorder="1" applyAlignment="1" applyProtection="1">
      <alignment horizontal="right" vertical="center"/>
      <protection locked="0"/>
    </xf>
    <xf numFmtId="0" fontId="97" fillId="12" borderId="3" xfId="0" applyFont="1" applyFill="1" applyBorder="1" applyAlignment="1" applyProtection="1">
      <alignment horizontal="center" vertical="center"/>
      <protection locked="0"/>
    </xf>
    <xf numFmtId="0" fontId="97" fillId="12" borderId="28" xfId="0" applyFont="1" applyFill="1" applyBorder="1" applyAlignment="1" applyProtection="1">
      <alignment horizontal="center" vertical="center"/>
      <protection locked="0"/>
    </xf>
    <xf numFmtId="0" fontId="98" fillId="0" borderId="0" xfId="0" applyFont="1" applyAlignment="1" applyProtection="1">
      <alignment vertical="center"/>
      <protection locked="0"/>
    </xf>
    <xf numFmtId="0" fontId="97" fillId="0" borderId="0" xfId="0" applyFont="1" applyAlignment="1" applyProtection="1">
      <alignment vertical="center"/>
      <protection locked="0"/>
    </xf>
    <xf numFmtId="0" fontId="97" fillId="12" borderId="0" xfId="0" applyFont="1" applyFill="1" applyAlignment="1" applyProtection="1">
      <alignment vertical="center"/>
      <protection locked="0"/>
    </xf>
    <xf numFmtId="164" fontId="97" fillId="0" borderId="0" xfId="0" applyNumberFormat="1" applyFont="1" applyAlignment="1" applyProtection="1">
      <alignment horizontal="left" vertical="center"/>
      <protection hidden="1"/>
    </xf>
    <xf numFmtId="0" fontId="97" fillId="0" borderId="62" xfId="0" applyFont="1" applyBorder="1" applyAlignment="1" applyProtection="1">
      <alignment horizontal="center" vertical="center"/>
      <protection hidden="1"/>
    </xf>
    <xf numFmtId="166" fontId="97" fillId="0" borderId="1" xfId="0" applyNumberFormat="1" applyFont="1" applyBorder="1" applyAlignment="1" applyProtection="1">
      <alignment horizontal="center" vertical="center"/>
      <protection hidden="1"/>
    </xf>
    <xf numFmtId="1" fontId="97" fillId="0" borderId="1" xfId="0" applyNumberFormat="1" applyFont="1" applyBorder="1" applyAlignment="1" applyProtection="1">
      <alignment horizontal="center" vertical="center"/>
      <protection hidden="1"/>
    </xf>
    <xf numFmtId="0" fontId="97" fillId="0" borderId="0" xfId="0" applyFont="1" applyAlignment="1" applyProtection="1">
      <alignment horizontal="left" vertical="center"/>
      <protection locked="0"/>
    </xf>
    <xf numFmtId="164" fontId="97" fillId="0" borderId="3" xfId="0" applyNumberFormat="1" applyFont="1" applyBorder="1" applyAlignment="1" applyProtection="1">
      <alignment horizontal="center" vertical="center"/>
      <protection hidden="1"/>
    </xf>
    <xf numFmtId="164" fontId="97" fillId="0" borderId="2" xfId="0" applyNumberFormat="1" applyFont="1" applyBorder="1" applyAlignment="1" applyProtection="1">
      <alignment horizontal="left" vertical="center"/>
      <protection hidden="1"/>
    </xf>
    <xf numFmtId="164" fontId="97" fillId="0" borderId="1" xfId="0" applyNumberFormat="1" applyFont="1" applyBorder="1" applyAlignment="1" applyProtection="1">
      <alignment horizontal="center" vertical="center"/>
      <protection hidden="1"/>
    </xf>
    <xf numFmtId="1" fontId="97" fillId="0" borderId="2" xfId="0" applyNumberFormat="1" applyFont="1" applyBorder="1" applyAlignment="1" applyProtection="1">
      <alignment horizontal="left" vertical="center"/>
      <protection hidden="1"/>
    </xf>
    <xf numFmtId="1" fontId="97" fillId="0" borderId="64" xfId="0" applyNumberFormat="1" applyFont="1" applyBorder="1" applyAlignment="1" applyProtection="1">
      <alignment horizontal="left" vertical="center"/>
      <protection hidden="1"/>
    </xf>
    <xf numFmtId="164" fontId="97" fillId="0" borderId="0" xfId="0" applyNumberFormat="1" applyFont="1" applyAlignment="1" applyProtection="1">
      <alignment vertical="center"/>
      <protection locked="0"/>
    </xf>
    <xf numFmtId="164" fontId="97" fillId="0" borderId="0" xfId="0" applyNumberFormat="1" applyFont="1" applyAlignment="1" applyProtection="1">
      <alignment horizontal="left" vertical="center"/>
      <protection locked="0"/>
    </xf>
    <xf numFmtId="0" fontId="55" fillId="0" borderId="5" xfId="0" applyFont="1" applyBorder="1" applyAlignment="1">
      <alignment horizontal="center" vertical="center"/>
    </xf>
    <xf numFmtId="0" fontId="55" fillId="0" borderId="41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 wrapText="1"/>
    </xf>
    <xf numFmtId="0" fontId="55" fillId="0" borderId="5" xfId="0" applyFont="1" applyBorder="1" applyAlignment="1">
      <alignment horizontal="center" vertical="center" wrapText="1"/>
    </xf>
    <xf numFmtId="0" fontId="55" fillId="0" borderId="41" xfId="0" applyFont="1" applyBorder="1" applyAlignment="1">
      <alignment horizontal="center" vertical="center" wrapText="1"/>
    </xf>
    <xf numFmtId="0" fontId="59" fillId="0" borderId="0" xfId="0" applyFont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39" fillId="2" borderId="0" xfId="0" applyFont="1" applyFill="1" applyAlignment="1">
      <alignment horizontal="center" vertical="center"/>
    </xf>
    <xf numFmtId="0" fontId="56" fillId="2" borderId="0" xfId="0" applyFont="1" applyFill="1" applyAlignment="1">
      <alignment horizontal="center" vertical="center"/>
    </xf>
    <xf numFmtId="167" fontId="62" fillId="0" borderId="3" xfId="0" applyNumberFormat="1" applyFon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55" fillId="0" borderId="0" xfId="0" applyFont="1" applyAlignment="1">
      <alignment horizontal="center" vertical="center"/>
    </xf>
    <xf numFmtId="177" fontId="62" fillId="0" borderId="3" xfId="0" applyNumberFormat="1" applyFont="1" applyBorder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177" fontId="62" fillId="0" borderId="0" xfId="0" applyNumberFormat="1" applyFont="1" applyAlignment="1">
      <alignment horizontal="center" vertical="center" wrapText="1"/>
    </xf>
    <xf numFmtId="182" fontId="55" fillId="0" borderId="64" xfId="0" applyNumberFormat="1" applyFont="1" applyBorder="1" applyAlignment="1">
      <alignment horizontal="center" vertical="center" textRotation="45"/>
    </xf>
    <xf numFmtId="182" fontId="55" fillId="0" borderId="61" xfId="0" applyNumberFormat="1" applyFont="1" applyBorder="1" applyAlignment="1">
      <alignment horizontal="center" vertical="center" textRotation="45"/>
    </xf>
    <xf numFmtId="182" fontId="55" fillId="0" borderId="66" xfId="0" applyNumberFormat="1" applyFont="1" applyBorder="1" applyAlignment="1">
      <alignment horizontal="center" vertical="center" textRotation="45"/>
    </xf>
    <xf numFmtId="183" fontId="55" fillId="0" borderId="64" xfId="0" applyNumberFormat="1" applyFont="1" applyBorder="1" applyAlignment="1">
      <alignment horizontal="center" vertical="center" textRotation="45"/>
    </xf>
    <xf numFmtId="183" fontId="55" fillId="0" borderId="61" xfId="0" applyNumberFormat="1" applyFont="1" applyBorder="1" applyAlignment="1">
      <alignment horizontal="center" vertical="center" textRotation="45"/>
    </xf>
    <xf numFmtId="183" fontId="55" fillId="0" borderId="66" xfId="0" applyNumberFormat="1" applyFont="1" applyBorder="1" applyAlignment="1">
      <alignment horizontal="center" vertical="center" textRotation="45"/>
    </xf>
    <xf numFmtId="182" fontId="55" fillId="0" borderId="5" xfId="0" applyNumberFormat="1" applyFont="1" applyBorder="1" applyAlignment="1">
      <alignment horizontal="center" vertical="center" textRotation="45" wrapText="1"/>
    </xf>
    <xf numFmtId="182" fontId="55" fillId="0" borderId="49" xfId="0" applyNumberFormat="1" applyFont="1" applyBorder="1" applyAlignment="1">
      <alignment horizontal="center" vertical="center" textRotation="45" wrapText="1"/>
    </xf>
    <xf numFmtId="182" fontId="55" fillId="0" borderId="41" xfId="0" applyNumberFormat="1" applyFont="1" applyBorder="1" applyAlignment="1">
      <alignment horizontal="center" vertical="center" textRotation="45" wrapText="1"/>
    </xf>
    <xf numFmtId="182" fontId="55" fillId="0" borderId="5" xfId="0" applyNumberFormat="1" applyFont="1" applyBorder="1" applyAlignment="1">
      <alignment horizontal="center" vertical="center" textRotation="45"/>
    </xf>
    <xf numFmtId="182" fontId="55" fillId="0" borderId="49" xfId="0" applyNumberFormat="1" applyFont="1" applyBorder="1" applyAlignment="1">
      <alignment horizontal="center" vertical="center" textRotation="45"/>
    </xf>
    <xf numFmtId="182" fontId="55" fillId="0" borderId="41" xfId="0" applyNumberFormat="1" applyFont="1" applyBorder="1" applyAlignment="1">
      <alignment horizontal="center" vertical="center" textRotation="45"/>
    </xf>
    <xf numFmtId="0" fontId="7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5" fontId="77" fillId="0" borderId="5" xfId="0" applyNumberFormat="1" applyFont="1" applyBorder="1" applyAlignment="1">
      <alignment horizontal="center" vertical="center"/>
    </xf>
    <xf numFmtId="185" fontId="77" fillId="0" borderId="41" xfId="0" applyNumberFormat="1" applyFont="1" applyBorder="1" applyAlignment="1">
      <alignment horizontal="center" vertical="center"/>
    </xf>
    <xf numFmtId="0" fontId="55" fillId="0" borderId="0" xfId="0" applyFont="1" applyAlignment="1" applyProtection="1">
      <alignment horizontal="left" vertical="center"/>
      <protection locked="0"/>
    </xf>
    <xf numFmtId="0" fontId="55" fillId="0" borderId="25" xfId="0" applyFont="1" applyBorder="1" applyAlignment="1">
      <alignment horizontal="center" vertical="center"/>
    </xf>
    <xf numFmtId="0" fontId="55" fillId="0" borderId="25" xfId="0" applyFont="1" applyBorder="1" applyAlignment="1">
      <alignment horizontal="center" vertical="center" wrapText="1"/>
    </xf>
    <xf numFmtId="0" fontId="55" fillId="0" borderId="26" xfId="0" applyFont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26" xfId="0" applyFont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 wrapText="1"/>
    </xf>
    <xf numFmtId="2" fontId="55" fillId="0" borderId="25" xfId="0" applyNumberFormat="1" applyFont="1" applyBorder="1" applyAlignment="1">
      <alignment horizontal="center" vertical="center" wrapText="1"/>
    </xf>
    <xf numFmtId="2" fontId="55" fillId="0" borderId="5" xfId="0" applyNumberFormat="1" applyFont="1" applyBorder="1" applyAlignment="1">
      <alignment horizontal="center" vertical="center" wrapText="1"/>
    </xf>
    <xf numFmtId="2" fontId="55" fillId="0" borderId="26" xfId="0" applyNumberFormat="1" applyFont="1" applyBorder="1" applyAlignment="1">
      <alignment horizontal="center" vertical="center"/>
    </xf>
    <xf numFmtId="2" fontId="55" fillId="0" borderId="37" xfId="0" applyNumberFormat="1" applyFont="1" applyBorder="1" applyAlignment="1">
      <alignment horizontal="center" vertical="center"/>
    </xf>
    <xf numFmtId="0" fontId="55" fillId="0" borderId="43" xfId="0" applyFont="1" applyBorder="1" applyAlignment="1">
      <alignment horizontal="center" vertical="center"/>
    </xf>
    <xf numFmtId="0" fontId="55" fillId="0" borderId="32" xfId="0" applyFont="1" applyBorder="1" applyAlignment="1">
      <alignment horizontal="center" vertical="center"/>
    </xf>
    <xf numFmtId="0" fontId="55" fillId="0" borderId="42" xfId="0" applyFont="1" applyBorder="1" applyAlignment="1">
      <alignment horizontal="center" vertical="center"/>
    </xf>
    <xf numFmtId="2" fontId="55" fillId="0" borderId="46" xfId="0" applyNumberFormat="1" applyFont="1" applyBorder="1" applyAlignment="1">
      <alignment horizontal="center" vertical="center"/>
    </xf>
    <xf numFmtId="2" fontId="55" fillId="0" borderId="50" xfId="0" applyNumberFormat="1" applyFont="1" applyBorder="1" applyAlignment="1">
      <alignment horizontal="center" vertical="center"/>
    </xf>
    <xf numFmtId="0" fontId="55" fillId="0" borderId="28" xfId="0" applyFont="1" applyBorder="1" applyAlignment="1">
      <alignment horizontal="center" vertical="center" wrapText="1"/>
    </xf>
    <xf numFmtId="0" fontId="55" fillId="0" borderId="0" xfId="0" applyFont="1" applyAlignment="1" applyProtection="1">
      <alignment horizontal="center" vertical="center"/>
      <protection locked="0"/>
    </xf>
    <xf numFmtId="0" fontId="55" fillId="0" borderId="43" xfId="0" applyFont="1" applyBorder="1" applyAlignment="1">
      <alignment horizontal="center" vertical="center" wrapText="1"/>
    </xf>
    <xf numFmtId="0" fontId="55" fillId="0" borderId="32" xfId="0" applyFont="1" applyBorder="1" applyAlignment="1">
      <alignment horizontal="center" vertical="center" wrapText="1"/>
    </xf>
    <xf numFmtId="0" fontId="55" fillId="0" borderId="27" xfId="0" applyFont="1" applyBorder="1" applyAlignment="1">
      <alignment horizontal="center" vertical="center" wrapText="1"/>
    </xf>
    <xf numFmtId="0" fontId="65" fillId="0" borderId="1" xfId="0" applyFont="1" applyBorder="1" applyAlignment="1">
      <alignment horizontal="center" vertical="center" wrapText="1"/>
    </xf>
    <xf numFmtId="0" fontId="65" fillId="0" borderId="4" xfId="0" applyFont="1" applyBorder="1" applyAlignment="1">
      <alignment horizontal="center" vertical="center" wrapText="1"/>
    </xf>
    <xf numFmtId="0" fontId="65" fillId="0" borderId="2" xfId="0" applyFont="1" applyBorder="1" applyAlignment="1">
      <alignment horizontal="center" vertical="center" wrapText="1"/>
    </xf>
    <xf numFmtId="0" fontId="55" fillId="12" borderId="0" xfId="0" quotePrefix="1" applyFont="1" applyFill="1" applyAlignment="1" applyProtection="1">
      <alignment horizontal="left" vertical="center"/>
      <protection locked="0"/>
    </xf>
    <xf numFmtId="0" fontId="97" fillId="0" borderId="1" xfId="0" applyFont="1" applyBorder="1" applyAlignment="1" applyProtection="1">
      <alignment horizontal="left" vertical="center"/>
      <protection locked="0"/>
    </xf>
    <xf numFmtId="0" fontId="97" fillId="0" borderId="4" xfId="0" applyFont="1" applyBorder="1" applyAlignment="1" applyProtection="1">
      <alignment horizontal="left" vertical="center"/>
      <protection locked="0"/>
    </xf>
    <xf numFmtId="0" fontId="97" fillId="0" borderId="2" xfId="0" applyFont="1" applyBorder="1" applyAlignment="1" applyProtection="1">
      <alignment horizontal="left" vertical="center"/>
      <protection locked="0"/>
    </xf>
    <xf numFmtId="0" fontId="55" fillId="2" borderId="0" xfId="0" applyFont="1" applyFill="1" applyAlignment="1">
      <alignment horizontal="center" vertical="center" wrapText="1"/>
    </xf>
    <xf numFmtId="0" fontId="97" fillId="12" borderId="0" xfId="0" applyFont="1" applyFill="1" applyAlignment="1" applyProtection="1">
      <alignment horizontal="left" vertical="center"/>
      <protection locked="0"/>
    </xf>
    <xf numFmtId="0" fontId="55" fillId="0" borderId="0" xfId="0" applyFont="1" applyAlignment="1" applyProtection="1">
      <alignment horizontal="left" vertical="top" wrapText="1"/>
      <protection locked="0"/>
    </xf>
    <xf numFmtId="0" fontId="55" fillId="0" borderId="36" xfId="0" applyFont="1" applyBorder="1" applyAlignment="1">
      <alignment horizontal="center" vertical="center" wrapText="1"/>
    </xf>
    <xf numFmtId="0" fontId="55" fillId="0" borderId="48" xfId="0" applyFont="1" applyBorder="1" applyAlignment="1">
      <alignment horizontal="center" vertical="center" wrapText="1"/>
    </xf>
    <xf numFmtId="0" fontId="55" fillId="0" borderId="30" xfId="0" applyFont="1" applyBorder="1" applyAlignment="1">
      <alignment horizontal="center" vertical="center" wrapText="1"/>
    </xf>
    <xf numFmtId="0" fontId="55" fillId="0" borderId="7" xfId="0" applyFont="1" applyBorder="1" applyAlignment="1">
      <alignment horizontal="center" vertical="center"/>
    </xf>
    <xf numFmtId="0" fontId="55" fillId="0" borderId="49" xfId="0" applyFont="1" applyBorder="1" applyAlignment="1">
      <alignment horizontal="center" vertical="center"/>
    </xf>
    <xf numFmtId="0" fontId="55" fillId="0" borderId="34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55" fillId="0" borderId="14" xfId="0" applyFont="1" applyBorder="1" applyAlignment="1">
      <alignment horizontal="center" vertical="center"/>
    </xf>
    <xf numFmtId="2" fontId="55" fillId="0" borderId="7" xfId="0" applyNumberFormat="1" applyFont="1" applyBorder="1" applyAlignment="1">
      <alignment horizontal="center" vertical="center" wrapText="1"/>
    </xf>
    <xf numFmtId="2" fontId="55" fillId="0" borderId="49" xfId="0" applyNumberFormat="1" applyFont="1" applyBorder="1" applyAlignment="1">
      <alignment horizontal="center" vertical="center" wrapText="1"/>
    </xf>
    <xf numFmtId="0" fontId="55" fillId="12" borderId="0" xfId="0" applyFont="1" applyFill="1" applyAlignment="1" applyProtection="1">
      <alignment horizontal="left" vertical="center"/>
      <protection locked="0"/>
    </xf>
    <xf numFmtId="0" fontId="55" fillId="0" borderId="48" xfId="0" applyFont="1" applyBorder="1" applyAlignment="1">
      <alignment horizontal="center" vertical="center"/>
    </xf>
    <xf numFmtId="0" fontId="55" fillId="8" borderId="0" xfId="0" applyFont="1" applyFill="1" applyAlignment="1" applyProtection="1">
      <alignment horizontal="left" vertical="center"/>
      <protection locked="0"/>
    </xf>
    <xf numFmtId="0" fontId="55" fillId="0" borderId="68" xfId="0" applyFont="1" applyBorder="1" applyAlignment="1">
      <alignment horizontal="center" vertical="center"/>
    </xf>
    <xf numFmtId="0" fontId="55" fillId="0" borderId="69" xfId="0" applyFont="1" applyBorder="1" applyAlignment="1">
      <alignment horizontal="center" vertical="center"/>
    </xf>
    <xf numFmtId="0" fontId="55" fillId="0" borderId="70" xfId="0" applyFont="1" applyBorder="1" applyAlignment="1">
      <alignment horizontal="center" vertical="center"/>
    </xf>
    <xf numFmtId="0" fontId="58" fillId="0" borderId="0" xfId="0" applyFont="1" applyAlignment="1" applyProtection="1">
      <alignment horizontal="left" vertical="center"/>
      <protection locked="0"/>
    </xf>
    <xf numFmtId="164" fontId="55" fillId="2" borderId="0" xfId="0" applyNumberFormat="1" applyFont="1" applyFill="1" applyAlignment="1" applyProtection="1">
      <alignment horizontal="center" vertical="center"/>
      <protection locked="0"/>
    </xf>
    <xf numFmtId="164" fontId="55" fillId="0" borderId="3" xfId="0" applyNumberFormat="1" applyFont="1" applyBorder="1" applyAlignment="1" applyProtection="1">
      <alignment horizontal="center" vertical="center" wrapText="1"/>
      <protection hidden="1"/>
    </xf>
    <xf numFmtId="164" fontId="55" fillId="0" borderId="3" xfId="0" applyNumberFormat="1" applyFont="1" applyBorder="1" applyAlignment="1" applyProtection="1">
      <alignment horizontal="center" vertical="center"/>
      <protection hidden="1"/>
    </xf>
    <xf numFmtId="0" fontId="55" fillId="0" borderId="1" xfId="0" applyFont="1" applyBorder="1" applyAlignment="1" applyProtection="1">
      <alignment horizontal="center" vertical="center"/>
      <protection hidden="1"/>
    </xf>
    <xf numFmtId="0" fontId="55" fillId="0" borderId="2" xfId="0" applyFont="1" applyBorder="1" applyAlignment="1" applyProtection="1">
      <alignment horizontal="center" vertical="center"/>
      <protection hidden="1"/>
    </xf>
    <xf numFmtId="164" fontId="55" fillId="0" borderId="5" xfId="0" applyNumberFormat="1" applyFont="1" applyBorder="1" applyAlignment="1" applyProtection="1">
      <alignment horizontal="center" vertical="center" wrapText="1"/>
      <protection hidden="1"/>
    </xf>
    <xf numFmtId="164" fontId="55" fillId="0" borderId="41" xfId="0" applyNumberFormat="1" applyFont="1" applyBorder="1" applyAlignment="1" applyProtection="1">
      <alignment horizontal="center" vertical="center" wrapText="1"/>
      <protection hidden="1"/>
    </xf>
    <xf numFmtId="0" fontId="67" fillId="0" borderId="3" xfId="0" applyFont="1" applyBorder="1" applyAlignment="1" applyProtection="1">
      <alignment horizontal="center" vertical="center" wrapText="1"/>
      <protection locked="0"/>
    </xf>
    <xf numFmtId="0" fontId="67" fillId="0" borderId="5" xfId="0" applyFont="1" applyBorder="1" applyAlignment="1" applyProtection="1">
      <alignment horizontal="center" vertical="center" wrapText="1"/>
      <protection locked="0"/>
    </xf>
    <xf numFmtId="0" fontId="67" fillId="0" borderId="41" xfId="0" applyFont="1" applyBorder="1" applyAlignment="1" applyProtection="1">
      <alignment horizontal="center" vertical="center" wrapText="1"/>
      <protection locked="0"/>
    </xf>
    <xf numFmtId="0" fontId="55" fillId="0" borderId="66" xfId="0" applyFont="1" applyBorder="1" applyAlignment="1" applyProtection="1">
      <alignment horizontal="center" vertical="center"/>
      <protection hidden="1"/>
    </xf>
    <xf numFmtId="0" fontId="55" fillId="0" borderId="64" xfId="0" applyFont="1" applyBorder="1" applyAlignment="1" applyProtection="1">
      <alignment horizontal="center" vertical="center"/>
      <protection hidden="1"/>
    </xf>
    <xf numFmtId="0" fontId="55" fillId="0" borderId="3" xfId="0" applyFont="1" applyBorder="1" applyAlignment="1" applyProtection="1">
      <alignment horizontal="center" vertical="center" wrapText="1"/>
      <protection hidden="1"/>
    </xf>
    <xf numFmtId="0" fontId="55" fillId="0" borderId="3" xfId="0" applyFont="1" applyBorder="1" applyAlignment="1" applyProtection="1">
      <alignment horizontal="center" vertical="center"/>
      <protection hidden="1"/>
    </xf>
    <xf numFmtId="0" fontId="39" fillId="2" borderId="0" xfId="0" applyFont="1" applyFill="1" applyAlignment="1" applyProtection="1">
      <alignment horizontal="center" vertical="center"/>
      <protection locked="0"/>
    </xf>
    <xf numFmtId="0" fontId="99" fillId="2" borderId="0" xfId="0" applyFont="1" applyFill="1" applyAlignment="1" applyProtection="1">
      <alignment horizontal="center" vertical="center"/>
      <protection locked="0"/>
    </xf>
    <xf numFmtId="0" fontId="29" fillId="0" borderId="1" xfId="0" applyFont="1" applyBorder="1" applyAlignment="1" applyProtection="1">
      <alignment horizontal="center" vertical="center" wrapText="1"/>
      <protection hidden="1"/>
    </xf>
    <xf numFmtId="0" fontId="29" fillId="0" borderId="4" xfId="0" applyFont="1" applyBorder="1" applyAlignment="1" applyProtection="1">
      <alignment horizontal="center" vertical="center" wrapText="1"/>
      <protection hidden="1"/>
    </xf>
    <xf numFmtId="0" fontId="29" fillId="0" borderId="2" xfId="0" applyFont="1" applyBorder="1" applyAlignment="1" applyProtection="1">
      <alignment horizontal="center" vertical="center" wrapText="1"/>
      <protection hidden="1"/>
    </xf>
    <xf numFmtId="0" fontId="29" fillId="0" borderId="62" xfId="0" applyFont="1" applyBorder="1" applyAlignment="1" applyProtection="1">
      <alignment horizontal="center" vertical="center" wrapText="1"/>
      <protection hidden="1"/>
    </xf>
    <xf numFmtId="0" fontId="29" fillId="0" borderId="64" xfId="0" applyFont="1" applyBorder="1" applyAlignment="1" applyProtection="1">
      <alignment horizontal="center" vertical="center" wrapText="1"/>
      <protection hidden="1"/>
    </xf>
    <xf numFmtId="0" fontId="55" fillId="0" borderId="62" xfId="0" applyFont="1" applyBorder="1" applyAlignment="1" applyProtection="1">
      <alignment horizontal="center" vertical="center" wrapText="1"/>
      <protection hidden="1"/>
    </xf>
    <xf numFmtId="0" fontId="55" fillId="0" borderId="64" xfId="0" applyFont="1" applyBorder="1" applyAlignment="1" applyProtection="1">
      <alignment horizontal="center" vertical="center" wrapText="1"/>
      <protection hidden="1"/>
    </xf>
    <xf numFmtId="0" fontId="55" fillId="0" borderId="88" xfId="0" applyFont="1" applyBorder="1" applyAlignment="1" applyProtection="1">
      <alignment horizontal="center" vertical="center" wrapText="1"/>
      <protection hidden="1"/>
    </xf>
    <xf numFmtId="0" fontId="55" fillId="0" borderId="66" xfId="0" applyFont="1" applyBorder="1" applyAlignment="1" applyProtection="1">
      <alignment horizontal="center" vertical="center" wrapText="1"/>
      <protection hidden="1"/>
    </xf>
    <xf numFmtId="0" fontId="55" fillId="0" borderId="66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64" xfId="0" applyFont="1" applyBorder="1" applyAlignment="1">
      <alignment horizontal="center" vertical="center"/>
    </xf>
    <xf numFmtId="0" fontId="55" fillId="0" borderId="49" xfId="0" applyFont="1" applyBorder="1" applyAlignment="1">
      <alignment horizontal="center" vertical="center" wrapText="1"/>
    </xf>
    <xf numFmtId="177" fontId="55" fillId="0" borderId="5" xfId="0" applyNumberFormat="1" applyFont="1" applyBorder="1" applyAlignment="1" applyProtection="1">
      <alignment horizontal="center" vertical="center"/>
      <protection hidden="1"/>
    </xf>
    <xf numFmtId="177" fontId="55" fillId="0" borderId="49" xfId="0" applyNumberFormat="1" applyFont="1" applyBorder="1" applyAlignment="1" applyProtection="1">
      <alignment horizontal="center" vertical="center"/>
      <protection hidden="1"/>
    </xf>
    <xf numFmtId="177" fontId="55" fillId="0" borderId="41" xfId="0" applyNumberFormat="1" applyFont="1" applyBorder="1" applyAlignment="1" applyProtection="1">
      <alignment horizontal="center" vertical="center"/>
      <protection hidden="1"/>
    </xf>
    <xf numFmtId="0" fontId="55" fillId="0" borderId="67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1" fontId="97" fillId="0" borderId="64" xfId="0" applyNumberFormat="1" applyFont="1" applyBorder="1" applyAlignment="1" applyProtection="1">
      <alignment horizontal="left" vertical="center"/>
      <protection hidden="1"/>
    </xf>
    <xf numFmtId="1" fontId="97" fillId="0" borderId="66" xfId="0" applyNumberFormat="1" applyFont="1" applyBorder="1" applyAlignment="1" applyProtection="1">
      <alignment horizontal="left" vertical="center"/>
      <protection hidden="1"/>
    </xf>
    <xf numFmtId="0" fontId="55" fillId="0" borderId="62" xfId="0" applyFont="1" applyBorder="1" applyAlignment="1" applyProtection="1">
      <alignment horizontal="right" vertical="center"/>
      <protection hidden="1"/>
    </xf>
    <xf numFmtId="0" fontId="55" fillId="0" borderId="88" xfId="0" applyFont="1" applyBorder="1" applyAlignment="1" applyProtection="1">
      <alignment horizontal="right" vertical="center"/>
      <protection hidden="1"/>
    </xf>
    <xf numFmtId="0" fontId="55" fillId="0" borderId="62" xfId="0" applyFont="1" applyBorder="1" applyAlignment="1" applyProtection="1">
      <alignment horizontal="center" vertical="center"/>
      <protection hidden="1"/>
    </xf>
    <xf numFmtId="0" fontId="55" fillId="0" borderId="88" xfId="0" applyFont="1" applyBorder="1" applyAlignment="1" applyProtection="1">
      <alignment horizontal="center" vertical="center"/>
      <protection hidden="1"/>
    </xf>
    <xf numFmtId="0" fontId="55" fillId="0" borderId="22" xfId="0" applyFont="1" applyBorder="1" applyAlignment="1" applyProtection="1">
      <alignment horizontal="center" vertical="center" wrapText="1"/>
      <protection hidden="1"/>
    </xf>
    <xf numFmtId="0" fontId="55" fillId="0" borderId="61" xfId="0" applyFont="1" applyBorder="1" applyAlignment="1" applyProtection="1">
      <alignment horizontal="center" vertical="center" wrapText="1"/>
      <protection hidden="1"/>
    </xf>
    <xf numFmtId="1" fontId="97" fillId="0" borderId="61" xfId="0" applyNumberFormat="1" applyFont="1" applyBorder="1" applyAlignment="1" applyProtection="1">
      <alignment horizontal="left" vertical="center"/>
      <protection hidden="1"/>
    </xf>
    <xf numFmtId="0" fontId="55" fillId="0" borderId="22" xfId="0" applyFont="1" applyBorder="1" applyAlignment="1" applyProtection="1">
      <alignment horizontal="right" vertical="center"/>
      <protection hidden="1"/>
    </xf>
    <xf numFmtId="9" fontId="55" fillId="0" borderId="0" xfId="0" applyNumberFormat="1" applyFont="1" applyAlignment="1" applyProtection="1">
      <alignment horizontal="center" vertical="center"/>
      <protection locked="0"/>
    </xf>
    <xf numFmtId="164" fontId="55" fillId="0" borderId="0" xfId="0" applyNumberFormat="1" applyFont="1" applyAlignment="1" applyProtection="1">
      <alignment horizontal="left" vertical="top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1" fontId="55" fillId="0" borderId="64" xfId="0" applyNumberFormat="1" applyFont="1" applyBorder="1" applyAlignment="1" applyProtection="1">
      <alignment horizontal="left" vertical="center"/>
      <protection hidden="1"/>
    </xf>
    <xf numFmtId="1" fontId="55" fillId="0" borderId="61" xfId="0" applyNumberFormat="1" applyFont="1" applyBorder="1" applyAlignment="1" applyProtection="1">
      <alignment horizontal="left" vertical="center"/>
      <protection hidden="1"/>
    </xf>
    <xf numFmtId="1" fontId="55" fillId="0" borderId="66" xfId="0" applyNumberFormat="1" applyFont="1" applyBorder="1" applyAlignment="1" applyProtection="1">
      <alignment horizontal="left" vertical="center"/>
      <protection hidden="1"/>
    </xf>
    <xf numFmtId="0" fontId="35" fillId="0" borderId="0" xfId="5" applyFont="1" applyAlignment="1">
      <alignment horizontal="left" vertical="center" wrapText="1"/>
    </xf>
    <xf numFmtId="188" fontId="35" fillId="0" borderId="0" xfId="5" applyNumberFormat="1" applyFont="1" applyAlignment="1">
      <alignment horizontal="left" vertical="center" wrapText="1"/>
    </xf>
    <xf numFmtId="185" fontId="35" fillId="0" borderId="0" xfId="5" applyNumberFormat="1" applyFont="1" applyAlignment="1">
      <alignment horizontal="left" vertical="top" wrapText="1"/>
    </xf>
    <xf numFmtId="0" fontId="35" fillId="0" borderId="0" xfId="5" applyFont="1" applyAlignment="1">
      <alignment horizontal="left" vertical="top" wrapText="1"/>
    </xf>
    <xf numFmtId="0" fontId="35" fillId="9" borderId="0" xfId="5" applyFont="1" applyFill="1" applyAlignment="1">
      <alignment horizontal="justify" vertical="top"/>
    </xf>
    <xf numFmtId="0" fontId="2" fillId="0" borderId="0" xfId="5" applyFont="1" applyAlignment="1">
      <alignment horizontal="left" vertical="center" wrapText="1"/>
    </xf>
    <xf numFmtId="0" fontId="83" fillId="0" borderId="0" xfId="5" quotePrefix="1" applyFont="1" applyAlignment="1" applyProtection="1">
      <alignment horizontal="left"/>
      <protection locked="0"/>
    </xf>
    <xf numFmtId="0" fontId="83" fillId="0" borderId="0" xfId="5" applyFont="1" applyAlignment="1" applyProtection="1">
      <alignment horizontal="left"/>
      <protection locked="0"/>
    </xf>
    <xf numFmtId="0" fontId="84" fillId="0" borderId="0" xfId="5" applyFont="1" applyAlignment="1" applyProtection="1">
      <alignment horizontal="left" vertical="center" wrapText="1"/>
      <protection locked="0"/>
    </xf>
    <xf numFmtId="0" fontId="35" fillId="0" borderId="1" xfId="5" applyFont="1" applyBorder="1" applyAlignment="1">
      <alignment horizontal="left" vertical="top" wrapText="1"/>
    </xf>
    <xf numFmtId="0" fontId="35" fillId="0" borderId="4" xfId="5" applyFont="1" applyBorder="1" applyAlignment="1">
      <alignment horizontal="left" vertical="top" wrapText="1"/>
    </xf>
    <xf numFmtId="0" fontId="80" fillId="0" borderId="0" xfId="5" applyFont="1" applyAlignment="1">
      <alignment horizontal="center"/>
    </xf>
    <xf numFmtId="0" fontId="35" fillId="0" borderId="0" xfId="5" applyFont="1" applyAlignment="1" applyProtection="1">
      <alignment horizontal="left" vertical="top" wrapText="1"/>
      <protection locked="0"/>
    </xf>
    <xf numFmtId="0" fontId="35" fillId="0" borderId="0" xfId="5" applyFont="1" applyAlignment="1" applyProtection="1">
      <alignment horizontal="justify" vertical="top" wrapText="1"/>
      <protection locked="0"/>
    </xf>
    <xf numFmtId="187" fontId="83" fillId="0" borderId="0" xfId="5" quotePrefix="1" applyNumberFormat="1" applyFont="1" applyAlignment="1" applyProtection="1">
      <alignment horizontal="left" vertical="center"/>
      <protection locked="0"/>
    </xf>
    <xf numFmtId="187" fontId="83" fillId="0" borderId="0" xfId="5" applyNumberFormat="1" applyFont="1" applyAlignment="1" applyProtection="1">
      <alignment horizontal="left" vertical="center"/>
      <protection locked="0"/>
    </xf>
    <xf numFmtId="0" fontId="84" fillId="0" borderId="0" xfId="5" quotePrefix="1" applyFont="1" applyAlignment="1" applyProtection="1">
      <alignment horizontal="left" vertical="center" wrapText="1"/>
      <protection locked="0"/>
    </xf>
    <xf numFmtId="11" fontId="83" fillId="0" borderId="0" xfId="5" quotePrefix="1" applyNumberFormat="1" applyFont="1" applyAlignment="1" applyProtection="1">
      <alignment horizontal="left"/>
      <protection locked="0"/>
    </xf>
    <xf numFmtId="0" fontId="92" fillId="0" borderId="0" xfId="5" applyFont="1" applyAlignment="1" applyProtection="1">
      <alignment horizontal="center" vertical="center"/>
      <protection locked="0"/>
    </xf>
    <xf numFmtId="185" fontId="83" fillId="0" borderId="0" xfId="5" quotePrefix="1" applyNumberFormat="1" applyFont="1" applyAlignment="1" applyProtection="1">
      <alignment horizontal="center" vertical="center"/>
      <protection locked="0"/>
    </xf>
    <xf numFmtId="185" fontId="83" fillId="0" borderId="0" xfId="5" applyNumberFormat="1" applyFont="1" applyAlignment="1" applyProtection="1">
      <alignment horizontal="center" vertical="center"/>
      <protection locked="0"/>
    </xf>
    <xf numFmtId="0" fontId="35" fillId="0" borderId="0" xfId="5" applyFont="1" applyAlignment="1">
      <alignment horizontal="center"/>
    </xf>
    <xf numFmtId="0" fontId="93" fillId="0" borderId="0" xfId="5" applyFont="1" applyAlignment="1">
      <alignment horizontal="right" vertical="center"/>
    </xf>
    <xf numFmtId="0" fontId="81" fillId="0" borderId="0" xfId="5" applyFont="1" applyAlignment="1">
      <alignment horizontal="center"/>
    </xf>
    <xf numFmtId="0" fontId="67" fillId="0" borderId="22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55" fillId="0" borderId="1" xfId="0" applyFont="1" applyBorder="1" applyAlignment="1" applyProtection="1">
      <alignment horizontal="center" vertical="center"/>
      <protection locked="0"/>
    </xf>
    <xf numFmtId="0" fontId="55" fillId="0" borderId="2" xfId="0" applyFont="1" applyBorder="1" applyAlignment="1" applyProtection="1">
      <alignment horizontal="center" vertical="center"/>
      <protection locked="0"/>
    </xf>
    <xf numFmtId="0" fontId="55" fillId="0" borderId="3" xfId="0" applyFont="1" applyBorder="1" applyAlignment="1" applyProtection="1">
      <alignment horizontal="center" vertical="center"/>
      <protection locked="0"/>
    </xf>
    <xf numFmtId="0" fontId="67" fillId="0" borderId="3" xfId="0" applyFont="1" applyBorder="1" applyAlignment="1" applyProtection="1">
      <alignment horizontal="center" vertical="center"/>
      <protection locked="0"/>
    </xf>
    <xf numFmtId="0" fontId="55" fillId="0" borderId="5" xfId="0" applyFont="1" applyBorder="1" applyAlignment="1" applyProtection="1">
      <alignment horizontal="center" vertical="center"/>
      <protection hidden="1"/>
    </xf>
    <xf numFmtId="0" fontId="55" fillId="0" borderId="41" xfId="0" applyFont="1" applyBorder="1" applyAlignment="1" applyProtection="1">
      <alignment horizontal="center" vertical="center"/>
      <protection hidden="1"/>
    </xf>
    <xf numFmtId="0" fontId="71" fillId="0" borderId="1" xfId="0" applyFont="1" applyBorder="1" applyAlignment="1" applyProtection="1">
      <alignment horizontal="center" vertical="center"/>
      <protection locked="0"/>
    </xf>
    <xf numFmtId="0" fontId="55" fillId="0" borderId="5" xfId="0" applyFont="1" applyBorder="1" applyAlignment="1" applyProtection="1">
      <alignment horizontal="center" vertical="center" wrapText="1"/>
      <protection hidden="1"/>
    </xf>
    <xf numFmtId="0" fontId="55" fillId="0" borderId="41" xfId="0" applyFont="1" applyBorder="1" applyAlignment="1" applyProtection="1">
      <alignment horizontal="center" vertical="center" wrapText="1"/>
      <protection hidden="1"/>
    </xf>
    <xf numFmtId="0" fontId="70" fillId="2" borderId="0" xfId="0" applyFont="1" applyFill="1" applyAlignment="1" applyProtection="1">
      <alignment horizontal="center" vertical="center"/>
      <protection locked="0"/>
    </xf>
    <xf numFmtId="0" fontId="67" fillId="0" borderId="2" xfId="0" applyFont="1" applyBorder="1" applyAlignment="1" applyProtection="1">
      <alignment horizontal="center" vertical="center"/>
      <protection locked="0"/>
    </xf>
    <xf numFmtId="2" fontId="67" fillId="0" borderId="5" xfId="0" applyNumberFormat="1" applyFont="1" applyBorder="1" applyAlignment="1" applyProtection="1">
      <alignment horizontal="center" vertical="center"/>
      <protection locked="0"/>
    </xf>
    <xf numFmtId="0" fontId="67" fillId="0" borderId="49" xfId="0" applyFont="1" applyBorder="1" applyAlignment="1" applyProtection="1">
      <alignment horizontal="center" vertical="center"/>
      <protection locked="0"/>
    </xf>
    <xf numFmtId="0" fontId="67" fillId="0" borderId="41" xfId="0" applyFont="1" applyBorder="1" applyAlignment="1" applyProtection="1">
      <alignment horizontal="center" vertical="center"/>
      <protection locked="0"/>
    </xf>
    <xf numFmtId="165" fontId="67" fillId="0" borderId="5" xfId="0" applyNumberFormat="1" applyFont="1" applyBorder="1" applyAlignment="1" applyProtection="1">
      <alignment horizontal="center" vertical="center"/>
      <protection locked="0"/>
    </xf>
    <xf numFmtId="0" fontId="67" fillId="0" borderId="1" xfId="0" applyFont="1" applyBorder="1" applyAlignment="1" applyProtection="1">
      <alignment horizontal="left" vertical="center"/>
      <protection locked="0"/>
    </xf>
    <xf numFmtId="0" fontId="67" fillId="0" borderId="4" xfId="0" applyFont="1" applyBorder="1" applyAlignment="1" applyProtection="1">
      <alignment horizontal="left" vertical="center"/>
      <protection locked="0"/>
    </xf>
    <xf numFmtId="0" fontId="67" fillId="0" borderId="2" xfId="0" applyFont="1" applyBorder="1" applyAlignment="1" applyProtection="1">
      <alignment horizontal="left" vertical="center"/>
      <protection locked="0"/>
    </xf>
    <xf numFmtId="0" fontId="74" fillId="0" borderId="5" xfId="0" applyFont="1" applyBorder="1" applyAlignment="1" applyProtection="1">
      <alignment horizontal="center" vertical="center" wrapText="1"/>
      <protection locked="0"/>
    </xf>
    <xf numFmtId="0" fontId="74" fillId="0" borderId="49" xfId="0" applyFont="1" applyBorder="1" applyAlignment="1" applyProtection="1">
      <alignment horizontal="center" vertical="center" wrapText="1"/>
      <protection locked="0"/>
    </xf>
    <xf numFmtId="0" fontId="74" fillId="0" borderId="41" xfId="0" applyFont="1" applyBorder="1" applyAlignment="1" applyProtection="1">
      <alignment horizontal="center" vertical="center" wrapText="1"/>
      <protection locked="0"/>
    </xf>
    <xf numFmtId="0" fontId="74" fillId="0" borderId="5" xfId="0" applyFont="1" applyBorder="1" applyAlignment="1" applyProtection="1">
      <alignment horizontal="center" vertical="center"/>
      <protection locked="0"/>
    </xf>
    <xf numFmtId="0" fontId="74" fillId="0" borderId="49" xfId="0" applyFont="1" applyBorder="1" applyAlignment="1" applyProtection="1">
      <alignment horizontal="center" vertical="center"/>
      <protection locked="0"/>
    </xf>
    <xf numFmtId="0" fontId="74" fillId="0" borderId="41" xfId="0" applyFont="1" applyBorder="1" applyAlignment="1" applyProtection="1">
      <alignment horizontal="center" vertical="center"/>
      <protection locked="0"/>
    </xf>
    <xf numFmtId="0" fontId="67" fillId="0" borderId="0" xfId="0" applyFont="1" applyAlignment="1" applyProtection="1">
      <alignment horizontal="center" vertical="center" wrapText="1"/>
      <protection locked="0"/>
    </xf>
    <xf numFmtId="0" fontId="67" fillId="0" borderId="0" xfId="0" applyFont="1" applyAlignment="1" applyProtection="1">
      <alignment horizontal="center" vertical="center"/>
      <protection locked="0"/>
    </xf>
    <xf numFmtId="0" fontId="67" fillId="0" borderId="3" xfId="0" applyFont="1" applyBorder="1" applyAlignment="1" applyProtection="1">
      <alignment horizontal="left" vertical="center"/>
      <protection locked="0"/>
    </xf>
    <xf numFmtId="0" fontId="71" fillId="0" borderId="3" xfId="0" applyFont="1" applyBorder="1" applyAlignment="1" applyProtection="1">
      <alignment horizontal="center" vertical="center"/>
      <protection locked="0"/>
    </xf>
    <xf numFmtId="0" fontId="19" fillId="13" borderId="3" xfId="1" applyFont="1" applyFill="1" applyBorder="1" applyAlignment="1" applyProtection="1">
      <alignment horizontal="center" vertical="center"/>
      <protection locked="0"/>
    </xf>
    <xf numFmtId="0" fontId="32" fillId="13" borderId="3" xfId="1" applyFont="1" applyFill="1" applyBorder="1" applyAlignment="1" applyProtection="1">
      <alignment horizontal="center" vertical="center"/>
      <protection locked="0"/>
    </xf>
    <xf numFmtId="0" fontId="16" fillId="13" borderId="3" xfId="1" applyFont="1" applyFill="1" applyBorder="1" applyAlignment="1" applyProtection="1">
      <alignment horizontal="center" vertical="center"/>
      <protection locked="0"/>
    </xf>
    <xf numFmtId="0" fontId="12" fillId="0" borderId="11" xfId="1" applyBorder="1" applyAlignment="1" applyProtection="1">
      <alignment horizontal="center" vertical="center"/>
      <protection locked="0"/>
    </xf>
    <xf numFmtId="0" fontId="12" fillId="0" borderId="8" xfId="1" applyBorder="1" applyAlignment="1" applyProtection="1">
      <alignment horizontal="center" vertical="center"/>
      <protection locked="0"/>
    </xf>
    <xf numFmtId="0" fontId="12" fillId="0" borderId="9" xfId="1" applyBorder="1" applyAlignment="1" applyProtection="1">
      <alignment horizontal="center" vertical="center"/>
      <protection locked="0"/>
    </xf>
    <xf numFmtId="0" fontId="13" fillId="13" borderId="3" xfId="1" applyFont="1" applyFill="1" applyBorder="1" applyAlignment="1" applyProtection="1">
      <alignment horizontal="center" vertical="center"/>
      <protection locked="0"/>
    </xf>
    <xf numFmtId="0" fontId="30" fillId="10" borderId="52" xfId="1" applyFont="1" applyFill="1" applyBorder="1" applyAlignment="1" applyProtection="1">
      <alignment horizontal="center" vertical="center"/>
      <protection locked="0"/>
    </xf>
    <xf numFmtId="0" fontId="30" fillId="10" borderId="17" xfId="1" applyFont="1" applyFill="1" applyBorder="1" applyAlignment="1" applyProtection="1">
      <alignment horizontal="center" vertical="center"/>
      <protection locked="0"/>
    </xf>
    <xf numFmtId="0" fontId="30" fillId="10" borderId="53" xfId="1" applyFont="1" applyFill="1" applyBorder="1" applyAlignment="1" applyProtection="1">
      <alignment horizontal="center" vertical="center"/>
      <protection locked="0"/>
    </xf>
    <xf numFmtId="0" fontId="30" fillId="10" borderId="18" xfId="1" applyFont="1" applyFill="1" applyBorder="1" applyAlignment="1" applyProtection="1">
      <alignment horizontal="center" vertical="center"/>
      <protection locked="0"/>
    </xf>
    <xf numFmtId="1" fontId="21" fillId="13" borderId="3" xfId="1" applyNumberFormat="1" applyFont="1" applyFill="1" applyBorder="1" applyAlignment="1" applyProtection="1">
      <alignment horizontal="center" vertical="center"/>
      <protection locked="0"/>
    </xf>
    <xf numFmtId="1" fontId="21" fillId="13" borderId="11" xfId="1" applyNumberFormat="1" applyFont="1" applyFill="1" applyBorder="1" applyAlignment="1" applyProtection="1">
      <alignment horizontal="center" vertical="center"/>
      <protection locked="0"/>
    </xf>
    <xf numFmtId="1" fontId="21" fillId="13" borderId="18" xfId="1" applyNumberFormat="1" applyFont="1" applyFill="1" applyBorder="1" applyAlignment="1" applyProtection="1">
      <alignment horizontal="center" vertical="center"/>
      <protection locked="0"/>
    </xf>
    <xf numFmtId="0" fontId="19" fillId="13" borderId="52" xfId="1" applyFont="1" applyFill="1" applyBorder="1" applyAlignment="1" applyProtection="1">
      <alignment horizontal="center" vertical="center"/>
      <protection locked="0"/>
    </xf>
    <xf numFmtId="0" fontId="19" fillId="13" borderId="55" xfId="1" applyFont="1" applyFill="1" applyBorder="1" applyAlignment="1" applyProtection="1">
      <alignment horizontal="center" vertical="center"/>
      <protection locked="0"/>
    </xf>
    <xf numFmtId="0" fontId="19" fillId="13" borderId="56" xfId="1" applyFont="1" applyFill="1" applyBorder="1" applyAlignment="1" applyProtection="1">
      <alignment horizontal="center" vertical="center"/>
      <protection locked="0"/>
    </xf>
    <xf numFmtId="0" fontId="19" fillId="13" borderId="53" xfId="1" applyFont="1" applyFill="1" applyBorder="1" applyAlignment="1" applyProtection="1">
      <alignment horizontal="center" vertical="center"/>
      <protection locked="0"/>
    </xf>
    <xf numFmtId="0" fontId="19" fillId="13" borderId="12" xfId="1" applyFont="1" applyFill="1" applyBorder="1" applyAlignment="1" applyProtection="1">
      <alignment horizontal="center" vertical="center"/>
      <protection locked="0"/>
    </xf>
    <xf numFmtId="0" fontId="19" fillId="13" borderId="58" xfId="1" applyFont="1" applyFill="1" applyBorder="1" applyAlignment="1" applyProtection="1">
      <alignment horizontal="center" vertical="center"/>
      <protection locked="0"/>
    </xf>
    <xf numFmtId="0" fontId="32" fillId="13" borderId="52" xfId="1" applyFont="1" applyFill="1" applyBorder="1" applyAlignment="1" applyProtection="1">
      <alignment horizontal="center" vertical="center"/>
      <protection locked="0"/>
    </xf>
    <xf numFmtId="0" fontId="32" fillId="13" borderId="55" xfId="1" applyFont="1" applyFill="1" applyBorder="1" applyAlignment="1" applyProtection="1">
      <alignment horizontal="center" vertical="center"/>
      <protection locked="0"/>
    </xf>
    <xf numFmtId="0" fontId="16" fillId="13" borderId="9" xfId="1" applyFont="1" applyFill="1" applyBorder="1" applyAlignment="1" applyProtection="1">
      <alignment horizontal="center" vertical="center"/>
      <protection locked="0"/>
    </xf>
    <xf numFmtId="0" fontId="32" fillId="13" borderId="59" xfId="1" applyFont="1" applyFill="1" applyBorder="1" applyAlignment="1" applyProtection="1">
      <alignment horizontal="center" vertical="center"/>
      <protection locked="0"/>
    </xf>
    <xf numFmtId="0" fontId="12" fillId="0" borderId="12" xfId="1" applyBorder="1" applyAlignment="1" applyProtection="1">
      <alignment horizontal="center" vertical="center"/>
      <protection locked="0"/>
    </xf>
    <xf numFmtId="0" fontId="12" fillId="0" borderId="54" xfId="1" applyBorder="1" applyAlignment="1" applyProtection="1">
      <alignment horizontal="center" vertical="center"/>
      <protection locked="0"/>
    </xf>
    <xf numFmtId="0" fontId="12" fillId="0" borderId="58" xfId="1" applyBorder="1" applyAlignment="1" applyProtection="1">
      <alignment horizontal="center" vertical="center"/>
      <protection locked="0"/>
    </xf>
    <xf numFmtId="0" fontId="13" fillId="13" borderId="11" xfId="1" applyFont="1" applyFill="1" applyBorder="1" applyAlignment="1" applyProtection="1">
      <alignment horizontal="center" vertical="center"/>
      <protection locked="0"/>
    </xf>
    <xf numFmtId="0" fontId="13" fillId="13" borderId="17" xfId="1" applyFont="1" applyFill="1" applyBorder="1" applyAlignment="1" applyProtection="1">
      <alignment horizontal="center" vertical="center"/>
      <protection locked="0"/>
    </xf>
    <xf numFmtId="0" fontId="13" fillId="13" borderId="18" xfId="1" applyFont="1" applyFill="1" applyBorder="1" applyAlignment="1" applyProtection="1">
      <alignment horizontal="center" vertical="center"/>
      <protection locked="0"/>
    </xf>
    <xf numFmtId="0" fontId="13" fillId="13" borderId="52" xfId="1" applyFont="1" applyFill="1" applyBorder="1" applyAlignment="1" applyProtection="1">
      <alignment horizontal="center" vertical="center"/>
      <protection locked="0"/>
    </xf>
    <xf numFmtId="0" fontId="13" fillId="13" borderId="53" xfId="1" applyFont="1" applyFill="1" applyBorder="1" applyAlignment="1" applyProtection="1">
      <alignment horizontal="center" vertical="center"/>
      <protection locked="0"/>
    </xf>
    <xf numFmtId="0" fontId="13" fillId="13" borderId="60" xfId="1" applyFont="1" applyFill="1" applyBorder="1" applyAlignment="1" applyProtection="1">
      <alignment horizontal="center" vertical="center"/>
      <protection locked="0"/>
    </xf>
    <xf numFmtId="0" fontId="31" fillId="15" borderId="32" xfId="1" applyFont="1" applyFill="1" applyBorder="1" applyAlignment="1">
      <alignment horizontal="center" vertical="center"/>
    </xf>
    <xf numFmtId="0" fontId="31" fillId="15" borderId="3" xfId="1" applyFont="1" applyFill="1" applyBorder="1" applyAlignment="1">
      <alignment horizontal="center" vertical="center"/>
    </xf>
    <xf numFmtId="1" fontId="13" fillId="9" borderId="1" xfId="1" applyNumberFormat="1" applyFont="1" applyFill="1" applyBorder="1" applyAlignment="1">
      <alignment horizontal="center" vertical="center"/>
    </xf>
    <xf numFmtId="1" fontId="13" fillId="9" borderId="45" xfId="1" applyNumberFormat="1" applyFont="1" applyFill="1" applyBorder="1" applyAlignment="1">
      <alignment horizontal="center" vertical="center"/>
    </xf>
    <xf numFmtId="0" fontId="33" fillId="9" borderId="1" xfId="1" applyFont="1" applyFill="1" applyBorder="1" applyAlignment="1">
      <alignment horizontal="center" vertical="center"/>
    </xf>
    <xf numFmtId="0" fontId="33" fillId="9" borderId="45" xfId="1" applyFont="1" applyFill="1" applyBorder="1" applyAlignment="1">
      <alignment horizontal="center" vertical="center"/>
    </xf>
    <xf numFmtId="0" fontId="13" fillId="15" borderId="25" xfId="1" applyFont="1" applyFill="1" applyBorder="1" applyAlignment="1">
      <alignment horizontal="center" vertical="center"/>
    </xf>
    <xf numFmtId="1" fontId="13" fillId="9" borderId="25" xfId="1" applyNumberFormat="1" applyFont="1" applyFill="1" applyBorder="1" applyAlignment="1">
      <alignment horizontal="center" vertical="center"/>
    </xf>
    <xf numFmtId="1" fontId="13" fillId="9" borderId="26" xfId="1" applyNumberFormat="1" applyFont="1" applyFill="1" applyBorder="1" applyAlignment="1">
      <alignment horizontal="center" vertical="center"/>
    </xf>
    <xf numFmtId="0" fontId="34" fillId="15" borderId="3" xfId="1" applyFont="1" applyFill="1" applyBorder="1" applyAlignment="1">
      <alignment horizontal="center" vertical="center"/>
    </xf>
    <xf numFmtId="0" fontId="33" fillId="9" borderId="3" xfId="1" applyFont="1" applyFill="1" applyBorder="1" applyAlignment="1">
      <alignment horizontal="center" vertical="center"/>
    </xf>
    <xf numFmtId="0" fontId="33" fillId="9" borderId="33" xfId="1" applyFont="1" applyFill="1" applyBorder="1" applyAlignment="1">
      <alignment horizontal="center" vertical="center"/>
    </xf>
    <xf numFmtId="0" fontId="33" fillId="15" borderId="24" xfId="1" applyFont="1" applyFill="1" applyBorder="1" applyAlignment="1">
      <alignment horizontal="center" vertical="center"/>
    </xf>
    <xf numFmtId="0" fontId="33" fillId="15" borderId="32" xfId="1" applyFont="1" applyFill="1" applyBorder="1" applyAlignment="1">
      <alignment horizontal="center" vertical="center"/>
    </xf>
    <xf numFmtId="0" fontId="33" fillId="15" borderId="25" xfId="1" applyFont="1" applyFill="1" applyBorder="1" applyAlignment="1">
      <alignment horizontal="center" vertical="center" wrapText="1"/>
    </xf>
    <xf numFmtId="0" fontId="33" fillId="15" borderId="3" xfId="1" applyFont="1" applyFill="1" applyBorder="1" applyAlignment="1">
      <alignment horizontal="center" vertical="center" wrapText="1"/>
    </xf>
    <xf numFmtId="0" fontId="33" fillId="15" borderId="25" xfId="1" applyFont="1" applyFill="1" applyBorder="1" applyAlignment="1">
      <alignment horizontal="center" vertical="center"/>
    </xf>
    <xf numFmtId="0" fontId="33" fillId="15" borderId="3" xfId="1" applyFont="1" applyFill="1" applyBorder="1" applyAlignment="1">
      <alignment horizontal="center" vertical="center"/>
    </xf>
    <xf numFmtId="0" fontId="13" fillId="2" borderId="25" xfId="1" applyFont="1" applyFill="1" applyBorder="1" applyAlignment="1">
      <alignment horizontal="left" vertical="center" wrapText="1"/>
    </xf>
    <xf numFmtId="0" fontId="13" fillId="2" borderId="26" xfId="1" applyFont="1" applyFill="1" applyBorder="1" applyAlignment="1">
      <alignment horizontal="left" vertical="center" wrapText="1"/>
    </xf>
    <xf numFmtId="0" fontId="33" fillId="2" borderId="3" xfId="1" applyFont="1" applyFill="1" applyBorder="1" applyAlignment="1">
      <alignment horizontal="center" vertical="center"/>
    </xf>
    <xf numFmtId="0" fontId="13" fillId="2" borderId="52" xfId="1" applyFont="1" applyFill="1" applyBorder="1" applyAlignment="1">
      <alignment horizontal="center" vertical="center"/>
    </xf>
    <xf numFmtId="0" fontId="13" fillId="2" borderId="53" xfId="1" applyFont="1" applyFill="1" applyBorder="1" applyAlignment="1">
      <alignment horizontal="center" vertical="center"/>
    </xf>
    <xf numFmtId="0" fontId="13" fillId="2" borderId="60" xfId="1" applyFont="1" applyFill="1" applyBorder="1" applyAlignment="1">
      <alignment horizontal="center" vertical="center"/>
    </xf>
    <xf numFmtId="0" fontId="33" fillId="15" borderId="10" xfId="1" applyFont="1" applyFill="1" applyBorder="1" applyAlignment="1" applyProtection="1">
      <alignment horizontal="center" vertical="center"/>
      <protection locked="0"/>
    </xf>
    <xf numFmtId="0" fontId="33" fillId="15" borderId="14" xfId="1" applyFont="1" applyFill="1" applyBorder="1" applyAlignment="1" applyProtection="1">
      <alignment horizontal="center" vertical="center"/>
      <protection locked="0"/>
    </xf>
    <xf numFmtId="0" fontId="33" fillId="15" borderId="17" xfId="1" applyFont="1" applyFill="1" applyBorder="1" applyAlignment="1" applyProtection="1">
      <alignment horizontal="center" vertical="center"/>
      <protection locked="0"/>
    </xf>
    <xf numFmtId="0" fontId="33" fillId="15" borderId="23" xfId="1" applyFont="1" applyFill="1" applyBorder="1" applyAlignment="1" applyProtection="1">
      <alignment horizontal="center" vertical="center"/>
      <protection locked="0"/>
    </xf>
    <xf numFmtId="0" fontId="33" fillId="15" borderId="27" xfId="1" applyFont="1" applyFill="1" applyBorder="1" applyAlignment="1" applyProtection="1">
      <alignment horizontal="center" vertical="center"/>
      <protection locked="0"/>
    </xf>
    <xf numFmtId="0" fontId="33" fillId="15" borderId="28" xfId="1" applyFont="1" applyFill="1" applyBorder="1" applyAlignment="1" applyProtection="1">
      <alignment horizontal="center" vertical="center"/>
      <protection locked="0"/>
    </xf>
    <xf numFmtId="0" fontId="33" fillId="15" borderId="31" xfId="1" applyFont="1" applyFill="1" applyBorder="1" applyAlignment="1" applyProtection="1">
      <alignment horizontal="center" vertical="center"/>
      <protection locked="0"/>
    </xf>
    <xf numFmtId="0" fontId="33" fillId="15" borderId="29" xfId="1" applyFont="1" applyFill="1" applyBorder="1" applyAlignment="1" applyProtection="1">
      <alignment horizontal="center" vertical="center"/>
      <protection locked="0"/>
    </xf>
    <xf numFmtId="0" fontId="13" fillId="2" borderId="34" xfId="1" applyFont="1" applyFill="1" applyBorder="1" applyAlignment="1">
      <alignment horizontal="left" vertical="center" wrapText="1"/>
    </xf>
    <xf numFmtId="0" fontId="13" fillId="2" borderId="14" xfId="1" applyFont="1" applyFill="1" applyBorder="1" applyAlignment="1">
      <alignment horizontal="left" vertical="center" wrapText="1"/>
    </xf>
    <xf numFmtId="0" fontId="13" fillId="2" borderId="23" xfId="1" applyFont="1" applyFill="1" applyBorder="1" applyAlignment="1">
      <alignment horizontal="left" vertical="center" wrapText="1"/>
    </xf>
    <xf numFmtId="0" fontId="34" fillId="2" borderId="3" xfId="1" applyFont="1" applyFill="1" applyBorder="1" applyAlignment="1">
      <alignment horizontal="center" vertical="center"/>
    </xf>
    <xf numFmtId="0" fontId="34" fillId="2" borderId="33" xfId="1" applyFont="1" applyFill="1" applyBorder="1" applyAlignment="1">
      <alignment horizontal="center" vertical="center"/>
    </xf>
    <xf numFmtId="0" fontId="13" fillId="2" borderId="42" xfId="1" applyFont="1" applyFill="1" applyBorder="1" applyAlignment="1">
      <alignment horizontal="center" vertical="center" wrapText="1"/>
    </xf>
    <xf numFmtId="0" fontId="13" fillId="2" borderId="48" xfId="1" applyFont="1" applyFill="1" applyBorder="1" applyAlignment="1">
      <alignment horizontal="center" vertical="center" wrapText="1"/>
    </xf>
    <xf numFmtId="0" fontId="13" fillId="2" borderId="43" xfId="1" applyFont="1" applyFill="1" applyBorder="1" applyAlignment="1">
      <alignment horizontal="center" vertical="center" wrapText="1"/>
    </xf>
    <xf numFmtId="0" fontId="13" fillId="2" borderId="3" xfId="1" applyFont="1" applyFill="1" applyBorder="1" applyAlignment="1">
      <alignment horizontal="center" vertical="center" wrapText="1"/>
    </xf>
    <xf numFmtId="0" fontId="33" fillId="2" borderId="33" xfId="1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89" fillId="0" borderId="0" xfId="5" applyFont="1" applyAlignment="1">
      <alignment horizontal="left" vertical="center" wrapText="1"/>
    </xf>
    <xf numFmtId="0" fontId="84" fillId="0" borderId="0" xfId="5" quotePrefix="1" applyFont="1" applyAlignment="1" applyProtection="1">
      <alignment horizontal="center" vertical="center" wrapText="1"/>
      <protection locked="0"/>
    </xf>
    <xf numFmtId="0" fontId="42" fillId="0" borderId="0" xfId="5" applyFont="1" applyAlignment="1" applyProtection="1">
      <alignment horizontal="center" vertical="center"/>
      <protection locked="0"/>
    </xf>
    <xf numFmtId="0" fontId="87" fillId="0" borderId="0" xfId="5" applyFont="1" applyAlignment="1" applyProtection="1">
      <alignment horizontal="center" vertical="center"/>
      <protection locked="0"/>
    </xf>
    <xf numFmtId="187" fontId="83" fillId="0" borderId="0" xfId="5" quotePrefix="1" applyNumberFormat="1" applyFont="1" applyAlignment="1" applyProtection="1">
      <alignment horizontal="center" vertical="center"/>
      <protection locked="0"/>
    </xf>
    <xf numFmtId="187" fontId="83" fillId="0" borderId="0" xfId="5" applyNumberFormat="1" applyFont="1" applyAlignment="1" applyProtection="1">
      <alignment horizontal="center" vertical="center"/>
      <protection locked="0"/>
    </xf>
    <xf numFmtId="0" fontId="88" fillId="0" borderId="0" xfId="5" applyFont="1" applyAlignment="1">
      <alignment horizontal="center" vertical="center"/>
    </xf>
    <xf numFmtId="11" fontId="83" fillId="0" borderId="0" xfId="5" quotePrefix="1" applyNumberFormat="1" applyFont="1" applyAlignment="1" applyProtection="1">
      <alignment horizontal="center" vertical="center"/>
      <protection locked="0"/>
    </xf>
    <xf numFmtId="0" fontId="83" fillId="0" borderId="0" xfId="5" applyFont="1" applyAlignment="1" applyProtection="1">
      <alignment horizontal="center" vertical="center"/>
      <protection locked="0"/>
    </xf>
    <xf numFmtId="0" fontId="89" fillId="0" borderId="1" xfId="5" applyFont="1" applyBorder="1" applyAlignment="1">
      <alignment horizontal="center" vertical="center"/>
    </xf>
    <xf numFmtId="0" fontId="89" fillId="0" borderId="2" xfId="5" applyFont="1" applyBorder="1" applyAlignment="1">
      <alignment horizontal="center" vertical="center"/>
    </xf>
    <xf numFmtId="0" fontId="89" fillId="0" borderId="1" xfId="5" applyFont="1" applyBorder="1" applyAlignment="1">
      <alignment horizontal="center" vertical="center" wrapText="1"/>
    </xf>
    <xf numFmtId="0" fontId="89" fillId="0" borderId="2" xfId="5" applyFont="1" applyBorder="1" applyAlignment="1">
      <alignment horizontal="center" vertical="center" wrapText="1"/>
    </xf>
    <xf numFmtId="0" fontId="89" fillId="0" borderId="0" xfId="5" applyFont="1" applyAlignment="1">
      <alignment horizontal="left" vertical="center"/>
    </xf>
    <xf numFmtId="0" fontId="89" fillId="0" borderId="0" xfId="5" applyFont="1" applyAlignment="1">
      <alignment horizontal="center"/>
    </xf>
    <xf numFmtId="0" fontId="88" fillId="0" borderId="0" xfId="5" applyFont="1" applyAlignment="1">
      <alignment horizontal="center"/>
    </xf>
    <xf numFmtId="0" fontId="52" fillId="2" borderId="0" xfId="0" applyFont="1" applyFill="1" applyAlignment="1">
      <alignment horizontal="center" vertical="center"/>
    </xf>
    <xf numFmtId="0" fontId="54" fillId="2" borderId="0" xfId="0" applyFont="1" applyFill="1" applyAlignment="1">
      <alignment horizontal="center" vertical="center"/>
    </xf>
    <xf numFmtId="0" fontId="52" fillId="2" borderId="14" xfId="0" applyFont="1" applyFill="1" applyBorder="1" applyAlignment="1">
      <alignment horizontal="center" vertical="center"/>
    </xf>
    <xf numFmtId="0" fontId="52" fillId="2" borderId="23" xfId="0" applyFont="1" applyFill="1" applyBorder="1" applyAlignment="1">
      <alignment horizontal="center" vertical="center"/>
    </xf>
    <xf numFmtId="0" fontId="52" fillId="2" borderId="10" xfId="0" applyFont="1" applyFill="1" applyBorder="1" applyAlignment="1">
      <alignment horizontal="center" vertical="center"/>
    </xf>
    <xf numFmtId="0" fontId="53" fillId="9" borderId="0" xfId="0" applyFont="1" applyFill="1" applyAlignment="1">
      <alignment horizontal="center" vertical="center"/>
    </xf>
    <xf numFmtId="0" fontId="50" fillId="0" borderId="0" xfId="0" applyFont="1" applyAlignment="1">
      <alignment horizontal="left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47" fillId="0" borderId="1" xfId="1" applyFont="1" applyBorder="1" applyAlignment="1">
      <alignment horizontal="center" vertical="center"/>
    </xf>
    <xf numFmtId="0" fontId="47" fillId="0" borderId="4" xfId="1" applyFont="1" applyBorder="1" applyAlignment="1">
      <alignment horizontal="center" vertical="center"/>
    </xf>
    <xf numFmtId="0" fontId="47" fillId="0" borderId="2" xfId="1" applyFont="1" applyBorder="1" applyAlignment="1">
      <alignment horizontal="center" vertical="center"/>
    </xf>
    <xf numFmtId="0" fontId="19" fillId="0" borderId="3" xfId="1" applyFont="1" applyBorder="1" applyAlignment="1">
      <alignment horizontal="center"/>
    </xf>
    <xf numFmtId="0" fontId="19" fillId="0" borderId="1" xfId="1" applyFont="1" applyBorder="1" applyAlignment="1">
      <alignment horizontal="center"/>
    </xf>
    <xf numFmtId="0" fontId="19" fillId="0" borderId="4" xfId="1" applyFont="1" applyBorder="1" applyAlignment="1">
      <alignment horizontal="center"/>
    </xf>
    <xf numFmtId="0" fontId="19" fillId="0" borderId="2" xfId="1" applyFont="1" applyBorder="1" applyAlignment="1">
      <alignment horizontal="center"/>
    </xf>
    <xf numFmtId="0" fontId="15" fillId="0" borderId="5" xfId="1" applyFont="1" applyBorder="1" applyAlignment="1">
      <alignment horizontal="center" vertical="center"/>
    </xf>
    <xf numFmtId="0" fontId="15" fillId="0" borderId="41" xfId="1" applyFont="1" applyBorder="1" applyAlignment="1">
      <alignment horizontal="center" vertical="center"/>
    </xf>
    <xf numFmtId="0" fontId="48" fillId="6" borderId="36" xfId="1" applyFont="1" applyFill="1" applyBorder="1" applyAlignment="1">
      <alignment horizontal="center" vertical="center"/>
    </xf>
    <xf numFmtId="0" fontId="48" fillId="6" borderId="48" xfId="1" applyFont="1" applyFill="1" applyBorder="1" applyAlignment="1">
      <alignment horizontal="center" vertical="center"/>
    </xf>
    <xf numFmtId="0" fontId="48" fillId="6" borderId="30" xfId="1" applyFont="1" applyFill="1" applyBorder="1" applyAlignment="1">
      <alignment horizontal="center" vertical="center"/>
    </xf>
    <xf numFmtId="0" fontId="40" fillId="6" borderId="25" xfId="1" applyFont="1" applyFill="1" applyBorder="1" applyAlignment="1">
      <alignment horizontal="center" vertical="center" wrapText="1"/>
    </xf>
    <xf numFmtId="0" fontId="40" fillId="6" borderId="3" xfId="1" applyFont="1" applyFill="1" applyBorder="1" applyAlignment="1">
      <alignment horizontal="center" vertical="center" wrapText="1"/>
    </xf>
    <xf numFmtId="0" fontId="35" fillId="6" borderId="25" xfId="1" applyFont="1" applyFill="1" applyBorder="1" applyAlignment="1">
      <alignment horizontal="center"/>
    </xf>
    <xf numFmtId="0" fontId="35" fillId="6" borderId="26" xfId="1" applyFont="1" applyFill="1" applyBorder="1" applyAlignment="1">
      <alignment horizontal="center"/>
    </xf>
    <xf numFmtId="0" fontId="15" fillId="6" borderId="3" xfId="1" applyFont="1" applyFill="1" applyBorder="1" applyAlignment="1">
      <alignment horizontal="center" vertical="center"/>
    </xf>
    <xf numFmtId="0" fontId="15" fillId="6" borderId="5" xfId="1" applyFont="1" applyFill="1" applyBorder="1" applyAlignment="1">
      <alignment horizontal="center" vertical="center"/>
    </xf>
    <xf numFmtId="0" fontId="15" fillId="6" borderId="41" xfId="1" applyFont="1" applyFill="1" applyBorder="1" applyAlignment="1">
      <alignment horizontal="center" vertical="center"/>
    </xf>
    <xf numFmtId="0" fontId="15" fillId="6" borderId="37" xfId="1" applyFont="1" applyFill="1" applyBorder="1" applyAlignment="1">
      <alignment horizontal="center" vertical="center"/>
    </xf>
    <xf numFmtId="0" fontId="15" fillId="6" borderId="44" xfId="1" applyFont="1" applyFill="1" applyBorder="1" applyAlignment="1">
      <alignment horizontal="center" vertical="center"/>
    </xf>
    <xf numFmtId="0" fontId="48" fillId="6" borderId="42" xfId="1" applyFont="1" applyFill="1" applyBorder="1" applyAlignment="1">
      <alignment horizontal="center" vertical="center"/>
    </xf>
    <xf numFmtId="0" fontId="12" fillId="0" borderId="3" xfId="1" applyBorder="1" applyAlignment="1">
      <alignment horizontal="center"/>
    </xf>
    <xf numFmtId="0" fontId="50" fillId="0" borderId="1" xfId="1" applyFont="1" applyBorder="1" applyAlignment="1">
      <alignment horizontal="center" vertical="center" wrapText="1"/>
    </xf>
    <xf numFmtId="0" fontId="50" fillId="0" borderId="4" xfId="1" applyFont="1" applyBorder="1" applyAlignment="1">
      <alignment horizontal="center" vertical="center" wrapText="1"/>
    </xf>
    <xf numFmtId="0" fontId="50" fillId="0" borderId="2" xfId="1" applyFont="1" applyBorder="1" applyAlignment="1">
      <alignment horizontal="center" vertical="center" wrapText="1"/>
    </xf>
    <xf numFmtId="0" fontId="48" fillId="6" borderId="65" xfId="1" applyFont="1" applyFill="1" applyBorder="1" applyAlignment="1">
      <alignment horizontal="center" vertical="center"/>
    </xf>
    <xf numFmtId="0" fontId="48" fillId="6" borderId="61" xfId="1" applyFont="1" applyFill="1" applyBorder="1" applyAlignment="1">
      <alignment horizontal="center" vertical="center"/>
    </xf>
    <xf numFmtId="0" fontId="48" fillId="6" borderId="66" xfId="1" applyFont="1" applyFill="1" applyBorder="1" applyAlignment="1">
      <alignment horizontal="center" vertical="center"/>
    </xf>
    <xf numFmtId="0" fontId="39" fillId="10" borderId="11" xfId="4" applyFont="1" applyFill="1" applyBorder="1" applyAlignment="1">
      <alignment horizontal="center" vertical="center"/>
    </xf>
    <xf numFmtId="0" fontId="39" fillId="10" borderId="17" xfId="4" applyFont="1" applyFill="1" applyBorder="1" applyAlignment="1">
      <alignment horizontal="center" vertical="center"/>
    </xf>
    <xf numFmtId="0" fontId="39" fillId="10" borderId="18" xfId="4" applyFont="1" applyFill="1" applyBorder="1" applyAlignment="1">
      <alignment horizontal="center" vertical="center"/>
    </xf>
    <xf numFmtId="0" fontId="29" fillId="16" borderId="3" xfId="4" applyFont="1" applyFill="1" applyBorder="1" applyAlignment="1" applyProtection="1">
      <alignment horizontal="center" vertical="center" wrapText="1"/>
      <protection locked="0"/>
    </xf>
    <xf numFmtId="0" fontId="40" fillId="16" borderId="3" xfId="4" applyFont="1" applyFill="1" applyBorder="1" applyAlignment="1" applyProtection="1">
      <alignment horizontal="center" vertical="center"/>
      <protection locked="0"/>
    </xf>
    <xf numFmtId="0" fontId="32" fillId="16" borderId="3" xfId="4" applyFont="1" applyFill="1" applyBorder="1" applyAlignment="1" applyProtection="1">
      <alignment horizontal="center"/>
      <protection locked="0"/>
    </xf>
    <xf numFmtId="0" fontId="32" fillId="16" borderId="3" xfId="4" applyFont="1" applyFill="1" applyBorder="1" applyAlignment="1" applyProtection="1">
      <alignment horizontal="center" vertical="center"/>
      <protection locked="0"/>
    </xf>
    <xf numFmtId="0" fontId="19" fillId="16" borderId="3" xfId="4" applyFont="1" applyFill="1" applyBorder="1" applyAlignment="1" applyProtection="1">
      <alignment horizontal="center" vertical="center"/>
      <protection locked="0"/>
    </xf>
    <xf numFmtId="0" fontId="19" fillId="16" borderId="3" xfId="4" applyFont="1" applyFill="1" applyBorder="1" applyAlignment="1" applyProtection="1">
      <alignment horizontal="center" vertical="center" wrapText="1"/>
      <protection locked="0"/>
    </xf>
    <xf numFmtId="0" fontId="15" fillId="16" borderId="3" xfId="4" applyFont="1" applyFill="1" applyBorder="1" applyAlignment="1" applyProtection="1">
      <alignment horizontal="center" vertical="center"/>
      <protection locked="0"/>
    </xf>
    <xf numFmtId="0" fontId="15" fillId="2" borderId="3" xfId="4" applyFont="1" applyFill="1" applyBorder="1" applyAlignment="1">
      <alignment horizontal="center" vertical="center"/>
    </xf>
    <xf numFmtId="0" fontId="15" fillId="2" borderId="3" xfId="4" applyFont="1" applyFill="1" applyBorder="1" applyAlignment="1">
      <alignment horizontal="center" vertical="center" wrapText="1"/>
    </xf>
    <xf numFmtId="0" fontId="12" fillId="16" borderId="3" xfId="4" applyFill="1" applyBorder="1" applyAlignment="1">
      <alignment horizontal="center" vertical="center"/>
    </xf>
    <xf numFmtId="0" fontId="29" fillId="10" borderId="52" xfId="4" applyFont="1" applyFill="1" applyBorder="1" applyAlignment="1" applyProtection="1">
      <alignment horizontal="center" vertical="center" wrapText="1"/>
      <protection locked="0"/>
    </xf>
    <xf numFmtId="0" fontId="29" fillId="10" borderId="53" xfId="4" applyFont="1" applyFill="1" applyBorder="1" applyAlignment="1" applyProtection="1">
      <alignment horizontal="center" vertical="center" wrapText="1"/>
      <protection locked="0"/>
    </xf>
    <xf numFmtId="0" fontId="15" fillId="16" borderId="3" xfId="4" applyFont="1" applyFill="1" applyBorder="1" applyAlignment="1">
      <alignment horizontal="center" vertical="center"/>
    </xf>
    <xf numFmtId="0" fontId="40" fillId="16" borderId="3" xfId="4" applyFont="1" applyFill="1" applyBorder="1" applyAlignment="1">
      <alignment horizontal="center" vertical="center" wrapText="1"/>
    </xf>
    <xf numFmtId="0" fontId="35" fillId="16" borderId="3" xfId="4" applyFont="1" applyFill="1" applyBorder="1" applyAlignment="1">
      <alignment horizontal="center"/>
    </xf>
    <xf numFmtId="0" fontId="12" fillId="16" borderId="3" xfId="4" applyFill="1" applyBorder="1" applyAlignment="1">
      <alignment horizontal="center" vertical="center" wrapText="1"/>
    </xf>
    <xf numFmtId="0" fontId="35" fillId="16" borderId="3" xfId="4" applyFont="1" applyFill="1" applyBorder="1" applyAlignment="1">
      <alignment horizontal="center" vertical="center"/>
    </xf>
    <xf numFmtId="0" fontId="19" fillId="2" borderId="3" xfId="4" applyFont="1" applyFill="1" applyBorder="1" applyAlignment="1">
      <alignment horizontal="center" vertical="center" wrapText="1"/>
    </xf>
    <xf numFmtId="0" fontId="41" fillId="2" borderId="25" xfId="4" applyFont="1" applyFill="1" applyBorder="1" applyAlignment="1">
      <alignment horizontal="left" vertical="center" wrapText="1"/>
    </xf>
    <xf numFmtId="0" fontId="41" fillId="2" borderId="26" xfId="4" applyFont="1" applyFill="1" applyBorder="1" applyAlignment="1">
      <alignment horizontal="left" vertical="center" wrapText="1"/>
    </xf>
    <xf numFmtId="0" fontId="13" fillId="0" borderId="24" xfId="4" applyFont="1" applyBorder="1" applyAlignment="1">
      <alignment horizontal="center" vertical="center"/>
    </xf>
    <xf numFmtId="0" fontId="13" fillId="0" borderId="25" xfId="4" applyFont="1" applyBorder="1" applyAlignment="1">
      <alignment horizontal="center" vertical="center"/>
    </xf>
    <xf numFmtId="0" fontId="13" fillId="0" borderId="26" xfId="4" applyFont="1" applyBorder="1" applyAlignment="1">
      <alignment horizontal="center" vertical="center"/>
    </xf>
    <xf numFmtId="0" fontId="21" fillId="2" borderId="24" xfId="4" applyFont="1" applyFill="1" applyBorder="1" applyAlignment="1">
      <alignment horizontal="center" vertical="center" wrapText="1"/>
    </xf>
    <xf numFmtId="0" fontId="21" fillId="2" borderId="32" xfId="4" applyFont="1" applyFill="1" applyBorder="1" applyAlignment="1">
      <alignment horizontal="center" vertical="center" wrapText="1"/>
    </xf>
    <xf numFmtId="0" fontId="21" fillId="2" borderId="42" xfId="4" applyFont="1" applyFill="1" applyBorder="1" applyAlignment="1">
      <alignment horizontal="center" vertical="center" wrapText="1"/>
    </xf>
    <xf numFmtId="0" fontId="21" fillId="2" borderId="34" xfId="4" applyFont="1" applyFill="1" applyBorder="1" applyAlignment="1">
      <alignment horizontal="center" vertical="center" wrapText="1"/>
    </xf>
    <xf numFmtId="0" fontId="21" fillId="2" borderId="1" xfId="4" applyFont="1" applyFill="1" applyBorder="1" applyAlignment="1">
      <alignment horizontal="center" vertical="center" wrapText="1"/>
    </xf>
    <xf numFmtId="0" fontId="21" fillId="2" borderId="62" xfId="4" applyFont="1" applyFill="1" applyBorder="1" applyAlignment="1">
      <alignment horizontal="center" vertical="center" wrapText="1"/>
    </xf>
    <xf numFmtId="0" fontId="15" fillId="2" borderId="46" xfId="4" applyFont="1" applyFill="1" applyBorder="1" applyAlignment="1">
      <alignment horizontal="center" vertical="center" wrapText="1"/>
    </xf>
    <xf numFmtId="0" fontId="15" fillId="2" borderId="50" xfId="4" applyFont="1" applyFill="1" applyBorder="1" applyAlignment="1">
      <alignment horizontal="center" vertical="center" wrapText="1"/>
    </xf>
    <xf numFmtId="0" fontId="32" fillId="2" borderId="42" xfId="4" applyFont="1" applyFill="1" applyBorder="1" applyAlignment="1">
      <alignment horizontal="center" vertical="center" wrapText="1"/>
    </xf>
    <xf numFmtId="0" fontId="32" fillId="2" borderId="5" xfId="4" applyFont="1" applyFill="1" applyBorder="1" applyAlignment="1">
      <alignment horizontal="center" vertical="center" wrapText="1"/>
    </xf>
    <xf numFmtId="0" fontId="32" fillId="2" borderId="37" xfId="4" applyFont="1" applyFill="1" applyBorder="1" applyAlignment="1">
      <alignment horizontal="center" vertical="center" wrapText="1"/>
    </xf>
    <xf numFmtId="0" fontId="19" fillId="2" borderId="24" xfId="4" applyFont="1" applyFill="1" applyBorder="1" applyAlignment="1">
      <alignment horizontal="center" vertical="center"/>
    </xf>
    <xf numFmtId="0" fontId="19" fillId="2" borderId="25" xfId="4" applyFont="1" applyFill="1" applyBorder="1" applyAlignment="1">
      <alignment horizontal="center" vertical="center"/>
    </xf>
    <xf numFmtId="0" fontId="19" fillId="2" borderId="7" xfId="4" applyFont="1" applyFill="1" applyBorder="1" applyAlignment="1">
      <alignment horizontal="center" vertical="center"/>
    </xf>
    <xf numFmtId="0" fontId="19" fillId="2" borderId="41" xfId="4" applyFont="1" applyFill="1" applyBorder="1" applyAlignment="1">
      <alignment horizontal="center" vertical="center"/>
    </xf>
    <xf numFmtId="0" fontId="19" fillId="2" borderId="46" xfId="4" applyFont="1" applyFill="1" applyBorder="1" applyAlignment="1">
      <alignment horizontal="center" vertical="center"/>
    </xf>
    <xf numFmtId="0" fontId="19" fillId="2" borderId="44" xfId="4" applyFont="1" applyFill="1" applyBorder="1" applyAlignment="1">
      <alignment horizontal="center" vertical="center"/>
    </xf>
    <xf numFmtId="0" fontId="46" fillId="0" borderId="10" xfId="4" applyFont="1" applyBorder="1" applyAlignment="1" applyProtection="1">
      <alignment horizontal="center"/>
      <protection locked="0"/>
    </xf>
    <xf numFmtId="0" fontId="46" fillId="0" borderId="14" xfId="4" applyFont="1" applyBorder="1" applyAlignment="1" applyProtection="1">
      <alignment horizontal="center"/>
      <protection locked="0"/>
    </xf>
    <xf numFmtId="0" fontId="46" fillId="0" borderId="23" xfId="4" applyFont="1" applyBorder="1" applyAlignment="1" applyProtection="1">
      <alignment horizontal="center"/>
      <protection locked="0"/>
    </xf>
    <xf numFmtId="0" fontId="15" fillId="0" borderId="21" xfId="4" applyFont="1" applyBorder="1" applyAlignment="1" applyProtection="1">
      <alignment horizontal="center"/>
      <protection locked="0"/>
    </xf>
    <xf numFmtId="0" fontId="15" fillId="0" borderId="15" xfId="4" applyFont="1" applyBorder="1" applyAlignment="1" applyProtection="1">
      <alignment horizontal="center"/>
      <protection locked="0"/>
    </xf>
    <xf numFmtId="0" fontId="15" fillId="0" borderId="63" xfId="4" applyFont="1" applyBorder="1" applyAlignment="1" applyProtection="1">
      <alignment horizontal="center"/>
      <protection locked="0"/>
    </xf>
    <xf numFmtId="0" fontId="45" fillId="2" borderId="0" xfId="4" applyFont="1" applyFill="1" applyAlignment="1">
      <alignment horizontal="center" vertical="center" wrapText="1"/>
    </xf>
    <xf numFmtId="0" fontId="19" fillId="2" borderId="24" xfId="4" applyFont="1" applyFill="1" applyBorder="1" applyAlignment="1">
      <alignment horizontal="center" vertical="center" wrapText="1"/>
    </xf>
    <xf numFmtId="0" fontId="19" fillId="2" borderId="25" xfId="4" applyFont="1" applyFill="1" applyBorder="1" applyAlignment="1">
      <alignment horizontal="center" vertical="center" wrapText="1"/>
    </xf>
    <xf numFmtId="0" fontId="35" fillId="9" borderId="10" xfId="4" quotePrefix="1" applyFont="1" applyFill="1" applyBorder="1" applyAlignment="1" applyProtection="1">
      <alignment horizontal="center" vertical="center"/>
      <protection locked="0"/>
    </xf>
    <xf numFmtId="0" fontId="35" fillId="9" borderId="14" xfId="4" applyFont="1" applyFill="1" applyBorder="1" applyAlignment="1" applyProtection="1">
      <alignment horizontal="center" vertical="center"/>
      <protection locked="0"/>
    </xf>
    <xf numFmtId="0" fontId="35" fillId="9" borderId="23" xfId="4" applyFont="1" applyFill="1" applyBorder="1" applyAlignment="1" applyProtection="1">
      <alignment horizontal="center" vertical="center"/>
      <protection locked="0"/>
    </xf>
    <xf numFmtId="0" fontId="13" fillId="0" borderId="32" xfId="4" applyFont="1" applyBorder="1" applyAlignment="1">
      <alignment horizontal="center" vertical="center" wrapText="1"/>
    </xf>
    <xf numFmtId="0" fontId="13" fillId="0" borderId="3" xfId="4" applyFont="1" applyBorder="1" applyAlignment="1">
      <alignment horizontal="center" vertical="center" wrapText="1"/>
    </xf>
    <xf numFmtId="0" fontId="13" fillId="0" borderId="33" xfId="4" applyFont="1" applyBorder="1" applyAlignment="1">
      <alignment horizontal="center" vertical="center" wrapText="1"/>
    </xf>
  </cellXfs>
  <cellStyles count="6">
    <cellStyle name="Normal" xfId="0" builtinId="0"/>
    <cellStyle name="Normal 2" xfId="1" xr:uid="{00000000-0005-0000-0000-000001000000}"/>
    <cellStyle name="Normal 2 2" xfId="4" xr:uid="{00000000-0005-0000-0000-000002000000}"/>
    <cellStyle name="Normal 2 3" xfId="5" xr:uid="{00000000-0005-0000-0000-000003000000}"/>
    <cellStyle name="Normal 3" xfId="3" xr:uid="{00000000-0005-0000-0000-000004000000}"/>
    <cellStyle name="Normal_Daftar kelistrikan (ecg)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P170"/>
  <sheetViews>
    <sheetView showGridLines="0" view="pageBreakPreview" topLeftCell="A40" zoomScale="89" zoomScaleNormal="100" zoomScaleSheetLayoutView="89" workbookViewId="0">
      <selection activeCell="H48" sqref="H48"/>
    </sheetView>
  </sheetViews>
  <sheetFormatPr defaultColWidth="9.1796875" defaultRowHeight="15.5"/>
  <cols>
    <col min="1" max="1" width="6.7265625" style="320" customWidth="1"/>
    <col min="2" max="2" width="20.453125" style="320" customWidth="1"/>
    <col min="3" max="3" width="11.54296875" style="320" customWidth="1"/>
    <col min="4" max="4" width="12.1796875" style="320" customWidth="1"/>
    <col min="5" max="5" width="12.453125" style="320" customWidth="1"/>
    <col min="6" max="6" width="16.7265625" style="320" customWidth="1"/>
    <col min="7" max="7" width="14" style="320" customWidth="1"/>
    <col min="8" max="8" width="16.81640625" style="320" customWidth="1"/>
    <col min="9" max="9" width="12.26953125" style="320" customWidth="1"/>
    <col min="10" max="10" width="6.26953125" style="320" customWidth="1"/>
    <col min="11" max="16384" width="9.1796875" style="320"/>
  </cols>
  <sheetData>
    <row r="1" spans="1:9" ht="19.5" customHeight="1">
      <c r="A1" s="949" t="s">
        <v>0</v>
      </c>
      <c r="B1" s="949"/>
      <c r="C1" s="949"/>
      <c r="D1" s="949"/>
      <c r="E1" s="949"/>
      <c r="F1" s="949"/>
      <c r="G1" s="949"/>
      <c r="H1" s="949"/>
      <c r="I1" s="949"/>
    </row>
    <row r="2" spans="1:9" ht="18.75" customHeight="1">
      <c r="A2" s="950" t="s">
        <v>1</v>
      </c>
      <c r="B2" s="950"/>
      <c r="C2" s="950"/>
      <c r="D2" s="950"/>
      <c r="E2" s="950"/>
      <c r="F2" s="950"/>
      <c r="G2" s="950"/>
      <c r="H2" s="950"/>
      <c r="I2" s="950"/>
    </row>
    <row r="3" spans="1:9" ht="15.75" customHeight="1">
      <c r="A3" s="321"/>
      <c r="B3" s="321"/>
      <c r="C3" s="321"/>
      <c r="D3" s="321"/>
      <c r="E3" s="321"/>
      <c r="F3" s="321"/>
      <c r="G3" s="321"/>
      <c r="H3" s="321"/>
    </row>
    <row r="4" spans="1:9" ht="15.75" customHeight="1">
      <c r="A4" s="322" t="s">
        <v>2</v>
      </c>
      <c r="C4" s="323" t="s">
        <v>3</v>
      </c>
      <c r="F4" s="322"/>
      <c r="G4" s="323"/>
    </row>
    <row r="5" spans="1:9" ht="15.75" customHeight="1">
      <c r="A5" s="322" t="s">
        <v>4</v>
      </c>
      <c r="C5" s="323" t="s">
        <v>3</v>
      </c>
      <c r="F5" s="322"/>
      <c r="G5" s="323"/>
    </row>
    <row r="6" spans="1:9" ht="15.75" customHeight="1">
      <c r="A6" s="322" t="s">
        <v>5</v>
      </c>
      <c r="C6" s="323" t="s">
        <v>3</v>
      </c>
      <c r="F6" s="322"/>
      <c r="G6" s="323"/>
    </row>
    <row r="7" spans="1:9" ht="15.75" customHeight="1">
      <c r="A7" s="322" t="s">
        <v>6</v>
      </c>
      <c r="C7" s="323" t="s">
        <v>3</v>
      </c>
      <c r="F7" s="322"/>
      <c r="G7" s="323"/>
    </row>
    <row r="8" spans="1:9" ht="15.75" customHeight="1">
      <c r="A8" s="322" t="s">
        <v>7</v>
      </c>
      <c r="C8" s="323" t="s">
        <v>3</v>
      </c>
      <c r="E8" s="322"/>
      <c r="F8" s="322"/>
      <c r="G8" s="323"/>
    </row>
    <row r="9" spans="1:9" ht="15.75" customHeight="1">
      <c r="A9" s="322" t="s">
        <v>8</v>
      </c>
      <c r="C9" s="323" t="s">
        <v>3</v>
      </c>
      <c r="E9" s="322"/>
      <c r="F9" s="322"/>
      <c r="G9" s="323"/>
    </row>
    <row r="10" spans="1:9" ht="15.75" customHeight="1">
      <c r="A10" s="322" t="s">
        <v>9</v>
      </c>
      <c r="C10" s="323" t="s">
        <v>3</v>
      </c>
      <c r="E10" s="322"/>
      <c r="F10" s="322"/>
      <c r="G10" s="323"/>
    </row>
    <row r="11" spans="1:9" ht="10.5" customHeight="1">
      <c r="A11" s="322"/>
      <c r="B11" s="322"/>
      <c r="C11" s="323"/>
      <c r="D11" s="322"/>
      <c r="E11" s="322"/>
      <c r="F11" s="322"/>
      <c r="G11" s="322"/>
      <c r="H11" s="322"/>
    </row>
    <row r="12" spans="1:9" ht="15.75" customHeight="1">
      <c r="A12" s="324" t="s">
        <v>10</v>
      </c>
      <c r="B12" s="324"/>
      <c r="C12" s="325"/>
      <c r="F12" s="322"/>
      <c r="G12" s="322"/>
      <c r="H12" s="322"/>
    </row>
    <row r="13" spans="1:9" ht="15.75" customHeight="1">
      <c r="A13" s="324"/>
      <c r="B13" s="324"/>
      <c r="C13" s="325"/>
      <c r="D13" s="326" t="s">
        <v>11</v>
      </c>
      <c r="E13" s="327" t="s">
        <v>12</v>
      </c>
      <c r="F13" s="322"/>
      <c r="G13" s="322"/>
      <c r="H13" s="322"/>
    </row>
    <row r="14" spans="1:9" ht="18" customHeight="1">
      <c r="A14" s="322"/>
      <c r="B14" s="328" t="s">
        <v>13</v>
      </c>
      <c r="C14" s="325"/>
      <c r="D14" s="329"/>
      <c r="E14" s="330"/>
      <c r="F14" s="331" t="s">
        <v>14</v>
      </c>
    </row>
    <row r="15" spans="1:9" ht="16.5" customHeight="1">
      <c r="A15" s="328"/>
      <c r="B15" s="328" t="s">
        <v>15</v>
      </c>
      <c r="C15" s="325"/>
      <c r="D15" s="332"/>
      <c r="E15" s="330"/>
      <c r="F15" s="322" t="s">
        <v>16</v>
      </c>
    </row>
    <row r="16" spans="1:9" ht="16.5" customHeight="1">
      <c r="A16" s="328"/>
      <c r="B16" s="328" t="s">
        <v>17</v>
      </c>
      <c r="C16" s="325"/>
      <c r="D16" s="333"/>
      <c r="E16" s="334"/>
      <c r="F16" s="320" t="s">
        <v>18</v>
      </c>
    </row>
    <row r="17" spans="1:16" ht="10.5" customHeight="1">
      <c r="A17" s="335"/>
      <c r="B17" s="335"/>
      <c r="C17" s="335"/>
      <c r="D17" s="322"/>
    </row>
    <row r="18" spans="1:16" ht="19.5" customHeight="1">
      <c r="A18" s="335" t="s">
        <v>19</v>
      </c>
      <c r="F18" s="336"/>
      <c r="H18" s="337"/>
      <c r="I18" s="326" t="s">
        <v>20</v>
      </c>
    </row>
    <row r="19" spans="1:16" ht="15.75" customHeight="1">
      <c r="B19" s="320" t="s">
        <v>21</v>
      </c>
      <c r="C19" s="320" t="s">
        <v>22</v>
      </c>
      <c r="E19" s="945"/>
      <c r="F19" s="945"/>
      <c r="G19" s="945"/>
      <c r="H19" s="945"/>
      <c r="I19" s="563">
        <v>5</v>
      </c>
    </row>
    <row r="20" spans="1:16" ht="15.75" customHeight="1">
      <c r="B20" s="320" t="s">
        <v>23</v>
      </c>
      <c r="C20" s="320" t="s">
        <v>22</v>
      </c>
      <c r="E20" s="945"/>
      <c r="F20" s="945"/>
      <c r="G20" s="945"/>
      <c r="H20" s="945"/>
      <c r="I20" s="563">
        <v>5</v>
      </c>
    </row>
    <row r="21" spans="1:16" ht="10.5" customHeight="1">
      <c r="E21" s="338"/>
      <c r="F21" s="338"/>
      <c r="G21" s="338"/>
      <c r="H21" s="338"/>
    </row>
    <row r="22" spans="1:16" ht="18.75" customHeight="1">
      <c r="A22" s="335" t="s">
        <v>24</v>
      </c>
      <c r="D22" s="322"/>
    </row>
    <row r="23" spans="1:16" ht="51.75" customHeight="1">
      <c r="A23" s="339" t="s">
        <v>25</v>
      </c>
      <c r="B23" s="946" t="s">
        <v>26</v>
      </c>
      <c r="C23" s="947"/>
      <c r="D23" s="947"/>
      <c r="E23" s="947"/>
      <c r="F23" s="948"/>
      <c r="G23" s="339" t="s">
        <v>27</v>
      </c>
      <c r="H23" s="339" t="s">
        <v>28</v>
      </c>
      <c r="I23" s="326" t="s">
        <v>20</v>
      </c>
    </row>
    <row r="24" spans="1:16" ht="15.75" customHeight="1">
      <c r="A24" s="326">
        <v>1</v>
      </c>
      <c r="B24" s="340" t="s">
        <v>29</v>
      </c>
      <c r="C24" s="341"/>
      <c r="D24" s="341"/>
      <c r="E24" s="341"/>
      <c r="F24" s="342"/>
      <c r="G24" s="343" t="s">
        <v>30</v>
      </c>
      <c r="H24" s="326" t="s">
        <v>31</v>
      </c>
      <c r="I24" s="563">
        <v>10</v>
      </c>
      <c r="P24" s="320" t="s">
        <v>32</v>
      </c>
    </row>
    <row r="25" spans="1:16" ht="15.75" customHeight="1">
      <c r="A25" s="326">
        <v>2</v>
      </c>
      <c r="B25" s="340" t="s">
        <v>33</v>
      </c>
      <c r="C25" s="341"/>
      <c r="D25" s="341"/>
      <c r="E25" s="341"/>
      <c r="F25" s="342"/>
      <c r="G25" s="343" t="s">
        <v>34</v>
      </c>
      <c r="H25" s="344" t="s">
        <v>35</v>
      </c>
      <c r="I25" s="563">
        <v>10</v>
      </c>
    </row>
    <row r="26" spans="1:16" ht="15.75" customHeight="1">
      <c r="A26" s="326">
        <v>3</v>
      </c>
      <c r="B26" s="340" t="s">
        <v>36</v>
      </c>
      <c r="C26" s="341"/>
      <c r="D26" s="341"/>
      <c r="E26" s="341"/>
      <c r="F26" s="342"/>
      <c r="G26" s="343" t="s">
        <v>37</v>
      </c>
      <c r="H26" s="344" t="s">
        <v>38</v>
      </c>
      <c r="I26" s="563">
        <v>20</v>
      </c>
    </row>
    <row r="27" spans="1:16" ht="10.5" customHeight="1">
      <c r="A27" s="345"/>
      <c r="F27" s="346"/>
      <c r="G27" s="325"/>
      <c r="H27" s="347"/>
    </row>
    <row r="28" spans="1:16" ht="20.149999999999999" customHeight="1">
      <c r="A28" s="335" t="s">
        <v>39</v>
      </c>
    </row>
    <row r="29" spans="1:16" ht="20.149999999999999" customHeight="1">
      <c r="B29" s="348" t="s">
        <v>40</v>
      </c>
    </row>
    <row r="30" spans="1:16" ht="20.149999999999999" customHeight="1">
      <c r="A30" s="335"/>
      <c r="B30" s="320" t="s">
        <v>41</v>
      </c>
      <c r="C30" s="335"/>
      <c r="D30" s="335"/>
      <c r="E30" s="335"/>
    </row>
    <row r="31" spans="1:16" ht="20.149999999999999" customHeight="1">
      <c r="A31" s="953"/>
      <c r="B31" s="941" t="s">
        <v>42</v>
      </c>
      <c r="C31" s="941" t="s">
        <v>43</v>
      </c>
      <c r="D31" s="941"/>
      <c r="E31" s="941" t="s">
        <v>44</v>
      </c>
      <c r="F31" s="941"/>
      <c r="G31" s="941"/>
      <c r="H31" s="941" t="s">
        <v>45</v>
      </c>
      <c r="I31" s="939" t="s">
        <v>46</v>
      </c>
    </row>
    <row r="32" spans="1:16" ht="27.75" customHeight="1">
      <c r="A32" s="953"/>
      <c r="B32" s="941"/>
      <c r="C32" s="300" t="s">
        <v>47</v>
      </c>
      <c r="D32" s="300" t="s">
        <v>48</v>
      </c>
      <c r="E32" s="326" t="s">
        <v>49</v>
      </c>
      <c r="F32" s="326" t="s">
        <v>50</v>
      </c>
      <c r="G32" s="326" t="s">
        <v>51</v>
      </c>
      <c r="H32" s="941"/>
      <c r="I32" s="940"/>
    </row>
    <row r="33" spans="1:9" ht="17.25" customHeight="1">
      <c r="A33" s="953"/>
      <c r="B33" s="942" t="s">
        <v>52</v>
      </c>
      <c r="C33" s="298">
        <v>125</v>
      </c>
      <c r="D33" s="326">
        <v>70</v>
      </c>
      <c r="E33" s="330"/>
      <c r="F33" s="330"/>
      <c r="G33" s="330"/>
      <c r="H33" s="951" t="s">
        <v>53</v>
      </c>
      <c r="I33" s="963" t="s">
        <v>54</v>
      </c>
    </row>
    <row r="34" spans="1:9" ht="17.25" customHeight="1">
      <c r="A34" s="953"/>
      <c r="B34" s="942"/>
      <c r="C34" s="298">
        <v>250</v>
      </c>
      <c r="D34" s="326">
        <v>90</v>
      </c>
      <c r="E34" s="330"/>
      <c r="F34" s="330"/>
      <c r="G34" s="330"/>
      <c r="H34" s="951"/>
      <c r="I34" s="964"/>
    </row>
    <row r="35" spans="1:9" ht="17.25" customHeight="1">
      <c r="A35" s="953"/>
      <c r="B35" s="942"/>
      <c r="C35" s="298">
        <v>500</v>
      </c>
      <c r="D35" s="326">
        <v>120</v>
      </c>
      <c r="E35" s="330"/>
      <c r="F35" s="330"/>
      <c r="G35" s="330"/>
      <c r="H35" s="951"/>
      <c r="I35" s="964"/>
    </row>
    <row r="36" spans="1:9" ht="17.25" customHeight="1">
      <c r="A36" s="953"/>
      <c r="B36" s="942"/>
      <c r="C36" s="298">
        <v>750</v>
      </c>
      <c r="D36" s="326">
        <v>120</v>
      </c>
      <c r="E36" s="330"/>
      <c r="F36" s="330"/>
      <c r="G36" s="330"/>
      <c r="H36" s="951"/>
      <c r="I36" s="964"/>
    </row>
    <row r="37" spans="1:9" ht="17.25" customHeight="1">
      <c r="A37" s="953"/>
      <c r="B37" s="942"/>
      <c r="C37" s="298">
        <v>1000</v>
      </c>
      <c r="D37" s="326">
        <v>120</v>
      </c>
      <c r="E37" s="330"/>
      <c r="F37" s="330"/>
      <c r="G37" s="330"/>
      <c r="H37" s="951"/>
      <c r="I37" s="964"/>
    </row>
    <row r="38" spans="1:9" ht="17.25" customHeight="1">
      <c r="A38" s="953"/>
      <c r="B38" s="942"/>
      <c r="C38" s="298">
        <v>1500</v>
      </c>
      <c r="D38" s="326">
        <v>120</v>
      </c>
      <c r="E38" s="330"/>
      <c r="F38" s="330"/>
      <c r="G38" s="330"/>
      <c r="H38" s="951"/>
      <c r="I38" s="964"/>
    </row>
    <row r="39" spans="1:9" ht="17.25" customHeight="1">
      <c r="A39" s="953"/>
      <c r="B39" s="942"/>
      <c r="C39" s="298">
        <v>2000</v>
      </c>
      <c r="D39" s="326">
        <v>120</v>
      </c>
      <c r="E39" s="330"/>
      <c r="F39" s="330"/>
      <c r="G39" s="330"/>
      <c r="H39" s="951"/>
      <c r="I39" s="964"/>
    </row>
    <row r="40" spans="1:9" ht="17.25" customHeight="1">
      <c r="A40" s="953"/>
      <c r="B40" s="942"/>
      <c r="C40" s="298">
        <v>3000</v>
      </c>
      <c r="D40" s="326">
        <v>120</v>
      </c>
      <c r="E40" s="330"/>
      <c r="F40" s="330"/>
      <c r="G40" s="330"/>
      <c r="H40" s="951"/>
      <c r="I40" s="964"/>
    </row>
    <row r="41" spans="1:9" ht="17.25" customHeight="1">
      <c r="A41" s="953"/>
      <c r="B41" s="942"/>
      <c r="C41" s="298">
        <v>4000</v>
      </c>
      <c r="D41" s="326">
        <v>120</v>
      </c>
      <c r="E41" s="330"/>
      <c r="F41" s="330"/>
      <c r="G41" s="330"/>
      <c r="H41" s="951"/>
      <c r="I41" s="964"/>
    </row>
    <row r="42" spans="1:9" ht="17.25" customHeight="1">
      <c r="A42" s="953"/>
      <c r="B42" s="942"/>
      <c r="C42" s="298">
        <v>6000</v>
      </c>
      <c r="D42" s="326">
        <v>110</v>
      </c>
      <c r="E42" s="330"/>
      <c r="F42" s="330"/>
      <c r="G42" s="330"/>
      <c r="H42" s="951" t="s">
        <v>55</v>
      </c>
      <c r="I42" s="964"/>
    </row>
    <row r="43" spans="1:9" ht="17.25" customHeight="1">
      <c r="A43" s="953"/>
      <c r="B43" s="942"/>
      <c r="C43" s="298">
        <v>8000</v>
      </c>
      <c r="D43" s="326">
        <v>100</v>
      </c>
      <c r="E43" s="330"/>
      <c r="F43" s="330"/>
      <c r="G43" s="330"/>
      <c r="H43" s="951"/>
      <c r="I43" s="965"/>
    </row>
    <row r="44" spans="1:9" ht="12" customHeight="1">
      <c r="A44" s="346"/>
      <c r="B44" s="351"/>
      <c r="C44" s="5"/>
      <c r="D44" s="346"/>
      <c r="H44" s="492"/>
    </row>
    <row r="45" spans="1:9" ht="17.25" customHeight="1">
      <c r="A45" s="346"/>
      <c r="B45" s="483" t="s">
        <v>56</v>
      </c>
      <c r="C45" s="5"/>
      <c r="D45" s="346"/>
      <c r="H45" s="492"/>
    </row>
    <row r="46" spans="1:9" ht="17.25" customHeight="1">
      <c r="A46" s="346"/>
      <c r="B46" s="941" t="s">
        <v>42</v>
      </c>
      <c r="C46" s="941" t="s">
        <v>43</v>
      </c>
      <c r="D46" s="941"/>
      <c r="E46" s="941" t="s">
        <v>44</v>
      </c>
      <c r="F46" s="941"/>
      <c r="G46" s="941"/>
      <c r="H46" s="941" t="s">
        <v>45</v>
      </c>
      <c r="I46" s="939" t="s">
        <v>46</v>
      </c>
    </row>
    <row r="47" spans="1:9" ht="24" customHeight="1">
      <c r="A47" s="346"/>
      <c r="B47" s="941"/>
      <c r="C47" s="493" t="s">
        <v>47</v>
      </c>
      <c r="D47" s="493" t="s">
        <v>48</v>
      </c>
      <c r="E47" s="326" t="s">
        <v>49</v>
      </c>
      <c r="F47" s="326" t="s">
        <v>50</v>
      </c>
      <c r="G47" s="326" t="s">
        <v>51</v>
      </c>
      <c r="H47" s="941"/>
      <c r="I47" s="940"/>
    </row>
    <row r="48" spans="1:9" ht="17.25" customHeight="1">
      <c r="A48" s="953"/>
      <c r="B48" s="942" t="s">
        <v>47</v>
      </c>
      <c r="C48" s="298">
        <v>125</v>
      </c>
      <c r="D48" s="326" t="s">
        <v>57</v>
      </c>
      <c r="E48" s="330"/>
      <c r="F48" s="330"/>
      <c r="G48" s="330"/>
      <c r="H48" s="481">
        <v>1.9</v>
      </c>
      <c r="I48" s="966" t="s">
        <v>54</v>
      </c>
    </row>
    <row r="49" spans="1:9" ht="17.25" customHeight="1">
      <c r="A49" s="953"/>
      <c r="B49" s="942"/>
      <c r="C49" s="298">
        <v>250</v>
      </c>
      <c r="D49" s="326" t="s">
        <v>57</v>
      </c>
      <c r="E49" s="330"/>
      <c r="F49" s="330"/>
      <c r="G49" s="330"/>
      <c r="H49" s="482">
        <v>4</v>
      </c>
      <c r="I49" s="967"/>
    </row>
    <row r="50" spans="1:9" ht="17.25" customHeight="1">
      <c r="A50" s="953"/>
      <c r="B50" s="942"/>
      <c r="C50" s="298">
        <v>500</v>
      </c>
      <c r="D50" s="326" t="s">
        <v>57</v>
      </c>
      <c r="E50" s="330"/>
      <c r="F50" s="330"/>
      <c r="G50" s="330"/>
      <c r="H50" s="482">
        <v>8</v>
      </c>
      <c r="I50" s="967"/>
    </row>
    <row r="51" spans="1:9" ht="17.25" customHeight="1">
      <c r="A51" s="953"/>
      <c r="B51" s="942"/>
      <c r="C51" s="298">
        <v>750</v>
      </c>
      <c r="D51" s="326" t="s">
        <v>57</v>
      </c>
      <c r="E51" s="330"/>
      <c r="F51" s="330"/>
      <c r="G51" s="330"/>
      <c r="H51" s="482">
        <v>11</v>
      </c>
      <c r="I51" s="967"/>
    </row>
    <row r="52" spans="1:9" ht="17.25" customHeight="1">
      <c r="A52" s="953"/>
      <c r="B52" s="942"/>
      <c r="C52" s="298">
        <v>1000</v>
      </c>
      <c r="D52" s="326" t="s">
        <v>57</v>
      </c>
      <c r="E52" s="330"/>
      <c r="F52" s="330"/>
      <c r="G52" s="330"/>
      <c r="H52" s="482">
        <v>15</v>
      </c>
      <c r="I52" s="967"/>
    </row>
    <row r="53" spans="1:9" ht="17.25" customHeight="1">
      <c r="A53" s="953"/>
      <c r="B53" s="942"/>
      <c r="C53" s="298">
        <v>1500</v>
      </c>
      <c r="D53" s="326" t="s">
        <v>57</v>
      </c>
      <c r="E53" s="330"/>
      <c r="F53" s="330"/>
      <c r="G53" s="330"/>
      <c r="H53" s="482">
        <v>23</v>
      </c>
      <c r="I53" s="967"/>
    </row>
    <row r="54" spans="1:9" ht="17.25" customHeight="1">
      <c r="A54" s="953"/>
      <c r="B54" s="942"/>
      <c r="C54" s="298">
        <v>2000</v>
      </c>
      <c r="D54" s="326" t="s">
        <v>57</v>
      </c>
      <c r="E54" s="330"/>
      <c r="F54" s="330"/>
      <c r="G54" s="330"/>
      <c r="H54" s="482">
        <v>30</v>
      </c>
      <c r="I54" s="967"/>
    </row>
    <row r="55" spans="1:9" ht="17.25" customHeight="1">
      <c r="A55" s="953"/>
      <c r="B55" s="942"/>
      <c r="C55" s="298">
        <v>3000</v>
      </c>
      <c r="D55" s="326" t="s">
        <v>57</v>
      </c>
      <c r="E55" s="330"/>
      <c r="F55" s="330"/>
      <c r="G55" s="330"/>
      <c r="H55" s="482">
        <v>45</v>
      </c>
      <c r="I55" s="967"/>
    </row>
    <row r="56" spans="1:9" ht="17.25" customHeight="1">
      <c r="A56" s="953"/>
      <c r="B56" s="942"/>
      <c r="C56" s="298">
        <v>4000</v>
      </c>
      <c r="D56" s="326" t="s">
        <v>57</v>
      </c>
      <c r="E56" s="330"/>
      <c r="F56" s="330"/>
      <c r="G56" s="330"/>
      <c r="H56" s="482">
        <v>60</v>
      </c>
      <c r="I56" s="967"/>
    </row>
    <row r="57" spans="1:9" ht="17.25" customHeight="1">
      <c r="A57" s="953"/>
      <c r="B57" s="942"/>
      <c r="C57" s="298">
        <v>6000</v>
      </c>
      <c r="D57" s="326" t="s">
        <v>57</v>
      </c>
      <c r="E57" s="330"/>
      <c r="F57" s="330"/>
      <c r="G57" s="330"/>
      <c r="H57" s="482">
        <v>90</v>
      </c>
      <c r="I57" s="967"/>
    </row>
    <row r="58" spans="1:9" ht="17.25" customHeight="1">
      <c r="A58" s="953"/>
      <c r="B58" s="942"/>
      <c r="C58" s="298">
        <v>8000</v>
      </c>
      <c r="D58" s="326" t="s">
        <v>57</v>
      </c>
      <c r="E58" s="330"/>
      <c r="F58" s="330"/>
      <c r="G58" s="330"/>
      <c r="H58" s="482">
        <v>120</v>
      </c>
      <c r="I58" s="968"/>
    </row>
    <row r="59" spans="1:9" ht="17.25" customHeight="1">
      <c r="A59" s="346"/>
      <c r="B59" s="494" t="s">
        <v>58</v>
      </c>
      <c r="C59" s="5"/>
      <c r="D59" s="346"/>
      <c r="H59" s="352"/>
    </row>
    <row r="60" spans="1:9" ht="17.25" customHeight="1">
      <c r="A60" s="346"/>
      <c r="B60" s="351"/>
      <c r="C60" s="5"/>
      <c r="D60" s="346"/>
      <c r="H60" s="352"/>
    </row>
    <row r="61" spans="1:9" ht="17.25" hidden="1" customHeight="1">
      <c r="A61" s="346"/>
      <c r="B61" s="489" t="s">
        <v>59</v>
      </c>
      <c r="C61" s="5"/>
      <c r="D61" s="346"/>
      <c r="H61" s="352"/>
    </row>
    <row r="62" spans="1:9" ht="17.25" hidden="1" customHeight="1">
      <c r="A62" s="953"/>
      <c r="B62" s="941" t="s">
        <v>42</v>
      </c>
      <c r="C62" s="941" t="s">
        <v>43</v>
      </c>
      <c r="D62" s="941"/>
      <c r="E62" s="941" t="s">
        <v>44</v>
      </c>
      <c r="F62" s="941"/>
      <c r="G62" s="941"/>
      <c r="H62" s="941" t="s">
        <v>45</v>
      </c>
    </row>
    <row r="63" spans="1:9" ht="40.5" hidden="1" customHeight="1">
      <c r="A63" s="953"/>
      <c r="B63" s="941"/>
      <c r="C63" s="349" t="s">
        <v>47</v>
      </c>
      <c r="D63" s="349" t="s">
        <v>48</v>
      </c>
      <c r="E63" s="326" t="s">
        <v>49</v>
      </c>
      <c r="F63" s="326" t="s">
        <v>50</v>
      </c>
      <c r="G63" s="326" t="s">
        <v>51</v>
      </c>
      <c r="H63" s="941"/>
      <c r="I63" s="326" t="s">
        <v>46</v>
      </c>
    </row>
    <row r="64" spans="1:9" ht="17.25" hidden="1" customHeight="1">
      <c r="A64" s="953"/>
      <c r="B64" s="942" t="s">
        <v>60</v>
      </c>
      <c r="C64" s="298">
        <v>125</v>
      </c>
      <c r="D64" s="326">
        <v>75</v>
      </c>
      <c r="E64" s="330"/>
      <c r="F64" s="330"/>
      <c r="G64" s="330"/>
      <c r="H64" s="954">
        <v>3</v>
      </c>
      <c r="I64" s="966" t="s">
        <v>61</v>
      </c>
    </row>
    <row r="65" spans="1:9" ht="17.25" hidden="1" customHeight="1">
      <c r="A65" s="953"/>
      <c r="B65" s="942"/>
      <c r="C65" s="298">
        <v>250</v>
      </c>
      <c r="D65" s="326">
        <v>90</v>
      </c>
      <c r="E65" s="330"/>
      <c r="F65" s="330"/>
      <c r="G65" s="330"/>
      <c r="H65" s="954"/>
      <c r="I65" s="967"/>
    </row>
    <row r="66" spans="1:9" ht="17.25" hidden="1" customHeight="1">
      <c r="A66" s="953"/>
      <c r="B66" s="942"/>
      <c r="C66" s="298">
        <v>500</v>
      </c>
      <c r="D66" s="326">
        <v>110</v>
      </c>
      <c r="E66" s="330"/>
      <c r="F66" s="330"/>
      <c r="G66" s="330"/>
      <c r="H66" s="954"/>
      <c r="I66" s="967"/>
    </row>
    <row r="67" spans="1:9" ht="17.25" hidden="1" customHeight="1">
      <c r="A67" s="953"/>
      <c r="B67" s="942"/>
      <c r="C67" s="298">
        <v>750</v>
      </c>
      <c r="D67" s="326">
        <v>110</v>
      </c>
      <c r="E67" s="330"/>
      <c r="F67" s="330"/>
      <c r="G67" s="330"/>
      <c r="H67" s="954"/>
      <c r="I67" s="967"/>
    </row>
    <row r="68" spans="1:9" ht="17.25" hidden="1" customHeight="1">
      <c r="A68" s="953"/>
      <c r="B68" s="943"/>
      <c r="C68" s="298">
        <v>1000</v>
      </c>
      <c r="D68" s="326">
        <v>110</v>
      </c>
      <c r="E68" s="330"/>
      <c r="F68" s="330"/>
      <c r="G68" s="330"/>
      <c r="H68" s="954"/>
      <c r="I68" s="967"/>
    </row>
    <row r="69" spans="1:9" ht="17.25" hidden="1" customHeight="1">
      <c r="A69" s="953"/>
      <c r="B69" s="944" t="s">
        <v>62</v>
      </c>
      <c r="C69" s="298">
        <v>1500</v>
      </c>
      <c r="D69" s="326">
        <v>110</v>
      </c>
      <c r="E69" s="330"/>
      <c r="F69" s="330"/>
      <c r="G69" s="330"/>
      <c r="H69" s="954"/>
      <c r="I69" s="967"/>
    </row>
    <row r="70" spans="1:9" ht="17.25" hidden="1" customHeight="1">
      <c r="A70" s="953"/>
      <c r="B70" s="942"/>
      <c r="C70" s="298">
        <v>2000</v>
      </c>
      <c r="D70" s="326">
        <v>110</v>
      </c>
      <c r="E70" s="330"/>
      <c r="F70" s="330"/>
      <c r="G70" s="330"/>
      <c r="H70" s="954"/>
      <c r="I70" s="967"/>
    </row>
    <row r="71" spans="1:9" ht="17.25" hidden="1" customHeight="1">
      <c r="A71" s="953"/>
      <c r="B71" s="942"/>
      <c r="C71" s="298">
        <v>3000</v>
      </c>
      <c r="D71" s="326">
        <v>110</v>
      </c>
      <c r="E71" s="330"/>
      <c r="F71" s="330"/>
      <c r="G71" s="330"/>
      <c r="H71" s="954"/>
      <c r="I71" s="967"/>
    </row>
    <row r="72" spans="1:9" ht="17.25" hidden="1" customHeight="1">
      <c r="A72" s="953"/>
      <c r="B72" s="942"/>
      <c r="C72" s="298">
        <v>4000</v>
      </c>
      <c r="D72" s="326">
        <v>110</v>
      </c>
      <c r="E72" s="330"/>
      <c r="F72" s="330"/>
      <c r="G72" s="330"/>
      <c r="H72" s="954"/>
      <c r="I72" s="967"/>
    </row>
    <row r="73" spans="1:9" ht="17.25" hidden="1" customHeight="1">
      <c r="A73" s="953"/>
      <c r="B73" s="942"/>
      <c r="C73" s="298">
        <v>6000</v>
      </c>
      <c r="D73" s="326">
        <v>110</v>
      </c>
      <c r="E73" s="330"/>
      <c r="F73" s="330"/>
      <c r="G73" s="330"/>
      <c r="H73" s="954"/>
      <c r="I73" s="967"/>
    </row>
    <row r="74" spans="1:9" ht="17.25" hidden="1" customHeight="1">
      <c r="A74" s="953"/>
      <c r="B74" s="942"/>
      <c r="C74" s="298">
        <v>8000</v>
      </c>
      <c r="D74" s="326">
        <v>110</v>
      </c>
      <c r="E74" s="330"/>
      <c r="F74" s="330"/>
      <c r="G74" s="330"/>
      <c r="H74" s="954"/>
      <c r="I74" s="968"/>
    </row>
    <row r="75" spans="1:9" ht="17.25" customHeight="1">
      <c r="A75" s="346"/>
      <c r="B75" s="351"/>
      <c r="C75" s="5"/>
      <c r="D75" s="346"/>
      <c r="H75" s="353"/>
    </row>
    <row r="76" spans="1:9" ht="17.25" customHeight="1">
      <c r="A76" s="346"/>
      <c r="B76" s="348" t="s">
        <v>63</v>
      </c>
      <c r="C76" s="5"/>
      <c r="D76" s="346"/>
      <c r="H76" s="353"/>
    </row>
    <row r="77" spans="1:9" ht="17.25" customHeight="1">
      <c r="A77" s="335"/>
      <c r="B77" s="320" t="s">
        <v>41</v>
      </c>
      <c r="C77" s="335"/>
      <c r="D77" s="335"/>
    </row>
    <row r="78" spans="1:9" ht="17.25" customHeight="1">
      <c r="A78" s="953"/>
      <c r="B78" s="941" t="s">
        <v>42</v>
      </c>
      <c r="C78" s="941" t="s">
        <v>43</v>
      </c>
      <c r="D78" s="941"/>
      <c r="E78" s="941" t="s">
        <v>44</v>
      </c>
      <c r="F78" s="941"/>
      <c r="G78" s="941"/>
      <c r="H78" s="941" t="s">
        <v>45</v>
      </c>
      <c r="I78" s="941" t="s">
        <v>46</v>
      </c>
    </row>
    <row r="79" spans="1:9" ht="27.75" customHeight="1">
      <c r="A79" s="953"/>
      <c r="B79" s="941"/>
      <c r="C79" s="300" t="s">
        <v>47</v>
      </c>
      <c r="D79" s="300" t="s">
        <v>48</v>
      </c>
      <c r="E79" s="326" t="s">
        <v>49</v>
      </c>
      <c r="F79" s="326" t="s">
        <v>50</v>
      </c>
      <c r="G79" s="326" t="s">
        <v>51</v>
      </c>
      <c r="H79" s="941"/>
      <c r="I79" s="941"/>
    </row>
    <row r="80" spans="1:9" ht="17.25" customHeight="1">
      <c r="A80" s="953"/>
      <c r="B80" s="942" t="s">
        <v>52</v>
      </c>
      <c r="C80" s="298">
        <v>125</v>
      </c>
      <c r="D80" s="326">
        <v>70</v>
      </c>
      <c r="E80" s="330"/>
      <c r="F80" s="330"/>
      <c r="G80" s="330"/>
      <c r="H80" s="951" t="s">
        <v>53</v>
      </c>
      <c r="I80" s="966" t="s">
        <v>64</v>
      </c>
    </row>
    <row r="81" spans="1:9" ht="17.25" customHeight="1">
      <c r="A81" s="953"/>
      <c r="B81" s="942"/>
      <c r="C81" s="298">
        <v>250</v>
      </c>
      <c r="D81" s="326">
        <v>90</v>
      </c>
      <c r="E81" s="330"/>
      <c r="F81" s="330"/>
      <c r="G81" s="330"/>
      <c r="H81" s="951"/>
      <c r="I81" s="967"/>
    </row>
    <row r="82" spans="1:9" ht="17.25" customHeight="1">
      <c r="A82" s="953"/>
      <c r="B82" s="942"/>
      <c r="C82" s="298">
        <v>500</v>
      </c>
      <c r="D82" s="326">
        <v>120</v>
      </c>
      <c r="E82" s="330"/>
      <c r="F82" s="330"/>
      <c r="G82" s="330"/>
      <c r="H82" s="951"/>
      <c r="I82" s="967"/>
    </row>
    <row r="83" spans="1:9" ht="17.25" customHeight="1">
      <c r="A83" s="953"/>
      <c r="B83" s="942"/>
      <c r="C83" s="298">
        <v>750</v>
      </c>
      <c r="D83" s="326">
        <v>120</v>
      </c>
      <c r="E83" s="330"/>
      <c r="F83" s="330"/>
      <c r="G83" s="330"/>
      <c r="H83" s="951"/>
      <c r="I83" s="967"/>
    </row>
    <row r="84" spans="1:9" ht="17.25" customHeight="1">
      <c r="A84" s="953"/>
      <c r="B84" s="942"/>
      <c r="C84" s="298">
        <v>1000</v>
      </c>
      <c r="D84" s="326">
        <v>120</v>
      </c>
      <c r="E84" s="330"/>
      <c r="F84" s="330"/>
      <c r="G84" s="330"/>
      <c r="H84" s="951"/>
      <c r="I84" s="967"/>
    </row>
    <row r="85" spans="1:9" ht="17.25" customHeight="1">
      <c r="A85" s="953"/>
      <c r="B85" s="942"/>
      <c r="C85" s="298">
        <v>1500</v>
      </c>
      <c r="D85" s="326">
        <v>120</v>
      </c>
      <c r="E85" s="330"/>
      <c r="F85" s="330"/>
      <c r="G85" s="330"/>
      <c r="H85" s="951"/>
      <c r="I85" s="967"/>
    </row>
    <row r="86" spans="1:9" ht="17.25" customHeight="1">
      <c r="A86" s="953"/>
      <c r="B86" s="942"/>
      <c r="C86" s="298">
        <v>2000</v>
      </c>
      <c r="D86" s="326">
        <v>120</v>
      </c>
      <c r="E86" s="330"/>
      <c r="F86" s="330"/>
      <c r="G86" s="330"/>
      <c r="H86" s="951"/>
      <c r="I86" s="967"/>
    </row>
    <row r="87" spans="1:9" ht="17.25" customHeight="1">
      <c r="A87" s="953"/>
      <c r="B87" s="942"/>
      <c r="C87" s="298">
        <v>3000</v>
      </c>
      <c r="D87" s="326">
        <v>120</v>
      </c>
      <c r="E87" s="330"/>
      <c r="F87" s="330"/>
      <c r="G87" s="330"/>
      <c r="H87" s="951"/>
      <c r="I87" s="967"/>
    </row>
    <row r="88" spans="1:9" ht="17.25" customHeight="1">
      <c r="A88" s="953"/>
      <c r="B88" s="942"/>
      <c r="C88" s="298">
        <v>4000</v>
      </c>
      <c r="D88" s="326">
        <v>120</v>
      </c>
      <c r="E88" s="330"/>
      <c r="F88" s="330"/>
      <c r="G88" s="330"/>
      <c r="H88" s="951"/>
      <c r="I88" s="967"/>
    </row>
    <row r="89" spans="1:9" ht="17.25" customHeight="1">
      <c r="A89" s="953"/>
      <c r="B89" s="942"/>
      <c r="C89" s="298">
        <v>6000</v>
      </c>
      <c r="D89" s="326">
        <v>110</v>
      </c>
      <c r="E89" s="330"/>
      <c r="F89" s="330"/>
      <c r="G89" s="330"/>
      <c r="H89" s="951" t="s">
        <v>55</v>
      </c>
      <c r="I89" s="967"/>
    </row>
    <row r="90" spans="1:9" ht="17.25" customHeight="1">
      <c r="A90" s="953"/>
      <c r="B90" s="942"/>
      <c r="C90" s="298">
        <v>8000</v>
      </c>
      <c r="D90" s="326">
        <v>100</v>
      </c>
      <c r="E90" s="330"/>
      <c r="F90" s="330"/>
      <c r="G90" s="330"/>
      <c r="H90" s="951"/>
      <c r="I90" s="968"/>
    </row>
    <row r="91" spans="1:9" ht="17.25" customHeight="1">
      <c r="A91" s="346"/>
      <c r="B91" s="484"/>
      <c r="C91" s="487"/>
      <c r="D91" s="485"/>
      <c r="E91" s="486"/>
      <c r="F91" s="486"/>
      <c r="G91" s="486"/>
      <c r="H91" s="488"/>
    </row>
    <row r="92" spans="1:9" ht="17.25" customHeight="1">
      <c r="A92" s="346"/>
      <c r="B92" s="483" t="s">
        <v>56</v>
      </c>
      <c r="C92" s="5"/>
      <c r="D92" s="346"/>
      <c r="H92" s="492"/>
    </row>
    <row r="93" spans="1:9" ht="17.25" customHeight="1">
      <c r="A93" s="346"/>
      <c r="B93" s="941" t="s">
        <v>42</v>
      </c>
      <c r="C93" s="941" t="s">
        <v>43</v>
      </c>
      <c r="D93" s="941"/>
      <c r="E93" s="941" t="s">
        <v>44</v>
      </c>
      <c r="F93" s="941"/>
      <c r="G93" s="941"/>
      <c r="H93" s="941" t="s">
        <v>45</v>
      </c>
      <c r="I93" s="941" t="s">
        <v>46</v>
      </c>
    </row>
    <row r="94" spans="1:9" ht="24" customHeight="1">
      <c r="A94" s="346"/>
      <c r="B94" s="941"/>
      <c r="C94" s="493" t="s">
        <v>47</v>
      </c>
      <c r="D94" s="493" t="s">
        <v>48</v>
      </c>
      <c r="E94" s="326" t="s">
        <v>49</v>
      </c>
      <c r="F94" s="326" t="s">
        <v>50</v>
      </c>
      <c r="G94" s="326" t="s">
        <v>51</v>
      </c>
      <c r="H94" s="941"/>
      <c r="I94" s="941"/>
    </row>
    <row r="95" spans="1:9" ht="17.25" customHeight="1">
      <c r="A95" s="953"/>
      <c r="B95" s="942" t="s">
        <v>47</v>
      </c>
      <c r="C95" s="298">
        <v>125</v>
      </c>
      <c r="D95" s="326" t="s">
        <v>57</v>
      </c>
      <c r="E95" s="330"/>
      <c r="F95" s="330"/>
      <c r="G95" s="330"/>
      <c r="H95" s="481">
        <v>1.9</v>
      </c>
      <c r="I95" s="966" t="s">
        <v>64</v>
      </c>
    </row>
    <row r="96" spans="1:9" ht="17.25" customHeight="1">
      <c r="A96" s="953"/>
      <c r="B96" s="942"/>
      <c r="C96" s="298">
        <v>250</v>
      </c>
      <c r="D96" s="326" t="s">
        <v>57</v>
      </c>
      <c r="E96" s="330"/>
      <c r="F96" s="330"/>
      <c r="G96" s="330"/>
      <c r="H96" s="482">
        <v>4</v>
      </c>
      <c r="I96" s="967"/>
    </row>
    <row r="97" spans="1:9" ht="17.25" customHeight="1">
      <c r="A97" s="953"/>
      <c r="B97" s="942"/>
      <c r="C97" s="298">
        <v>500</v>
      </c>
      <c r="D97" s="326" t="s">
        <v>57</v>
      </c>
      <c r="E97" s="330"/>
      <c r="F97" s="330"/>
      <c r="G97" s="330"/>
      <c r="H97" s="482">
        <v>8</v>
      </c>
      <c r="I97" s="967"/>
    </row>
    <row r="98" spans="1:9" ht="17.25" customHeight="1">
      <c r="A98" s="953"/>
      <c r="B98" s="942"/>
      <c r="C98" s="298">
        <v>750</v>
      </c>
      <c r="D98" s="326" t="s">
        <v>57</v>
      </c>
      <c r="E98" s="330"/>
      <c r="F98" s="330"/>
      <c r="G98" s="330"/>
      <c r="H98" s="482">
        <v>11</v>
      </c>
      <c r="I98" s="967"/>
    </row>
    <row r="99" spans="1:9" ht="17.25" customHeight="1">
      <c r="A99" s="953"/>
      <c r="B99" s="942"/>
      <c r="C99" s="298">
        <v>1000</v>
      </c>
      <c r="D99" s="326" t="s">
        <v>57</v>
      </c>
      <c r="E99" s="330"/>
      <c r="F99" s="330"/>
      <c r="G99" s="330"/>
      <c r="H99" s="482">
        <v>15</v>
      </c>
      <c r="I99" s="967"/>
    </row>
    <row r="100" spans="1:9" ht="17.25" customHeight="1">
      <c r="A100" s="953"/>
      <c r="B100" s="942"/>
      <c r="C100" s="298">
        <v>1500</v>
      </c>
      <c r="D100" s="326" t="s">
        <v>57</v>
      </c>
      <c r="E100" s="330"/>
      <c r="F100" s="330"/>
      <c r="G100" s="330"/>
      <c r="H100" s="482">
        <v>23</v>
      </c>
      <c r="I100" s="967"/>
    </row>
    <row r="101" spans="1:9" ht="17.25" customHeight="1">
      <c r="A101" s="953"/>
      <c r="B101" s="942"/>
      <c r="C101" s="298">
        <v>2000</v>
      </c>
      <c r="D101" s="326" t="s">
        <v>57</v>
      </c>
      <c r="E101" s="330"/>
      <c r="F101" s="330"/>
      <c r="G101" s="330"/>
      <c r="H101" s="482">
        <v>30</v>
      </c>
      <c r="I101" s="967"/>
    </row>
    <row r="102" spans="1:9" ht="17.25" customHeight="1">
      <c r="A102" s="953"/>
      <c r="B102" s="942"/>
      <c r="C102" s="298">
        <v>3000</v>
      </c>
      <c r="D102" s="326" t="s">
        <v>57</v>
      </c>
      <c r="E102" s="330"/>
      <c r="F102" s="330"/>
      <c r="G102" s="330"/>
      <c r="H102" s="482">
        <v>45</v>
      </c>
      <c r="I102" s="967"/>
    </row>
    <row r="103" spans="1:9" ht="17.25" customHeight="1">
      <c r="A103" s="953"/>
      <c r="B103" s="942"/>
      <c r="C103" s="298">
        <v>4000</v>
      </c>
      <c r="D103" s="326" t="s">
        <v>57</v>
      </c>
      <c r="E103" s="330"/>
      <c r="F103" s="330"/>
      <c r="G103" s="330"/>
      <c r="H103" s="482">
        <v>60</v>
      </c>
      <c r="I103" s="967"/>
    </row>
    <row r="104" spans="1:9" ht="17.25" customHeight="1">
      <c r="A104" s="953"/>
      <c r="B104" s="942"/>
      <c r="C104" s="298">
        <v>6000</v>
      </c>
      <c r="D104" s="326" t="s">
        <v>57</v>
      </c>
      <c r="E104" s="330"/>
      <c r="F104" s="330"/>
      <c r="G104" s="330"/>
      <c r="H104" s="482">
        <v>90</v>
      </c>
      <c r="I104" s="967"/>
    </row>
    <row r="105" spans="1:9" ht="17.25" customHeight="1">
      <c r="A105" s="953"/>
      <c r="B105" s="942"/>
      <c r="C105" s="298">
        <v>8000</v>
      </c>
      <c r="D105" s="326" t="s">
        <v>57</v>
      </c>
      <c r="E105" s="330"/>
      <c r="F105" s="330"/>
      <c r="G105" s="330"/>
      <c r="H105" s="482">
        <v>120</v>
      </c>
      <c r="I105" s="968"/>
    </row>
    <row r="106" spans="1:9" ht="17.25" customHeight="1">
      <c r="A106" s="346"/>
      <c r="B106" s="494" t="s">
        <v>58</v>
      </c>
      <c r="C106" s="5"/>
      <c r="D106" s="346"/>
      <c r="H106" s="353"/>
    </row>
    <row r="107" spans="1:9" ht="15.75" hidden="1" customHeight="1">
      <c r="B107" s="320" t="s">
        <v>59</v>
      </c>
    </row>
    <row r="108" spans="1:9" ht="27.75" hidden="1" customHeight="1">
      <c r="A108" s="953"/>
      <c r="B108" s="941" t="s">
        <v>42</v>
      </c>
      <c r="C108" s="941" t="s">
        <v>43</v>
      </c>
      <c r="D108" s="941"/>
      <c r="E108" s="941" t="s">
        <v>44</v>
      </c>
      <c r="F108" s="941"/>
      <c r="G108" s="941"/>
      <c r="H108" s="941" t="s">
        <v>45</v>
      </c>
    </row>
    <row r="109" spans="1:9" ht="44.25" hidden="1" customHeight="1">
      <c r="A109" s="953"/>
      <c r="B109" s="939"/>
      <c r="C109" s="408" t="s">
        <v>47</v>
      </c>
      <c r="D109" s="408" t="s">
        <v>48</v>
      </c>
      <c r="E109" s="350" t="s">
        <v>49</v>
      </c>
      <c r="F109" s="350" t="s">
        <v>50</v>
      </c>
      <c r="G109" s="350" t="s">
        <v>51</v>
      </c>
      <c r="H109" s="939"/>
      <c r="I109" s="326" t="s">
        <v>46</v>
      </c>
    </row>
    <row r="110" spans="1:9" ht="20.149999999999999" hidden="1" customHeight="1">
      <c r="A110" s="953"/>
      <c r="B110" s="955" t="s">
        <v>60</v>
      </c>
      <c r="C110" s="5">
        <v>125</v>
      </c>
      <c r="D110" s="346">
        <v>75</v>
      </c>
      <c r="H110" s="956">
        <v>3</v>
      </c>
      <c r="I110" s="957" t="s">
        <v>61</v>
      </c>
    </row>
    <row r="111" spans="1:9" ht="20.149999999999999" hidden="1" customHeight="1">
      <c r="A111" s="953"/>
      <c r="B111" s="955"/>
      <c r="C111" s="5">
        <v>250</v>
      </c>
      <c r="D111" s="346">
        <v>90</v>
      </c>
      <c r="H111" s="956"/>
      <c r="I111" s="958"/>
    </row>
    <row r="112" spans="1:9" ht="20.25" hidden="1" customHeight="1">
      <c r="A112" s="953"/>
      <c r="B112" s="955"/>
      <c r="C112" s="5">
        <v>500</v>
      </c>
      <c r="D112" s="346">
        <v>110</v>
      </c>
      <c r="H112" s="956"/>
      <c r="I112" s="958"/>
    </row>
    <row r="113" spans="1:9" ht="15.75" hidden="1" customHeight="1">
      <c r="A113" s="953"/>
      <c r="B113" s="955"/>
      <c r="C113" s="5">
        <v>750</v>
      </c>
      <c r="D113" s="346">
        <v>110</v>
      </c>
      <c r="H113" s="956"/>
      <c r="I113" s="958"/>
    </row>
    <row r="114" spans="1:9" ht="15.75" hidden="1" customHeight="1">
      <c r="A114" s="953"/>
      <c r="B114" s="955"/>
      <c r="C114" s="5">
        <v>1000</v>
      </c>
      <c r="D114" s="346">
        <v>110</v>
      </c>
      <c r="H114" s="956"/>
      <c r="I114" s="958"/>
    </row>
    <row r="115" spans="1:9" ht="15.75" hidden="1" customHeight="1">
      <c r="A115" s="953"/>
      <c r="B115" s="955" t="s">
        <v>65</v>
      </c>
      <c r="C115" s="5">
        <v>1500</v>
      </c>
      <c r="D115" s="346">
        <v>110</v>
      </c>
      <c r="H115" s="956"/>
      <c r="I115" s="958"/>
    </row>
    <row r="116" spans="1:9" ht="15.75" hidden="1" customHeight="1">
      <c r="A116" s="953"/>
      <c r="B116" s="955"/>
      <c r="C116" s="5">
        <v>2000</v>
      </c>
      <c r="D116" s="346">
        <v>110</v>
      </c>
      <c r="H116" s="956"/>
      <c r="I116" s="958"/>
    </row>
    <row r="117" spans="1:9" ht="15.75" hidden="1" customHeight="1">
      <c r="A117" s="953"/>
      <c r="B117" s="955"/>
      <c r="C117" s="5">
        <v>3000</v>
      </c>
      <c r="D117" s="346">
        <v>110</v>
      </c>
      <c r="H117" s="956"/>
      <c r="I117" s="958"/>
    </row>
    <row r="118" spans="1:9" ht="15.75" hidden="1" customHeight="1">
      <c r="A118" s="953"/>
      <c r="B118" s="955"/>
      <c r="C118" s="5">
        <v>4000</v>
      </c>
      <c r="D118" s="346">
        <v>110</v>
      </c>
      <c r="H118" s="956"/>
      <c r="I118" s="958"/>
    </row>
    <row r="119" spans="1:9" ht="15.75" hidden="1" customHeight="1">
      <c r="A119" s="953"/>
      <c r="B119" s="955"/>
      <c r="C119" s="5">
        <v>6000</v>
      </c>
      <c r="D119" s="346">
        <v>110</v>
      </c>
      <c r="H119" s="956"/>
      <c r="I119" s="958"/>
    </row>
    <row r="120" spans="1:9" ht="15.75" hidden="1" customHeight="1">
      <c r="A120" s="953"/>
      <c r="B120" s="955"/>
      <c r="C120" s="5">
        <v>8000</v>
      </c>
      <c r="D120" s="346">
        <v>110</v>
      </c>
      <c r="H120" s="956"/>
      <c r="I120" s="959"/>
    </row>
    <row r="121" spans="1:9" ht="15.75" customHeight="1">
      <c r="A121" s="953"/>
      <c r="B121" s="351"/>
      <c r="C121" s="5"/>
      <c r="D121" s="346"/>
      <c r="H121" s="538"/>
    </row>
    <row r="122" spans="1:9" ht="15.75" hidden="1" customHeight="1">
      <c r="A122" s="953"/>
      <c r="B122" s="348" t="s">
        <v>66</v>
      </c>
      <c r="C122" s="5"/>
      <c r="D122" s="346"/>
      <c r="H122" s="538"/>
    </row>
    <row r="123" spans="1:9" ht="15.75" hidden="1" customHeight="1">
      <c r="A123" s="953"/>
      <c r="B123" s="953" t="s">
        <v>42</v>
      </c>
      <c r="C123" s="953" t="s">
        <v>43</v>
      </c>
      <c r="D123" s="953"/>
      <c r="E123" s="953" t="s">
        <v>44</v>
      </c>
      <c r="F123" s="953"/>
      <c r="G123" s="953"/>
      <c r="H123" s="953" t="s">
        <v>45</v>
      </c>
    </row>
    <row r="124" spans="1:9" ht="32.25" hidden="1" customHeight="1">
      <c r="A124" s="953"/>
      <c r="B124" s="953"/>
      <c r="C124" s="351" t="s">
        <v>47</v>
      </c>
      <c r="D124" s="351" t="s">
        <v>48</v>
      </c>
      <c r="E124" s="346" t="s">
        <v>49</v>
      </c>
      <c r="F124" s="346" t="s">
        <v>50</v>
      </c>
      <c r="G124" s="346" t="s">
        <v>51</v>
      </c>
      <c r="H124" s="953"/>
      <c r="I124" s="342" t="s">
        <v>46</v>
      </c>
    </row>
    <row r="125" spans="1:9" ht="15.75" hidden="1" customHeight="1">
      <c r="A125" s="953"/>
      <c r="B125" s="955" t="s">
        <v>67</v>
      </c>
      <c r="C125" s="5">
        <v>250</v>
      </c>
      <c r="D125" s="346">
        <v>20</v>
      </c>
      <c r="H125" s="956">
        <v>6</v>
      </c>
      <c r="I125" s="960" t="s">
        <v>68</v>
      </c>
    </row>
    <row r="126" spans="1:9" ht="15.75" hidden="1" customHeight="1">
      <c r="A126" s="953"/>
      <c r="B126" s="955"/>
      <c r="C126" s="5">
        <v>500</v>
      </c>
      <c r="D126" s="346">
        <v>50</v>
      </c>
      <c r="H126" s="956"/>
      <c r="I126" s="961"/>
    </row>
    <row r="127" spans="1:9" ht="15.75" hidden="1" customHeight="1">
      <c r="A127" s="953"/>
      <c r="B127" s="955"/>
      <c r="C127" s="5">
        <v>750</v>
      </c>
      <c r="D127" s="346">
        <v>50</v>
      </c>
      <c r="H127" s="956"/>
      <c r="I127" s="961"/>
    </row>
    <row r="128" spans="1:9" ht="20.149999999999999" hidden="1" customHeight="1">
      <c r="A128" s="953"/>
      <c r="B128" s="955"/>
      <c r="C128" s="5">
        <v>1000</v>
      </c>
      <c r="D128" s="346">
        <v>60</v>
      </c>
      <c r="H128" s="956"/>
      <c r="I128" s="961"/>
    </row>
    <row r="129" spans="1:14" ht="18.75" hidden="1" customHeight="1">
      <c r="A129" s="953"/>
      <c r="B129" s="955" t="s">
        <v>69</v>
      </c>
      <c r="C129" s="5">
        <v>1500</v>
      </c>
      <c r="D129" s="346">
        <v>60</v>
      </c>
      <c r="H129" s="956"/>
      <c r="I129" s="961"/>
    </row>
    <row r="130" spans="1:14" ht="20.25" hidden="1" customHeight="1">
      <c r="A130" s="953"/>
      <c r="B130" s="955"/>
      <c r="C130" s="5">
        <v>2000</v>
      </c>
      <c r="D130" s="346">
        <v>60</v>
      </c>
      <c r="H130" s="956"/>
      <c r="I130" s="961"/>
    </row>
    <row r="131" spans="1:14" ht="20.25" hidden="1" customHeight="1">
      <c r="A131" s="953"/>
      <c r="B131" s="955"/>
      <c r="C131" s="5">
        <v>3000</v>
      </c>
      <c r="D131" s="346">
        <v>60</v>
      </c>
      <c r="H131" s="956"/>
      <c r="I131" s="961"/>
    </row>
    <row r="132" spans="1:14" ht="20.25" hidden="1" customHeight="1">
      <c r="A132" s="953"/>
      <c r="B132" s="955"/>
      <c r="C132" s="5">
        <v>4000</v>
      </c>
      <c r="D132" s="346">
        <v>60</v>
      </c>
      <c r="H132" s="956"/>
      <c r="I132" s="962"/>
      <c r="M132" s="335"/>
      <c r="N132" s="335"/>
    </row>
    <row r="133" spans="1:14" ht="20.25" customHeight="1">
      <c r="M133" s="335"/>
      <c r="N133" s="335"/>
    </row>
    <row r="134" spans="1:14">
      <c r="A134" s="952" t="s">
        <v>70</v>
      </c>
      <c r="B134" s="952"/>
    </row>
    <row r="135" spans="1:14">
      <c r="B135" s="490" t="s">
        <v>71</v>
      </c>
    </row>
    <row r="136" spans="1:14">
      <c r="B136" s="491" t="s">
        <v>72</v>
      </c>
    </row>
    <row r="137" spans="1:14">
      <c r="B137" s="490" t="s">
        <v>73</v>
      </c>
    </row>
    <row r="138" spans="1:14">
      <c r="A138" s="328"/>
    </row>
    <row r="139" spans="1:14" ht="16" thickBot="1">
      <c r="A139" s="324" t="s">
        <v>74</v>
      </c>
    </row>
    <row r="140" spans="1:14" ht="16" thickBot="1">
      <c r="A140" s="354"/>
      <c r="B140" s="322" t="s">
        <v>75</v>
      </c>
    </row>
    <row r="141" spans="1:14" ht="16" thickBot="1">
      <c r="A141" s="354"/>
      <c r="B141" s="322" t="s">
        <v>76</v>
      </c>
    </row>
    <row r="142" spans="1:14" ht="16" thickBot="1">
      <c r="A142" s="354"/>
      <c r="B142" s="355" t="s">
        <v>77</v>
      </c>
    </row>
    <row r="143" spans="1:14" ht="16" thickBot="1">
      <c r="A143" s="354"/>
      <c r="B143" s="355" t="s">
        <v>78</v>
      </c>
    </row>
    <row r="144" spans="1:14" ht="16" thickBot="1">
      <c r="A144" s="502"/>
      <c r="B144" s="494" t="s">
        <v>79</v>
      </c>
    </row>
    <row r="145" spans="1:8" ht="16" thickBot="1">
      <c r="A145" s="354"/>
      <c r="B145" s="355" t="s">
        <v>80</v>
      </c>
    </row>
    <row r="146" spans="1:8" ht="16" thickBot="1">
      <c r="A146" s="354"/>
      <c r="B146" s="355" t="s">
        <v>81</v>
      </c>
    </row>
    <row r="147" spans="1:8" ht="18.75" customHeight="1" thickBot="1">
      <c r="A147" s="354"/>
      <c r="B147" s="355" t="s">
        <v>82</v>
      </c>
    </row>
    <row r="148" spans="1:8" ht="16" thickBot="1">
      <c r="B148" s="494">
        <v>34904091</v>
      </c>
    </row>
    <row r="149" spans="1:8" ht="16" thickBot="1">
      <c r="A149" s="354"/>
      <c r="B149" s="599" t="s">
        <v>83</v>
      </c>
    </row>
    <row r="150" spans="1:8">
      <c r="B150" s="320" t="s">
        <v>84</v>
      </c>
    </row>
    <row r="151" spans="1:8" ht="16" thickBot="1">
      <c r="A151" s="356" t="s">
        <v>85</v>
      </c>
      <c r="B151" s="346"/>
    </row>
    <row r="152" spans="1:8">
      <c r="B152" s="328" t="s">
        <v>86</v>
      </c>
      <c r="H152" s="600"/>
    </row>
    <row r="153" spans="1:8" ht="12.75" customHeight="1">
      <c r="A153" s="355"/>
      <c r="B153" s="346"/>
      <c r="H153" s="539"/>
    </row>
    <row r="154" spans="1:8">
      <c r="A154" s="357" t="s">
        <v>87</v>
      </c>
      <c r="B154" s="358"/>
      <c r="H154" s="539"/>
    </row>
    <row r="155" spans="1:8" ht="16" thickBot="1">
      <c r="A155" s="320" t="s">
        <v>88</v>
      </c>
      <c r="H155" s="601"/>
    </row>
    <row r="157" spans="1:8">
      <c r="A157" s="346"/>
      <c r="B157" s="346"/>
    </row>
    <row r="158" spans="1:8">
      <c r="A158" s="346"/>
      <c r="B158" s="346"/>
    </row>
    <row r="159" spans="1:8">
      <c r="A159" s="355"/>
      <c r="B159" s="346"/>
    </row>
    <row r="160" spans="1:8">
      <c r="A160" s="355"/>
      <c r="B160" s="346"/>
    </row>
    <row r="161" spans="1:2">
      <c r="A161" s="355"/>
      <c r="B161" s="346"/>
    </row>
    <row r="162" spans="1:2">
      <c r="A162" s="355"/>
      <c r="B162" s="346"/>
    </row>
    <row r="163" spans="1:2">
      <c r="A163" s="355"/>
      <c r="B163" s="346"/>
    </row>
    <row r="164" spans="1:2">
      <c r="A164" s="355"/>
      <c r="B164" s="346"/>
    </row>
    <row r="165" spans="1:2">
      <c r="A165" s="355"/>
      <c r="B165" s="346"/>
    </row>
    <row r="166" spans="1:2">
      <c r="A166" s="355"/>
      <c r="B166" s="346"/>
    </row>
    <row r="167" spans="1:2">
      <c r="A167" s="355"/>
      <c r="B167" s="346"/>
    </row>
    <row r="168" spans="1:2">
      <c r="A168" s="355"/>
      <c r="B168" s="346"/>
    </row>
    <row r="169" spans="1:2">
      <c r="A169" s="355"/>
      <c r="B169" s="346"/>
    </row>
    <row r="170" spans="1:2">
      <c r="A170" s="355"/>
      <c r="B170" s="346"/>
    </row>
  </sheetData>
  <mergeCells count="71">
    <mergeCell ref="I110:I120"/>
    <mergeCell ref="I125:I132"/>
    <mergeCell ref="I33:I43"/>
    <mergeCell ref="I48:I58"/>
    <mergeCell ref="I64:I74"/>
    <mergeCell ref="I80:I90"/>
    <mergeCell ref="I95:I105"/>
    <mergeCell ref="I93:I94"/>
    <mergeCell ref="I78:I79"/>
    <mergeCell ref="I46:I47"/>
    <mergeCell ref="A108:A109"/>
    <mergeCell ref="B108:B109"/>
    <mergeCell ref="C108:D108"/>
    <mergeCell ref="E108:G108"/>
    <mergeCell ref="H108:H109"/>
    <mergeCell ref="A110:A132"/>
    <mergeCell ref="B110:B114"/>
    <mergeCell ref="H110:H120"/>
    <mergeCell ref="B115:B120"/>
    <mergeCell ref="B125:B128"/>
    <mergeCell ref="H125:H132"/>
    <mergeCell ref="B129:B132"/>
    <mergeCell ref="B123:B124"/>
    <mergeCell ref="C123:D123"/>
    <mergeCell ref="E123:G123"/>
    <mergeCell ref="H123:H124"/>
    <mergeCell ref="A62:A63"/>
    <mergeCell ref="B62:B63"/>
    <mergeCell ref="A64:A74"/>
    <mergeCell ref="B80:B90"/>
    <mergeCell ref="H80:H88"/>
    <mergeCell ref="H89:H90"/>
    <mergeCell ref="C78:D78"/>
    <mergeCell ref="E78:G78"/>
    <mergeCell ref="H78:H79"/>
    <mergeCell ref="C62:D62"/>
    <mergeCell ref="E62:G62"/>
    <mergeCell ref="H62:H63"/>
    <mergeCell ref="H64:H74"/>
    <mergeCell ref="A1:I1"/>
    <mergeCell ref="A2:I2"/>
    <mergeCell ref="H33:H41"/>
    <mergeCell ref="H42:H43"/>
    <mergeCell ref="A134:B134"/>
    <mergeCell ref="A31:A32"/>
    <mergeCell ref="B31:B32"/>
    <mergeCell ref="B33:B43"/>
    <mergeCell ref="A78:A79"/>
    <mergeCell ref="B78:B79"/>
    <mergeCell ref="A33:A43"/>
    <mergeCell ref="A80:A90"/>
    <mergeCell ref="A48:A58"/>
    <mergeCell ref="B48:B58"/>
    <mergeCell ref="A95:A105"/>
    <mergeCell ref="B95:B105"/>
    <mergeCell ref="E19:H20"/>
    <mergeCell ref="C31:D31"/>
    <mergeCell ref="E31:G31"/>
    <mergeCell ref="H31:H32"/>
    <mergeCell ref="B23:F23"/>
    <mergeCell ref="B93:B94"/>
    <mergeCell ref="C93:D93"/>
    <mergeCell ref="E93:G93"/>
    <mergeCell ref="H93:H94"/>
    <mergeCell ref="B64:B68"/>
    <mergeCell ref="B69:B74"/>
    <mergeCell ref="I31:I32"/>
    <mergeCell ref="B46:B47"/>
    <mergeCell ref="C46:D46"/>
    <mergeCell ref="E46:G46"/>
    <mergeCell ref="H46:H47"/>
  </mergeCells>
  <phoneticPr fontId="76" type="noConversion"/>
  <printOptions horizontalCentered="1"/>
  <pageMargins left="0.51181102362204722" right="0.23622047244094491" top="0.51181102362204722" bottom="0.23622047244094491" header="0.23622047244094491" footer="0.23622047244094491"/>
  <pageSetup paperSize="9" scale="76" orientation="portrait" horizontalDpi="4294967294" verticalDpi="300" r:id="rId1"/>
  <headerFooter>
    <oddHeader>&amp;R&amp;"-,Regular"&amp;8OA.LK - 007 - 18 / Rev : 0</oddHeader>
  </headerFooter>
  <rowBreaks count="1" manualBreakCount="1">
    <brk id="74" max="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99"/>
  <sheetViews>
    <sheetView showGridLines="0" view="pageBreakPreview" topLeftCell="A262" zoomScaleNormal="110" zoomScaleSheetLayoutView="100" workbookViewId="0">
      <selection activeCell="E277" sqref="E277"/>
    </sheetView>
  </sheetViews>
  <sheetFormatPr defaultColWidth="9.1796875" defaultRowHeight="10"/>
  <cols>
    <col min="1" max="1" width="27" style="25" customWidth="1"/>
    <col min="2" max="2" width="7" style="25" customWidth="1"/>
    <col min="3" max="3" width="6.453125" style="25" customWidth="1"/>
    <col min="4" max="4" width="6.81640625" style="25" customWidth="1"/>
    <col min="5" max="10" width="9.26953125" style="25" bestFit="1" customWidth="1"/>
    <col min="11" max="11" width="10.453125" style="25" bestFit="1" customWidth="1"/>
    <col min="12" max="16384" width="9.1796875" style="25"/>
  </cols>
  <sheetData>
    <row r="1" spans="1:11" ht="15.5">
      <c r="A1" s="1200" t="s">
        <v>194</v>
      </c>
      <c r="B1" s="1200"/>
      <c r="C1" s="1200"/>
      <c r="D1" s="1200"/>
      <c r="E1" s="1200"/>
      <c r="F1" s="1200"/>
      <c r="G1" s="1200"/>
      <c r="H1" s="1200"/>
      <c r="I1" s="1200"/>
      <c r="J1" s="1200"/>
      <c r="K1" s="1200"/>
    </row>
    <row r="2" spans="1:11" ht="11" thickBot="1">
      <c r="A2" s="26" t="s">
        <v>261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>
      <c r="A3" s="28" t="s">
        <v>196</v>
      </c>
      <c r="B3" s="29"/>
      <c r="C3" s="29"/>
      <c r="D3" s="29"/>
      <c r="E3" s="29"/>
      <c r="F3" s="29"/>
      <c r="G3" s="29"/>
      <c r="H3" s="29"/>
      <c r="I3" s="29"/>
      <c r="J3" s="29"/>
      <c r="K3" s="30"/>
    </row>
    <row r="4" spans="1:11">
      <c r="A4" s="31" t="s">
        <v>197</v>
      </c>
      <c r="B4" s="32" t="s">
        <v>198</v>
      </c>
      <c r="C4" s="32" t="s">
        <v>199</v>
      </c>
      <c r="D4" s="32" t="s">
        <v>200</v>
      </c>
      <c r="E4" s="32" t="s">
        <v>201</v>
      </c>
      <c r="F4" s="32" t="s">
        <v>202</v>
      </c>
      <c r="G4" s="32" t="s">
        <v>203</v>
      </c>
      <c r="H4" s="32" t="s">
        <v>204</v>
      </c>
      <c r="I4" s="32" t="s">
        <v>205</v>
      </c>
      <c r="J4" s="32" t="s">
        <v>206</v>
      </c>
      <c r="K4" s="33" t="s">
        <v>207</v>
      </c>
    </row>
    <row r="5" spans="1:11">
      <c r="A5" s="34" t="s">
        <v>208</v>
      </c>
      <c r="B5" s="35">
        <f>ID!I79</f>
        <v>0</v>
      </c>
      <c r="C5" s="36" t="s">
        <v>209</v>
      </c>
      <c r="D5" s="37" t="s">
        <v>210</v>
      </c>
      <c r="E5" s="37">
        <f>SQRT(3)</f>
        <v>1.7320508075688772</v>
      </c>
      <c r="F5" s="37">
        <f>B5/E5</f>
        <v>0</v>
      </c>
      <c r="G5" s="37">
        <v>2</v>
      </c>
      <c r="H5" s="37">
        <v>1</v>
      </c>
      <c r="I5" s="37">
        <f t="shared" ref="I5:I11" si="0">F5*H5</f>
        <v>0</v>
      </c>
      <c r="J5" s="37">
        <f t="shared" ref="J5:J11" si="1">I5^2</f>
        <v>0</v>
      </c>
      <c r="K5" s="38">
        <f t="shared" ref="K5:K11" si="2">(J5^2)/G5</f>
        <v>0</v>
      </c>
    </row>
    <row r="6" spans="1:11">
      <c r="A6" s="34" t="s">
        <v>211</v>
      </c>
      <c r="B6" s="37">
        <f>'Data Sound Level Meter'!H29</f>
        <v>0.16</v>
      </c>
      <c r="C6" s="36" t="s">
        <v>209</v>
      </c>
      <c r="D6" s="37" t="s">
        <v>210</v>
      </c>
      <c r="E6" s="37">
        <v>2</v>
      </c>
      <c r="F6" s="37">
        <f>B6/E6</f>
        <v>0.08</v>
      </c>
      <c r="G6" s="37">
        <v>50</v>
      </c>
      <c r="H6" s="37">
        <v>1</v>
      </c>
      <c r="I6" s="37">
        <f t="shared" si="0"/>
        <v>0.08</v>
      </c>
      <c r="J6" s="37">
        <f t="shared" si="1"/>
        <v>6.4000000000000003E-3</v>
      </c>
      <c r="K6" s="38">
        <f t="shared" si="2"/>
        <v>8.1920000000000003E-7</v>
      </c>
    </row>
    <row r="7" spans="1:11">
      <c r="A7" s="39" t="s">
        <v>212</v>
      </c>
      <c r="B7" s="40">
        <f>'Data Sound Level Meter'!E29</f>
        <v>0.1</v>
      </c>
      <c r="C7" s="36" t="s">
        <v>209</v>
      </c>
      <c r="D7" s="36" t="s">
        <v>210</v>
      </c>
      <c r="E7" s="36">
        <v>2</v>
      </c>
      <c r="F7" s="41">
        <f>B7/E7</f>
        <v>0.05</v>
      </c>
      <c r="G7" s="42">
        <v>50</v>
      </c>
      <c r="H7" s="42">
        <v>1</v>
      </c>
      <c r="I7" s="41">
        <f t="shared" si="0"/>
        <v>0.05</v>
      </c>
      <c r="J7" s="41">
        <f t="shared" si="1"/>
        <v>2.5000000000000005E-3</v>
      </c>
      <c r="K7" s="43">
        <f t="shared" si="2"/>
        <v>1.2500000000000005E-7</v>
      </c>
    </row>
    <row r="8" spans="1:11">
      <c r="A8" s="39" t="s">
        <v>213</v>
      </c>
      <c r="B8" s="36">
        <f>'Data Sound Level Meter'!B29</f>
        <v>0.5</v>
      </c>
      <c r="C8" s="36" t="s">
        <v>209</v>
      </c>
      <c r="D8" s="36" t="s">
        <v>210</v>
      </c>
      <c r="E8" s="36">
        <v>2</v>
      </c>
      <c r="F8" s="41">
        <f>B8/E8</f>
        <v>0.25</v>
      </c>
      <c r="G8" s="42">
        <v>50</v>
      </c>
      <c r="H8" s="42">
        <v>1</v>
      </c>
      <c r="I8" s="41">
        <f t="shared" si="0"/>
        <v>0.25</v>
      </c>
      <c r="J8" s="41">
        <f t="shared" si="1"/>
        <v>6.25E-2</v>
      </c>
      <c r="K8" s="43">
        <f t="shared" si="2"/>
        <v>7.8125000000000002E-5</v>
      </c>
    </row>
    <row r="9" spans="1:11">
      <c r="A9" s="34" t="s">
        <v>214</v>
      </c>
      <c r="B9" s="35">
        <v>0</v>
      </c>
      <c r="C9" s="36" t="s">
        <v>209</v>
      </c>
      <c r="D9" s="37" t="s">
        <v>215</v>
      </c>
      <c r="E9" s="37">
        <f>SQRT(3)</f>
        <v>1.7320508075688772</v>
      </c>
      <c r="F9" s="37">
        <f>B9/E9</f>
        <v>0</v>
      </c>
      <c r="G9" s="37">
        <v>50</v>
      </c>
      <c r="H9" s="37">
        <v>1</v>
      </c>
      <c r="I9" s="37">
        <f t="shared" si="0"/>
        <v>0</v>
      </c>
      <c r="J9" s="37">
        <f t="shared" si="1"/>
        <v>0</v>
      </c>
      <c r="K9" s="38">
        <f t="shared" si="2"/>
        <v>0</v>
      </c>
    </row>
    <row r="10" spans="1:11">
      <c r="A10" s="34" t="s">
        <v>216</v>
      </c>
      <c r="B10" s="314">
        <v>0</v>
      </c>
      <c r="C10" s="36" t="s">
        <v>209</v>
      </c>
      <c r="D10" s="37" t="s">
        <v>215</v>
      </c>
      <c r="E10" s="37">
        <f>SQRT(3)</f>
        <v>1.7320508075688772</v>
      </c>
      <c r="F10" s="37">
        <f>B9/E10</f>
        <v>0</v>
      </c>
      <c r="G10" s="37">
        <v>50</v>
      </c>
      <c r="H10" s="37">
        <v>1</v>
      </c>
      <c r="I10" s="37">
        <f t="shared" si="0"/>
        <v>0</v>
      </c>
      <c r="J10" s="37">
        <f t="shared" si="1"/>
        <v>0</v>
      </c>
      <c r="K10" s="38">
        <f t="shared" si="2"/>
        <v>0</v>
      </c>
    </row>
    <row r="11" spans="1:11">
      <c r="A11" s="34" t="s">
        <v>217</v>
      </c>
      <c r="B11" s="35">
        <v>0</v>
      </c>
      <c r="C11" s="36" t="s">
        <v>209</v>
      </c>
      <c r="D11" s="37" t="s">
        <v>215</v>
      </c>
      <c r="E11" s="37">
        <f>SQRT(3)</f>
        <v>1.7320508075688772</v>
      </c>
      <c r="F11" s="45">
        <f>B11/E11</f>
        <v>0</v>
      </c>
      <c r="G11" s="45">
        <v>50</v>
      </c>
      <c r="H11" s="45">
        <v>1</v>
      </c>
      <c r="I11" s="45">
        <f t="shared" si="0"/>
        <v>0</v>
      </c>
      <c r="J11" s="45">
        <f t="shared" si="1"/>
        <v>0</v>
      </c>
      <c r="K11" s="46">
        <f t="shared" si="2"/>
        <v>0</v>
      </c>
    </row>
    <row r="12" spans="1:11" ht="10.5">
      <c r="A12" s="47" t="s">
        <v>218</v>
      </c>
      <c r="B12" s="48"/>
      <c r="C12" s="48"/>
      <c r="D12" s="48"/>
      <c r="E12" s="48"/>
      <c r="F12" s="48"/>
      <c r="G12" s="48"/>
      <c r="H12" s="48"/>
      <c r="I12" s="49"/>
      <c r="J12" s="50">
        <f>SUM(J5:J11)</f>
        <v>7.1400000000000005E-2</v>
      </c>
      <c r="K12" s="51">
        <f>SUM(K5:K11)</f>
        <v>7.9069199999999998E-5</v>
      </c>
    </row>
    <row r="13" spans="1:11" ht="12.5">
      <c r="A13" s="47" t="s">
        <v>219</v>
      </c>
      <c r="B13" s="48"/>
      <c r="C13" s="48"/>
      <c r="D13" s="48"/>
      <c r="E13" s="48"/>
      <c r="F13" s="49"/>
      <c r="G13" s="52" t="s">
        <v>220</v>
      </c>
      <c r="H13" s="53"/>
      <c r="I13" s="54"/>
      <c r="J13" s="50">
        <f>SQRT(J12)</f>
        <v>0.26720778431774778</v>
      </c>
      <c r="K13" s="51"/>
    </row>
    <row r="14" spans="1:11" ht="13.5">
      <c r="A14" s="47" t="s">
        <v>221</v>
      </c>
      <c r="B14" s="48"/>
      <c r="C14" s="48"/>
      <c r="D14" s="48"/>
      <c r="E14" s="48"/>
      <c r="F14" s="49"/>
      <c r="G14" s="55" t="s">
        <v>222</v>
      </c>
      <c r="H14" s="56"/>
      <c r="I14" s="57"/>
      <c r="J14" s="50">
        <f>J13^4/(K12)</f>
        <v>64.474662700520597</v>
      </c>
      <c r="K14" s="51"/>
    </row>
    <row r="15" spans="1:11" ht="10.5">
      <c r="A15" s="47" t="s">
        <v>223</v>
      </c>
      <c r="B15" s="48"/>
      <c r="C15" s="48"/>
      <c r="D15" s="48"/>
      <c r="E15" s="48"/>
      <c r="F15" s="49"/>
      <c r="G15" s="58" t="s">
        <v>224</v>
      </c>
      <c r="H15" s="59"/>
      <c r="I15" s="60"/>
      <c r="J15" s="50">
        <f>TINV(0.05,J14)</f>
        <v>1.9977296543176954</v>
      </c>
      <c r="K15" s="51"/>
    </row>
    <row r="16" spans="1:11" ht="11" thickBot="1">
      <c r="A16" s="61" t="s">
        <v>225</v>
      </c>
      <c r="B16" s="62"/>
      <c r="C16" s="62"/>
      <c r="D16" s="62"/>
      <c r="E16" s="62"/>
      <c r="F16" s="63"/>
      <c r="G16" s="64" t="s">
        <v>226</v>
      </c>
      <c r="H16" s="65"/>
      <c r="I16" s="66"/>
      <c r="J16" s="316">
        <f>J15*J13</f>
        <v>0.53380891459609159</v>
      </c>
      <c r="K16" s="68" t="s">
        <v>209</v>
      </c>
    </row>
    <row r="17" spans="1:11" ht="11" thickBo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>
      <c r="A18" s="28" t="s">
        <v>227</v>
      </c>
      <c r="B18" s="29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31" t="s">
        <v>197</v>
      </c>
      <c r="B19" s="32" t="s">
        <v>198</v>
      </c>
      <c r="C19" s="32" t="s">
        <v>199</v>
      </c>
      <c r="D19" s="32" t="s">
        <v>200</v>
      </c>
      <c r="E19" s="32" t="s">
        <v>201</v>
      </c>
      <c r="F19" s="32" t="s">
        <v>202</v>
      </c>
      <c r="G19" s="32" t="s">
        <v>203</v>
      </c>
      <c r="H19" s="32" t="s">
        <v>204</v>
      </c>
      <c r="I19" s="32" t="s">
        <v>205</v>
      </c>
      <c r="J19" s="32" t="s">
        <v>206</v>
      </c>
      <c r="K19" s="33" t="s">
        <v>207</v>
      </c>
    </row>
    <row r="20" spans="1:11">
      <c r="A20" s="34" t="s">
        <v>208</v>
      </c>
      <c r="B20" s="35">
        <f>ID!I80</f>
        <v>0</v>
      </c>
      <c r="C20" s="36" t="s">
        <v>209</v>
      </c>
      <c r="D20" s="37" t="s">
        <v>210</v>
      </c>
      <c r="E20" s="37">
        <f>SQRT(3)</f>
        <v>1.7320508075688772</v>
      </c>
      <c r="F20" s="69">
        <f>B20/E20</f>
        <v>0</v>
      </c>
      <c r="G20" s="37">
        <v>2</v>
      </c>
      <c r="H20" s="37">
        <v>1</v>
      </c>
      <c r="I20" s="37">
        <f t="shared" ref="I20:I26" si="3">F20*H20</f>
        <v>0</v>
      </c>
      <c r="J20" s="37">
        <f t="shared" ref="J20:J26" si="4">I20^2</f>
        <v>0</v>
      </c>
      <c r="K20" s="38">
        <f t="shared" ref="K20:K26" si="5">(J20^2)/G20</f>
        <v>0</v>
      </c>
    </row>
    <row r="21" spans="1:11">
      <c r="A21" s="34" t="s">
        <v>211</v>
      </c>
      <c r="B21" s="37">
        <f>'Data Sound Level Meter'!H29</f>
        <v>0.16</v>
      </c>
      <c r="C21" s="36" t="s">
        <v>209</v>
      </c>
      <c r="D21" s="37" t="s">
        <v>210</v>
      </c>
      <c r="E21" s="37">
        <v>2</v>
      </c>
      <c r="F21" s="69">
        <f>B21/E21</f>
        <v>0.08</v>
      </c>
      <c r="G21" s="37">
        <v>50</v>
      </c>
      <c r="H21" s="37">
        <v>1</v>
      </c>
      <c r="I21" s="37">
        <f t="shared" si="3"/>
        <v>0.08</v>
      </c>
      <c r="J21" s="37">
        <f t="shared" si="4"/>
        <v>6.4000000000000003E-3</v>
      </c>
      <c r="K21" s="38">
        <f t="shared" si="5"/>
        <v>8.1920000000000003E-7</v>
      </c>
    </row>
    <row r="22" spans="1:11">
      <c r="A22" s="39" t="s">
        <v>212</v>
      </c>
      <c r="B22" s="40">
        <f>'Data Sound Level Meter'!E29</f>
        <v>0.1</v>
      </c>
      <c r="C22" s="36" t="s">
        <v>209</v>
      </c>
      <c r="D22" s="36" t="s">
        <v>210</v>
      </c>
      <c r="E22" s="36">
        <v>2</v>
      </c>
      <c r="F22" s="70">
        <f>B22/E22</f>
        <v>0.05</v>
      </c>
      <c r="G22" s="42">
        <v>50</v>
      </c>
      <c r="H22" s="42">
        <v>1</v>
      </c>
      <c r="I22" s="41">
        <f t="shared" si="3"/>
        <v>0.05</v>
      </c>
      <c r="J22" s="41">
        <f t="shared" si="4"/>
        <v>2.5000000000000005E-3</v>
      </c>
      <c r="K22" s="43">
        <f t="shared" si="5"/>
        <v>1.2500000000000005E-7</v>
      </c>
    </row>
    <row r="23" spans="1:11">
      <c r="A23" s="39" t="s">
        <v>213</v>
      </c>
      <c r="B23" s="36">
        <f>'Data Sound Level Meter'!B30</f>
        <v>0.5</v>
      </c>
      <c r="C23" s="36" t="s">
        <v>209</v>
      </c>
      <c r="D23" s="36" t="s">
        <v>210</v>
      </c>
      <c r="E23" s="36">
        <v>2</v>
      </c>
      <c r="F23" s="70">
        <f>B23/E23</f>
        <v>0.25</v>
      </c>
      <c r="G23" s="42">
        <v>50</v>
      </c>
      <c r="H23" s="42">
        <v>1</v>
      </c>
      <c r="I23" s="41">
        <f t="shared" si="3"/>
        <v>0.25</v>
      </c>
      <c r="J23" s="41">
        <f t="shared" si="4"/>
        <v>6.25E-2</v>
      </c>
      <c r="K23" s="43">
        <f t="shared" si="5"/>
        <v>7.8125000000000002E-5</v>
      </c>
    </row>
    <row r="24" spans="1:11">
      <c r="A24" s="34" t="s">
        <v>214</v>
      </c>
      <c r="B24" s="35">
        <v>0</v>
      </c>
      <c r="C24" s="36" t="s">
        <v>209</v>
      </c>
      <c r="D24" s="37" t="s">
        <v>215</v>
      </c>
      <c r="E24" s="37">
        <f>SQRT(3)</f>
        <v>1.7320508075688772</v>
      </c>
      <c r="F24" s="69">
        <f>B24/E24</f>
        <v>0</v>
      </c>
      <c r="G24" s="37">
        <v>50</v>
      </c>
      <c r="H24" s="37">
        <v>1</v>
      </c>
      <c r="I24" s="37">
        <f t="shared" si="3"/>
        <v>0</v>
      </c>
      <c r="J24" s="37">
        <f t="shared" si="4"/>
        <v>0</v>
      </c>
      <c r="K24" s="38">
        <f t="shared" si="5"/>
        <v>0</v>
      </c>
    </row>
    <row r="25" spans="1:11">
      <c r="A25" s="34" t="s">
        <v>216</v>
      </c>
      <c r="B25" s="314">
        <v>0</v>
      </c>
      <c r="C25" s="36" t="s">
        <v>209</v>
      </c>
      <c r="D25" s="37" t="s">
        <v>215</v>
      </c>
      <c r="E25" s="37">
        <f>SQRT(3)</f>
        <v>1.7320508075688772</v>
      </c>
      <c r="F25" s="69">
        <f>B24/E25</f>
        <v>0</v>
      </c>
      <c r="G25" s="37">
        <v>50</v>
      </c>
      <c r="H25" s="37">
        <v>1</v>
      </c>
      <c r="I25" s="37">
        <f t="shared" si="3"/>
        <v>0</v>
      </c>
      <c r="J25" s="37">
        <f t="shared" si="4"/>
        <v>0</v>
      </c>
      <c r="K25" s="38">
        <f t="shared" si="5"/>
        <v>0</v>
      </c>
    </row>
    <row r="26" spans="1:11">
      <c r="A26" s="34" t="s">
        <v>217</v>
      </c>
      <c r="B26" s="35">
        <v>0</v>
      </c>
      <c r="C26" s="36" t="s">
        <v>209</v>
      </c>
      <c r="D26" s="37" t="s">
        <v>215</v>
      </c>
      <c r="E26" s="37">
        <f>SQRT(3)</f>
        <v>1.7320508075688772</v>
      </c>
      <c r="F26" s="69">
        <f>B26/E26</f>
        <v>0</v>
      </c>
      <c r="G26" s="45">
        <v>50</v>
      </c>
      <c r="H26" s="45">
        <v>1</v>
      </c>
      <c r="I26" s="45">
        <f t="shared" si="3"/>
        <v>0</v>
      </c>
      <c r="J26" s="45">
        <f t="shared" si="4"/>
        <v>0</v>
      </c>
      <c r="K26" s="46">
        <f t="shared" si="5"/>
        <v>0</v>
      </c>
    </row>
    <row r="27" spans="1:11" ht="10.5">
      <c r="A27" s="47" t="s">
        <v>218</v>
      </c>
      <c r="B27" s="48"/>
      <c r="C27" s="48"/>
      <c r="D27" s="48"/>
      <c r="E27" s="48"/>
      <c r="F27" s="48"/>
      <c r="G27" s="48"/>
      <c r="H27" s="48"/>
      <c r="I27" s="49"/>
      <c r="J27" s="50">
        <f>SUM(J20:J26)</f>
        <v>7.1400000000000005E-2</v>
      </c>
      <c r="K27" s="51">
        <f>SUM(K20:K26)</f>
        <v>7.9069199999999998E-5</v>
      </c>
    </row>
    <row r="28" spans="1:11" ht="12.5">
      <c r="A28" s="47" t="s">
        <v>219</v>
      </c>
      <c r="B28" s="48"/>
      <c r="C28" s="48"/>
      <c r="D28" s="48"/>
      <c r="E28" s="48"/>
      <c r="F28" s="49"/>
      <c r="G28" s="52" t="s">
        <v>220</v>
      </c>
      <c r="H28" s="53"/>
      <c r="I28" s="54"/>
      <c r="J28" s="50">
        <f>SQRT(J27)</f>
        <v>0.26720778431774778</v>
      </c>
      <c r="K28" s="51"/>
    </row>
    <row r="29" spans="1:11" ht="13.5">
      <c r="A29" s="47" t="s">
        <v>221</v>
      </c>
      <c r="B29" s="48"/>
      <c r="C29" s="48"/>
      <c r="D29" s="48"/>
      <c r="E29" s="48"/>
      <c r="F29" s="49"/>
      <c r="G29" s="55" t="s">
        <v>222</v>
      </c>
      <c r="H29" s="56"/>
      <c r="I29" s="57"/>
      <c r="J29" s="50">
        <f>J28^4/(K27)</f>
        <v>64.474662700520597</v>
      </c>
      <c r="K29" s="51"/>
    </row>
    <row r="30" spans="1:11" ht="10.5">
      <c r="A30" s="47" t="s">
        <v>223</v>
      </c>
      <c r="B30" s="48"/>
      <c r="C30" s="48"/>
      <c r="D30" s="48"/>
      <c r="E30" s="48"/>
      <c r="F30" s="49"/>
      <c r="G30" s="58" t="s">
        <v>224</v>
      </c>
      <c r="H30" s="59"/>
      <c r="I30" s="60"/>
      <c r="J30" s="50">
        <f>TINV(0.05,J29)</f>
        <v>1.9977296543176954</v>
      </c>
      <c r="K30" s="51"/>
    </row>
    <row r="31" spans="1:11" ht="11" thickBot="1">
      <c r="A31" s="61" t="s">
        <v>225</v>
      </c>
      <c r="B31" s="62"/>
      <c r="C31" s="62"/>
      <c r="D31" s="62"/>
      <c r="E31" s="62"/>
      <c r="F31" s="63"/>
      <c r="G31" s="64" t="s">
        <v>226</v>
      </c>
      <c r="H31" s="65"/>
      <c r="I31" s="66"/>
      <c r="J31" s="316">
        <f>J30*J28</f>
        <v>0.53380891459609159</v>
      </c>
      <c r="K31" s="68" t="s">
        <v>209</v>
      </c>
    </row>
    <row r="32" spans="1:11" ht="11" thickBot="1">
      <c r="A32" s="71"/>
      <c r="B32" s="72"/>
      <c r="C32" s="73"/>
      <c r="D32" s="73"/>
      <c r="E32" s="71"/>
      <c r="F32" s="74"/>
      <c r="G32" s="74"/>
      <c r="H32" s="74"/>
      <c r="I32" s="74"/>
      <c r="J32" s="74"/>
      <c r="K32" s="75"/>
    </row>
    <row r="33" spans="1:11">
      <c r="A33" s="28" t="s">
        <v>228</v>
      </c>
      <c r="B33" s="29"/>
      <c r="C33" s="29"/>
      <c r="D33" s="29"/>
      <c r="E33" s="29"/>
      <c r="F33" s="29"/>
      <c r="G33" s="29"/>
      <c r="H33" s="29"/>
      <c r="I33" s="29"/>
      <c r="J33" s="29"/>
      <c r="K33" s="30"/>
    </row>
    <row r="34" spans="1:11">
      <c r="A34" s="31" t="s">
        <v>197</v>
      </c>
      <c r="B34" s="32" t="s">
        <v>198</v>
      </c>
      <c r="C34" s="32" t="s">
        <v>199</v>
      </c>
      <c r="D34" s="32" t="s">
        <v>200</v>
      </c>
      <c r="E34" s="32" t="s">
        <v>201</v>
      </c>
      <c r="F34" s="32" t="s">
        <v>202</v>
      </c>
      <c r="G34" s="32" t="s">
        <v>203</v>
      </c>
      <c r="H34" s="32" t="s">
        <v>204</v>
      </c>
      <c r="I34" s="32" t="s">
        <v>205</v>
      </c>
      <c r="J34" s="32" t="s">
        <v>206</v>
      </c>
      <c r="K34" s="33" t="s">
        <v>207</v>
      </c>
    </row>
    <row r="35" spans="1:11">
      <c r="A35" s="34" t="s">
        <v>208</v>
      </c>
      <c r="B35" s="35">
        <f>ID!I81</f>
        <v>0</v>
      </c>
      <c r="C35" s="36" t="s">
        <v>209</v>
      </c>
      <c r="D35" s="37" t="s">
        <v>210</v>
      </c>
      <c r="E35" s="37">
        <f>SQRT(3)</f>
        <v>1.7320508075688772</v>
      </c>
      <c r="F35" s="69">
        <f>B35/E35</f>
        <v>0</v>
      </c>
      <c r="G35" s="37">
        <v>2</v>
      </c>
      <c r="H35" s="37">
        <v>1</v>
      </c>
      <c r="I35" s="37">
        <f t="shared" ref="I35:I41" si="6">F35*H35</f>
        <v>0</v>
      </c>
      <c r="J35" s="37">
        <f t="shared" ref="J35:J41" si="7">I35^2</f>
        <v>0</v>
      </c>
      <c r="K35" s="38">
        <f t="shared" ref="K35:K41" si="8">(J35^2)/G35</f>
        <v>0</v>
      </c>
    </row>
    <row r="36" spans="1:11">
      <c r="A36" s="34" t="s">
        <v>211</v>
      </c>
      <c r="B36" s="37">
        <f>'Data Sound Level Meter'!H29</f>
        <v>0.16</v>
      </c>
      <c r="C36" s="36" t="s">
        <v>209</v>
      </c>
      <c r="D36" s="37" t="s">
        <v>210</v>
      </c>
      <c r="E36" s="37">
        <v>2</v>
      </c>
      <c r="F36" s="69">
        <f>B36/E36</f>
        <v>0.08</v>
      </c>
      <c r="G36" s="37">
        <v>50</v>
      </c>
      <c r="H36" s="37">
        <v>1</v>
      </c>
      <c r="I36" s="37">
        <f t="shared" si="6"/>
        <v>0.08</v>
      </c>
      <c r="J36" s="37">
        <f t="shared" si="7"/>
        <v>6.4000000000000003E-3</v>
      </c>
      <c r="K36" s="38">
        <f t="shared" si="8"/>
        <v>8.1920000000000003E-7</v>
      </c>
    </row>
    <row r="37" spans="1:11">
      <c r="A37" s="39" t="s">
        <v>212</v>
      </c>
      <c r="B37" s="40">
        <f>'Data Sound Level Meter'!E29</f>
        <v>0.1</v>
      </c>
      <c r="C37" s="36" t="s">
        <v>209</v>
      </c>
      <c r="D37" s="36" t="s">
        <v>210</v>
      </c>
      <c r="E37" s="36">
        <v>2</v>
      </c>
      <c r="F37" s="70">
        <f>B37/E37</f>
        <v>0.05</v>
      </c>
      <c r="G37" s="42">
        <v>50</v>
      </c>
      <c r="H37" s="42">
        <v>1</v>
      </c>
      <c r="I37" s="41">
        <f t="shared" si="6"/>
        <v>0.05</v>
      </c>
      <c r="J37" s="41">
        <f t="shared" si="7"/>
        <v>2.5000000000000005E-3</v>
      </c>
      <c r="K37" s="43">
        <f t="shared" si="8"/>
        <v>1.2500000000000005E-7</v>
      </c>
    </row>
    <row r="38" spans="1:11">
      <c r="A38" s="39" t="s">
        <v>213</v>
      </c>
      <c r="B38" s="36">
        <f>'Data Sound Level Meter'!B31</f>
        <v>0.5</v>
      </c>
      <c r="C38" s="36" t="s">
        <v>209</v>
      </c>
      <c r="D38" s="36" t="s">
        <v>210</v>
      </c>
      <c r="E38" s="36">
        <v>2</v>
      </c>
      <c r="F38" s="70">
        <f>B38/E38</f>
        <v>0.25</v>
      </c>
      <c r="G38" s="42">
        <v>50</v>
      </c>
      <c r="H38" s="42">
        <v>1</v>
      </c>
      <c r="I38" s="41">
        <f t="shared" si="6"/>
        <v>0.25</v>
      </c>
      <c r="J38" s="41">
        <f t="shared" si="7"/>
        <v>6.25E-2</v>
      </c>
      <c r="K38" s="43">
        <f t="shared" si="8"/>
        <v>7.8125000000000002E-5</v>
      </c>
    </row>
    <row r="39" spans="1:11">
      <c r="A39" s="34" t="s">
        <v>214</v>
      </c>
      <c r="B39" s="35">
        <v>0</v>
      </c>
      <c r="C39" s="36" t="s">
        <v>209</v>
      </c>
      <c r="D39" s="37" t="s">
        <v>215</v>
      </c>
      <c r="E39" s="37">
        <f>SQRT(3)</f>
        <v>1.7320508075688772</v>
      </c>
      <c r="F39" s="69">
        <f>B39/E39</f>
        <v>0</v>
      </c>
      <c r="G39" s="37">
        <v>50</v>
      </c>
      <c r="H39" s="37">
        <v>1</v>
      </c>
      <c r="I39" s="37">
        <f t="shared" si="6"/>
        <v>0</v>
      </c>
      <c r="J39" s="37">
        <f t="shared" si="7"/>
        <v>0</v>
      </c>
      <c r="K39" s="38">
        <f t="shared" si="8"/>
        <v>0</v>
      </c>
    </row>
    <row r="40" spans="1:11">
      <c r="A40" s="34" t="s">
        <v>216</v>
      </c>
      <c r="B40" s="314">
        <v>0</v>
      </c>
      <c r="C40" s="36" t="s">
        <v>209</v>
      </c>
      <c r="D40" s="37" t="s">
        <v>215</v>
      </c>
      <c r="E40" s="37">
        <f>SQRT(3)</f>
        <v>1.7320508075688772</v>
      </c>
      <c r="F40" s="69">
        <f>B39/E40</f>
        <v>0</v>
      </c>
      <c r="G40" s="37">
        <v>50</v>
      </c>
      <c r="H40" s="37">
        <v>1</v>
      </c>
      <c r="I40" s="37">
        <f t="shared" si="6"/>
        <v>0</v>
      </c>
      <c r="J40" s="37">
        <f t="shared" si="7"/>
        <v>0</v>
      </c>
      <c r="K40" s="38">
        <f t="shared" si="8"/>
        <v>0</v>
      </c>
    </row>
    <row r="41" spans="1:11">
      <c r="A41" s="34" t="s">
        <v>217</v>
      </c>
      <c r="B41" s="35">
        <v>0</v>
      </c>
      <c r="C41" s="36" t="s">
        <v>209</v>
      </c>
      <c r="D41" s="37" t="s">
        <v>215</v>
      </c>
      <c r="E41" s="37">
        <f>SQRT(3)</f>
        <v>1.7320508075688772</v>
      </c>
      <c r="F41" s="69">
        <f>B41/E41</f>
        <v>0</v>
      </c>
      <c r="G41" s="45">
        <v>50</v>
      </c>
      <c r="H41" s="45">
        <v>1</v>
      </c>
      <c r="I41" s="45">
        <f t="shared" si="6"/>
        <v>0</v>
      </c>
      <c r="J41" s="45">
        <f t="shared" si="7"/>
        <v>0</v>
      </c>
      <c r="K41" s="46">
        <f t="shared" si="8"/>
        <v>0</v>
      </c>
    </row>
    <row r="42" spans="1:11" ht="10.5">
      <c r="A42" s="47" t="s">
        <v>218</v>
      </c>
      <c r="B42" s="48"/>
      <c r="C42" s="48"/>
      <c r="D42" s="48"/>
      <c r="E42" s="48"/>
      <c r="F42" s="48"/>
      <c r="G42" s="48"/>
      <c r="H42" s="48"/>
      <c r="I42" s="49"/>
      <c r="J42" s="50">
        <f>SUM(J35:J41)</f>
        <v>7.1400000000000005E-2</v>
      </c>
      <c r="K42" s="51">
        <f>SUM(K35:K41)</f>
        <v>7.9069199999999998E-5</v>
      </c>
    </row>
    <row r="43" spans="1:11" ht="12.5">
      <c r="A43" s="47" t="s">
        <v>219</v>
      </c>
      <c r="B43" s="48"/>
      <c r="C43" s="48"/>
      <c r="D43" s="48"/>
      <c r="E43" s="48"/>
      <c r="F43" s="49"/>
      <c r="G43" s="52" t="s">
        <v>220</v>
      </c>
      <c r="H43" s="53"/>
      <c r="I43" s="54"/>
      <c r="J43" s="50">
        <f>SQRT(J42)</f>
        <v>0.26720778431774778</v>
      </c>
      <c r="K43" s="51"/>
    </row>
    <row r="44" spans="1:11" ht="13.5">
      <c r="A44" s="47" t="s">
        <v>221</v>
      </c>
      <c r="B44" s="48"/>
      <c r="C44" s="48"/>
      <c r="D44" s="48"/>
      <c r="E44" s="48"/>
      <c r="F44" s="49"/>
      <c r="G44" s="55" t="s">
        <v>222</v>
      </c>
      <c r="H44" s="56"/>
      <c r="I44" s="57"/>
      <c r="J44" s="50">
        <f>J43^4/(K42)</f>
        <v>64.474662700520597</v>
      </c>
      <c r="K44" s="51"/>
    </row>
    <row r="45" spans="1:11" ht="10.5">
      <c r="A45" s="47" t="s">
        <v>223</v>
      </c>
      <c r="B45" s="48"/>
      <c r="C45" s="48"/>
      <c r="D45" s="48"/>
      <c r="E45" s="48"/>
      <c r="F45" s="49"/>
      <c r="G45" s="58" t="s">
        <v>224</v>
      </c>
      <c r="H45" s="59"/>
      <c r="I45" s="60"/>
      <c r="J45" s="50">
        <f>TINV(0.05,J44)</f>
        <v>1.9977296543176954</v>
      </c>
      <c r="K45" s="51"/>
    </row>
    <row r="46" spans="1:11" ht="11" thickBot="1">
      <c r="A46" s="61" t="s">
        <v>225</v>
      </c>
      <c r="B46" s="62"/>
      <c r="C46" s="62"/>
      <c r="D46" s="62"/>
      <c r="E46" s="62"/>
      <c r="F46" s="63"/>
      <c r="G46" s="64" t="s">
        <v>226</v>
      </c>
      <c r="H46" s="65"/>
      <c r="I46" s="66"/>
      <c r="J46" s="316">
        <f>J45*J43</f>
        <v>0.53380891459609159</v>
      </c>
      <c r="K46" s="68" t="s">
        <v>209</v>
      </c>
    </row>
    <row r="47" spans="1:11" ht="11" thickBot="1">
      <c r="A47" s="76"/>
      <c r="B47" s="76"/>
      <c r="C47" s="77"/>
      <c r="D47" s="77"/>
      <c r="E47" s="77"/>
      <c r="F47" s="77"/>
      <c r="G47" s="78"/>
      <c r="H47" s="77"/>
      <c r="I47" s="77"/>
      <c r="J47" s="44"/>
      <c r="K47" s="77"/>
    </row>
    <row r="48" spans="1:11">
      <c r="A48" s="28" t="s">
        <v>229</v>
      </c>
      <c r="B48" s="29"/>
      <c r="C48" s="29"/>
      <c r="D48" s="29"/>
      <c r="E48" s="29"/>
      <c r="F48" s="29"/>
      <c r="G48" s="29"/>
      <c r="H48" s="29"/>
      <c r="I48" s="29"/>
      <c r="J48" s="29"/>
      <c r="K48" s="30"/>
    </row>
    <row r="49" spans="1:11">
      <c r="A49" s="31" t="s">
        <v>197</v>
      </c>
      <c r="B49" s="32" t="s">
        <v>198</v>
      </c>
      <c r="C49" s="32" t="s">
        <v>199</v>
      </c>
      <c r="D49" s="32" t="s">
        <v>200</v>
      </c>
      <c r="E49" s="32" t="s">
        <v>201</v>
      </c>
      <c r="F49" s="32" t="s">
        <v>202</v>
      </c>
      <c r="G49" s="32" t="s">
        <v>203</v>
      </c>
      <c r="H49" s="32" t="s">
        <v>204</v>
      </c>
      <c r="I49" s="32" t="s">
        <v>205</v>
      </c>
      <c r="J49" s="32" t="s">
        <v>206</v>
      </c>
      <c r="K49" s="33" t="s">
        <v>207</v>
      </c>
    </row>
    <row r="50" spans="1:11">
      <c r="A50" s="34" t="s">
        <v>208</v>
      </c>
      <c r="B50" s="35">
        <f>ID!I82</f>
        <v>0</v>
      </c>
      <c r="C50" s="36" t="s">
        <v>209</v>
      </c>
      <c r="D50" s="37" t="s">
        <v>210</v>
      </c>
      <c r="E50" s="37">
        <f>SQRT(3)</f>
        <v>1.7320508075688772</v>
      </c>
      <c r="F50" s="69">
        <f>B50/E50</f>
        <v>0</v>
      </c>
      <c r="G50" s="37">
        <v>2</v>
      </c>
      <c r="H50" s="37">
        <v>1</v>
      </c>
      <c r="I50" s="37">
        <f t="shared" ref="I50:I56" si="9">F50*H50</f>
        <v>0</v>
      </c>
      <c r="J50" s="37">
        <f t="shared" ref="J50:J56" si="10">I50^2</f>
        <v>0</v>
      </c>
      <c r="K50" s="38">
        <f t="shared" ref="K50:K56" si="11">(J50^2)/G50</f>
        <v>0</v>
      </c>
    </row>
    <row r="51" spans="1:11">
      <c r="A51" s="34" t="s">
        <v>211</v>
      </c>
      <c r="B51" s="37">
        <f>'Data Sound Level Meter'!H29</f>
        <v>0.16</v>
      </c>
      <c r="C51" s="36" t="s">
        <v>209</v>
      </c>
      <c r="D51" s="37" t="s">
        <v>210</v>
      </c>
      <c r="E51" s="37">
        <v>2</v>
      </c>
      <c r="F51" s="69">
        <f>B51/E51</f>
        <v>0.08</v>
      </c>
      <c r="G51" s="37">
        <v>50</v>
      </c>
      <c r="H51" s="37">
        <v>1</v>
      </c>
      <c r="I51" s="37">
        <f t="shared" si="9"/>
        <v>0.08</v>
      </c>
      <c r="J51" s="37">
        <f t="shared" si="10"/>
        <v>6.4000000000000003E-3</v>
      </c>
      <c r="K51" s="38">
        <f t="shared" si="11"/>
        <v>8.1920000000000003E-7</v>
      </c>
    </row>
    <row r="52" spans="1:11">
      <c r="A52" s="39" t="s">
        <v>212</v>
      </c>
      <c r="B52" s="40">
        <f>'Data Sound Level Meter'!E29</f>
        <v>0.1</v>
      </c>
      <c r="C52" s="36" t="s">
        <v>209</v>
      </c>
      <c r="D52" s="36" t="s">
        <v>210</v>
      </c>
      <c r="E52" s="36">
        <v>2</v>
      </c>
      <c r="F52" s="70">
        <f>B52/E52</f>
        <v>0.05</v>
      </c>
      <c r="G52" s="42">
        <v>50</v>
      </c>
      <c r="H52" s="42">
        <v>1</v>
      </c>
      <c r="I52" s="41">
        <f t="shared" si="9"/>
        <v>0.05</v>
      </c>
      <c r="J52" s="41">
        <f t="shared" si="10"/>
        <v>2.5000000000000005E-3</v>
      </c>
      <c r="K52" s="43">
        <f t="shared" si="11"/>
        <v>1.2500000000000005E-7</v>
      </c>
    </row>
    <row r="53" spans="1:11">
      <c r="A53" s="39" t="s">
        <v>213</v>
      </c>
      <c r="B53" s="36">
        <f>'Data Sound Level Meter'!B32</f>
        <v>0.6</v>
      </c>
      <c r="C53" s="36" t="s">
        <v>209</v>
      </c>
      <c r="D53" s="36" t="s">
        <v>210</v>
      </c>
      <c r="E53" s="36">
        <v>2</v>
      </c>
      <c r="F53" s="70">
        <f>B53/E53</f>
        <v>0.3</v>
      </c>
      <c r="G53" s="42">
        <v>50</v>
      </c>
      <c r="H53" s="42">
        <v>1</v>
      </c>
      <c r="I53" s="41">
        <f t="shared" si="9"/>
        <v>0.3</v>
      </c>
      <c r="J53" s="41">
        <f t="shared" si="10"/>
        <v>0.09</v>
      </c>
      <c r="K53" s="43">
        <f t="shared" si="11"/>
        <v>1.6199999999999998E-4</v>
      </c>
    </row>
    <row r="54" spans="1:11">
      <c r="A54" s="34" t="s">
        <v>214</v>
      </c>
      <c r="B54" s="35">
        <v>0</v>
      </c>
      <c r="C54" s="36" t="s">
        <v>209</v>
      </c>
      <c r="D54" s="37" t="s">
        <v>215</v>
      </c>
      <c r="E54" s="37">
        <f>SQRT(3)</f>
        <v>1.7320508075688772</v>
      </c>
      <c r="F54" s="69">
        <f>B54/E54</f>
        <v>0</v>
      </c>
      <c r="G54" s="37">
        <v>50</v>
      </c>
      <c r="H54" s="37">
        <v>1</v>
      </c>
      <c r="I54" s="37">
        <f t="shared" si="9"/>
        <v>0</v>
      </c>
      <c r="J54" s="37">
        <f t="shared" si="10"/>
        <v>0</v>
      </c>
      <c r="K54" s="38">
        <f t="shared" si="11"/>
        <v>0</v>
      </c>
    </row>
    <row r="55" spans="1:11">
      <c r="A55" s="34" t="s">
        <v>216</v>
      </c>
      <c r="B55" s="314">
        <v>0</v>
      </c>
      <c r="C55" s="36" t="s">
        <v>209</v>
      </c>
      <c r="D55" s="37" t="s">
        <v>215</v>
      </c>
      <c r="E55" s="37">
        <f>SQRT(3)</f>
        <v>1.7320508075688772</v>
      </c>
      <c r="F55" s="69">
        <f>B54/E55</f>
        <v>0</v>
      </c>
      <c r="G55" s="37">
        <v>50</v>
      </c>
      <c r="H55" s="37">
        <v>1</v>
      </c>
      <c r="I55" s="37">
        <f t="shared" si="9"/>
        <v>0</v>
      </c>
      <c r="J55" s="37">
        <f t="shared" si="10"/>
        <v>0</v>
      </c>
      <c r="K55" s="38">
        <f t="shared" si="11"/>
        <v>0</v>
      </c>
    </row>
    <row r="56" spans="1:11">
      <c r="A56" s="34" t="s">
        <v>217</v>
      </c>
      <c r="B56" s="35">
        <v>0</v>
      </c>
      <c r="C56" s="36" t="s">
        <v>209</v>
      </c>
      <c r="D56" s="37" t="s">
        <v>215</v>
      </c>
      <c r="E56" s="37">
        <f>SQRT(3)</f>
        <v>1.7320508075688772</v>
      </c>
      <c r="F56" s="69">
        <f>B56/E56</f>
        <v>0</v>
      </c>
      <c r="G56" s="45">
        <v>50</v>
      </c>
      <c r="H56" s="45">
        <v>1</v>
      </c>
      <c r="I56" s="45">
        <f t="shared" si="9"/>
        <v>0</v>
      </c>
      <c r="J56" s="45">
        <f t="shared" si="10"/>
        <v>0</v>
      </c>
      <c r="K56" s="46">
        <f t="shared" si="11"/>
        <v>0</v>
      </c>
    </row>
    <row r="57" spans="1:11" ht="10.5">
      <c r="A57" s="47" t="s">
        <v>218</v>
      </c>
      <c r="B57" s="48"/>
      <c r="C57" s="48"/>
      <c r="D57" s="48"/>
      <c r="E57" s="48"/>
      <c r="F57" s="48"/>
      <c r="G57" s="48"/>
      <c r="H57" s="48"/>
      <c r="I57" s="49"/>
      <c r="J57" s="50">
        <f>SUM(J50:J56)</f>
        <v>9.8900000000000002E-2</v>
      </c>
      <c r="K57" s="51">
        <f>SUM(K50:K56)</f>
        <v>1.6294419999999998E-4</v>
      </c>
    </row>
    <row r="58" spans="1:11" ht="12.5">
      <c r="A58" s="47" t="s">
        <v>219</v>
      </c>
      <c r="B58" s="48"/>
      <c r="C58" s="48"/>
      <c r="D58" s="48"/>
      <c r="E58" s="48"/>
      <c r="F58" s="49"/>
      <c r="G58" s="52" t="s">
        <v>220</v>
      </c>
      <c r="H58" s="53"/>
      <c r="I58" s="54"/>
      <c r="J58" s="50">
        <f>SQRT(J57)</f>
        <v>0.31448370387032776</v>
      </c>
      <c r="K58" s="51"/>
    </row>
    <row r="59" spans="1:11" ht="13.5">
      <c r="A59" s="47" t="s">
        <v>221</v>
      </c>
      <c r="B59" s="48"/>
      <c r="C59" s="48"/>
      <c r="D59" s="48"/>
      <c r="E59" s="48"/>
      <c r="F59" s="49"/>
      <c r="G59" s="55" t="s">
        <v>222</v>
      </c>
      <c r="H59" s="56"/>
      <c r="I59" s="57"/>
      <c r="J59" s="50">
        <f>J58^4/(K57)</f>
        <v>60.027972766137133</v>
      </c>
      <c r="K59" s="51"/>
    </row>
    <row r="60" spans="1:11" ht="10.5">
      <c r="A60" s="47" t="s">
        <v>223</v>
      </c>
      <c r="B60" s="48"/>
      <c r="C60" s="48"/>
      <c r="D60" s="48"/>
      <c r="E60" s="48"/>
      <c r="F60" s="49"/>
      <c r="G60" s="58" t="s">
        <v>224</v>
      </c>
      <c r="H60" s="59"/>
      <c r="I60" s="60"/>
      <c r="J60" s="50">
        <f>TINV(0.05,J59)</f>
        <v>2.0002978220142609</v>
      </c>
      <c r="K60" s="51"/>
    </row>
    <row r="61" spans="1:11" ht="11" thickBot="1">
      <c r="A61" s="61" t="s">
        <v>225</v>
      </c>
      <c r="B61" s="62"/>
      <c r="C61" s="62"/>
      <c r="D61" s="62"/>
      <c r="E61" s="62"/>
      <c r="F61" s="63"/>
      <c r="G61" s="64" t="s">
        <v>226</v>
      </c>
      <c r="H61" s="65"/>
      <c r="I61" s="66"/>
      <c r="J61" s="316">
        <f>J60*J58</f>
        <v>0.62906106791079441</v>
      </c>
      <c r="K61" s="68" t="s">
        <v>209</v>
      </c>
    </row>
    <row r="62" spans="1:11" ht="11" thickBot="1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</row>
    <row r="63" spans="1:11">
      <c r="A63" s="28" t="s">
        <v>230</v>
      </c>
      <c r="B63" s="29"/>
      <c r="C63" s="29"/>
      <c r="D63" s="29"/>
      <c r="E63" s="29"/>
      <c r="F63" s="29"/>
      <c r="G63" s="29"/>
      <c r="H63" s="29"/>
      <c r="I63" s="29"/>
      <c r="J63" s="29"/>
      <c r="K63" s="30"/>
    </row>
    <row r="64" spans="1:11">
      <c r="A64" s="31" t="s">
        <v>197</v>
      </c>
      <c r="B64" s="32" t="s">
        <v>198</v>
      </c>
      <c r="C64" s="32" t="s">
        <v>199</v>
      </c>
      <c r="D64" s="32" t="s">
        <v>200</v>
      </c>
      <c r="E64" s="32" t="s">
        <v>201</v>
      </c>
      <c r="F64" s="32" t="s">
        <v>202</v>
      </c>
      <c r="G64" s="32" t="s">
        <v>203</v>
      </c>
      <c r="H64" s="32" t="s">
        <v>204</v>
      </c>
      <c r="I64" s="32" t="s">
        <v>205</v>
      </c>
      <c r="J64" s="32" t="s">
        <v>206</v>
      </c>
      <c r="K64" s="33" t="s">
        <v>207</v>
      </c>
    </row>
    <row r="65" spans="1:11">
      <c r="A65" s="34" t="s">
        <v>208</v>
      </c>
      <c r="B65" s="35">
        <f>ID!I83</f>
        <v>0</v>
      </c>
      <c r="C65" s="36" t="s">
        <v>209</v>
      </c>
      <c r="D65" s="37" t="s">
        <v>210</v>
      </c>
      <c r="E65" s="37">
        <f>SQRT(3)</f>
        <v>1.7320508075688772</v>
      </c>
      <c r="F65" s="69">
        <f>B65/E65</f>
        <v>0</v>
      </c>
      <c r="G65" s="37">
        <v>2</v>
      </c>
      <c r="H65" s="37">
        <v>1</v>
      </c>
      <c r="I65" s="37">
        <f t="shared" ref="I65:I71" si="12">F65*H65</f>
        <v>0</v>
      </c>
      <c r="J65" s="37">
        <f t="shared" ref="J65:J71" si="13">I65^2</f>
        <v>0</v>
      </c>
      <c r="K65" s="38">
        <f t="shared" ref="K65:K71" si="14">(J65^2)/G65</f>
        <v>0</v>
      </c>
    </row>
    <row r="66" spans="1:11">
      <c r="A66" s="34" t="s">
        <v>211</v>
      </c>
      <c r="B66" s="37">
        <f>'Data Sound Level Meter'!H29</f>
        <v>0.16</v>
      </c>
      <c r="C66" s="36" t="s">
        <v>209</v>
      </c>
      <c r="D66" s="37" t="s">
        <v>210</v>
      </c>
      <c r="E66" s="37">
        <v>2</v>
      </c>
      <c r="F66" s="69">
        <f>B66/E66</f>
        <v>0.08</v>
      </c>
      <c r="G66" s="37">
        <v>50</v>
      </c>
      <c r="H66" s="37">
        <v>1</v>
      </c>
      <c r="I66" s="37">
        <f t="shared" si="12"/>
        <v>0.08</v>
      </c>
      <c r="J66" s="37">
        <f t="shared" si="13"/>
        <v>6.4000000000000003E-3</v>
      </c>
      <c r="K66" s="38">
        <f t="shared" si="14"/>
        <v>8.1920000000000003E-7</v>
      </c>
    </row>
    <row r="67" spans="1:11">
      <c r="A67" s="39" t="s">
        <v>212</v>
      </c>
      <c r="B67" s="40">
        <f>'Data Sound Level Meter'!E29</f>
        <v>0.1</v>
      </c>
      <c r="C67" s="36" t="s">
        <v>209</v>
      </c>
      <c r="D67" s="36" t="s">
        <v>210</v>
      </c>
      <c r="E67" s="36">
        <v>2</v>
      </c>
      <c r="F67" s="70">
        <f>B67/E67</f>
        <v>0.05</v>
      </c>
      <c r="G67" s="42">
        <v>50</v>
      </c>
      <c r="H67" s="42">
        <v>1</v>
      </c>
      <c r="I67" s="41">
        <f t="shared" si="12"/>
        <v>0.05</v>
      </c>
      <c r="J67" s="41">
        <f t="shared" si="13"/>
        <v>2.5000000000000005E-3</v>
      </c>
      <c r="K67" s="43">
        <f t="shared" si="14"/>
        <v>1.2500000000000005E-7</v>
      </c>
    </row>
    <row r="68" spans="1:11">
      <c r="A68" s="39" t="s">
        <v>213</v>
      </c>
      <c r="B68" s="36">
        <f>'Data Sound Level Meter'!B33</f>
        <v>0.6</v>
      </c>
      <c r="C68" s="36" t="s">
        <v>209</v>
      </c>
      <c r="D68" s="36" t="s">
        <v>210</v>
      </c>
      <c r="E68" s="36">
        <v>2</v>
      </c>
      <c r="F68" s="70">
        <f>B68/E68</f>
        <v>0.3</v>
      </c>
      <c r="G68" s="42">
        <v>50</v>
      </c>
      <c r="H68" s="42">
        <v>1</v>
      </c>
      <c r="I68" s="41">
        <f t="shared" si="12"/>
        <v>0.3</v>
      </c>
      <c r="J68" s="41">
        <f t="shared" si="13"/>
        <v>0.09</v>
      </c>
      <c r="K68" s="43">
        <f t="shared" si="14"/>
        <v>1.6199999999999998E-4</v>
      </c>
    </row>
    <row r="69" spans="1:11">
      <c r="A69" s="34" t="s">
        <v>214</v>
      </c>
      <c r="B69" s="35">
        <v>0</v>
      </c>
      <c r="C69" s="36" t="s">
        <v>209</v>
      </c>
      <c r="D69" s="37" t="s">
        <v>215</v>
      </c>
      <c r="E69" s="37">
        <f>SQRT(3)</f>
        <v>1.7320508075688772</v>
      </c>
      <c r="F69" s="69">
        <f>B69/E69</f>
        <v>0</v>
      </c>
      <c r="G69" s="37">
        <v>50</v>
      </c>
      <c r="H69" s="37">
        <v>1</v>
      </c>
      <c r="I69" s="37">
        <f t="shared" si="12"/>
        <v>0</v>
      </c>
      <c r="J69" s="37">
        <f t="shared" si="13"/>
        <v>0</v>
      </c>
      <c r="K69" s="38">
        <f t="shared" si="14"/>
        <v>0</v>
      </c>
    </row>
    <row r="70" spans="1:11">
      <c r="A70" s="34" t="s">
        <v>216</v>
      </c>
      <c r="B70" s="314">
        <v>0</v>
      </c>
      <c r="C70" s="36" t="s">
        <v>209</v>
      </c>
      <c r="D70" s="37" t="s">
        <v>215</v>
      </c>
      <c r="E70" s="37">
        <f>SQRT(3)</f>
        <v>1.7320508075688772</v>
      </c>
      <c r="F70" s="69">
        <f>B69/E70</f>
        <v>0</v>
      </c>
      <c r="G70" s="37">
        <v>50</v>
      </c>
      <c r="H70" s="37">
        <v>1</v>
      </c>
      <c r="I70" s="37">
        <f t="shared" si="12"/>
        <v>0</v>
      </c>
      <c r="J70" s="37">
        <f t="shared" si="13"/>
        <v>0</v>
      </c>
      <c r="K70" s="38">
        <f t="shared" si="14"/>
        <v>0</v>
      </c>
    </row>
    <row r="71" spans="1:11">
      <c r="A71" s="34" t="s">
        <v>217</v>
      </c>
      <c r="B71" s="35">
        <v>0</v>
      </c>
      <c r="C71" s="36" t="s">
        <v>209</v>
      </c>
      <c r="D71" s="37" t="s">
        <v>215</v>
      </c>
      <c r="E71" s="37">
        <f>SQRT(3)</f>
        <v>1.7320508075688772</v>
      </c>
      <c r="F71" s="69">
        <f>B71/E71</f>
        <v>0</v>
      </c>
      <c r="G71" s="45">
        <v>50</v>
      </c>
      <c r="H71" s="45">
        <v>1</v>
      </c>
      <c r="I71" s="45">
        <f t="shared" si="12"/>
        <v>0</v>
      </c>
      <c r="J71" s="45">
        <f t="shared" si="13"/>
        <v>0</v>
      </c>
      <c r="K71" s="46">
        <f t="shared" si="14"/>
        <v>0</v>
      </c>
    </row>
    <row r="72" spans="1:11" ht="10.5">
      <c r="A72" s="47" t="s">
        <v>218</v>
      </c>
      <c r="B72" s="48"/>
      <c r="C72" s="48"/>
      <c r="D72" s="48"/>
      <c r="E72" s="48"/>
      <c r="F72" s="48"/>
      <c r="G72" s="48"/>
      <c r="H72" s="48"/>
      <c r="I72" s="49"/>
      <c r="J72" s="50">
        <f>SUM(J65:J71)</f>
        <v>9.8900000000000002E-2</v>
      </c>
      <c r="K72" s="51">
        <f>SUM(K65:K71)</f>
        <v>1.6294419999999998E-4</v>
      </c>
    </row>
    <row r="73" spans="1:11" ht="12.5">
      <c r="A73" s="47" t="s">
        <v>219</v>
      </c>
      <c r="B73" s="48"/>
      <c r="C73" s="48"/>
      <c r="D73" s="48"/>
      <c r="E73" s="48"/>
      <c r="F73" s="49"/>
      <c r="G73" s="52" t="s">
        <v>220</v>
      </c>
      <c r="H73" s="53"/>
      <c r="I73" s="54"/>
      <c r="J73" s="50">
        <f>SQRT(J72)</f>
        <v>0.31448370387032776</v>
      </c>
      <c r="K73" s="51"/>
    </row>
    <row r="74" spans="1:11" ht="13.5">
      <c r="A74" s="47" t="s">
        <v>221</v>
      </c>
      <c r="B74" s="48"/>
      <c r="C74" s="48"/>
      <c r="D74" s="48"/>
      <c r="E74" s="48"/>
      <c r="F74" s="49"/>
      <c r="G74" s="55" t="s">
        <v>222</v>
      </c>
      <c r="H74" s="56"/>
      <c r="I74" s="57"/>
      <c r="J74" s="50">
        <f>J73^4/(K72)</f>
        <v>60.027972766137133</v>
      </c>
      <c r="K74" s="51"/>
    </row>
    <row r="75" spans="1:11" ht="10.5">
      <c r="A75" s="47" t="s">
        <v>223</v>
      </c>
      <c r="B75" s="48"/>
      <c r="C75" s="48"/>
      <c r="D75" s="48"/>
      <c r="E75" s="48"/>
      <c r="F75" s="49"/>
      <c r="G75" s="58" t="s">
        <v>224</v>
      </c>
      <c r="H75" s="59"/>
      <c r="I75" s="60"/>
      <c r="J75" s="50">
        <f>TINV(0.05,J74)</f>
        <v>2.0002978220142609</v>
      </c>
      <c r="K75" s="51"/>
    </row>
    <row r="76" spans="1:11" ht="11" thickBot="1">
      <c r="A76" s="61" t="s">
        <v>225</v>
      </c>
      <c r="B76" s="62"/>
      <c r="C76" s="62"/>
      <c r="D76" s="62"/>
      <c r="E76" s="62"/>
      <c r="F76" s="63"/>
      <c r="G76" s="64" t="s">
        <v>226</v>
      </c>
      <c r="H76" s="65"/>
      <c r="I76" s="66"/>
      <c r="J76" s="315">
        <f>J75*J73</f>
        <v>0.62906106791079441</v>
      </c>
      <c r="K76" s="68" t="s">
        <v>209</v>
      </c>
    </row>
    <row r="77" spans="1:11" ht="11" thickBo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8" spans="1:11">
      <c r="A78" s="28" t="s">
        <v>231</v>
      </c>
      <c r="B78" s="29"/>
      <c r="C78" s="29"/>
      <c r="D78" s="29"/>
      <c r="E78" s="29"/>
      <c r="F78" s="29"/>
      <c r="G78" s="29"/>
      <c r="H78" s="29"/>
      <c r="I78" s="29"/>
      <c r="J78" s="29"/>
      <c r="K78" s="30"/>
    </row>
    <row r="79" spans="1:11">
      <c r="A79" s="31" t="s">
        <v>197</v>
      </c>
      <c r="B79" s="32" t="s">
        <v>198</v>
      </c>
      <c r="C79" s="32" t="s">
        <v>199</v>
      </c>
      <c r="D79" s="32" t="s">
        <v>200</v>
      </c>
      <c r="E79" s="32" t="s">
        <v>201</v>
      </c>
      <c r="F79" s="32" t="s">
        <v>202</v>
      </c>
      <c r="G79" s="32" t="s">
        <v>203</v>
      </c>
      <c r="H79" s="32" t="s">
        <v>204</v>
      </c>
      <c r="I79" s="32" t="s">
        <v>205</v>
      </c>
      <c r="J79" s="32" t="s">
        <v>206</v>
      </c>
      <c r="K79" s="33" t="s">
        <v>207</v>
      </c>
    </row>
    <row r="80" spans="1:11">
      <c r="A80" s="34" t="s">
        <v>208</v>
      </c>
      <c r="B80" s="35">
        <f>ID!I84</f>
        <v>0</v>
      </c>
      <c r="C80" s="36" t="s">
        <v>209</v>
      </c>
      <c r="D80" s="37" t="s">
        <v>210</v>
      </c>
      <c r="E80" s="37">
        <f>SQRT(3)</f>
        <v>1.7320508075688772</v>
      </c>
      <c r="F80" s="69">
        <f>B80/E80</f>
        <v>0</v>
      </c>
      <c r="G80" s="37">
        <v>2</v>
      </c>
      <c r="H80" s="37">
        <v>1</v>
      </c>
      <c r="I80" s="37">
        <f t="shared" ref="I80:I86" si="15">F80*H80</f>
        <v>0</v>
      </c>
      <c r="J80" s="37">
        <f t="shared" ref="J80:J86" si="16">I80^2</f>
        <v>0</v>
      </c>
      <c r="K80" s="38">
        <f t="shared" ref="K80:K86" si="17">(J80^2)/G80</f>
        <v>0</v>
      </c>
    </row>
    <row r="81" spans="1:11">
      <c r="A81" s="34" t="s">
        <v>211</v>
      </c>
      <c r="B81" s="37">
        <f>'Data Sound Level Meter'!H29</f>
        <v>0.16</v>
      </c>
      <c r="C81" s="36" t="s">
        <v>209</v>
      </c>
      <c r="D81" s="37" t="s">
        <v>210</v>
      </c>
      <c r="E81" s="37">
        <v>2</v>
      </c>
      <c r="F81" s="69">
        <f>B81/E81</f>
        <v>0.08</v>
      </c>
      <c r="G81" s="37">
        <v>50</v>
      </c>
      <c r="H81" s="37">
        <v>1</v>
      </c>
      <c r="I81" s="37">
        <f t="shared" si="15"/>
        <v>0.08</v>
      </c>
      <c r="J81" s="37">
        <f t="shared" si="16"/>
        <v>6.4000000000000003E-3</v>
      </c>
      <c r="K81" s="38">
        <f t="shared" si="17"/>
        <v>8.1920000000000003E-7</v>
      </c>
    </row>
    <row r="82" spans="1:11">
      <c r="A82" s="39" t="s">
        <v>212</v>
      </c>
      <c r="B82" s="40">
        <f>'Data Sound Level Meter'!E29</f>
        <v>0.1</v>
      </c>
      <c r="C82" s="36" t="s">
        <v>209</v>
      </c>
      <c r="D82" s="36" t="s">
        <v>210</v>
      </c>
      <c r="E82" s="36">
        <v>2</v>
      </c>
      <c r="F82" s="70">
        <f>B82/E82</f>
        <v>0.05</v>
      </c>
      <c r="G82" s="42">
        <v>50</v>
      </c>
      <c r="H82" s="42">
        <v>1</v>
      </c>
      <c r="I82" s="41">
        <f t="shared" si="15"/>
        <v>0.05</v>
      </c>
      <c r="J82" s="41">
        <f t="shared" si="16"/>
        <v>2.5000000000000005E-3</v>
      </c>
      <c r="K82" s="43">
        <f t="shared" si="17"/>
        <v>1.2500000000000005E-7</v>
      </c>
    </row>
    <row r="83" spans="1:11">
      <c r="A83" s="39" t="s">
        <v>213</v>
      </c>
      <c r="B83" s="36">
        <f>'Data Sound Level Meter'!E29</f>
        <v>0.1</v>
      </c>
      <c r="C83" s="36" t="s">
        <v>209</v>
      </c>
      <c r="D83" s="36" t="s">
        <v>210</v>
      </c>
      <c r="E83" s="36">
        <v>2</v>
      </c>
      <c r="F83" s="70">
        <f>B83/E83</f>
        <v>0.05</v>
      </c>
      <c r="G83" s="42">
        <v>50</v>
      </c>
      <c r="H83" s="42">
        <v>1</v>
      </c>
      <c r="I83" s="41">
        <f t="shared" si="15"/>
        <v>0.05</v>
      </c>
      <c r="J83" s="41">
        <f t="shared" si="16"/>
        <v>2.5000000000000005E-3</v>
      </c>
      <c r="K83" s="43">
        <f t="shared" si="17"/>
        <v>1.2500000000000005E-7</v>
      </c>
    </row>
    <row r="84" spans="1:11">
      <c r="A84" s="34" t="s">
        <v>214</v>
      </c>
      <c r="B84" s="35">
        <v>0</v>
      </c>
      <c r="C84" s="36" t="s">
        <v>209</v>
      </c>
      <c r="D84" s="37" t="s">
        <v>215</v>
      </c>
      <c r="E84" s="37">
        <f>SQRT(3)</f>
        <v>1.7320508075688772</v>
      </c>
      <c r="F84" s="69">
        <f>B84/E84</f>
        <v>0</v>
      </c>
      <c r="G84" s="37">
        <v>50</v>
      </c>
      <c r="H84" s="37">
        <v>1</v>
      </c>
      <c r="I84" s="37">
        <f t="shared" si="15"/>
        <v>0</v>
      </c>
      <c r="J84" s="37">
        <f t="shared" si="16"/>
        <v>0</v>
      </c>
      <c r="K84" s="38">
        <f t="shared" si="17"/>
        <v>0</v>
      </c>
    </row>
    <row r="85" spans="1:11">
      <c r="A85" s="34" t="s">
        <v>216</v>
      </c>
      <c r="B85" s="314">
        <v>0</v>
      </c>
      <c r="C85" s="36" t="s">
        <v>209</v>
      </c>
      <c r="D85" s="37" t="s">
        <v>215</v>
      </c>
      <c r="E85" s="37">
        <f>SQRT(3)</f>
        <v>1.7320508075688772</v>
      </c>
      <c r="F85" s="69">
        <f>B84/E85</f>
        <v>0</v>
      </c>
      <c r="G85" s="37">
        <v>50</v>
      </c>
      <c r="H85" s="37">
        <v>1</v>
      </c>
      <c r="I85" s="37">
        <f t="shared" si="15"/>
        <v>0</v>
      </c>
      <c r="J85" s="37">
        <f t="shared" si="16"/>
        <v>0</v>
      </c>
      <c r="K85" s="38">
        <f t="shared" si="17"/>
        <v>0</v>
      </c>
    </row>
    <row r="86" spans="1:11">
      <c r="A86" s="34" t="s">
        <v>217</v>
      </c>
      <c r="B86" s="35">
        <v>0</v>
      </c>
      <c r="C86" s="36" t="s">
        <v>209</v>
      </c>
      <c r="D86" s="37" t="s">
        <v>215</v>
      </c>
      <c r="E86" s="37">
        <f>SQRT(3)</f>
        <v>1.7320508075688772</v>
      </c>
      <c r="F86" s="69">
        <f>B86/E86</f>
        <v>0</v>
      </c>
      <c r="G86" s="45">
        <v>50</v>
      </c>
      <c r="H86" s="45">
        <v>1</v>
      </c>
      <c r="I86" s="45">
        <f t="shared" si="15"/>
        <v>0</v>
      </c>
      <c r="J86" s="45">
        <f t="shared" si="16"/>
        <v>0</v>
      </c>
      <c r="K86" s="46">
        <f t="shared" si="17"/>
        <v>0</v>
      </c>
    </row>
    <row r="87" spans="1:11" ht="10.5">
      <c r="A87" s="47" t="s">
        <v>218</v>
      </c>
      <c r="B87" s="48"/>
      <c r="C87" s="48"/>
      <c r="D87" s="48"/>
      <c r="E87" s="48"/>
      <c r="F87" s="48"/>
      <c r="G87" s="48"/>
      <c r="H87" s="48"/>
      <c r="I87" s="49"/>
      <c r="J87" s="50">
        <f>SUM(J80:J86)</f>
        <v>1.1400000000000002E-2</v>
      </c>
      <c r="K87" s="51">
        <f>SUM(K80:K86)</f>
        <v>1.0692000000000001E-6</v>
      </c>
    </row>
    <row r="88" spans="1:11" ht="12.5">
      <c r="A88" s="47" t="s">
        <v>219</v>
      </c>
      <c r="B88" s="48"/>
      <c r="C88" s="48"/>
      <c r="D88" s="48"/>
      <c r="E88" s="48"/>
      <c r="F88" s="49"/>
      <c r="G88" s="52" t="s">
        <v>220</v>
      </c>
      <c r="H88" s="53"/>
      <c r="I88" s="54"/>
      <c r="J88" s="50">
        <f>SQRT(J87)</f>
        <v>0.10677078252031312</v>
      </c>
      <c r="K88" s="51"/>
    </row>
    <row r="89" spans="1:11" ht="13.5">
      <c r="A89" s="47" t="s">
        <v>221</v>
      </c>
      <c r="B89" s="48"/>
      <c r="C89" s="48"/>
      <c r="D89" s="48"/>
      <c r="E89" s="48"/>
      <c r="F89" s="49"/>
      <c r="G89" s="55" t="s">
        <v>222</v>
      </c>
      <c r="H89" s="56"/>
      <c r="I89" s="57"/>
      <c r="J89" s="50">
        <f>J88^4/(K87)</f>
        <v>121.54882154882158</v>
      </c>
      <c r="K89" s="51"/>
    </row>
    <row r="90" spans="1:11" ht="10.5">
      <c r="A90" s="47" t="s">
        <v>223</v>
      </c>
      <c r="B90" s="48"/>
      <c r="C90" s="48"/>
      <c r="D90" s="48"/>
      <c r="E90" s="48"/>
      <c r="F90" s="49"/>
      <c r="G90" s="58" t="s">
        <v>224</v>
      </c>
      <c r="H90" s="59"/>
      <c r="I90" s="60"/>
      <c r="J90" s="50">
        <f>TINV(0.05,J89)</f>
        <v>1.9797637625053852</v>
      </c>
      <c r="K90" s="51"/>
    </row>
    <row r="91" spans="1:11" ht="11" thickBot="1">
      <c r="A91" s="61" t="s">
        <v>225</v>
      </c>
      <c r="B91" s="62"/>
      <c r="C91" s="62"/>
      <c r="D91" s="62"/>
      <c r="E91" s="62"/>
      <c r="F91" s="63"/>
      <c r="G91" s="64" t="s">
        <v>226</v>
      </c>
      <c r="H91" s="65"/>
      <c r="I91" s="66"/>
      <c r="J91" s="316">
        <f>J90*J88</f>
        <v>0.21138092612805931</v>
      </c>
      <c r="K91" s="68" t="s">
        <v>209</v>
      </c>
    </row>
    <row r="92" spans="1:11" ht="11" thickBot="1">
      <c r="A92" s="82"/>
      <c r="B92" s="14"/>
      <c r="C92" s="14"/>
      <c r="D92" s="14"/>
      <c r="E92" s="14"/>
      <c r="F92" s="14"/>
      <c r="G92" s="14"/>
      <c r="H92" s="82"/>
      <c r="I92" s="14"/>
      <c r="J92" s="14"/>
      <c r="K92" s="14"/>
    </row>
    <row r="93" spans="1:11">
      <c r="A93" s="28" t="s">
        <v>232</v>
      </c>
      <c r="B93" s="29"/>
      <c r="C93" s="29"/>
      <c r="D93" s="29"/>
      <c r="E93" s="29"/>
      <c r="F93" s="29"/>
      <c r="G93" s="29"/>
      <c r="H93" s="29"/>
      <c r="I93" s="29"/>
      <c r="J93" s="29"/>
      <c r="K93" s="30"/>
    </row>
    <row r="94" spans="1:11">
      <c r="A94" s="31" t="s">
        <v>197</v>
      </c>
      <c r="B94" s="32" t="s">
        <v>198</v>
      </c>
      <c r="C94" s="32" t="s">
        <v>199</v>
      </c>
      <c r="D94" s="32" t="s">
        <v>200</v>
      </c>
      <c r="E94" s="32" t="s">
        <v>201</v>
      </c>
      <c r="F94" s="32" t="s">
        <v>202</v>
      </c>
      <c r="G94" s="32" t="s">
        <v>203</v>
      </c>
      <c r="H94" s="32" t="s">
        <v>204</v>
      </c>
      <c r="I94" s="32" t="s">
        <v>205</v>
      </c>
      <c r="J94" s="32" t="s">
        <v>206</v>
      </c>
      <c r="K94" s="33" t="s">
        <v>207</v>
      </c>
    </row>
    <row r="95" spans="1:11">
      <c r="A95" s="34" t="s">
        <v>208</v>
      </c>
      <c r="B95" s="35">
        <f>ID!I85</f>
        <v>0</v>
      </c>
      <c r="C95" s="36" t="s">
        <v>209</v>
      </c>
      <c r="D95" s="37" t="s">
        <v>210</v>
      </c>
      <c r="E95" s="37">
        <f>SQRT(3)</f>
        <v>1.7320508075688772</v>
      </c>
      <c r="F95" s="69">
        <f>B95/E95</f>
        <v>0</v>
      </c>
      <c r="G95" s="37">
        <v>2</v>
      </c>
      <c r="H95" s="37">
        <v>1</v>
      </c>
      <c r="I95" s="37">
        <f t="shared" ref="I95:I101" si="18">F95*H95</f>
        <v>0</v>
      </c>
      <c r="J95" s="37">
        <f t="shared" ref="J95:J101" si="19">I95^2</f>
        <v>0</v>
      </c>
      <c r="K95" s="38">
        <f t="shared" ref="K95:K101" si="20">(J95^2)/G95</f>
        <v>0</v>
      </c>
    </row>
    <row r="96" spans="1:11">
      <c r="A96" s="34" t="s">
        <v>211</v>
      </c>
      <c r="B96" s="37">
        <f>'Data Sound Level Meter'!H29</f>
        <v>0.16</v>
      </c>
      <c r="C96" s="36" t="s">
        <v>209</v>
      </c>
      <c r="D96" s="37" t="s">
        <v>210</v>
      </c>
      <c r="E96" s="37">
        <v>2</v>
      </c>
      <c r="F96" s="69">
        <f>B96/E96</f>
        <v>0.08</v>
      </c>
      <c r="G96" s="37">
        <v>50</v>
      </c>
      <c r="H96" s="37">
        <v>1</v>
      </c>
      <c r="I96" s="37">
        <f t="shared" si="18"/>
        <v>0.08</v>
      </c>
      <c r="J96" s="37">
        <f t="shared" si="19"/>
        <v>6.4000000000000003E-3</v>
      </c>
      <c r="K96" s="38">
        <f t="shared" si="20"/>
        <v>8.1920000000000003E-7</v>
      </c>
    </row>
    <row r="97" spans="1:11">
      <c r="A97" s="39" t="s">
        <v>212</v>
      </c>
      <c r="B97" s="40">
        <f>'Data Sound Level Meter'!E29</f>
        <v>0.1</v>
      </c>
      <c r="C97" s="36" t="s">
        <v>209</v>
      </c>
      <c r="D97" s="36" t="s">
        <v>210</v>
      </c>
      <c r="E97" s="36">
        <v>2</v>
      </c>
      <c r="F97" s="70">
        <f>B97/E97</f>
        <v>0.05</v>
      </c>
      <c r="G97" s="42">
        <v>50</v>
      </c>
      <c r="H97" s="42">
        <v>1</v>
      </c>
      <c r="I97" s="41">
        <f t="shared" si="18"/>
        <v>0.05</v>
      </c>
      <c r="J97" s="41">
        <f t="shared" si="19"/>
        <v>2.5000000000000005E-3</v>
      </c>
      <c r="K97" s="43">
        <f t="shared" si="20"/>
        <v>1.2500000000000005E-7</v>
      </c>
    </row>
    <row r="98" spans="1:11">
      <c r="A98" s="39" t="s">
        <v>213</v>
      </c>
      <c r="B98" s="36">
        <f>'Data Sound Level Meter'!B35</f>
        <v>0.8</v>
      </c>
      <c r="C98" s="36" t="s">
        <v>209</v>
      </c>
      <c r="D98" s="36" t="s">
        <v>210</v>
      </c>
      <c r="E98" s="36">
        <v>2</v>
      </c>
      <c r="F98" s="70">
        <f>B98/E98</f>
        <v>0.4</v>
      </c>
      <c r="G98" s="42">
        <v>50</v>
      </c>
      <c r="H98" s="42">
        <v>1</v>
      </c>
      <c r="I98" s="41">
        <f t="shared" si="18"/>
        <v>0.4</v>
      </c>
      <c r="J98" s="41">
        <f t="shared" si="19"/>
        <v>0.16000000000000003</v>
      </c>
      <c r="K98" s="43">
        <f t="shared" si="20"/>
        <v>5.1200000000000019E-4</v>
      </c>
    </row>
    <row r="99" spans="1:11">
      <c r="A99" s="34" t="s">
        <v>214</v>
      </c>
      <c r="B99" s="35">
        <v>0</v>
      </c>
      <c r="C99" s="36" t="s">
        <v>209</v>
      </c>
      <c r="D99" s="37" t="s">
        <v>215</v>
      </c>
      <c r="E99" s="37">
        <f>SQRT(3)</f>
        <v>1.7320508075688772</v>
      </c>
      <c r="F99" s="69">
        <f>B99/E99</f>
        <v>0</v>
      </c>
      <c r="G99" s="37">
        <v>50</v>
      </c>
      <c r="H99" s="37">
        <v>1</v>
      </c>
      <c r="I99" s="37">
        <f t="shared" si="18"/>
        <v>0</v>
      </c>
      <c r="J99" s="37">
        <f t="shared" si="19"/>
        <v>0</v>
      </c>
      <c r="K99" s="38">
        <f t="shared" si="20"/>
        <v>0</v>
      </c>
    </row>
    <row r="100" spans="1:11">
      <c r="A100" s="34" t="s">
        <v>216</v>
      </c>
      <c r="B100" s="314">
        <v>0</v>
      </c>
      <c r="C100" s="36" t="s">
        <v>209</v>
      </c>
      <c r="D100" s="37" t="s">
        <v>215</v>
      </c>
      <c r="E100" s="37">
        <f>SQRT(3)</f>
        <v>1.7320508075688772</v>
      </c>
      <c r="F100" s="69">
        <f>B99/E100</f>
        <v>0</v>
      </c>
      <c r="G100" s="37">
        <v>50</v>
      </c>
      <c r="H100" s="37">
        <v>1</v>
      </c>
      <c r="I100" s="37">
        <f t="shared" si="18"/>
        <v>0</v>
      </c>
      <c r="J100" s="37">
        <f t="shared" si="19"/>
        <v>0</v>
      </c>
      <c r="K100" s="38">
        <f t="shared" si="20"/>
        <v>0</v>
      </c>
    </row>
    <row r="101" spans="1:11">
      <c r="A101" s="34" t="s">
        <v>217</v>
      </c>
      <c r="B101" s="35">
        <v>0</v>
      </c>
      <c r="C101" s="36" t="s">
        <v>209</v>
      </c>
      <c r="D101" s="37" t="s">
        <v>215</v>
      </c>
      <c r="E101" s="37">
        <f>SQRT(3)</f>
        <v>1.7320508075688772</v>
      </c>
      <c r="F101" s="69">
        <f>B101/E101</f>
        <v>0</v>
      </c>
      <c r="G101" s="45">
        <v>50</v>
      </c>
      <c r="H101" s="45">
        <v>1</v>
      </c>
      <c r="I101" s="45">
        <f t="shared" si="18"/>
        <v>0</v>
      </c>
      <c r="J101" s="45">
        <f t="shared" si="19"/>
        <v>0</v>
      </c>
      <c r="K101" s="46">
        <f t="shared" si="20"/>
        <v>0</v>
      </c>
    </row>
    <row r="102" spans="1:11" ht="10.5">
      <c r="A102" s="47" t="s">
        <v>218</v>
      </c>
      <c r="B102" s="48"/>
      <c r="C102" s="48"/>
      <c r="D102" s="48"/>
      <c r="E102" s="48"/>
      <c r="F102" s="48"/>
      <c r="G102" s="48"/>
      <c r="H102" s="48"/>
      <c r="I102" s="49"/>
      <c r="J102" s="50">
        <f>SUM(J95:J101)</f>
        <v>0.16890000000000002</v>
      </c>
      <c r="K102" s="51">
        <f>SUM(K95:K101)</f>
        <v>5.1294420000000016E-4</v>
      </c>
    </row>
    <row r="103" spans="1:11" ht="12.5">
      <c r="A103" s="47" t="s">
        <v>219</v>
      </c>
      <c r="B103" s="48"/>
      <c r="C103" s="48"/>
      <c r="D103" s="48"/>
      <c r="E103" s="48"/>
      <c r="F103" s="49"/>
      <c r="G103" s="52" t="s">
        <v>220</v>
      </c>
      <c r="H103" s="53"/>
      <c r="I103" s="54"/>
      <c r="J103" s="50">
        <f>SQRT(J102)</f>
        <v>0.41097445176069036</v>
      </c>
      <c r="K103" s="51"/>
    </row>
    <row r="104" spans="1:11" ht="13.5">
      <c r="A104" s="47" t="s">
        <v>221</v>
      </c>
      <c r="B104" s="48"/>
      <c r="C104" s="48"/>
      <c r="D104" s="48"/>
      <c r="E104" s="48"/>
      <c r="F104" s="49"/>
      <c r="G104" s="55" t="s">
        <v>222</v>
      </c>
      <c r="H104" s="56"/>
      <c r="I104" s="57"/>
      <c r="J104" s="50">
        <f>J103^4/(K102)</f>
        <v>55.614645803578632</v>
      </c>
      <c r="K104" s="51"/>
    </row>
    <row r="105" spans="1:11" ht="10.5">
      <c r="A105" s="47" t="s">
        <v>223</v>
      </c>
      <c r="B105" s="48"/>
      <c r="C105" s="48"/>
      <c r="D105" s="48"/>
      <c r="E105" s="48"/>
      <c r="F105" s="49"/>
      <c r="G105" s="58" t="s">
        <v>224</v>
      </c>
      <c r="H105" s="59"/>
      <c r="I105" s="60"/>
      <c r="J105" s="50">
        <f>TINV(0.05,J104)</f>
        <v>2.0040447832891455</v>
      </c>
      <c r="K105" s="51"/>
    </row>
    <row r="106" spans="1:11" ht="11" thickBot="1">
      <c r="A106" s="61" t="s">
        <v>225</v>
      </c>
      <c r="B106" s="62"/>
      <c r="C106" s="62"/>
      <c r="D106" s="62"/>
      <c r="E106" s="62"/>
      <c r="F106" s="63"/>
      <c r="G106" s="64" t="s">
        <v>226</v>
      </c>
      <c r="H106" s="65"/>
      <c r="I106" s="66"/>
      <c r="J106" s="315">
        <f>J105*J103</f>
        <v>0.82361120611612804</v>
      </c>
      <c r="K106" s="68" t="s">
        <v>209</v>
      </c>
    </row>
    <row r="107" spans="1:11" ht="11" thickBo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</row>
    <row r="108" spans="1:11">
      <c r="A108" s="28" t="s">
        <v>233</v>
      </c>
      <c r="B108" s="29"/>
      <c r="C108" s="29"/>
      <c r="D108" s="29"/>
      <c r="E108" s="29"/>
      <c r="F108" s="29"/>
      <c r="G108" s="29"/>
      <c r="H108" s="29"/>
      <c r="I108" s="29"/>
      <c r="J108" s="29"/>
      <c r="K108" s="30"/>
    </row>
    <row r="109" spans="1:11">
      <c r="A109" s="31" t="s">
        <v>197</v>
      </c>
      <c r="B109" s="32" t="s">
        <v>198</v>
      </c>
      <c r="C109" s="32" t="s">
        <v>199</v>
      </c>
      <c r="D109" s="32" t="s">
        <v>200</v>
      </c>
      <c r="E109" s="32" t="s">
        <v>201</v>
      </c>
      <c r="F109" s="32" t="s">
        <v>202</v>
      </c>
      <c r="G109" s="32" t="s">
        <v>203</v>
      </c>
      <c r="H109" s="32" t="s">
        <v>204</v>
      </c>
      <c r="I109" s="32" t="s">
        <v>205</v>
      </c>
      <c r="J109" s="32" t="s">
        <v>206</v>
      </c>
      <c r="K109" s="33" t="s">
        <v>207</v>
      </c>
    </row>
    <row r="110" spans="1:11">
      <c r="A110" s="34" t="s">
        <v>208</v>
      </c>
      <c r="B110" s="35">
        <f>ID!I86</f>
        <v>0</v>
      </c>
      <c r="C110" s="36" t="s">
        <v>209</v>
      </c>
      <c r="D110" s="37" t="s">
        <v>210</v>
      </c>
      <c r="E110" s="37">
        <f>SQRT(3)</f>
        <v>1.7320508075688772</v>
      </c>
      <c r="F110" s="69">
        <f>B110/E110</f>
        <v>0</v>
      </c>
      <c r="G110" s="37">
        <v>2</v>
      </c>
      <c r="H110" s="37">
        <v>1</v>
      </c>
      <c r="I110" s="37">
        <f t="shared" ref="I110:I116" si="21">F110*H110</f>
        <v>0</v>
      </c>
      <c r="J110" s="37">
        <f t="shared" ref="J110:J116" si="22">I110^2</f>
        <v>0</v>
      </c>
      <c r="K110" s="38">
        <f t="shared" ref="K110:K116" si="23">(J110^2)/G110</f>
        <v>0</v>
      </c>
    </row>
    <row r="111" spans="1:11">
      <c r="A111" s="34" t="s">
        <v>211</v>
      </c>
      <c r="B111" s="37">
        <f>'Data Sound Level Meter'!H29</f>
        <v>0.16</v>
      </c>
      <c r="C111" s="36" t="s">
        <v>209</v>
      </c>
      <c r="D111" s="37" t="s">
        <v>210</v>
      </c>
      <c r="E111" s="37">
        <v>2</v>
      </c>
      <c r="F111" s="69">
        <f>B111/E111</f>
        <v>0.08</v>
      </c>
      <c r="G111" s="37">
        <v>50</v>
      </c>
      <c r="H111" s="37">
        <v>1</v>
      </c>
      <c r="I111" s="37">
        <f t="shared" si="21"/>
        <v>0.08</v>
      </c>
      <c r="J111" s="37">
        <f t="shared" si="22"/>
        <v>6.4000000000000003E-3</v>
      </c>
      <c r="K111" s="38">
        <f t="shared" si="23"/>
        <v>8.1920000000000003E-7</v>
      </c>
    </row>
    <row r="112" spans="1:11">
      <c r="A112" s="39" t="s">
        <v>212</v>
      </c>
      <c r="B112" s="40">
        <f>'Data Sound Level Meter'!E29</f>
        <v>0.1</v>
      </c>
      <c r="C112" s="36" t="s">
        <v>209</v>
      </c>
      <c r="D112" s="36" t="s">
        <v>210</v>
      </c>
      <c r="E112" s="36">
        <v>2</v>
      </c>
      <c r="F112" s="70">
        <f>B112/E112</f>
        <v>0.05</v>
      </c>
      <c r="G112" s="42">
        <v>50</v>
      </c>
      <c r="H112" s="42">
        <v>1</v>
      </c>
      <c r="I112" s="41">
        <f t="shared" si="21"/>
        <v>0.05</v>
      </c>
      <c r="J112" s="41">
        <f t="shared" si="22"/>
        <v>2.5000000000000005E-3</v>
      </c>
      <c r="K112" s="43">
        <f t="shared" si="23"/>
        <v>1.2500000000000005E-7</v>
      </c>
    </row>
    <row r="113" spans="1:11">
      <c r="A113" s="39" t="s">
        <v>213</v>
      </c>
      <c r="B113" s="36">
        <f>'Data Sound Level Meter'!B36</f>
        <v>0.7</v>
      </c>
      <c r="C113" s="36" t="s">
        <v>209</v>
      </c>
      <c r="D113" s="36" t="s">
        <v>210</v>
      </c>
      <c r="E113" s="36">
        <v>2</v>
      </c>
      <c r="F113" s="70">
        <f>B113/E113</f>
        <v>0.35</v>
      </c>
      <c r="G113" s="42">
        <v>50</v>
      </c>
      <c r="H113" s="42">
        <v>1</v>
      </c>
      <c r="I113" s="41">
        <f t="shared" si="21"/>
        <v>0.35</v>
      </c>
      <c r="J113" s="41">
        <f t="shared" si="22"/>
        <v>0.12249999999999998</v>
      </c>
      <c r="K113" s="43">
        <f t="shared" si="23"/>
        <v>3.0012499999999988E-4</v>
      </c>
    </row>
    <row r="114" spans="1:11">
      <c r="A114" s="34" t="s">
        <v>214</v>
      </c>
      <c r="B114" s="35">
        <v>0</v>
      </c>
      <c r="C114" s="36" t="s">
        <v>209</v>
      </c>
      <c r="D114" s="37" t="s">
        <v>215</v>
      </c>
      <c r="E114" s="37">
        <f>SQRT(3)</f>
        <v>1.7320508075688772</v>
      </c>
      <c r="F114" s="69">
        <f>B114/E114</f>
        <v>0</v>
      </c>
      <c r="G114" s="37">
        <v>50</v>
      </c>
      <c r="H114" s="37">
        <v>1</v>
      </c>
      <c r="I114" s="37">
        <f t="shared" si="21"/>
        <v>0</v>
      </c>
      <c r="J114" s="37">
        <f t="shared" si="22"/>
        <v>0</v>
      </c>
      <c r="K114" s="38">
        <f t="shared" si="23"/>
        <v>0</v>
      </c>
    </row>
    <row r="115" spans="1:11">
      <c r="A115" s="34" t="s">
        <v>216</v>
      </c>
      <c r="B115" s="314">
        <v>0</v>
      </c>
      <c r="C115" s="36" t="s">
        <v>209</v>
      </c>
      <c r="D115" s="37" t="s">
        <v>215</v>
      </c>
      <c r="E115" s="37">
        <f>SQRT(3)</f>
        <v>1.7320508075688772</v>
      </c>
      <c r="F115" s="69">
        <f>B114/E115</f>
        <v>0</v>
      </c>
      <c r="G115" s="37">
        <v>50</v>
      </c>
      <c r="H115" s="37">
        <v>1</v>
      </c>
      <c r="I115" s="37">
        <f t="shared" si="21"/>
        <v>0</v>
      </c>
      <c r="J115" s="37">
        <f t="shared" si="22"/>
        <v>0</v>
      </c>
      <c r="K115" s="38">
        <f t="shared" si="23"/>
        <v>0</v>
      </c>
    </row>
    <row r="116" spans="1:11">
      <c r="A116" s="34" t="s">
        <v>217</v>
      </c>
      <c r="B116" s="35">
        <v>0</v>
      </c>
      <c r="C116" s="36" t="s">
        <v>209</v>
      </c>
      <c r="D116" s="37" t="s">
        <v>215</v>
      </c>
      <c r="E116" s="37">
        <f>SQRT(3)</f>
        <v>1.7320508075688772</v>
      </c>
      <c r="F116" s="69">
        <f>B116/E116</f>
        <v>0</v>
      </c>
      <c r="G116" s="45">
        <v>50</v>
      </c>
      <c r="H116" s="45">
        <v>1</v>
      </c>
      <c r="I116" s="45">
        <f t="shared" si="21"/>
        <v>0</v>
      </c>
      <c r="J116" s="45">
        <f t="shared" si="22"/>
        <v>0</v>
      </c>
      <c r="K116" s="46">
        <f t="shared" si="23"/>
        <v>0</v>
      </c>
    </row>
    <row r="117" spans="1:11" ht="10.5">
      <c r="A117" s="47" t="s">
        <v>218</v>
      </c>
      <c r="B117" s="48"/>
      <c r="C117" s="48"/>
      <c r="D117" s="48"/>
      <c r="E117" s="48"/>
      <c r="F117" s="48"/>
      <c r="G117" s="48"/>
      <c r="H117" s="48"/>
      <c r="I117" s="49"/>
      <c r="J117" s="50">
        <f>SUM(J110:J116)</f>
        <v>0.13139999999999999</v>
      </c>
      <c r="K117" s="51">
        <f>SUM(K110:K116)</f>
        <v>3.0106919999999991E-4</v>
      </c>
    </row>
    <row r="118" spans="1:11" ht="12.5">
      <c r="A118" s="47" t="s">
        <v>219</v>
      </c>
      <c r="B118" s="48"/>
      <c r="C118" s="48"/>
      <c r="D118" s="48"/>
      <c r="E118" s="48"/>
      <c r="F118" s="49"/>
      <c r="G118" s="52" t="s">
        <v>220</v>
      </c>
      <c r="H118" s="53"/>
      <c r="I118" s="54"/>
      <c r="J118" s="50">
        <f>SQRT(J117)</f>
        <v>0.36249137920783714</v>
      </c>
      <c r="K118" s="51"/>
    </row>
    <row r="119" spans="1:11" ht="13.5">
      <c r="A119" s="47" t="s">
        <v>221</v>
      </c>
      <c r="B119" s="48"/>
      <c r="C119" s="48"/>
      <c r="D119" s="48"/>
      <c r="E119" s="48"/>
      <c r="F119" s="49"/>
      <c r="G119" s="55" t="s">
        <v>222</v>
      </c>
      <c r="H119" s="56"/>
      <c r="I119" s="57"/>
      <c r="J119" s="50">
        <f>J118^4/(K117)</f>
        <v>57.348808845275443</v>
      </c>
      <c r="K119" s="51"/>
    </row>
    <row r="120" spans="1:11" ht="10.5">
      <c r="A120" s="47" t="s">
        <v>223</v>
      </c>
      <c r="B120" s="48"/>
      <c r="C120" s="48"/>
      <c r="D120" s="48"/>
      <c r="E120" s="48"/>
      <c r="F120" s="49"/>
      <c r="G120" s="58" t="s">
        <v>224</v>
      </c>
      <c r="H120" s="59"/>
      <c r="I120" s="60"/>
      <c r="J120" s="50">
        <f>TINV(0.05,J119)</f>
        <v>2.0024654592910065</v>
      </c>
      <c r="K120" s="51"/>
    </row>
    <row r="121" spans="1:11" ht="11" thickBot="1">
      <c r="A121" s="61" t="s">
        <v>225</v>
      </c>
      <c r="B121" s="62"/>
      <c r="C121" s="62"/>
      <c r="D121" s="62"/>
      <c r="E121" s="62"/>
      <c r="F121" s="63"/>
      <c r="G121" s="64" t="s">
        <v>226</v>
      </c>
      <c r="H121" s="65"/>
      <c r="I121" s="66"/>
      <c r="J121" s="316">
        <f>J120*J118</f>
        <v>0.725876466154452</v>
      </c>
      <c r="K121" s="68" t="s">
        <v>209</v>
      </c>
    </row>
    <row r="122" spans="1:11" ht="11" thickBo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</row>
    <row r="123" spans="1:11">
      <c r="A123" s="28" t="s">
        <v>234</v>
      </c>
      <c r="B123" s="29"/>
      <c r="C123" s="29"/>
      <c r="D123" s="29"/>
      <c r="E123" s="29"/>
      <c r="F123" s="29"/>
      <c r="G123" s="29"/>
      <c r="H123" s="29"/>
      <c r="I123" s="29"/>
      <c r="J123" s="29"/>
      <c r="K123" s="30"/>
    </row>
    <row r="124" spans="1:11">
      <c r="A124" s="31" t="s">
        <v>197</v>
      </c>
      <c r="B124" s="32" t="s">
        <v>198</v>
      </c>
      <c r="C124" s="32" t="s">
        <v>199</v>
      </c>
      <c r="D124" s="32" t="s">
        <v>200</v>
      </c>
      <c r="E124" s="32" t="s">
        <v>201</v>
      </c>
      <c r="F124" s="32" t="s">
        <v>202</v>
      </c>
      <c r="G124" s="32" t="s">
        <v>203</v>
      </c>
      <c r="H124" s="32" t="s">
        <v>204</v>
      </c>
      <c r="I124" s="32" t="s">
        <v>205</v>
      </c>
      <c r="J124" s="32" t="s">
        <v>206</v>
      </c>
      <c r="K124" s="33" t="s">
        <v>207</v>
      </c>
    </row>
    <row r="125" spans="1:11">
      <c r="A125" s="34" t="s">
        <v>208</v>
      </c>
      <c r="B125" s="35">
        <f>ID!I87</f>
        <v>0</v>
      </c>
      <c r="C125" s="36" t="s">
        <v>209</v>
      </c>
      <c r="D125" s="37" t="s">
        <v>210</v>
      </c>
      <c r="E125" s="37">
        <f>SQRT(3)</f>
        <v>1.7320508075688772</v>
      </c>
      <c r="F125" s="69">
        <f>B125/E125</f>
        <v>0</v>
      </c>
      <c r="G125" s="37">
        <v>2</v>
      </c>
      <c r="H125" s="37">
        <v>1</v>
      </c>
      <c r="I125" s="37">
        <f t="shared" ref="I125:I131" si="24">F125*H125</f>
        <v>0</v>
      </c>
      <c r="J125" s="37">
        <f t="shared" ref="J125:J131" si="25">I125^2</f>
        <v>0</v>
      </c>
      <c r="K125" s="38">
        <f t="shared" ref="K125:K131" si="26">(J125^2)/G125</f>
        <v>0</v>
      </c>
    </row>
    <row r="126" spans="1:11">
      <c r="A126" s="34" t="s">
        <v>211</v>
      </c>
      <c r="B126" s="37">
        <f>'Data Sound Level Meter'!H29</f>
        <v>0.16</v>
      </c>
      <c r="C126" s="36" t="s">
        <v>209</v>
      </c>
      <c r="D126" s="37" t="s">
        <v>210</v>
      </c>
      <c r="E126" s="37">
        <v>2</v>
      </c>
      <c r="F126" s="69">
        <f>B126/E126</f>
        <v>0.08</v>
      </c>
      <c r="G126" s="37">
        <v>50</v>
      </c>
      <c r="H126" s="37">
        <v>1</v>
      </c>
      <c r="I126" s="37">
        <f t="shared" si="24"/>
        <v>0.08</v>
      </c>
      <c r="J126" s="37">
        <f t="shared" si="25"/>
        <v>6.4000000000000003E-3</v>
      </c>
      <c r="K126" s="38">
        <f t="shared" si="26"/>
        <v>8.1920000000000003E-7</v>
      </c>
    </row>
    <row r="127" spans="1:11">
      <c r="A127" s="39" t="s">
        <v>212</v>
      </c>
      <c r="B127" s="40">
        <f>'Data Sound Level Meter'!E29</f>
        <v>0.1</v>
      </c>
      <c r="C127" s="36" t="s">
        <v>209</v>
      </c>
      <c r="D127" s="36" t="s">
        <v>210</v>
      </c>
      <c r="E127" s="36">
        <v>2</v>
      </c>
      <c r="F127" s="70">
        <f>B127/E127</f>
        <v>0.05</v>
      </c>
      <c r="G127" s="42">
        <v>50</v>
      </c>
      <c r="H127" s="42">
        <v>1</v>
      </c>
      <c r="I127" s="41">
        <f t="shared" si="24"/>
        <v>0.05</v>
      </c>
      <c r="J127" s="41">
        <f t="shared" si="25"/>
        <v>2.5000000000000005E-3</v>
      </c>
      <c r="K127" s="43">
        <f t="shared" si="26"/>
        <v>1.2500000000000005E-7</v>
      </c>
    </row>
    <row r="128" spans="1:11">
      <c r="A128" s="39" t="s">
        <v>213</v>
      </c>
      <c r="B128" s="36">
        <f>'Data Sound Level Meter'!B37</f>
        <v>1.1000000000000001</v>
      </c>
      <c r="C128" s="36" t="s">
        <v>209</v>
      </c>
      <c r="D128" s="36" t="s">
        <v>210</v>
      </c>
      <c r="E128" s="36">
        <v>2</v>
      </c>
      <c r="F128" s="70">
        <f>B128/E128</f>
        <v>0.55000000000000004</v>
      </c>
      <c r="G128" s="42">
        <v>50</v>
      </c>
      <c r="H128" s="42">
        <v>1</v>
      </c>
      <c r="I128" s="41">
        <f t="shared" si="24"/>
        <v>0.55000000000000004</v>
      </c>
      <c r="J128" s="41">
        <f t="shared" si="25"/>
        <v>0.30250000000000005</v>
      </c>
      <c r="K128" s="43">
        <f t="shared" si="26"/>
        <v>1.8301250000000006E-3</v>
      </c>
    </row>
    <row r="129" spans="1:11">
      <c r="A129" s="34" t="s">
        <v>214</v>
      </c>
      <c r="B129" s="35">
        <v>0</v>
      </c>
      <c r="C129" s="36" t="s">
        <v>209</v>
      </c>
      <c r="D129" s="37" t="s">
        <v>215</v>
      </c>
      <c r="E129" s="37">
        <f>SQRT(3)</f>
        <v>1.7320508075688772</v>
      </c>
      <c r="F129" s="69">
        <f>B129/E129</f>
        <v>0</v>
      </c>
      <c r="G129" s="37">
        <v>50</v>
      </c>
      <c r="H129" s="37">
        <v>1</v>
      </c>
      <c r="I129" s="37">
        <f t="shared" si="24"/>
        <v>0</v>
      </c>
      <c r="J129" s="37">
        <f t="shared" si="25"/>
        <v>0</v>
      </c>
      <c r="K129" s="38">
        <f t="shared" si="26"/>
        <v>0</v>
      </c>
    </row>
    <row r="130" spans="1:11">
      <c r="A130" s="34" t="s">
        <v>216</v>
      </c>
      <c r="B130" s="314">
        <v>0</v>
      </c>
      <c r="C130" s="36" t="s">
        <v>209</v>
      </c>
      <c r="D130" s="37" t="s">
        <v>215</v>
      </c>
      <c r="E130" s="37">
        <f>SQRT(3)</f>
        <v>1.7320508075688772</v>
      </c>
      <c r="F130" s="69">
        <f>B129/E130</f>
        <v>0</v>
      </c>
      <c r="G130" s="37">
        <v>50</v>
      </c>
      <c r="H130" s="37">
        <v>1</v>
      </c>
      <c r="I130" s="37">
        <f t="shared" si="24"/>
        <v>0</v>
      </c>
      <c r="J130" s="37">
        <f t="shared" si="25"/>
        <v>0</v>
      </c>
      <c r="K130" s="38">
        <f t="shared" si="26"/>
        <v>0</v>
      </c>
    </row>
    <row r="131" spans="1:11">
      <c r="A131" s="34" t="s">
        <v>217</v>
      </c>
      <c r="B131" s="35">
        <v>0</v>
      </c>
      <c r="C131" s="36" t="s">
        <v>209</v>
      </c>
      <c r="D131" s="37" t="s">
        <v>215</v>
      </c>
      <c r="E131" s="37">
        <f>SQRT(3)</f>
        <v>1.7320508075688772</v>
      </c>
      <c r="F131" s="69">
        <f>B131/E131</f>
        <v>0</v>
      </c>
      <c r="G131" s="45">
        <v>50</v>
      </c>
      <c r="H131" s="45">
        <v>1</v>
      </c>
      <c r="I131" s="45">
        <f t="shared" si="24"/>
        <v>0</v>
      </c>
      <c r="J131" s="45">
        <f t="shared" si="25"/>
        <v>0</v>
      </c>
      <c r="K131" s="46">
        <f t="shared" si="26"/>
        <v>0</v>
      </c>
    </row>
    <row r="132" spans="1:11" ht="10.5">
      <c r="A132" s="47" t="s">
        <v>218</v>
      </c>
      <c r="B132" s="48"/>
      <c r="C132" s="48"/>
      <c r="D132" s="48"/>
      <c r="E132" s="48"/>
      <c r="F132" s="48"/>
      <c r="G132" s="48"/>
      <c r="H132" s="48"/>
      <c r="I132" s="49"/>
      <c r="J132" s="50">
        <f>SUM(J125:J131)</f>
        <v>0.31140000000000007</v>
      </c>
      <c r="K132" s="51">
        <f>SUM(K125:K131)</f>
        <v>1.8310692000000006E-3</v>
      </c>
    </row>
    <row r="133" spans="1:11" ht="12.5">
      <c r="A133" s="47" t="s">
        <v>219</v>
      </c>
      <c r="B133" s="48"/>
      <c r="C133" s="48"/>
      <c r="D133" s="48"/>
      <c r="E133" s="48"/>
      <c r="F133" s="49"/>
      <c r="G133" s="52" t="s">
        <v>220</v>
      </c>
      <c r="H133" s="53"/>
      <c r="I133" s="54"/>
      <c r="J133" s="50">
        <f>SQRT(J132)</f>
        <v>0.55803225713214832</v>
      </c>
      <c r="K133" s="51"/>
    </row>
    <row r="134" spans="1:11" ht="13.5">
      <c r="A134" s="47" t="s">
        <v>221</v>
      </c>
      <c r="B134" s="48"/>
      <c r="C134" s="48"/>
      <c r="D134" s="48"/>
      <c r="E134" s="48"/>
      <c r="F134" s="49"/>
      <c r="G134" s="55" t="s">
        <v>222</v>
      </c>
      <c r="H134" s="56"/>
      <c r="I134" s="57"/>
      <c r="J134" s="50">
        <f>J133^4/(K132)</f>
        <v>52.958107754747907</v>
      </c>
      <c r="K134" s="51"/>
    </row>
    <row r="135" spans="1:11" ht="10.5">
      <c r="A135" s="47" t="s">
        <v>223</v>
      </c>
      <c r="B135" s="48"/>
      <c r="C135" s="48"/>
      <c r="D135" s="48"/>
      <c r="E135" s="48"/>
      <c r="F135" s="49"/>
      <c r="G135" s="58" t="s">
        <v>224</v>
      </c>
      <c r="H135" s="59"/>
      <c r="I135" s="60"/>
      <c r="J135" s="50">
        <f>TINV(0.05,J134)</f>
        <v>2.0066468050616861</v>
      </c>
      <c r="K135" s="51"/>
    </row>
    <row r="136" spans="1:11" ht="11" thickBot="1">
      <c r="A136" s="61" t="s">
        <v>225</v>
      </c>
      <c r="B136" s="62"/>
      <c r="C136" s="62"/>
      <c r="D136" s="62"/>
      <c r="E136" s="62"/>
      <c r="F136" s="63"/>
      <c r="G136" s="64" t="s">
        <v>226</v>
      </c>
      <c r="H136" s="65"/>
      <c r="I136" s="66"/>
      <c r="J136" s="316">
        <f>J135*J133</f>
        <v>1.1197736458955867</v>
      </c>
      <c r="K136" s="68" t="s">
        <v>209</v>
      </c>
    </row>
    <row r="137" spans="1:11" ht="11" thickBo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</row>
    <row r="138" spans="1:11">
      <c r="A138" s="28" t="s">
        <v>235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30"/>
    </row>
    <row r="139" spans="1:11">
      <c r="A139" s="31" t="s">
        <v>197</v>
      </c>
      <c r="B139" s="32" t="s">
        <v>198</v>
      </c>
      <c r="C139" s="32" t="s">
        <v>199</v>
      </c>
      <c r="D139" s="32" t="s">
        <v>200</v>
      </c>
      <c r="E139" s="32" t="s">
        <v>201</v>
      </c>
      <c r="F139" s="32" t="s">
        <v>202</v>
      </c>
      <c r="G139" s="32" t="s">
        <v>203</v>
      </c>
      <c r="H139" s="32" t="s">
        <v>204</v>
      </c>
      <c r="I139" s="32" t="s">
        <v>205</v>
      </c>
      <c r="J139" s="32" t="s">
        <v>206</v>
      </c>
      <c r="K139" s="33" t="s">
        <v>207</v>
      </c>
    </row>
    <row r="140" spans="1:11">
      <c r="A140" s="34" t="s">
        <v>208</v>
      </c>
      <c r="B140" s="35">
        <f>ID!I88</f>
        <v>0.1154700538379268</v>
      </c>
      <c r="C140" s="36" t="s">
        <v>209</v>
      </c>
      <c r="D140" s="37" t="s">
        <v>210</v>
      </c>
      <c r="E140" s="37">
        <f>SQRT(3)</f>
        <v>1.7320508075688772</v>
      </c>
      <c r="F140" s="69">
        <f>B140/E140</f>
        <v>6.6666666666667623E-2</v>
      </c>
      <c r="G140" s="37">
        <v>2</v>
      </c>
      <c r="H140" s="37">
        <v>1</v>
      </c>
      <c r="I140" s="37">
        <f t="shared" ref="I140:I146" si="27">F140*H140</f>
        <v>6.6666666666667623E-2</v>
      </c>
      <c r="J140" s="37">
        <f t="shared" ref="J140:J146" si="28">I140^2</f>
        <v>4.4444444444445719E-3</v>
      </c>
      <c r="K140" s="38">
        <f t="shared" ref="K140:K146" si="29">(J140^2)/G140</f>
        <v>9.8765432098771091E-6</v>
      </c>
    </row>
    <row r="141" spans="1:11">
      <c r="A141" s="34" t="s">
        <v>211</v>
      </c>
      <c r="B141" s="37">
        <f>'Data Sound Level Meter'!H29</f>
        <v>0.16</v>
      </c>
      <c r="C141" s="36" t="s">
        <v>209</v>
      </c>
      <c r="D141" s="37" t="s">
        <v>210</v>
      </c>
      <c r="E141" s="37">
        <v>2</v>
      </c>
      <c r="F141" s="69">
        <f>B141/E141</f>
        <v>0.08</v>
      </c>
      <c r="G141" s="37">
        <v>50</v>
      </c>
      <c r="H141" s="37">
        <v>1</v>
      </c>
      <c r="I141" s="37">
        <f t="shared" si="27"/>
        <v>0.08</v>
      </c>
      <c r="J141" s="37">
        <f t="shared" si="28"/>
        <v>6.4000000000000003E-3</v>
      </c>
      <c r="K141" s="38">
        <f t="shared" si="29"/>
        <v>8.1920000000000003E-7</v>
      </c>
    </row>
    <row r="142" spans="1:11">
      <c r="A142" s="39" t="s">
        <v>212</v>
      </c>
      <c r="B142" s="40">
        <f>'Data Sound Level Meter'!E29</f>
        <v>0.1</v>
      </c>
      <c r="C142" s="36" t="s">
        <v>209</v>
      </c>
      <c r="D142" s="36" t="s">
        <v>210</v>
      </c>
      <c r="E142" s="36">
        <v>2</v>
      </c>
      <c r="F142" s="70">
        <f>B142/E142</f>
        <v>0.05</v>
      </c>
      <c r="G142" s="42">
        <v>50</v>
      </c>
      <c r="H142" s="42">
        <v>1</v>
      </c>
      <c r="I142" s="41">
        <f t="shared" si="27"/>
        <v>0.05</v>
      </c>
      <c r="J142" s="41">
        <f t="shared" si="28"/>
        <v>2.5000000000000005E-3</v>
      </c>
      <c r="K142" s="43">
        <f t="shared" si="29"/>
        <v>1.2500000000000005E-7</v>
      </c>
    </row>
    <row r="143" spans="1:11">
      <c r="A143" s="39" t="s">
        <v>213</v>
      </c>
      <c r="B143" s="36">
        <f>'Data Sound Level Meter'!B38</f>
        <v>1.3</v>
      </c>
      <c r="C143" s="36" t="s">
        <v>209</v>
      </c>
      <c r="D143" s="36" t="s">
        <v>210</v>
      </c>
      <c r="E143" s="36">
        <v>2</v>
      </c>
      <c r="F143" s="70">
        <f>B143/E143</f>
        <v>0.65</v>
      </c>
      <c r="G143" s="42">
        <v>50</v>
      </c>
      <c r="H143" s="42">
        <v>1</v>
      </c>
      <c r="I143" s="41">
        <f t="shared" si="27"/>
        <v>0.65</v>
      </c>
      <c r="J143" s="41">
        <f t="shared" si="28"/>
        <v>0.42250000000000004</v>
      </c>
      <c r="K143" s="43">
        <f t="shared" si="29"/>
        <v>3.5701250000000008E-3</v>
      </c>
    </row>
    <row r="144" spans="1:11">
      <c r="A144" s="34" t="s">
        <v>214</v>
      </c>
      <c r="B144" s="35">
        <v>0</v>
      </c>
      <c r="C144" s="36" t="s">
        <v>209</v>
      </c>
      <c r="D144" s="37" t="s">
        <v>215</v>
      </c>
      <c r="E144" s="37">
        <f>SQRT(3)</f>
        <v>1.7320508075688772</v>
      </c>
      <c r="F144" s="69">
        <f>B144/E144</f>
        <v>0</v>
      </c>
      <c r="G144" s="37">
        <v>50</v>
      </c>
      <c r="H144" s="37">
        <v>1</v>
      </c>
      <c r="I144" s="37">
        <f t="shared" si="27"/>
        <v>0</v>
      </c>
      <c r="J144" s="37">
        <f t="shared" si="28"/>
        <v>0</v>
      </c>
      <c r="K144" s="38">
        <f t="shared" si="29"/>
        <v>0</v>
      </c>
    </row>
    <row r="145" spans="1:11">
      <c r="A145" s="34" t="s">
        <v>216</v>
      </c>
      <c r="B145" s="314">
        <v>0</v>
      </c>
      <c r="C145" s="36" t="s">
        <v>209</v>
      </c>
      <c r="D145" s="37" t="s">
        <v>215</v>
      </c>
      <c r="E145" s="37">
        <f>SQRT(3)</f>
        <v>1.7320508075688772</v>
      </c>
      <c r="F145" s="69">
        <f>B144/E145</f>
        <v>0</v>
      </c>
      <c r="G145" s="37">
        <v>50</v>
      </c>
      <c r="H145" s="37">
        <v>1</v>
      </c>
      <c r="I145" s="37">
        <f t="shared" si="27"/>
        <v>0</v>
      </c>
      <c r="J145" s="37">
        <f t="shared" si="28"/>
        <v>0</v>
      </c>
      <c r="K145" s="38">
        <f t="shared" si="29"/>
        <v>0</v>
      </c>
    </row>
    <row r="146" spans="1:11">
      <c r="A146" s="34" t="s">
        <v>217</v>
      </c>
      <c r="B146" s="35">
        <v>0</v>
      </c>
      <c r="C146" s="36" t="s">
        <v>209</v>
      </c>
      <c r="D146" s="37" t="s">
        <v>215</v>
      </c>
      <c r="E146" s="37">
        <f>SQRT(3)</f>
        <v>1.7320508075688772</v>
      </c>
      <c r="F146" s="69">
        <f>B146/E146</f>
        <v>0</v>
      </c>
      <c r="G146" s="45">
        <v>50</v>
      </c>
      <c r="H146" s="45">
        <v>1</v>
      </c>
      <c r="I146" s="45">
        <f t="shared" si="27"/>
        <v>0</v>
      </c>
      <c r="J146" s="45">
        <f t="shared" si="28"/>
        <v>0</v>
      </c>
      <c r="K146" s="46">
        <f t="shared" si="29"/>
        <v>0</v>
      </c>
    </row>
    <row r="147" spans="1:11" ht="10.5">
      <c r="A147" s="47" t="s">
        <v>218</v>
      </c>
      <c r="B147" s="48"/>
      <c r="C147" s="48"/>
      <c r="D147" s="48"/>
      <c r="E147" s="48"/>
      <c r="F147" s="48"/>
      <c r="G147" s="48"/>
      <c r="H147" s="48"/>
      <c r="I147" s="49"/>
      <c r="J147" s="50">
        <f>SUM(J140:J146)</f>
        <v>0.43584444444444459</v>
      </c>
      <c r="K147" s="51">
        <f>SUM(K140:K146)</f>
        <v>3.5809457432098781E-3</v>
      </c>
    </row>
    <row r="148" spans="1:11" ht="12.5">
      <c r="A148" s="47" t="s">
        <v>219</v>
      </c>
      <c r="B148" s="48"/>
      <c r="C148" s="48"/>
      <c r="D148" s="48"/>
      <c r="E148" s="48"/>
      <c r="F148" s="49"/>
      <c r="G148" s="52" t="s">
        <v>220</v>
      </c>
      <c r="H148" s="53"/>
      <c r="I148" s="54"/>
      <c r="J148" s="50">
        <f>SQRT(J147)</f>
        <v>0.66018515921250809</v>
      </c>
      <c r="K148" s="51"/>
    </row>
    <row r="149" spans="1:11" ht="13.5">
      <c r="A149" s="47" t="s">
        <v>221</v>
      </c>
      <c r="B149" s="48"/>
      <c r="C149" s="48"/>
      <c r="D149" s="48"/>
      <c r="E149" s="48"/>
      <c r="F149" s="49"/>
      <c r="G149" s="55" t="s">
        <v>222</v>
      </c>
      <c r="H149" s="56"/>
      <c r="I149" s="57"/>
      <c r="J149" s="50">
        <f>J148^4/(K147)</f>
        <v>53.047544803851302</v>
      </c>
      <c r="K149" s="51"/>
    </row>
    <row r="150" spans="1:11" ht="10.5">
      <c r="A150" s="47" t="s">
        <v>223</v>
      </c>
      <c r="B150" s="48"/>
      <c r="C150" s="48"/>
      <c r="D150" s="48"/>
      <c r="E150" s="48"/>
      <c r="F150" s="49"/>
      <c r="G150" s="58" t="s">
        <v>224</v>
      </c>
      <c r="H150" s="59"/>
      <c r="I150" s="60"/>
      <c r="J150" s="50">
        <f>TINV(0.05,J149)</f>
        <v>2.0057459953178696</v>
      </c>
      <c r="K150" s="51"/>
    </row>
    <row r="151" spans="1:11" ht="11" thickBot="1">
      <c r="A151" s="61" t="s">
        <v>225</v>
      </c>
      <c r="B151" s="62"/>
      <c r="C151" s="62"/>
      <c r="D151" s="62"/>
      <c r="E151" s="62"/>
      <c r="F151" s="63"/>
      <c r="G151" s="64" t="s">
        <v>226</v>
      </c>
      <c r="H151" s="65"/>
      <c r="I151" s="66"/>
      <c r="J151" s="316">
        <f>J150*J148</f>
        <v>1.3241637392587782</v>
      </c>
      <c r="K151" s="68" t="s">
        <v>209</v>
      </c>
    </row>
    <row r="152" spans="1:11" ht="11" thickBo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</row>
    <row r="153" spans="1:11">
      <c r="A153" s="28" t="s">
        <v>236</v>
      </c>
      <c r="B153" s="29"/>
      <c r="C153" s="29"/>
      <c r="D153" s="29"/>
      <c r="E153" s="29"/>
      <c r="F153" s="29"/>
      <c r="G153" s="29"/>
      <c r="H153" s="29"/>
      <c r="I153" s="29"/>
      <c r="J153" s="29"/>
      <c r="K153" s="30"/>
    </row>
    <row r="154" spans="1:11">
      <c r="A154" s="31" t="s">
        <v>197</v>
      </c>
      <c r="B154" s="32" t="s">
        <v>198</v>
      </c>
      <c r="C154" s="32" t="s">
        <v>199</v>
      </c>
      <c r="D154" s="32" t="s">
        <v>200</v>
      </c>
      <c r="E154" s="32" t="s">
        <v>201</v>
      </c>
      <c r="F154" s="32" t="s">
        <v>202</v>
      </c>
      <c r="G154" s="32" t="s">
        <v>203</v>
      </c>
      <c r="H154" s="32" t="s">
        <v>204</v>
      </c>
      <c r="I154" s="32" t="s">
        <v>205</v>
      </c>
      <c r="J154" s="32" t="s">
        <v>206</v>
      </c>
      <c r="K154" s="33" t="s">
        <v>207</v>
      </c>
    </row>
    <row r="155" spans="1:11">
      <c r="A155" s="34" t="s">
        <v>208</v>
      </c>
      <c r="B155" s="35">
        <f>ID!I89</f>
        <v>0</v>
      </c>
      <c r="C155" s="36" t="s">
        <v>209</v>
      </c>
      <c r="D155" s="37" t="s">
        <v>210</v>
      </c>
      <c r="E155" s="37">
        <f>SQRT(3)</f>
        <v>1.7320508075688772</v>
      </c>
      <c r="F155" s="69">
        <f>B155/E155</f>
        <v>0</v>
      </c>
      <c r="G155" s="37">
        <v>2</v>
      </c>
      <c r="H155" s="37">
        <v>1</v>
      </c>
      <c r="I155" s="37">
        <f t="shared" ref="I155:I161" si="30">F155*H155</f>
        <v>0</v>
      </c>
      <c r="J155" s="37">
        <f t="shared" ref="J155:J161" si="31">I155^2</f>
        <v>0</v>
      </c>
      <c r="K155" s="38">
        <f t="shared" ref="K155:K161" si="32">(J155^2)/G155</f>
        <v>0</v>
      </c>
    </row>
    <row r="156" spans="1:11">
      <c r="A156" s="34" t="s">
        <v>211</v>
      </c>
      <c r="B156" s="37">
        <f>'Data Sound Level Meter'!H29</f>
        <v>0.16</v>
      </c>
      <c r="C156" s="36" t="s">
        <v>209</v>
      </c>
      <c r="D156" s="37" t="s">
        <v>210</v>
      </c>
      <c r="E156" s="37">
        <v>2</v>
      </c>
      <c r="F156" s="69">
        <f>B156/E156</f>
        <v>0.08</v>
      </c>
      <c r="G156" s="37">
        <v>50</v>
      </c>
      <c r="H156" s="37">
        <v>1</v>
      </c>
      <c r="I156" s="37">
        <f t="shared" si="30"/>
        <v>0.08</v>
      </c>
      <c r="J156" s="37">
        <f t="shared" si="31"/>
        <v>6.4000000000000003E-3</v>
      </c>
      <c r="K156" s="38">
        <f t="shared" si="32"/>
        <v>8.1920000000000003E-7</v>
      </c>
    </row>
    <row r="157" spans="1:11">
      <c r="A157" s="39" t="s">
        <v>212</v>
      </c>
      <c r="B157" s="40">
        <f>'Data Sound Level Meter'!E29</f>
        <v>0.1</v>
      </c>
      <c r="C157" s="36" t="s">
        <v>209</v>
      </c>
      <c r="D157" s="36" t="s">
        <v>210</v>
      </c>
      <c r="E157" s="36">
        <v>2</v>
      </c>
      <c r="F157" s="70">
        <f>B157/E157</f>
        <v>0.05</v>
      </c>
      <c r="G157" s="42">
        <v>50</v>
      </c>
      <c r="H157" s="42">
        <v>1</v>
      </c>
      <c r="I157" s="41">
        <f t="shared" si="30"/>
        <v>0.05</v>
      </c>
      <c r="J157" s="41">
        <f t="shared" si="31"/>
        <v>2.5000000000000005E-3</v>
      </c>
      <c r="K157" s="43">
        <f t="shared" si="32"/>
        <v>1.2500000000000005E-7</v>
      </c>
    </row>
    <row r="158" spans="1:11">
      <c r="A158" s="39" t="s">
        <v>213</v>
      </c>
      <c r="B158" s="36">
        <f>'Data Sound Level Meter'!B39</f>
        <v>1.1000000000000001</v>
      </c>
      <c r="C158" s="36" t="s">
        <v>209</v>
      </c>
      <c r="D158" s="36" t="s">
        <v>210</v>
      </c>
      <c r="E158" s="36">
        <v>2</v>
      </c>
      <c r="F158" s="70">
        <f>B158/E158</f>
        <v>0.55000000000000004</v>
      </c>
      <c r="G158" s="42">
        <v>50</v>
      </c>
      <c r="H158" s="42">
        <v>1</v>
      </c>
      <c r="I158" s="41">
        <f t="shared" si="30"/>
        <v>0.55000000000000004</v>
      </c>
      <c r="J158" s="41">
        <f t="shared" si="31"/>
        <v>0.30250000000000005</v>
      </c>
      <c r="K158" s="43">
        <f t="shared" si="32"/>
        <v>1.8301250000000006E-3</v>
      </c>
    </row>
    <row r="159" spans="1:11">
      <c r="A159" s="34" t="s">
        <v>214</v>
      </c>
      <c r="B159" s="35">
        <v>0</v>
      </c>
      <c r="C159" s="36" t="s">
        <v>209</v>
      </c>
      <c r="D159" s="37" t="s">
        <v>215</v>
      </c>
      <c r="E159" s="37">
        <f>SQRT(3)</f>
        <v>1.7320508075688772</v>
      </c>
      <c r="F159" s="69">
        <f>B159/E159</f>
        <v>0</v>
      </c>
      <c r="G159" s="37">
        <v>50</v>
      </c>
      <c r="H159" s="37">
        <v>1</v>
      </c>
      <c r="I159" s="37">
        <f t="shared" si="30"/>
        <v>0</v>
      </c>
      <c r="J159" s="37">
        <f t="shared" si="31"/>
        <v>0</v>
      </c>
      <c r="K159" s="38">
        <f t="shared" si="32"/>
        <v>0</v>
      </c>
    </row>
    <row r="160" spans="1:11">
      <c r="A160" s="34" t="s">
        <v>216</v>
      </c>
      <c r="B160" s="314">
        <v>0</v>
      </c>
      <c r="C160" s="36" t="s">
        <v>209</v>
      </c>
      <c r="D160" s="37" t="s">
        <v>215</v>
      </c>
      <c r="E160" s="37">
        <f>SQRT(3)</f>
        <v>1.7320508075688772</v>
      </c>
      <c r="F160" s="69">
        <f>B159/E160</f>
        <v>0</v>
      </c>
      <c r="G160" s="37">
        <v>50</v>
      </c>
      <c r="H160" s="37">
        <v>1</v>
      </c>
      <c r="I160" s="37">
        <f t="shared" si="30"/>
        <v>0</v>
      </c>
      <c r="J160" s="37">
        <f t="shared" si="31"/>
        <v>0</v>
      </c>
      <c r="K160" s="38">
        <f t="shared" si="32"/>
        <v>0</v>
      </c>
    </row>
    <row r="161" spans="1:11">
      <c r="A161" s="34" t="s">
        <v>217</v>
      </c>
      <c r="B161" s="35">
        <v>0</v>
      </c>
      <c r="C161" s="36" t="s">
        <v>209</v>
      </c>
      <c r="D161" s="37" t="s">
        <v>215</v>
      </c>
      <c r="E161" s="37">
        <f>SQRT(3)</f>
        <v>1.7320508075688772</v>
      </c>
      <c r="F161" s="69">
        <f>B161/E161</f>
        <v>0</v>
      </c>
      <c r="G161" s="45">
        <v>50</v>
      </c>
      <c r="H161" s="45">
        <v>1</v>
      </c>
      <c r="I161" s="45">
        <f t="shared" si="30"/>
        <v>0</v>
      </c>
      <c r="J161" s="45">
        <f t="shared" si="31"/>
        <v>0</v>
      </c>
      <c r="K161" s="46">
        <f t="shared" si="32"/>
        <v>0</v>
      </c>
    </row>
    <row r="162" spans="1:11" ht="10.5">
      <c r="A162" s="47" t="s">
        <v>218</v>
      </c>
      <c r="B162" s="48"/>
      <c r="C162" s="48"/>
      <c r="D162" s="48"/>
      <c r="E162" s="48"/>
      <c r="F162" s="48"/>
      <c r="G162" s="48"/>
      <c r="H162" s="48"/>
      <c r="I162" s="49"/>
      <c r="J162" s="50">
        <f>SUM(J155:J161)</f>
        <v>0.31140000000000007</v>
      </c>
      <c r="K162" s="51">
        <f>SUM(K155:K161)</f>
        <v>1.8310692000000006E-3</v>
      </c>
    </row>
    <row r="163" spans="1:11" ht="12.5">
      <c r="A163" s="47" t="s">
        <v>219</v>
      </c>
      <c r="B163" s="48"/>
      <c r="C163" s="48"/>
      <c r="D163" s="48"/>
      <c r="E163" s="48"/>
      <c r="F163" s="49"/>
      <c r="G163" s="52" t="s">
        <v>220</v>
      </c>
      <c r="H163" s="53"/>
      <c r="I163" s="54"/>
      <c r="J163" s="50">
        <f>SQRT(J162)</f>
        <v>0.55803225713214832</v>
      </c>
      <c r="K163" s="51"/>
    </row>
    <row r="164" spans="1:11" ht="13.5">
      <c r="A164" s="47" t="s">
        <v>221</v>
      </c>
      <c r="B164" s="48"/>
      <c r="C164" s="48"/>
      <c r="D164" s="48"/>
      <c r="E164" s="48"/>
      <c r="F164" s="49"/>
      <c r="G164" s="55" t="s">
        <v>222</v>
      </c>
      <c r="H164" s="56"/>
      <c r="I164" s="57"/>
      <c r="J164" s="50">
        <f>J163^4/(K162)</f>
        <v>52.958107754747907</v>
      </c>
      <c r="K164" s="51"/>
    </row>
    <row r="165" spans="1:11" ht="10.5">
      <c r="A165" s="47" t="s">
        <v>223</v>
      </c>
      <c r="B165" s="48"/>
      <c r="C165" s="48"/>
      <c r="D165" s="48"/>
      <c r="E165" s="48"/>
      <c r="F165" s="49"/>
      <c r="G165" s="58" t="s">
        <v>224</v>
      </c>
      <c r="H165" s="59"/>
      <c r="I165" s="60"/>
      <c r="J165" s="50">
        <f>TINV(0.05,J164)</f>
        <v>2.0066468050616861</v>
      </c>
      <c r="K165" s="51"/>
    </row>
    <row r="166" spans="1:11" ht="11" thickBot="1">
      <c r="A166" s="61" t="s">
        <v>225</v>
      </c>
      <c r="B166" s="62"/>
      <c r="C166" s="62"/>
      <c r="D166" s="62"/>
      <c r="E166" s="62"/>
      <c r="F166" s="63"/>
      <c r="G166" s="64" t="s">
        <v>226</v>
      </c>
      <c r="H166" s="65"/>
      <c r="I166" s="66"/>
      <c r="J166" s="67">
        <f>J165*J163</f>
        <v>1.1197736458955867</v>
      </c>
      <c r="K166" s="68" t="s">
        <v>209</v>
      </c>
    </row>
    <row r="167" spans="1:11" ht="10.5">
      <c r="A167" s="79"/>
      <c r="B167" s="79"/>
      <c r="C167" s="79"/>
      <c r="D167" s="79"/>
      <c r="E167" s="79"/>
      <c r="F167" s="79"/>
      <c r="G167" s="80"/>
      <c r="H167" s="80"/>
      <c r="I167" s="80"/>
      <c r="K167" s="81"/>
    </row>
    <row r="168" spans="1:11" ht="10.5">
      <c r="A168" s="79"/>
      <c r="B168" s="79"/>
      <c r="C168" s="79"/>
      <c r="D168" s="79"/>
      <c r="E168" s="79"/>
      <c r="F168" s="79"/>
      <c r="G168" s="80"/>
      <c r="H168" s="80"/>
      <c r="I168" s="80"/>
      <c r="K168" s="81"/>
    </row>
    <row r="169" spans="1:11" ht="11" thickBo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</row>
    <row r="170" spans="1:11">
      <c r="A170" s="28" t="s">
        <v>237</v>
      </c>
      <c r="B170" s="29"/>
      <c r="C170" s="29"/>
      <c r="D170" s="29"/>
      <c r="E170" s="29"/>
      <c r="F170" s="29"/>
      <c r="G170" s="29"/>
      <c r="H170" s="29"/>
      <c r="I170" s="29"/>
      <c r="J170" s="29"/>
      <c r="K170" s="30"/>
    </row>
    <row r="171" spans="1:11">
      <c r="A171" s="31" t="s">
        <v>197</v>
      </c>
      <c r="B171" s="32" t="s">
        <v>198</v>
      </c>
      <c r="C171" s="32" t="s">
        <v>199</v>
      </c>
      <c r="D171" s="32" t="s">
        <v>200</v>
      </c>
      <c r="E171" s="32" t="s">
        <v>201</v>
      </c>
      <c r="F171" s="32" t="s">
        <v>202</v>
      </c>
      <c r="G171" s="32" t="s">
        <v>203</v>
      </c>
      <c r="H171" s="32" t="s">
        <v>204</v>
      </c>
      <c r="I171" s="32" t="s">
        <v>205</v>
      </c>
      <c r="J171" s="32" t="s">
        <v>206</v>
      </c>
      <c r="K171" s="33" t="s">
        <v>207</v>
      </c>
    </row>
    <row r="172" spans="1:11">
      <c r="A172" s="34" t="s">
        <v>208</v>
      </c>
      <c r="B172" s="35">
        <f>ID!I94</f>
        <v>0</v>
      </c>
      <c r="C172" s="36" t="s">
        <v>238</v>
      </c>
      <c r="D172" s="37" t="s">
        <v>210</v>
      </c>
      <c r="E172" s="37">
        <f>SQRT(3)</f>
        <v>1.7320508075688772</v>
      </c>
      <c r="F172" s="37">
        <f>B172/E172</f>
        <v>0</v>
      </c>
      <c r="G172" s="37">
        <v>2</v>
      </c>
      <c r="H172" s="37">
        <v>1</v>
      </c>
      <c r="I172" s="37">
        <f>F172*H172</f>
        <v>0</v>
      </c>
      <c r="J172" s="37">
        <f>I172^2</f>
        <v>0</v>
      </c>
      <c r="K172" s="38">
        <f>(J172^2)/G172</f>
        <v>0</v>
      </c>
    </row>
    <row r="173" spans="1:11">
      <c r="A173" s="39" t="s">
        <v>212</v>
      </c>
      <c r="B173" s="41">
        <f>'Data Sound Level Meter'!E30</f>
        <v>0.5</v>
      </c>
      <c r="C173" s="36" t="s">
        <v>238</v>
      </c>
      <c r="D173" s="36" t="s">
        <v>210</v>
      </c>
      <c r="E173" s="36">
        <v>2</v>
      </c>
      <c r="F173" s="41">
        <f>B173/E173</f>
        <v>0.25</v>
      </c>
      <c r="G173" s="42">
        <v>50</v>
      </c>
      <c r="H173" s="42">
        <v>1</v>
      </c>
      <c r="I173" s="41">
        <f>F173*H173</f>
        <v>0.25</v>
      </c>
      <c r="J173" s="41">
        <f>I173^2</f>
        <v>6.25E-2</v>
      </c>
      <c r="K173" s="43">
        <f>(J173^2)/G173</f>
        <v>7.8125000000000002E-5</v>
      </c>
    </row>
    <row r="174" spans="1:11">
      <c r="A174" s="34" t="s">
        <v>216</v>
      </c>
      <c r="B174" s="314">
        <v>0</v>
      </c>
      <c r="C174" s="36" t="s">
        <v>238</v>
      </c>
      <c r="D174" s="37" t="s">
        <v>215</v>
      </c>
      <c r="E174" s="37">
        <f>SQRT(3)</f>
        <v>1.7320508075688772</v>
      </c>
      <c r="F174" s="37">
        <f>B174/E174</f>
        <v>0</v>
      </c>
      <c r="G174" s="37">
        <v>50</v>
      </c>
      <c r="H174" s="37">
        <v>1</v>
      </c>
      <c r="I174" s="37">
        <f>F174*H174</f>
        <v>0</v>
      </c>
      <c r="J174" s="37">
        <f>I174^2</f>
        <v>0</v>
      </c>
      <c r="K174" s="38">
        <f>(J174^2)/G174</f>
        <v>0</v>
      </c>
    </row>
    <row r="175" spans="1:11" ht="10.5">
      <c r="A175" s="47" t="s">
        <v>218</v>
      </c>
      <c r="B175" s="48"/>
      <c r="C175" s="48"/>
      <c r="D175" s="48"/>
      <c r="E175" s="48"/>
      <c r="F175" s="48"/>
      <c r="G175" s="48"/>
      <c r="H175" s="48"/>
      <c r="I175" s="49"/>
      <c r="J175" s="50">
        <f>SUM(J172:J174)</f>
        <v>6.25E-2</v>
      </c>
      <c r="K175" s="51">
        <f>SUM(K172:K174)</f>
        <v>7.8125000000000002E-5</v>
      </c>
    </row>
    <row r="176" spans="1:11" ht="12.5">
      <c r="A176" s="47" t="s">
        <v>219</v>
      </c>
      <c r="B176" s="48"/>
      <c r="C176" s="48"/>
      <c r="D176" s="48"/>
      <c r="E176" s="48"/>
      <c r="F176" s="49"/>
      <c r="G176" s="52" t="s">
        <v>220</v>
      </c>
      <c r="H176" s="53"/>
      <c r="I176" s="54"/>
      <c r="J176" s="50">
        <f>SQRT(J175)</f>
        <v>0.25</v>
      </c>
      <c r="K176" s="51"/>
    </row>
    <row r="177" spans="1:11" ht="13.5">
      <c r="A177" s="47" t="s">
        <v>221</v>
      </c>
      <c r="B177" s="48"/>
      <c r="C177" s="48"/>
      <c r="D177" s="48"/>
      <c r="E177" s="48"/>
      <c r="F177" s="49"/>
      <c r="G177" s="55" t="s">
        <v>222</v>
      </c>
      <c r="H177" s="56"/>
      <c r="I177" s="57"/>
      <c r="J177" s="50">
        <f>J176^4/(K175)</f>
        <v>50</v>
      </c>
      <c r="K177" s="51"/>
    </row>
    <row r="178" spans="1:11" ht="10.5">
      <c r="A178" s="47" t="s">
        <v>223</v>
      </c>
      <c r="B178" s="48"/>
      <c r="C178" s="48"/>
      <c r="D178" s="48"/>
      <c r="E178" s="48"/>
      <c r="F178" s="49"/>
      <c r="G178" s="58" t="s">
        <v>224</v>
      </c>
      <c r="H178" s="59"/>
      <c r="I178" s="60"/>
      <c r="J178" s="50">
        <f>TINV(0.05,J177)</f>
        <v>2.0085591121007611</v>
      </c>
      <c r="K178" s="51"/>
    </row>
    <row r="179" spans="1:11" ht="11" thickBot="1">
      <c r="A179" s="61" t="s">
        <v>225</v>
      </c>
      <c r="B179" s="62"/>
      <c r="C179" s="62"/>
      <c r="D179" s="62"/>
      <c r="E179" s="62"/>
      <c r="F179" s="63"/>
      <c r="G179" s="64" t="s">
        <v>226</v>
      </c>
      <c r="H179" s="65"/>
      <c r="I179" s="66"/>
      <c r="J179" s="317">
        <f>J178*J176</f>
        <v>0.50213977802519028</v>
      </c>
      <c r="K179" s="68" t="s">
        <v>238</v>
      </c>
    </row>
    <row r="180" spans="1:11" ht="11" thickBo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</row>
    <row r="181" spans="1:11">
      <c r="A181" s="28" t="s">
        <v>239</v>
      </c>
      <c r="B181" s="29"/>
      <c r="C181" s="29"/>
      <c r="D181" s="29"/>
      <c r="E181" s="29"/>
      <c r="F181" s="29"/>
      <c r="G181" s="29"/>
      <c r="H181" s="29"/>
      <c r="I181" s="29"/>
      <c r="J181" s="29"/>
      <c r="K181" s="30"/>
    </row>
    <row r="182" spans="1:11">
      <c r="A182" s="31" t="s">
        <v>197</v>
      </c>
      <c r="B182" s="32" t="s">
        <v>198</v>
      </c>
      <c r="C182" s="32" t="s">
        <v>199</v>
      </c>
      <c r="D182" s="32" t="s">
        <v>200</v>
      </c>
      <c r="E182" s="32" t="s">
        <v>201</v>
      </c>
      <c r="F182" s="32" t="s">
        <v>202</v>
      </c>
      <c r="G182" s="32" t="s">
        <v>203</v>
      </c>
      <c r="H182" s="32" t="s">
        <v>204</v>
      </c>
      <c r="I182" s="32" t="s">
        <v>205</v>
      </c>
      <c r="J182" s="32" t="s">
        <v>206</v>
      </c>
      <c r="K182" s="33" t="s">
        <v>207</v>
      </c>
    </row>
    <row r="183" spans="1:11">
      <c r="A183" s="34" t="s">
        <v>208</v>
      </c>
      <c r="B183" s="35">
        <f>ID!I95</f>
        <v>0</v>
      </c>
      <c r="C183" s="36" t="s">
        <v>238</v>
      </c>
      <c r="D183" s="37" t="s">
        <v>210</v>
      </c>
      <c r="E183" s="37">
        <f>SQRT(3)</f>
        <v>1.7320508075688772</v>
      </c>
      <c r="F183" s="69">
        <f>B183/E183</f>
        <v>0</v>
      </c>
      <c r="G183" s="37">
        <v>2</v>
      </c>
      <c r="H183" s="37">
        <v>1</v>
      </c>
      <c r="I183" s="37">
        <f>F183*H183</f>
        <v>0</v>
      </c>
      <c r="J183" s="37">
        <f>I183^2</f>
        <v>0</v>
      </c>
      <c r="K183" s="38">
        <f>(J183^2)/G183</f>
        <v>0</v>
      </c>
    </row>
    <row r="184" spans="1:11">
      <c r="A184" s="39" t="s">
        <v>212</v>
      </c>
      <c r="B184" s="41">
        <f>'Data Sound Level Meter'!E30</f>
        <v>0.5</v>
      </c>
      <c r="C184" s="36" t="s">
        <v>238</v>
      </c>
      <c r="D184" s="36" t="s">
        <v>210</v>
      </c>
      <c r="E184" s="36">
        <v>2</v>
      </c>
      <c r="F184" s="70">
        <f>B184/E184</f>
        <v>0.25</v>
      </c>
      <c r="G184" s="42">
        <v>50</v>
      </c>
      <c r="H184" s="42">
        <v>1</v>
      </c>
      <c r="I184" s="41">
        <f>F184*H184</f>
        <v>0.25</v>
      </c>
      <c r="J184" s="41">
        <f>I184^2</f>
        <v>6.25E-2</v>
      </c>
      <c r="K184" s="43">
        <f>(J184^2)/G184</f>
        <v>7.8125000000000002E-5</v>
      </c>
    </row>
    <row r="185" spans="1:11">
      <c r="A185" s="34" t="s">
        <v>216</v>
      </c>
      <c r="B185" s="314">
        <v>0</v>
      </c>
      <c r="C185" s="36" t="s">
        <v>238</v>
      </c>
      <c r="D185" s="37" t="s">
        <v>215</v>
      </c>
      <c r="E185" s="37">
        <f>SQRT(3)</f>
        <v>1.7320508075688772</v>
      </c>
      <c r="F185" s="69">
        <f>B185/E185</f>
        <v>0</v>
      </c>
      <c r="G185" s="37">
        <v>50</v>
      </c>
      <c r="H185" s="37">
        <v>1</v>
      </c>
      <c r="I185" s="37">
        <f>F185*H185</f>
        <v>0</v>
      </c>
      <c r="J185" s="37">
        <f>I185^2</f>
        <v>0</v>
      </c>
      <c r="K185" s="38">
        <f>(J185^2)/G185</f>
        <v>0</v>
      </c>
    </row>
    <row r="186" spans="1:11" ht="10.5">
      <c r="A186" s="47" t="s">
        <v>218</v>
      </c>
      <c r="B186" s="48"/>
      <c r="C186" s="48"/>
      <c r="D186" s="48"/>
      <c r="E186" s="48"/>
      <c r="F186" s="48"/>
      <c r="G186" s="48"/>
      <c r="H186" s="48"/>
      <c r="I186" s="49"/>
      <c r="J186" s="50">
        <f>SUM(J183:J185)</f>
        <v>6.25E-2</v>
      </c>
      <c r="K186" s="51">
        <f>SUM(K183:K185)</f>
        <v>7.8125000000000002E-5</v>
      </c>
    </row>
    <row r="187" spans="1:11" ht="12.5">
      <c r="A187" s="47" t="s">
        <v>219</v>
      </c>
      <c r="B187" s="48"/>
      <c r="C187" s="48"/>
      <c r="D187" s="48"/>
      <c r="E187" s="48"/>
      <c r="F187" s="49"/>
      <c r="G187" s="52" t="s">
        <v>220</v>
      </c>
      <c r="H187" s="53"/>
      <c r="I187" s="54"/>
      <c r="J187" s="50">
        <f>SQRT(J186)</f>
        <v>0.25</v>
      </c>
      <c r="K187" s="51"/>
    </row>
    <row r="188" spans="1:11" ht="13.5">
      <c r="A188" s="47" t="s">
        <v>221</v>
      </c>
      <c r="B188" s="48"/>
      <c r="C188" s="48"/>
      <c r="D188" s="48"/>
      <c r="E188" s="48"/>
      <c r="F188" s="49"/>
      <c r="G188" s="55" t="s">
        <v>222</v>
      </c>
      <c r="H188" s="56"/>
      <c r="I188" s="57"/>
      <c r="J188" s="50">
        <f>J187^4/(K186)</f>
        <v>50</v>
      </c>
      <c r="K188" s="51"/>
    </row>
    <row r="189" spans="1:11" ht="10.5">
      <c r="A189" s="47" t="s">
        <v>223</v>
      </c>
      <c r="B189" s="48"/>
      <c r="C189" s="48"/>
      <c r="D189" s="48"/>
      <c r="E189" s="48"/>
      <c r="F189" s="49"/>
      <c r="G189" s="58" t="s">
        <v>224</v>
      </c>
      <c r="H189" s="59"/>
      <c r="I189" s="60"/>
      <c r="J189" s="50">
        <f>TINV(0.05,J188)</f>
        <v>2.0085591121007611</v>
      </c>
      <c r="K189" s="51"/>
    </row>
    <row r="190" spans="1:11" ht="11" thickBot="1">
      <c r="A190" s="61" t="s">
        <v>225</v>
      </c>
      <c r="B190" s="62"/>
      <c r="C190" s="62"/>
      <c r="D190" s="62"/>
      <c r="E190" s="62"/>
      <c r="F190" s="63"/>
      <c r="G190" s="64" t="s">
        <v>226</v>
      </c>
      <c r="H190" s="65"/>
      <c r="I190" s="66"/>
      <c r="J190" s="317">
        <f>J189*J187</f>
        <v>0.50213977802519028</v>
      </c>
      <c r="K190" s="68" t="s">
        <v>238</v>
      </c>
    </row>
    <row r="191" spans="1:11" ht="11" thickBot="1">
      <c r="A191" s="71"/>
      <c r="B191" s="72"/>
      <c r="C191" s="73"/>
      <c r="D191" s="73"/>
      <c r="E191" s="71"/>
      <c r="F191" s="74"/>
      <c r="G191" s="74"/>
      <c r="H191" s="74"/>
      <c r="I191" s="74"/>
      <c r="J191" s="74"/>
      <c r="K191" s="75"/>
    </row>
    <row r="192" spans="1:11">
      <c r="A192" s="28" t="s">
        <v>240</v>
      </c>
      <c r="B192" s="29"/>
      <c r="C192" s="29"/>
      <c r="D192" s="29"/>
      <c r="E192" s="29"/>
      <c r="F192" s="29"/>
      <c r="G192" s="29"/>
      <c r="H192" s="29"/>
      <c r="I192" s="29"/>
      <c r="J192" s="29"/>
      <c r="K192" s="30"/>
    </row>
    <row r="193" spans="1:11">
      <c r="A193" s="31" t="s">
        <v>197</v>
      </c>
      <c r="B193" s="32" t="s">
        <v>198</v>
      </c>
      <c r="C193" s="32" t="s">
        <v>199</v>
      </c>
      <c r="D193" s="32" t="s">
        <v>200</v>
      </c>
      <c r="E193" s="32" t="s">
        <v>201</v>
      </c>
      <c r="F193" s="32" t="s">
        <v>202</v>
      </c>
      <c r="G193" s="32" t="s">
        <v>203</v>
      </c>
      <c r="H193" s="32" t="s">
        <v>204</v>
      </c>
      <c r="I193" s="32" t="s">
        <v>205</v>
      </c>
      <c r="J193" s="32" t="s">
        <v>206</v>
      </c>
      <c r="K193" s="33" t="s">
        <v>207</v>
      </c>
    </row>
    <row r="194" spans="1:11">
      <c r="A194" s="34" t="s">
        <v>208</v>
      </c>
      <c r="B194" s="35">
        <f>ID!I96</f>
        <v>0</v>
      </c>
      <c r="C194" s="36" t="s">
        <v>238</v>
      </c>
      <c r="D194" s="37" t="s">
        <v>210</v>
      </c>
      <c r="E194" s="37">
        <f>SQRT(3)</f>
        <v>1.7320508075688772</v>
      </c>
      <c r="F194" s="69">
        <f>B194/E194</f>
        <v>0</v>
      </c>
      <c r="G194" s="37">
        <v>2</v>
      </c>
      <c r="H194" s="37">
        <v>1</v>
      </c>
      <c r="I194" s="37">
        <f>F194*H194</f>
        <v>0</v>
      </c>
      <c r="J194" s="37">
        <f>I194^2</f>
        <v>0</v>
      </c>
      <c r="K194" s="38">
        <f>(J194^2)/G194</f>
        <v>0</v>
      </c>
    </row>
    <row r="195" spans="1:11">
      <c r="A195" s="39" t="s">
        <v>212</v>
      </c>
      <c r="B195" s="40">
        <f>'Data Sound Level Meter'!E30</f>
        <v>0.5</v>
      </c>
      <c r="C195" s="36" t="s">
        <v>238</v>
      </c>
      <c r="D195" s="36" t="s">
        <v>210</v>
      </c>
      <c r="E195" s="36">
        <v>2</v>
      </c>
      <c r="F195" s="70">
        <f>B195/E195</f>
        <v>0.25</v>
      </c>
      <c r="G195" s="42">
        <v>50</v>
      </c>
      <c r="H195" s="42">
        <v>1</v>
      </c>
      <c r="I195" s="41">
        <f>F195*H195</f>
        <v>0.25</v>
      </c>
      <c r="J195" s="41">
        <f>I195^2</f>
        <v>6.25E-2</v>
      </c>
      <c r="K195" s="43">
        <f>(J195^2)/G195</f>
        <v>7.8125000000000002E-5</v>
      </c>
    </row>
    <row r="196" spans="1:11">
      <c r="A196" s="34" t="s">
        <v>216</v>
      </c>
      <c r="B196" s="314">
        <v>0</v>
      </c>
      <c r="C196" s="36" t="s">
        <v>238</v>
      </c>
      <c r="D196" s="37" t="s">
        <v>215</v>
      </c>
      <c r="E196" s="37">
        <f>SQRT(3)</f>
        <v>1.7320508075688772</v>
      </c>
      <c r="F196" s="69">
        <f>B196/E196</f>
        <v>0</v>
      </c>
      <c r="G196" s="37">
        <v>50</v>
      </c>
      <c r="H196" s="37">
        <v>1</v>
      </c>
      <c r="I196" s="37">
        <f>F196*H196</f>
        <v>0</v>
      </c>
      <c r="J196" s="37">
        <f>I196^2</f>
        <v>0</v>
      </c>
      <c r="K196" s="38">
        <f>(J196^2)/G196</f>
        <v>0</v>
      </c>
    </row>
    <row r="197" spans="1:11" ht="10.5">
      <c r="A197" s="47" t="s">
        <v>218</v>
      </c>
      <c r="B197" s="48"/>
      <c r="C197" s="48"/>
      <c r="D197" s="48"/>
      <c r="E197" s="48"/>
      <c r="F197" s="48"/>
      <c r="G197" s="48"/>
      <c r="H197" s="48"/>
      <c r="I197" s="49"/>
      <c r="J197" s="50">
        <f>SUM(J194:J196)</f>
        <v>6.25E-2</v>
      </c>
      <c r="K197" s="51">
        <f>SUM(K194:K196)</f>
        <v>7.8125000000000002E-5</v>
      </c>
    </row>
    <row r="198" spans="1:11" ht="12.5">
      <c r="A198" s="47" t="s">
        <v>219</v>
      </c>
      <c r="B198" s="48"/>
      <c r="C198" s="48"/>
      <c r="D198" s="48"/>
      <c r="E198" s="48"/>
      <c r="F198" s="49"/>
      <c r="G198" s="52" t="s">
        <v>220</v>
      </c>
      <c r="H198" s="53"/>
      <c r="I198" s="54"/>
      <c r="J198" s="50">
        <f>SQRT(J197)</f>
        <v>0.25</v>
      </c>
      <c r="K198" s="51"/>
    </row>
    <row r="199" spans="1:11" ht="13.5">
      <c r="A199" s="47" t="s">
        <v>221</v>
      </c>
      <c r="B199" s="48"/>
      <c r="C199" s="48"/>
      <c r="D199" s="48"/>
      <c r="E199" s="48"/>
      <c r="F199" s="49"/>
      <c r="G199" s="55" t="s">
        <v>222</v>
      </c>
      <c r="H199" s="56"/>
      <c r="I199" s="57"/>
      <c r="J199" s="50">
        <f>J198^4/(K197)</f>
        <v>50</v>
      </c>
      <c r="K199" s="51"/>
    </row>
    <row r="200" spans="1:11" ht="10.5">
      <c r="A200" s="47" t="s">
        <v>223</v>
      </c>
      <c r="B200" s="48"/>
      <c r="C200" s="48"/>
      <c r="D200" s="48"/>
      <c r="E200" s="48"/>
      <c r="F200" s="49"/>
      <c r="G200" s="58" t="s">
        <v>224</v>
      </c>
      <c r="H200" s="59"/>
      <c r="I200" s="60"/>
      <c r="J200" s="50">
        <f>TINV(0.05,J199)</f>
        <v>2.0085591121007611</v>
      </c>
      <c r="K200" s="51"/>
    </row>
    <row r="201" spans="1:11" ht="11" thickBot="1">
      <c r="A201" s="61" t="s">
        <v>225</v>
      </c>
      <c r="B201" s="62"/>
      <c r="C201" s="62"/>
      <c r="D201" s="62"/>
      <c r="E201" s="62"/>
      <c r="F201" s="63"/>
      <c r="G201" s="64" t="s">
        <v>226</v>
      </c>
      <c r="H201" s="65"/>
      <c r="I201" s="66"/>
      <c r="J201" s="317">
        <f>J200*J198</f>
        <v>0.50213977802519028</v>
      </c>
      <c r="K201" s="68" t="s">
        <v>238</v>
      </c>
    </row>
    <row r="202" spans="1:11" ht="11" thickBot="1">
      <c r="A202" s="76"/>
      <c r="B202" s="76"/>
      <c r="C202" s="77"/>
      <c r="D202" s="77"/>
      <c r="E202" s="77"/>
      <c r="F202" s="77"/>
      <c r="G202" s="78"/>
      <c r="H202" s="77"/>
      <c r="I202" s="77"/>
      <c r="J202" s="44"/>
      <c r="K202" s="77"/>
    </row>
    <row r="203" spans="1:11">
      <c r="A203" s="28" t="s">
        <v>241</v>
      </c>
      <c r="B203" s="29"/>
      <c r="C203" s="29"/>
      <c r="D203" s="29"/>
      <c r="E203" s="29"/>
      <c r="F203" s="29"/>
      <c r="G203" s="29"/>
      <c r="H203" s="29"/>
      <c r="I203" s="29"/>
      <c r="J203" s="29"/>
      <c r="K203" s="30"/>
    </row>
    <row r="204" spans="1:11">
      <c r="A204" s="31" t="s">
        <v>197</v>
      </c>
      <c r="B204" s="32" t="s">
        <v>198</v>
      </c>
      <c r="C204" s="32" t="s">
        <v>199</v>
      </c>
      <c r="D204" s="32" t="s">
        <v>200</v>
      </c>
      <c r="E204" s="32" t="s">
        <v>201</v>
      </c>
      <c r="F204" s="32" t="s">
        <v>202</v>
      </c>
      <c r="G204" s="32" t="s">
        <v>203</v>
      </c>
      <c r="H204" s="32" t="s">
        <v>204</v>
      </c>
      <c r="I204" s="32" t="s">
        <v>205</v>
      </c>
      <c r="J204" s="32" t="s">
        <v>206</v>
      </c>
      <c r="K204" s="33" t="s">
        <v>207</v>
      </c>
    </row>
    <row r="205" spans="1:11">
      <c r="A205" s="34" t="s">
        <v>208</v>
      </c>
      <c r="B205" s="35">
        <f>ID!I97</f>
        <v>0</v>
      </c>
      <c r="C205" s="36" t="s">
        <v>238</v>
      </c>
      <c r="D205" s="37" t="s">
        <v>210</v>
      </c>
      <c r="E205" s="37">
        <f>SQRT(3)</f>
        <v>1.7320508075688772</v>
      </c>
      <c r="F205" s="69">
        <f>B205/E205</f>
        <v>0</v>
      </c>
      <c r="G205" s="37">
        <v>2</v>
      </c>
      <c r="H205" s="37">
        <v>1</v>
      </c>
      <c r="I205" s="37">
        <f>F205*H205</f>
        <v>0</v>
      </c>
      <c r="J205" s="37">
        <f>I205^2</f>
        <v>0</v>
      </c>
      <c r="K205" s="38">
        <f>(J205^2)/G205</f>
        <v>0</v>
      </c>
    </row>
    <row r="206" spans="1:11">
      <c r="A206" s="39" t="s">
        <v>212</v>
      </c>
      <c r="B206" s="40">
        <f>'Data Sound Level Meter'!E30</f>
        <v>0.5</v>
      </c>
      <c r="C206" s="36" t="s">
        <v>238</v>
      </c>
      <c r="D206" s="36" t="s">
        <v>210</v>
      </c>
      <c r="E206" s="36">
        <v>2</v>
      </c>
      <c r="F206" s="70">
        <f>B206/E206</f>
        <v>0.25</v>
      </c>
      <c r="G206" s="42">
        <v>50</v>
      </c>
      <c r="H206" s="42">
        <v>1</v>
      </c>
      <c r="I206" s="41">
        <f>F206*H206</f>
        <v>0.25</v>
      </c>
      <c r="J206" s="41">
        <f>I206^2</f>
        <v>6.25E-2</v>
      </c>
      <c r="K206" s="43">
        <f>(J206^2)/G206</f>
        <v>7.8125000000000002E-5</v>
      </c>
    </row>
    <row r="207" spans="1:11">
      <c r="A207" s="34" t="s">
        <v>216</v>
      </c>
      <c r="B207" s="314">
        <v>0</v>
      </c>
      <c r="C207" s="36" t="s">
        <v>238</v>
      </c>
      <c r="D207" s="37" t="s">
        <v>215</v>
      </c>
      <c r="E207" s="37">
        <f>SQRT(3)</f>
        <v>1.7320508075688772</v>
      </c>
      <c r="F207" s="69">
        <f>B207/E207</f>
        <v>0</v>
      </c>
      <c r="G207" s="37">
        <v>50</v>
      </c>
      <c r="H207" s="37">
        <v>1</v>
      </c>
      <c r="I207" s="37">
        <f>F207*H207</f>
        <v>0</v>
      </c>
      <c r="J207" s="37">
        <f>I207^2</f>
        <v>0</v>
      </c>
      <c r="K207" s="38">
        <f>(J207^2)/G207</f>
        <v>0</v>
      </c>
    </row>
    <row r="208" spans="1:11" ht="10.5">
      <c r="A208" s="47" t="s">
        <v>218</v>
      </c>
      <c r="B208" s="48"/>
      <c r="C208" s="48"/>
      <c r="D208" s="48"/>
      <c r="E208" s="48"/>
      <c r="F208" s="48"/>
      <c r="G208" s="48"/>
      <c r="H208" s="48"/>
      <c r="I208" s="49"/>
      <c r="J208" s="50">
        <f>SUM(J205:J207)</f>
        <v>6.25E-2</v>
      </c>
      <c r="K208" s="51">
        <f>SUM(K205:K207)</f>
        <v>7.8125000000000002E-5</v>
      </c>
    </row>
    <row r="209" spans="1:11" ht="12.5">
      <c r="A209" s="47" t="s">
        <v>219</v>
      </c>
      <c r="B209" s="48"/>
      <c r="C209" s="48"/>
      <c r="D209" s="48"/>
      <c r="E209" s="48"/>
      <c r="F209" s="49"/>
      <c r="G209" s="52" t="s">
        <v>220</v>
      </c>
      <c r="H209" s="53"/>
      <c r="I209" s="54"/>
      <c r="J209" s="50">
        <f>SQRT(J208)</f>
        <v>0.25</v>
      </c>
      <c r="K209" s="51"/>
    </row>
    <row r="210" spans="1:11" ht="13.5">
      <c r="A210" s="47" t="s">
        <v>221</v>
      </c>
      <c r="B210" s="48"/>
      <c r="C210" s="48"/>
      <c r="D210" s="48"/>
      <c r="E210" s="48"/>
      <c r="F210" s="49"/>
      <c r="G210" s="55" t="s">
        <v>222</v>
      </c>
      <c r="H210" s="56"/>
      <c r="I210" s="57"/>
      <c r="J210" s="50">
        <f>J209^4/(K208)</f>
        <v>50</v>
      </c>
      <c r="K210" s="51"/>
    </row>
    <row r="211" spans="1:11" ht="10.5">
      <c r="A211" s="47" t="s">
        <v>223</v>
      </c>
      <c r="B211" s="48"/>
      <c r="C211" s="48"/>
      <c r="D211" s="48"/>
      <c r="E211" s="48"/>
      <c r="F211" s="49"/>
      <c r="G211" s="58" t="s">
        <v>224</v>
      </c>
      <c r="H211" s="59"/>
      <c r="I211" s="60"/>
      <c r="J211" s="50">
        <f>TINV(0.05,J210)</f>
        <v>2.0085591121007611</v>
      </c>
      <c r="K211" s="51"/>
    </row>
    <row r="212" spans="1:11" ht="11" thickBot="1">
      <c r="A212" s="61" t="s">
        <v>225</v>
      </c>
      <c r="B212" s="62"/>
      <c r="C212" s="62"/>
      <c r="D212" s="62"/>
      <c r="E212" s="62"/>
      <c r="F212" s="63"/>
      <c r="G212" s="64" t="s">
        <v>226</v>
      </c>
      <c r="H212" s="65"/>
      <c r="I212" s="66"/>
      <c r="J212" s="317">
        <f>J211*J209</f>
        <v>0.50213977802519028</v>
      </c>
      <c r="K212" s="68" t="s">
        <v>238</v>
      </c>
    </row>
    <row r="213" spans="1:11" ht="10.5">
      <c r="A213" s="79"/>
      <c r="B213" s="79"/>
      <c r="C213" s="79"/>
      <c r="D213" s="79"/>
      <c r="E213" s="79"/>
      <c r="F213" s="79"/>
      <c r="G213" s="80"/>
      <c r="H213" s="80"/>
      <c r="I213" s="80"/>
      <c r="K213" s="81"/>
    </row>
    <row r="214" spans="1:11" ht="11" thickBot="1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</row>
    <row r="215" spans="1:11">
      <c r="A215" s="28" t="s">
        <v>242</v>
      </c>
      <c r="B215" s="29"/>
      <c r="C215" s="29"/>
      <c r="D215" s="29"/>
      <c r="E215" s="29"/>
      <c r="F215" s="29"/>
      <c r="G215" s="29"/>
      <c r="H215" s="29"/>
      <c r="I215" s="29"/>
      <c r="J215" s="29"/>
      <c r="K215" s="30"/>
    </row>
    <row r="216" spans="1:11">
      <c r="A216" s="31" t="s">
        <v>197</v>
      </c>
      <c r="B216" s="32" t="s">
        <v>198</v>
      </c>
      <c r="C216" s="32" t="s">
        <v>199</v>
      </c>
      <c r="D216" s="32" t="s">
        <v>200</v>
      </c>
      <c r="E216" s="32" t="s">
        <v>201</v>
      </c>
      <c r="F216" s="32" t="s">
        <v>202</v>
      </c>
      <c r="G216" s="32" t="s">
        <v>203</v>
      </c>
      <c r="H216" s="32" t="s">
        <v>204</v>
      </c>
      <c r="I216" s="32" t="s">
        <v>205</v>
      </c>
      <c r="J216" s="32" t="s">
        <v>206</v>
      </c>
      <c r="K216" s="33" t="s">
        <v>207</v>
      </c>
    </row>
    <row r="217" spans="1:11">
      <c r="A217" s="34" t="s">
        <v>208</v>
      </c>
      <c r="B217" s="35">
        <f>ID!I98</f>
        <v>0</v>
      </c>
      <c r="C217" s="36" t="s">
        <v>238</v>
      </c>
      <c r="D217" s="37" t="s">
        <v>210</v>
      </c>
      <c r="E217" s="37">
        <f>SQRT(3)</f>
        <v>1.7320508075688772</v>
      </c>
      <c r="F217" s="69">
        <f>B217/E217</f>
        <v>0</v>
      </c>
      <c r="G217" s="37">
        <v>2</v>
      </c>
      <c r="H217" s="37">
        <v>1</v>
      </c>
      <c r="I217" s="37">
        <f>F217*H217</f>
        <v>0</v>
      </c>
      <c r="J217" s="37">
        <f>I217^2</f>
        <v>0</v>
      </c>
      <c r="K217" s="38">
        <f>(J217^2)/G217</f>
        <v>0</v>
      </c>
    </row>
    <row r="218" spans="1:11">
      <c r="A218" s="39" t="s">
        <v>212</v>
      </c>
      <c r="B218" s="40">
        <f>'Data Sound Level Meter'!E30</f>
        <v>0.5</v>
      </c>
      <c r="C218" s="36" t="s">
        <v>238</v>
      </c>
      <c r="D218" s="36" t="s">
        <v>210</v>
      </c>
      <c r="E218" s="36">
        <v>2</v>
      </c>
      <c r="F218" s="70">
        <f>B218/E218</f>
        <v>0.25</v>
      </c>
      <c r="G218" s="42">
        <v>50</v>
      </c>
      <c r="H218" s="42">
        <v>1</v>
      </c>
      <c r="I218" s="41">
        <f>F218*H218</f>
        <v>0.25</v>
      </c>
      <c r="J218" s="41">
        <f>I218^2</f>
        <v>6.25E-2</v>
      </c>
      <c r="K218" s="43">
        <f>(J218^2)/G218</f>
        <v>7.8125000000000002E-5</v>
      </c>
    </row>
    <row r="219" spans="1:11">
      <c r="A219" s="34" t="s">
        <v>216</v>
      </c>
      <c r="B219" s="314">
        <v>0</v>
      </c>
      <c r="C219" s="36" t="s">
        <v>238</v>
      </c>
      <c r="D219" s="37" t="s">
        <v>215</v>
      </c>
      <c r="E219" s="37">
        <f>SQRT(3)</f>
        <v>1.7320508075688772</v>
      </c>
      <c r="F219" s="69">
        <f>B219/E219</f>
        <v>0</v>
      </c>
      <c r="G219" s="37">
        <v>50</v>
      </c>
      <c r="H219" s="37">
        <v>1</v>
      </c>
      <c r="I219" s="37">
        <f>F219*H219</f>
        <v>0</v>
      </c>
      <c r="J219" s="37">
        <f>I219^2</f>
        <v>0</v>
      </c>
      <c r="K219" s="38">
        <f>(J219^2)/G219</f>
        <v>0</v>
      </c>
    </row>
    <row r="220" spans="1:11" ht="10.5">
      <c r="A220" s="47" t="s">
        <v>218</v>
      </c>
      <c r="B220" s="48"/>
      <c r="C220" s="48"/>
      <c r="D220" s="48"/>
      <c r="E220" s="48"/>
      <c r="F220" s="48"/>
      <c r="G220" s="48"/>
      <c r="H220" s="48"/>
      <c r="I220" s="49"/>
      <c r="J220" s="50">
        <f>SUM(J217:J219)</f>
        <v>6.25E-2</v>
      </c>
      <c r="K220" s="51">
        <f>SUM(K217:K219)</f>
        <v>7.8125000000000002E-5</v>
      </c>
    </row>
    <row r="221" spans="1:11" ht="12.5">
      <c r="A221" s="47" t="s">
        <v>219</v>
      </c>
      <c r="B221" s="48"/>
      <c r="C221" s="48"/>
      <c r="D221" s="48"/>
      <c r="E221" s="48"/>
      <c r="F221" s="49"/>
      <c r="G221" s="52" t="s">
        <v>220</v>
      </c>
      <c r="H221" s="53"/>
      <c r="I221" s="54"/>
      <c r="J221" s="50">
        <f>SQRT(J220)</f>
        <v>0.25</v>
      </c>
      <c r="K221" s="51"/>
    </row>
    <row r="222" spans="1:11" ht="13.5">
      <c r="A222" s="47" t="s">
        <v>221</v>
      </c>
      <c r="B222" s="48"/>
      <c r="C222" s="48"/>
      <c r="D222" s="48"/>
      <c r="E222" s="48"/>
      <c r="F222" s="49"/>
      <c r="G222" s="55" t="s">
        <v>222</v>
      </c>
      <c r="H222" s="56"/>
      <c r="I222" s="57"/>
      <c r="J222" s="50">
        <f>J221^4/(K220)</f>
        <v>50</v>
      </c>
      <c r="K222" s="51"/>
    </row>
    <row r="223" spans="1:11" ht="10.5">
      <c r="A223" s="47" t="s">
        <v>223</v>
      </c>
      <c r="B223" s="48"/>
      <c r="C223" s="48"/>
      <c r="D223" s="48"/>
      <c r="E223" s="48"/>
      <c r="F223" s="49"/>
      <c r="G223" s="58" t="s">
        <v>224</v>
      </c>
      <c r="H223" s="59"/>
      <c r="I223" s="60"/>
      <c r="J223" s="50">
        <f>TINV(0.05,J222)</f>
        <v>2.0085591121007611</v>
      </c>
      <c r="K223" s="51"/>
    </row>
    <row r="224" spans="1:11" ht="11" thickBot="1">
      <c r="A224" s="61" t="s">
        <v>225</v>
      </c>
      <c r="B224" s="62"/>
      <c r="C224" s="62"/>
      <c r="D224" s="62"/>
      <c r="E224" s="62"/>
      <c r="F224" s="63"/>
      <c r="G224" s="64" t="s">
        <v>226</v>
      </c>
      <c r="H224" s="65"/>
      <c r="I224" s="66"/>
      <c r="J224" s="317">
        <f>J223*J221</f>
        <v>0.50213977802519028</v>
      </c>
      <c r="K224" s="68" t="s">
        <v>238</v>
      </c>
    </row>
    <row r="225" spans="1:11" ht="11" thickBo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</row>
    <row r="226" spans="1:11">
      <c r="A226" s="28" t="s">
        <v>243</v>
      </c>
      <c r="B226" s="29"/>
      <c r="C226" s="29"/>
      <c r="D226" s="29"/>
      <c r="E226" s="29"/>
      <c r="F226" s="29"/>
      <c r="G226" s="29"/>
      <c r="H226" s="29"/>
      <c r="I226" s="29"/>
      <c r="J226" s="29"/>
      <c r="K226" s="30"/>
    </row>
    <row r="227" spans="1:11">
      <c r="A227" s="31" t="s">
        <v>197</v>
      </c>
      <c r="B227" s="32" t="s">
        <v>198</v>
      </c>
      <c r="C227" s="32" t="s">
        <v>199</v>
      </c>
      <c r="D227" s="32" t="s">
        <v>200</v>
      </c>
      <c r="E227" s="32" t="s">
        <v>201</v>
      </c>
      <c r="F227" s="32" t="s">
        <v>202</v>
      </c>
      <c r="G227" s="32" t="s">
        <v>203</v>
      </c>
      <c r="H227" s="32" t="s">
        <v>204</v>
      </c>
      <c r="I227" s="32" t="s">
        <v>205</v>
      </c>
      <c r="J227" s="32" t="s">
        <v>206</v>
      </c>
      <c r="K227" s="33" t="s">
        <v>207</v>
      </c>
    </row>
    <row r="228" spans="1:11">
      <c r="A228" s="34" t="s">
        <v>208</v>
      </c>
      <c r="B228" s="35">
        <f>ID!I99</f>
        <v>0</v>
      </c>
      <c r="C228" s="36" t="s">
        <v>238</v>
      </c>
      <c r="D228" s="37" t="s">
        <v>210</v>
      </c>
      <c r="E228" s="37">
        <f>SQRT(3)</f>
        <v>1.7320508075688772</v>
      </c>
      <c r="F228" s="69">
        <f>B228/E228</f>
        <v>0</v>
      </c>
      <c r="G228" s="37">
        <v>2</v>
      </c>
      <c r="H228" s="37">
        <v>1</v>
      </c>
      <c r="I228" s="37">
        <f>F228*H228</f>
        <v>0</v>
      </c>
      <c r="J228" s="37">
        <f>I228^2</f>
        <v>0</v>
      </c>
      <c r="K228" s="38">
        <f>(J228^2)/G228</f>
        <v>0</v>
      </c>
    </row>
    <row r="229" spans="1:11">
      <c r="A229" s="39" t="s">
        <v>212</v>
      </c>
      <c r="B229" s="40">
        <f>'Data Sound Level Meter'!E30</f>
        <v>0.5</v>
      </c>
      <c r="C229" s="36" t="s">
        <v>238</v>
      </c>
      <c r="D229" s="36" t="s">
        <v>210</v>
      </c>
      <c r="E229" s="36">
        <v>2</v>
      </c>
      <c r="F229" s="70">
        <f>B229/E229</f>
        <v>0.25</v>
      </c>
      <c r="G229" s="42">
        <v>50</v>
      </c>
      <c r="H229" s="42">
        <v>1</v>
      </c>
      <c r="I229" s="41">
        <f>F229*H229</f>
        <v>0.25</v>
      </c>
      <c r="J229" s="41">
        <f>I229^2</f>
        <v>6.25E-2</v>
      </c>
      <c r="K229" s="43">
        <f>(J229^2)/G229</f>
        <v>7.8125000000000002E-5</v>
      </c>
    </row>
    <row r="230" spans="1:11">
      <c r="A230" s="34" t="s">
        <v>216</v>
      </c>
      <c r="B230" s="314">
        <v>0</v>
      </c>
      <c r="C230" s="36" t="s">
        <v>238</v>
      </c>
      <c r="D230" s="37" t="s">
        <v>215</v>
      </c>
      <c r="E230" s="37">
        <f>SQRT(3)</f>
        <v>1.7320508075688772</v>
      </c>
      <c r="F230" s="69">
        <f>B230/E230</f>
        <v>0</v>
      </c>
      <c r="G230" s="37">
        <v>50</v>
      </c>
      <c r="H230" s="37">
        <v>1</v>
      </c>
      <c r="I230" s="37">
        <f>F230*H230</f>
        <v>0</v>
      </c>
      <c r="J230" s="37">
        <f>I230^2</f>
        <v>0</v>
      </c>
      <c r="K230" s="38">
        <f>(J230^2)/G230</f>
        <v>0</v>
      </c>
    </row>
    <row r="231" spans="1:11" ht="10.5">
      <c r="A231" s="47" t="s">
        <v>218</v>
      </c>
      <c r="B231" s="48"/>
      <c r="C231" s="48"/>
      <c r="D231" s="48"/>
      <c r="E231" s="48"/>
      <c r="F231" s="48"/>
      <c r="G231" s="48"/>
      <c r="H231" s="48"/>
      <c r="I231" s="49"/>
      <c r="J231" s="50">
        <f>SUM(J228:J230)</f>
        <v>6.25E-2</v>
      </c>
      <c r="K231" s="51">
        <f>SUM(K228:K230)</f>
        <v>7.8125000000000002E-5</v>
      </c>
    </row>
    <row r="232" spans="1:11" ht="12.5">
      <c r="A232" s="47" t="s">
        <v>219</v>
      </c>
      <c r="B232" s="48"/>
      <c r="C232" s="48"/>
      <c r="D232" s="48"/>
      <c r="E232" s="48"/>
      <c r="F232" s="49"/>
      <c r="G232" s="52" t="s">
        <v>220</v>
      </c>
      <c r="H232" s="53"/>
      <c r="I232" s="54"/>
      <c r="J232" s="50">
        <f>SQRT(J231)</f>
        <v>0.25</v>
      </c>
      <c r="K232" s="51"/>
    </row>
    <row r="233" spans="1:11" ht="13.5">
      <c r="A233" s="47" t="s">
        <v>221</v>
      </c>
      <c r="B233" s="48"/>
      <c r="C233" s="48"/>
      <c r="D233" s="48"/>
      <c r="E233" s="48"/>
      <c r="F233" s="49"/>
      <c r="G233" s="55" t="s">
        <v>222</v>
      </c>
      <c r="H233" s="56"/>
      <c r="I233" s="57"/>
      <c r="J233" s="50">
        <f>J232^4/(K231)</f>
        <v>50</v>
      </c>
      <c r="K233" s="51"/>
    </row>
    <row r="234" spans="1:11" ht="10.5">
      <c r="A234" s="47" t="s">
        <v>223</v>
      </c>
      <c r="B234" s="48"/>
      <c r="C234" s="48"/>
      <c r="D234" s="48"/>
      <c r="E234" s="48"/>
      <c r="F234" s="49"/>
      <c r="G234" s="58" t="s">
        <v>224</v>
      </c>
      <c r="H234" s="59"/>
      <c r="I234" s="60"/>
      <c r="J234" s="50">
        <f>TINV(0.05,J233)</f>
        <v>2.0085591121007611</v>
      </c>
      <c r="K234" s="51"/>
    </row>
    <row r="235" spans="1:11" ht="11" thickBot="1">
      <c r="A235" s="61" t="s">
        <v>225</v>
      </c>
      <c r="B235" s="62"/>
      <c r="C235" s="62"/>
      <c r="D235" s="62"/>
      <c r="E235" s="62"/>
      <c r="F235" s="63"/>
      <c r="G235" s="64" t="s">
        <v>226</v>
      </c>
      <c r="H235" s="65"/>
      <c r="I235" s="66"/>
      <c r="J235" s="317">
        <f>J234*J232</f>
        <v>0.50213977802519028</v>
      </c>
      <c r="K235" s="68" t="s">
        <v>238</v>
      </c>
    </row>
    <row r="236" spans="1:11" ht="11" thickBot="1">
      <c r="A236" s="82"/>
      <c r="B236" s="14"/>
      <c r="C236" s="14"/>
      <c r="D236" s="14"/>
      <c r="E236" s="14"/>
      <c r="F236" s="14"/>
      <c r="G236" s="14"/>
      <c r="H236" s="82"/>
      <c r="I236" s="14"/>
      <c r="J236" s="14"/>
      <c r="K236" s="14"/>
    </row>
    <row r="237" spans="1:11">
      <c r="A237" s="28" t="s">
        <v>244</v>
      </c>
      <c r="B237" s="29"/>
      <c r="C237" s="29"/>
      <c r="D237" s="29"/>
      <c r="E237" s="29"/>
      <c r="F237" s="29"/>
      <c r="G237" s="29"/>
      <c r="H237" s="29"/>
      <c r="I237" s="29"/>
      <c r="J237" s="29"/>
      <c r="K237" s="30"/>
    </row>
    <row r="238" spans="1:11">
      <c r="A238" s="31" t="s">
        <v>197</v>
      </c>
      <c r="B238" s="32" t="s">
        <v>198</v>
      </c>
      <c r="C238" s="32" t="s">
        <v>199</v>
      </c>
      <c r="D238" s="32" t="s">
        <v>200</v>
      </c>
      <c r="E238" s="32" t="s">
        <v>201</v>
      </c>
      <c r="F238" s="32" t="s">
        <v>202</v>
      </c>
      <c r="G238" s="32" t="s">
        <v>203</v>
      </c>
      <c r="H238" s="32" t="s">
        <v>204</v>
      </c>
      <c r="I238" s="32" t="s">
        <v>205</v>
      </c>
      <c r="J238" s="32" t="s">
        <v>206</v>
      </c>
      <c r="K238" s="33" t="s">
        <v>207</v>
      </c>
    </row>
    <row r="239" spans="1:11">
      <c r="A239" s="34" t="s">
        <v>208</v>
      </c>
      <c r="B239" s="35">
        <f>ID!I100</f>
        <v>0</v>
      </c>
      <c r="C239" s="36" t="s">
        <v>238</v>
      </c>
      <c r="D239" s="37" t="s">
        <v>210</v>
      </c>
      <c r="E239" s="37">
        <f>SQRT(3)</f>
        <v>1.7320508075688772</v>
      </c>
      <c r="F239" s="69">
        <f>B239/E239</f>
        <v>0</v>
      </c>
      <c r="G239" s="37">
        <v>2</v>
      </c>
      <c r="H239" s="37">
        <v>1</v>
      </c>
      <c r="I239" s="37">
        <f>F239*H239</f>
        <v>0</v>
      </c>
      <c r="J239" s="37">
        <f>I239^2</f>
        <v>0</v>
      </c>
      <c r="K239" s="38">
        <f>(J239^2)/G239</f>
        <v>0</v>
      </c>
    </row>
    <row r="240" spans="1:11">
      <c r="A240" s="39" t="s">
        <v>212</v>
      </c>
      <c r="B240" s="40">
        <f>'Data Sound Level Meter'!E30</f>
        <v>0.5</v>
      </c>
      <c r="C240" s="36" t="s">
        <v>238</v>
      </c>
      <c r="D240" s="36" t="s">
        <v>210</v>
      </c>
      <c r="E240" s="36">
        <v>2</v>
      </c>
      <c r="F240" s="70">
        <f>B240/E240</f>
        <v>0.25</v>
      </c>
      <c r="G240" s="42">
        <v>50</v>
      </c>
      <c r="H240" s="42">
        <v>1</v>
      </c>
      <c r="I240" s="41">
        <f>F240*H240</f>
        <v>0.25</v>
      </c>
      <c r="J240" s="41">
        <f>I240^2</f>
        <v>6.25E-2</v>
      </c>
      <c r="K240" s="43">
        <f>(J240^2)/G240</f>
        <v>7.8125000000000002E-5</v>
      </c>
    </row>
    <row r="241" spans="1:11">
      <c r="A241" s="34" t="s">
        <v>216</v>
      </c>
      <c r="B241" s="314">
        <v>0</v>
      </c>
      <c r="C241" s="36" t="s">
        <v>238</v>
      </c>
      <c r="D241" s="37" t="s">
        <v>215</v>
      </c>
      <c r="E241" s="37">
        <f>SQRT(3)</f>
        <v>1.7320508075688772</v>
      </c>
      <c r="F241" s="69">
        <f>B241/E241</f>
        <v>0</v>
      </c>
      <c r="G241" s="37">
        <v>50</v>
      </c>
      <c r="H241" s="37">
        <v>1</v>
      </c>
      <c r="I241" s="37">
        <f>F241*H241</f>
        <v>0</v>
      </c>
      <c r="J241" s="37">
        <f>I241^2</f>
        <v>0</v>
      </c>
      <c r="K241" s="38">
        <f>(J241^2)/G241</f>
        <v>0</v>
      </c>
    </row>
    <row r="242" spans="1:11" ht="10.5">
      <c r="A242" s="47" t="s">
        <v>218</v>
      </c>
      <c r="B242" s="48"/>
      <c r="C242" s="48"/>
      <c r="D242" s="48"/>
      <c r="E242" s="48"/>
      <c r="F242" s="48"/>
      <c r="G242" s="48"/>
      <c r="H242" s="48"/>
      <c r="I242" s="49"/>
      <c r="J242" s="50">
        <f>SUM(J239:J241)</f>
        <v>6.25E-2</v>
      </c>
      <c r="K242" s="51">
        <f>SUM(K239:K241)</f>
        <v>7.8125000000000002E-5</v>
      </c>
    </row>
    <row r="243" spans="1:11" ht="12.5">
      <c r="A243" s="47" t="s">
        <v>219</v>
      </c>
      <c r="B243" s="48"/>
      <c r="C243" s="48"/>
      <c r="D243" s="48"/>
      <c r="E243" s="48"/>
      <c r="F243" s="49"/>
      <c r="G243" s="52" t="s">
        <v>220</v>
      </c>
      <c r="H243" s="53"/>
      <c r="I243" s="54"/>
      <c r="J243" s="50">
        <f>SQRT(J242)</f>
        <v>0.25</v>
      </c>
      <c r="K243" s="51"/>
    </row>
    <row r="244" spans="1:11" ht="13.5">
      <c r="A244" s="47" t="s">
        <v>221</v>
      </c>
      <c r="B244" s="48"/>
      <c r="C244" s="48"/>
      <c r="D244" s="48"/>
      <c r="E244" s="48"/>
      <c r="F244" s="49"/>
      <c r="G244" s="55" t="s">
        <v>222</v>
      </c>
      <c r="H244" s="56"/>
      <c r="I244" s="57"/>
      <c r="J244" s="50">
        <f>J243^4/(K242)</f>
        <v>50</v>
      </c>
      <c r="K244" s="51"/>
    </row>
    <row r="245" spans="1:11" ht="10.5">
      <c r="A245" s="47" t="s">
        <v>223</v>
      </c>
      <c r="B245" s="48"/>
      <c r="C245" s="48"/>
      <c r="D245" s="48"/>
      <c r="E245" s="48"/>
      <c r="F245" s="49"/>
      <c r="G245" s="58" t="s">
        <v>224</v>
      </c>
      <c r="H245" s="59"/>
      <c r="I245" s="60"/>
      <c r="J245" s="50">
        <f>TINV(0.05,J244)</f>
        <v>2.0085591121007611</v>
      </c>
      <c r="K245" s="51"/>
    </row>
    <row r="246" spans="1:11" ht="11" thickBot="1">
      <c r="A246" s="61" t="s">
        <v>225</v>
      </c>
      <c r="B246" s="62"/>
      <c r="C246" s="62"/>
      <c r="D246" s="62"/>
      <c r="E246" s="62"/>
      <c r="F246" s="63"/>
      <c r="G246" s="64" t="s">
        <v>226</v>
      </c>
      <c r="H246" s="65"/>
      <c r="I246" s="66"/>
      <c r="J246" s="317">
        <f>J245*J243</f>
        <v>0.50213977802519028</v>
      </c>
      <c r="K246" s="68" t="s">
        <v>238</v>
      </c>
    </row>
    <row r="247" spans="1:11" ht="11" thickBo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</row>
    <row r="248" spans="1:11">
      <c r="A248" s="28" t="s">
        <v>245</v>
      </c>
      <c r="B248" s="29"/>
      <c r="C248" s="29"/>
      <c r="D248" s="29"/>
      <c r="E248" s="29"/>
      <c r="F248" s="29"/>
      <c r="G248" s="29"/>
      <c r="H248" s="29"/>
      <c r="I248" s="29"/>
      <c r="J248" s="29"/>
      <c r="K248" s="30"/>
    </row>
    <row r="249" spans="1:11">
      <c r="A249" s="31" t="s">
        <v>197</v>
      </c>
      <c r="B249" s="32" t="s">
        <v>198</v>
      </c>
      <c r="C249" s="32" t="s">
        <v>199</v>
      </c>
      <c r="D249" s="32" t="s">
        <v>200</v>
      </c>
      <c r="E249" s="32" t="s">
        <v>201</v>
      </c>
      <c r="F249" s="32" t="s">
        <v>202</v>
      </c>
      <c r="G249" s="32" t="s">
        <v>203</v>
      </c>
      <c r="H249" s="32" t="s">
        <v>204</v>
      </c>
      <c r="I249" s="32" t="s">
        <v>205</v>
      </c>
      <c r="J249" s="32" t="s">
        <v>206</v>
      </c>
      <c r="K249" s="33" t="s">
        <v>207</v>
      </c>
    </row>
    <row r="250" spans="1:11">
      <c r="A250" s="34" t="s">
        <v>208</v>
      </c>
      <c r="B250" s="35">
        <f>ID!I101</f>
        <v>0</v>
      </c>
      <c r="C250" s="36" t="s">
        <v>238</v>
      </c>
      <c r="D250" s="37" t="s">
        <v>210</v>
      </c>
      <c r="E250" s="37">
        <f>SQRT(3)</f>
        <v>1.7320508075688772</v>
      </c>
      <c r="F250" s="69">
        <f>B250/E250</f>
        <v>0</v>
      </c>
      <c r="G250" s="37">
        <v>2</v>
      </c>
      <c r="H250" s="37">
        <v>1</v>
      </c>
      <c r="I250" s="37">
        <f>F250*H250</f>
        <v>0</v>
      </c>
      <c r="J250" s="37">
        <f>I250^2</f>
        <v>0</v>
      </c>
      <c r="K250" s="38">
        <f>(J250^2)/G250</f>
        <v>0</v>
      </c>
    </row>
    <row r="251" spans="1:11">
      <c r="A251" s="39" t="s">
        <v>212</v>
      </c>
      <c r="B251" s="40">
        <f>'Data Sound Level Meter'!E30</f>
        <v>0.5</v>
      </c>
      <c r="C251" s="36" t="s">
        <v>238</v>
      </c>
      <c r="D251" s="36" t="s">
        <v>210</v>
      </c>
      <c r="E251" s="36">
        <v>2</v>
      </c>
      <c r="F251" s="70">
        <f>B251/E251</f>
        <v>0.25</v>
      </c>
      <c r="G251" s="42">
        <v>50</v>
      </c>
      <c r="H251" s="42">
        <v>1</v>
      </c>
      <c r="I251" s="41">
        <f>F251*H251</f>
        <v>0.25</v>
      </c>
      <c r="J251" s="41">
        <f>I251^2</f>
        <v>6.25E-2</v>
      </c>
      <c r="K251" s="43">
        <f>(J251^2)/G251</f>
        <v>7.8125000000000002E-5</v>
      </c>
    </row>
    <row r="252" spans="1:11">
      <c r="A252" s="34" t="s">
        <v>216</v>
      </c>
      <c r="B252" s="314">
        <v>0</v>
      </c>
      <c r="C252" s="36" t="s">
        <v>238</v>
      </c>
      <c r="D252" s="37" t="s">
        <v>215</v>
      </c>
      <c r="E252" s="37">
        <f>SQRT(3)</f>
        <v>1.7320508075688772</v>
      </c>
      <c r="F252" s="69">
        <f>B252/E252</f>
        <v>0</v>
      </c>
      <c r="G252" s="37">
        <v>50</v>
      </c>
      <c r="H252" s="37">
        <v>1</v>
      </c>
      <c r="I252" s="37">
        <f>F252*H252</f>
        <v>0</v>
      </c>
      <c r="J252" s="37">
        <f>I252^2</f>
        <v>0</v>
      </c>
      <c r="K252" s="38">
        <f>(J252^2)/G252</f>
        <v>0</v>
      </c>
    </row>
    <row r="253" spans="1:11" ht="10.5">
      <c r="A253" s="47" t="s">
        <v>218</v>
      </c>
      <c r="B253" s="48"/>
      <c r="C253" s="48"/>
      <c r="D253" s="48"/>
      <c r="E253" s="48"/>
      <c r="F253" s="48"/>
      <c r="G253" s="48"/>
      <c r="H253" s="48"/>
      <c r="I253" s="49"/>
      <c r="J253" s="50">
        <f>SUM(J250:J252)</f>
        <v>6.25E-2</v>
      </c>
      <c r="K253" s="51">
        <f>SUM(K250:K252)</f>
        <v>7.8125000000000002E-5</v>
      </c>
    </row>
    <row r="254" spans="1:11" ht="12.5">
      <c r="A254" s="47" t="s">
        <v>219</v>
      </c>
      <c r="B254" s="48"/>
      <c r="C254" s="48"/>
      <c r="D254" s="48"/>
      <c r="E254" s="48"/>
      <c r="F254" s="49"/>
      <c r="G254" s="52" t="s">
        <v>220</v>
      </c>
      <c r="H254" s="53"/>
      <c r="I254" s="54"/>
      <c r="J254" s="50">
        <f>SQRT(J253)</f>
        <v>0.25</v>
      </c>
      <c r="K254" s="51"/>
    </row>
    <row r="255" spans="1:11" ht="13.5">
      <c r="A255" s="47" t="s">
        <v>221</v>
      </c>
      <c r="B255" s="48"/>
      <c r="C255" s="48"/>
      <c r="D255" s="48"/>
      <c r="E255" s="48"/>
      <c r="F255" s="49"/>
      <c r="G255" s="55" t="s">
        <v>222</v>
      </c>
      <c r="H255" s="56"/>
      <c r="I255" s="57"/>
      <c r="J255" s="50">
        <f>J254^4/(K253)</f>
        <v>50</v>
      </c>
      <c r="K255" s="51"/>
    </row>
    <row r="256" spans="1:11" ht="10.5">
      <c r="A256" s="47" t="s">
        <v>223</v>
      </c>
      <c r="B256" s="48"/>
      <c r="C256" s="48"/>
      <c r="D256" s="48"/>
      <c r="E256" s="48"/>
      <c r="F256" s="49"/>
      <c r="G256" s="58" t="s">
        <v>224</v>
      </c>
      <c r="H256" s="59"/>
      <c r="I256" s="60"/>
      <c r="J256" s="50">
        <f>TINV(0.05,J255)</f>
        <v>2.0085591121007611</v>
      </c>
      <c r="K256" s="51"/>
    </row>
    <row r="257" spans="1:11" ht="11" thickBot="1">
      <c r="A257" s="61" t="s">
        <v>225</v>
      </c>
      <c r="B257" s="62"/>
      <c r="C257" s="62"/>
      <c r="D257" s="62"/>
      <c r="E257" s="62"/>
      <c r="F257" s="63"/>
      <c r="G257" s="64" t="s">
        <v>226</v>
      </c>
      <c r="H257" s="65"/>
      <c r="I257" s="66"/>
      <c r="J257" s="317">
        <f>J256*J254</f>
        <v>0.50213977802519028</v>
      </c>
      <c r="K257" s="68" t="s">
        <v>238</v>
      </c>
    </row>
    <row r="258" spans="1:11" ht="11" thickBo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</row>
    <row r="259" spans="1:11">
      <c r="A259" s="28" t="s">
        <v>246</v>
      </c>
      <c r="B259" s="29"/>
      <c r="C259" s="29"/>
      <c r="D259" s="29"/>
      <c r="E259" s="29"/>
      <c r="F259" s="29"/>
      <c r="G259" s="29"/>
      <c r="H259" s="29"/>
      <c r="I259" s="29"/>
      <c r="J259" s="29"/>
      <c r="K259" s="30"/>
    </row>
    <row r="260" spans="1:11">
      <c r="A260" s="31" t="s">
        <v>197</v>
      </c>
      <c r="B260" s="32" t="s">
        <v>198</v>
      </c>
      <c r="C260" s="32" t="s">
        <v>199</v>
      </c>
      <c r="D260" s="32" t="s">
        <v>200</v>
      </c>
      <c r="E260" s="32" t="s">
        <v>201</v>
      </c>
      <c r="F260" s="32" t="s">
        <v>202</v>
      </c>
      <c r="G260" s="32" t="s">
        <v>203</v>
      </c>
      <c r="H260" s="32" t="s">
        <v>204</v>
      </c>
      <c r="I260" s="32" t="s">
        <v>205</v>
      </c>
      <c r="J260" s="32" t="s">
        <v>206</v>
      </c>
      <c r="K260" s="33" t="s">
        <v>207</v>
      </c>
    </row>
    <row r="261" spans="1:11">
      <c r="A261" s="34" t="s">
        <v>208</v>
      </c>
      <c r="B261" s="35">
        <f>ID!I102</f>
        <v>0</v>
      </c>
      <c r="C261" s="36" t="s">
        <v>238</v>
      </c>
      <c r="D261" s="37" t="s">
        <v>210</v>
      </c>
      <c r="E261" s="37">
        <f>SQRT(3)</f>
        <v>1.7320508075688772</v>
      </c>
      <c r="F261" s="69">
        <f>B261/E261</f>
        <v>0</v>
      </c>
      <c r="G261" s="37">
        <v>2</v>
      </c>
      <c r="H261" s="37">
        <v>1</v>
      </c>
      <c r="I261" s="37">
        <f>F261*H261</f>
        <v>0</v>
      </c>
      <c r="J261" s="37">
        <f>I261^2</f>
        <v>0</v>
      </c>
      <c r="K261" s="38">
        <f>(J261^2)/G261</f>
        <v>0</v>
      </c>
    </row>
    <row r="262" spans="1:11">
      <c r="A262" s="39" t="s">
        <v>212</v>
      </c>
      <c r="B262" s="40">
        <f>'Data Sound Level Meter'!E30</f>
        <v>0.5</v>
      </c>
      <c r="C262" s="36" t="s">
        <v>238</v>
      </c>
      <c r="D262" s="36" t="s">
        <v>210</v>
      </c>
      <c r="E262" s="36">
        <v>2</v>
      </c>
      <c r="F262" s="70">
        <f>B262/E262</f>
        <v>0.25</v>
      </c>
      <c r="G262" s="42">
        <v>50</v>
      </c>
      <c r="H262" s="42">
        <v>1</v>
      </c>
      <c r="I262" s="41">
        <f>F262*H262</f>
        <v>0.25</v>
      </c>
      <c r="J262" s="41">
        <f>I262^2</f>
        <v>6.25E-2</v>
      </c>
      <c r="K262" s="43">
        <f>(J262^2)/G262</f>
        <v>7.8125000000000002E-5</v>
      </c>
    </row>
    <row r="263" spans="1:11">
      <c r="A263" s="34" t="s">
        <v>216</v>
      </c>
      <c r="B263" s="314">
        <v>0</v>
      </c>
      <c r="C263" s="36" t="s">
        <v>238</v>
      </c>
      <c r="D263" s="37" t="s">
        <v>215</v>
      </c>
      <c r="E263" s="37">
        <f>SQRT(3)</f>
        <v>1.7320508075688772</v>
      </c>
      <c r="F263" s="69">
        <f>B263/E263</f>
        <v>0</v>
      </c>
      <c r="G263" s="37">
        <v>50</v>
      </c>
      <c r="H263" s="37">
        <v>1</v>
      </c>
      <c r="I263" s="37">
        <f>F263*H263</f>
        <v>0</v>
      </c>
      <c r="J263" s="37">
        <f>I263^2</f>
        <v>0</v>
      </c>
      <c r="K263" s="38">
        <f>(J263^2)/G263</f>
        <v>0</v>
      </c>
    </row>
    <row r="264" spans="1:11" ht="10.5">
      <c r="A264" s="47" t="s">
        <v>218</v>
      </c>
      <c r="B264" s="48"/>
      <c r="C264" s="48"/>
      <c r="D264" s="48"/>
      <c r="E264" s="48"/>
      <c r="F264" s="48"/>
      <c r="G264" s="48"/>
      <c r="H264" s="48"/>
      <c r="I264" s="49"/>
      <c r="J264" s="50">
        <f>SUM(J261:J263)</f>
        <v>6.25E-2</v>
      </c>
      <c r="K264" s="51">
        <f>SUM(K261:K263)</f>
        <v>7.8125000000000002E-5</v>
      </c>
    </row>
    <row r="265" spans="1:11" ht="12.5">
      <c r="A265" s="47" t="s">
        <v>219</v>
      </c>
      <c r="B265" s="48"/>
      <c r="C265" s="48"/>
      <c r="D265" s="48"/>
      <c r="E265" s="48"/>
      <c r="F265" s="49"/>
      <c r="G265" s="52" t="s">
        <v>220</v>
      </c>
      <c r="H265" s="53"/>
      <c r="I265" s="54"/>
      <c r="J265" s="50">
        <f>SQRT(J264)</f>
        <v>0.25</v>
      </c>
      <c r="K265" s="51"/>
    </row>
    <row r="266" spans="1:11" ht="13.5">
      <c r="A266" s="47" t="s">
        <v>221</v>
      </c>
      <c r="B266" s="48"/>
      <c r="C266" s="48"/>
      <c r="D266" s="48"/>
      <c r="E266" s="48"/>
      <c r="F266" s="49"/>
      <c r="G266" s="55" t="s">
        <v>222</v>
      </c>
      <c r="H266" s="56"/>
      <c r="I266" s="57"/>
      <c r="J266" s="50">
        <f>J265^4/(K264)</f>
        <v>50</v>
      </c>
      <c r="K266" s="51"/>
    </row>
    <row r="267" spans="1:11" ht="10.5">
      <c r="A267" s="47" t="s">
        <v>223</v>
      </c>
      <c r="B267" s="48"/>
      <c r="C267" s="48"/>
      <c r="D267" s="48"/>
      <c r="E267" s="48"/>
      <c r="F267" s="49"/>
      <c r="G267" s="58" t="s">
        <v>224</v>
      </c>
      <c r="H267" s="59"/>
      <c r="I267" s="60"/>
      <c r="J267" s="50">
        <f>TINV(0.05,J266)</f>
        <v>2.0085591121007611</v>
      </c>
      <c r="K267" s="51"/>
    </row>
    <row r="268" spans="1:11" ht="11" thickBot="1">
      <c r="A268" s="61" t="s">
        <v>225</v>
      </c>
      <c r="B268" s="62"/>
      <c r="C268" s="62"/>
      <c r="D268" s="62"/>
      <c r="E268" s="62"/>
      <c r="F268" s="63"/>
      <c r="G268" s="64" t="s">
        <v>226</v>
      </c>
      <c r="H268" s="65"/>
      <c r="I268" s="66"/>
      <c r="J268" s="317">
        <f>J267*J265</f>
        <v>0.50213977802519028</v>
      </c>
      <c r="K268" s="68" t="s">
        <v>238</v>
      </c>
    </row>
    <row r="269" spans="1:11" ht="11" thickBot="1">
      <c r="A269" s="79"/>
      <c r="B269" s="79"/>
      <c r="C269" s="79"/>
      <c r="D269" s="79"/>
      <c r="E269" s="79"/>
      <c r="F269" s="79"/>
      <c r="G269" s="80"/>
      <c r="H269" s="80"/>
      <c r="I269" s="80"/>
      <c r="K269" s="81"/>
    </row>
    <row r="270" spans="1:11">
      <c r="A270" s="28" t="s">
        <v>247</v>
      </c>
      <c r="B270" s="29"/>
      <c r="C270" s="29"/>
      <c r="D270" s="29"/>
      <c r="E270" s="29"/>
      <c r="F270" s="29"/>
      <c r="G270" s="29"/>
      <c r="H270" s="29"/>
      <c r="I270" s="29"/>
      <c r="J270" s="29"/>
      <c r="K270" s="30"/>
    </row>
    <row r="271" spans="1:11">
      <c r="A271" s="31" t="s">
        <v>197</v>
      </c>
      <c r="B271" s="32" t="s">
        <v>198</v>
      </c>
      <c r="C271" s="32" t="s">
        <v>199</v>
      </c>
      <c r="D271" s="32" t="s">
        <v>200</v>
      </c>
      <c r="E271" s="32" t="s">
        <v>201</v>
      </c>
      <c r="F271" s="32" t="s">
        <v>202</v>
      </c>
      <c r="G271" s="32" t="s">
        <v>203</v>
      </c>
      <c r="H271" s="32" t="s">
        <v>204</v>
      </c>
      <c r="I271" s="32" t="s">
        <v>205</v>
      </c>
      <c r="J271" s="32" t="s">
        <v>206</v>
      </c>
      <c r="K271" s="33" t="s">
        <v>207</v>
      </c>
    </row>
    <row r="272" spans="1:11">
      <c r="A272" s="34" t="s">
        <v>208</v>
      </c>
      <c r="B272" s="35">
        <f>ID!I103</f>
        <v>0</v>
      </c>
      <c r="C272" s="36" t="s">
        <v>238</v>
      </c>
      <c r="D272" s="37" t="s">
        <v>210</v>
      </c>
      <c r="E272" s="37">
        <f>SQRT(3)</f>
        <v>1.7320508075688772</v>
      </c>
      <c r="F272" s="69">
        <f>B272/E272</f>
        <v>0</v>
      </c>
      <c r="G272" s="37">
        <v>2</v>
      </c>
      <c r="H272" s="37">
        <v>1</v>
      </c>
      <c r="I272" s="37">
        <f>F272*H272</f>
        <v>0</v>
      </c>
      <c r="J272" s="37">
        <f>I272^2</f>
        <v>0</v>
      </c>
      <c r="K272" s="38">
        <f>(J272^2)/G272</f>
        <v>0</v>
      </c>
    </row>
    <row r="273" spans="1:11">
      <c r="A273" s="39" t="s">
        <v>212</v>
      </c>
      <c r="B273" s="40">
        <f>'Data Sound Level Meter'!E30</f>
        <v>0.5</v>
      </c>
      <c r="C273" s="36" t="s">
        <v>238</v>
      </c>
      <c r="D273" s="36" t="s">
        <v>210</v>
      </c>
      <c r="E273" s="36">
        <v>2</v>
      </c>
      <c r="F273" s="70">
        <f>B273/E273</f>
        <v>0.25</v>
      </c>
      <c r="G273" s="42">
        <v>50</v>
      </c>
      <c r="H273" s="42">
        <v>1</v>
      </c>
      <c r="I273" s="41">
        <f>F273*H273</f>
        <v>0.25</v>
      </c>
      <c r="J273" s="41">
        <f>I273^2</f>
        <v>6.25E-2</v>
      </c>
      <c r="K273" s="43">
        <f>(J273^2)/G273</f>
        <v>7.8125000000000002E-5</v>
      </c>
    </row>
    <row r="274" spans="1:11">
      <c r="A274" s="34" t="s">
        <v>216</v>
      </c>
      <c r="B274" s="314">
        <v>0</v>
      </c>
      <c r="C274" s="36" t="s">
        <v>238</v>
      </c>
      <c r="D274" s="37" t="s">
        <v>215</v>
      </c>
      <c r="E274" s="37">
        <f>SQRT(3)</f>
        <v>1.7320508075688772</v>
      </c>
      <c r="F274" s="69">
        <f>B274/E274</f>
        <v>0</v>
      </c>
      <c r="G274" s="37">
        <v>50</v>
      </c>
      <c r="H274" s="37">
        <v>1</v>
      </c>
      <c r="I274" s="37">
        <f>F274*H274</f>
        <v>0</v>
      </c>
      <c r="J274" s="37">
        <f>I274^2</f>
        <v>0</v>
      </c>
      <c r="K274" s="38">
        <f>(J274^2)/G274</f>
        <v>0</v>
      </c>
    </row>
    <row r="275" spans="1:11" ht="10.5">
      <c r="A275" s="47" t="s">
        <v>218</v>
      </c>
      <c r="B275" s="48"/>
      <c r="C275" s="48"/>
      <c r="D275" s="48"/>
      <c r="E275" s="48"/>
      <c r="F275" s="48"/>
      <c r="G275" s="48"/>
      <c r="H275" s="48"/>
      <c r="I275" s="49"/>
      <c r="J275" s="50">
        <f>SUM(J272:J274)</f>
        <v>6.25E-2</v>
      </c>
      <c r="K275" s="51">
        <f>SUM(K272:K274)</f>
        <v>7.8125000000000002E-5</v>
      </c>
    </row>
    <row r="276" spans="1:11" ht="12.5">
      <c r="A276" s="47" t="s">
        <v>219</v>
      </c>
      <c r="B276" s="48"/>
      <c r="C276" s="48"/>
      <c r="D276" s="48"/>
      <c r="E276" s="48"/>
      <c r="F276" s="49"/>
      <c r="G276" s="52" t="s">
        <v>220</v>
      </c>
      <c r="H276" s="53"/>
      <c r="I276" s="54"/>
      <c r="J276" s="50">
        <f>SQRT(J275)</f>
        <v>0.25</v>
      </c>
      <c r="K276" s="51"/>
    </row>
    <row r="277" spans="1:11" ht="13.5">
      <c r="A277" s="47" t="s">
        <v>221</v>
      </c>
      <c r="B277" s="48"/>
      <c r="C277" s="48"/>
      <c r="D277" s="48"/>
      <c r="E277" s="48"/>
      <c r="F277" s="49"/>
      <c r="G277" s="55" t="s">
        <v>222</v>
      </c>
      <c r="H277" s="56"/>
      <c r="I277" s="57"/>
      <c r="J277" s="50">
        <f>J276^4/(K275)</f>
        <v>50</v>
      </c>
      <c r="K277" s="51"/>
    </row>
    <row r="278" spans="1:11" ht="10.5">
      <c r="A278" s="47" t="s">
        <v>223</v>
      </c>
      <c r="B278" s="48"/>
      <c r="C278" s="48"/>
      <c r="D278" s="48"/>
      <c r="E278" s="48"/>
      <c r="F278" s="49"/>
      <c r="G278" s="58" t="s">
        <v>224</v>
      </c>
      <c r="H278" s="59"/>
      <c r="I278" s="60"/>
      <c r="J278" s="50">
        <f>TINV(0.05,J277)</f>
        <v>2.0085591121007611</v>
      </c>
      <c r="K278" s="51"/>
    </row>
    <row r="279" spans="1:11" ht="11" thickBot="1">
      <c r="A279" s="61" t="s">
        <v>225</v>
      </c>
      <c r="B279" s="62"/>
      <c r="C279" s="62"/>
      <c r="D279" s="62"/>
      <c r="E279" s="62"/>
      <c r="F279" s="63"/>
      <c r="G279" s="64" t="s">
        <v>226</v>
      </c>
      <c r="H279" s="65"/>
      <c r="I279" s="66"/>
      <c r="J279" s="317">
        <f>J278*J276</f>
        <v>0.50213977802519028</v>
      </c>
      <c r="K279" s="68" t="s">
        <v>238</v>
      </c>
    </row>
    <row r="280" spans="1:11" ht="11" thickBo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</row>
    <row r="281" spans="1:11">
      <c r="A281" s="28" t="s">
        <v>248</v>
      </c>
      <c r="B281" s="29"/>
      <c r="C281" s="29"/>
      <c r="D281" s="29"/>
      <c r="E281" s="29"/>
      <c r="F281" s="29"/>
      <c r="G281" s="29"/>
      <c r="H281" s="29"/>
      <c r="I281" s="29"/>
      <c r="J281" s="29"/>
      <c r="K281" s="30"/>
    </row>
    <row r="282" spans="1:11">
      <c r="A282" s="31" t="s">
        <v>197</v>
      </c>
      <c r="B282" s="32" t="s">
        <v>198</v>
      </c>
      <c r="C282" s="32" t="s">
        <v>199</v>
      </c>
      <c r="D282" s="32" t="s">
        <v>200</v>
      </c>
      <c r="E282" s="32" t="s">
        <v>201</v>
      </c>
      <c r="F282" s="32" t="s">
        <v>202</v>
      </c>
      <c r="G282" s="32" t="s">
        <v>203</v>
      </c>
      <c r="H282" s="32" t="s">
        <v>204</v>
      </c>
      <c r="I282" s="32" t="s">
        <v>205</v>
      </c>
      <c r="J282" s="32" t="s">
        <v>206</v>
      </c>
      <c r="K282" s="33" t="s">
        <v>207</v>
      </c>
    </row>
    <row r="283" spans="1:11">
      <c r="A283" s="34" t="s">
        <v>208</v>
      </c>
      <c r="B283" s="35">
        <f>ID!I104</f>
        <v>0</v>
      </c>
      <c r="C283" s="36" t="s">
        <v>238</v>
      </c>
      <c r="D283" s="37" t="s">
        <v>210</v>
      </c>
      <c r="E283" s="37">
        <f>SQRT(3)</f>
        <v>1.7320508075688772</v>
      </c>
      <c r="F283" s="69">
        <f>B283/E283</f>
        <v>0</v>
      </c>
      <c r="G283" s="37">
        <v>2</v>
      </c>
      <c r="H283" s="37">
        <v>1</v>
      </c>
      <c r="I283" s="37">
        <f>F283*H283</f>
        <v>0</v>
      </c>
      <c r="J283" s="37">
        <f>I283^2</f>
        <v>0</v>
      </c>
      <c r="K283" s="38">
        <f>(J283^2)/G283</f>
        <v>0</v>
      </c>
    </row>
    <row r="284" spans="1:11">
      <c r="A284" s="39" t="s">
        <v>212</v>
      </c>
      <c r="B284" s="40">
        <f>'Data Sound Level Meter'!E30</f>
        <v>0.5</v>
      </c>
      <c r="C284" s="36" t="s">
        <v>238</v>
      </c>
      <c r="D284" s="36" t="s">
        <v>210</v>
      </c>
      <c r="E284" s="36">
        <v>2</v>
      </c>
      <c r="F284" s="70">
        <f>B284/E284</f>
        <v>0.25</v>
      </c>
      <c r="G284" s="42">
        <v>50</v>
      </c>
      <c r="H284" s="42">
        <v>1</v>
      </c>
      <c r="I284" s="41">
        <f>F284*H284</f>
        <v>0.25</v>
      </c>
      <c r="J284" s="41">
        <f>I284^2</f>
        <v>6.25E-2</v>
      </c>
      <c r="K284" s="43">
        <f>(J284^2)/G284</f>
        <v>7.8125000000000002E-5</v>
      </c>
    </row>
    <row r="285" spans="1:11">
      <c r="A285" s="34" t="s">
        <v>216</v>
      </c>
      <c r="B285" s="314">
        <v>0</v>
      </c>
      <c r="C285" s="36" t="s">
        <v>238</v>
      </c>
      <c r="D285" s="37" t="s">
        <v>215</v>
      </c>
      <c r="E285" s="37">
        <f>SQRT(3)</f>
        <v>1.7320508075688772</v>
      </c>
      <c r="F285" s="69">
        <f>B285/E285</f>
        <v>0</v>
      </c>
      <c r="G285" s="37">
        <v>50</v>
      </c>
      <c r="H285" s="37">
        <v>1</v>
      </c>
      <c r="I285" s="37">
        <f>F285*H285</f>
        <v>0</v>
      </c>
      <c r="J285" s="37">
        <f>I285^2</f>
        <v>0</v>
      </c>
      <c r="K285" s="38">
        <f>(J285^2)/G285</f>
        <v>0</v>
      </c>
    </row>
    <row r="286" spans="1:11" ht="10.5">
      <c r="A286" s="47" t="s">
        <v>218</v>
      </c>
      <c r="B286" s="48"/>
      <c r="C286" s="48"/>
      <c r="D286" s="48"/>
      <c r="E286" s="48"/>
      <c r="F286" s="48"/>
      <c r="G286" s="48"/>
      <c r="H286" s="48"/>
      <c r="I286" s="49"/>
      <c r="J286" s="50">
        <f>SUM(J283:J285)</f>
        <v>6.25E-2</v>
      </c>
      <c r="K286" s="51">
        <f>SUM(K283:K285)</f>
        <v>7.8125000000000002E-5</v>
      </c>
    </row>
    <row r="287" spans="1:11" ht="12.5">
      <c r="A287" s="47" t="s">
        <v>219</v>
      </c>
      <c r="B287" s="48"/>
      <c r="C287" s="48"/>
      <c r="D287" s="48"/>
      <c r="E287" s="48"/>
      <c r="F287" s="49"/>
      <c r="G287" s="52" t="s">
        <v>220</v>
      </c>
      <c r="H287" s="53"/>
      <c r="I287" s="54"/>
      <c r="J287" s="50">
        <f>SQRT(J286)</f>
        <v>0.25</v>
      </c>
      <c r="K287" s="51"/>
    </row>
    <row r="288" spans="1:11" ht="13.5">
      <c r="A288" s="47" t="s">
        <v>221</v>
      </c>
      <c r="B288" s="48"/>
      <c r="C288" s="48"/>
      <c r="D288" s="48"/>
      <c r="E288" s="48"/>
      <c r="F288" s="49"/>
      <c r="G288" s="55" t="s">
        <v>222</v>
      </c>
      <c r="H288" s="56"/>
      <c r="I288" s="57"/>
      <c r="J288" s="83">
        <f>J287^4/(K286)</f>
        <v>50</v>
      </c>
      <c r="K288" s="51"/>
    </row>
    <row r="289" spans="1:11" ht="10.5">
      <c r="A289" s="47" t="s">
        <v>223</v>
      </c>
      <c r="B289" s="48"/>
      <c r="C289" s="48"/>
      <c r="D289" s="48"/>
      <c r="E289" s="48"/>
      <c r="F289" s="49"/>
      <c r="G289" s="58" t="s">
        <v>224</v>
      </c>
      <c r="H289" s="59"/>
      <c r="I289" s="60"/>
      <c r="J289" s="50">
        <f>TINV(0.05,J288)</f>
        <v>2.0085591121007611</v>
      </c>
      <c r="K289" s="51"/>
    </row>
    <row r="290" spans="1:11" ht="11" thickBot="1">
      <c r="A290" s="61" t="s">
        <v>225</v>
      </c>
      <c r="B290" s="62"/>
      <c r="C290" s="62"/>
      <c r="D290" s="62"/>
      <c r="E290" s="62"/>
      <c r="F290" s="63"/>
      <c r="G290" s="64" t="s">
        <v>226</v>
      </c>
      <c r="H290" s="65"/>
      <c r="I290" s="66"/>
      <c r="J290" s="317">
        <f>J289*J287</f>
        <v>0.50213977802519028</v>
      </c>
      <c r="K290" s="68" t="s">
        <v>238</v>
      </c>
    </row>
    <row r="291" spans="1:11" ht="10.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</row>
    <row r="292" spans="1:11" hidden="1">
      <c r="A292" s="28" t="s">
        <v>249</v>
      </c>
      <c r="B292" s="29"/>
      <c r="C292" s="29"/>
      <c r="D292" s="29"/>
      <c r="E292" s="29"/>
      <c r="F292" s="29"/>
      <c r="G292" s="29"/>
      <c r="H292" s="29"/>
      <c r="I292" s="29"/>
      <c r="J292" s="29"/>
      <c r="K292" s="30"/>
    </row>
    <row r="293" spans="1:11" hidden="1">
      <c r="A293" s="31" t="s">
        <v>197</v>
      </c>
      <c r="B293" s="32" t="s">
        <v>198</v>
      </c>
      <c r="C293" s="32" t="s">
        <v>199</v>
      </c>
      <c r="D293" s="32" t="s">
        <v>200</v>
      </c>
      <c r="E293" s="32" t="s">
        <v>201</v>
      </c>
      <c r="F293" s="32" t="s">
        <v>202</v>
      </c>
      <c r="G293" s="32" t="s">
        <v>203</v>
      </c>
      <c r="H293" s="32" t="s">
        <v>204</v>
      </c>
      <c r="I293" s="32" t="s">
        <v>205</v>
      </c>
      <c r="J293" s="32" t="s">
        <v>206</v>
      </c>
      <c r="K293" s="33" t="s">
        <v>207</v>
      </c>
    </row>
    <row r="294" spans="1:11" hidden="1">
      <c r="A294" s="34" t="s">
        <v>208</v>
      </c>
      <c r="B294" s="35" t="e">
        <f>ID!I116</f>
        <v>#DIV/0!</v>
      </c>
      <c r="C294" s="36" t="s">
        <v>238</v>
      </c>
      <c r="D294" s="37" t="s">
        <v>210</v>
      </c>
      <c r="E294" s="37">
        <f>SQRT(3)</f>
        <v>1.7320508075688772</v>
      </c>
      <c r="F294" s="37" t="e">
        <f>B294/E294</f>
        <v>#DIV/0!</v>
      </c>
      <c r="G294" s="37">
        <v>5</v>
      </c>
      <c r="H294" s="37">
        <v>1</v>
      </c>
      <c r="I294" s="37" t="e">
        <f t="shared" ref="I294:I296" si="33">F294*H294</f>
        <v>#DIV/0!</v>
      </c>
      <c r="J294" s="37" t="e">
        <f t="shared" ref="J294:J296" si="34">I294^2</f>
        <v>#DIV/0!</v>
      </c>
      <c r="K294" s="38" t="e">
        <f t="shared" ref="K294:K296" si="35">(J294^2)/G294</f>
        <v>#DIV/0!</v>
      </c>
    </row>
    <row r="295" spans="1:11" hidden="1">
      <c r="A295" s="39" t="s">
        <v>212</v>
      </c>
      <c r="B295" s="41">
        <f>'Data Sound Level Meter'!E31</f>
        <v>0.25</v>
      </c>
      <c r="C295" s="36" t="s">
        <v>238</v>
      </c>
      <c r="D295" s="36" t="s">
        <v>210</v>
      </c>
      <c r="E295" s="36">
        <v>2</v>
      </c>
      <c r="F295" s="41">
        <f>B295/E295</f>
        <v>0.125</v>
      </c>
      <c r="G295" s="42">
        <v>50</v>
      </c>
      <c r="H295" s="42">
        <v>1</v>
      </c>
      <c r="I295" s="41">
        <f t="shared" si="33"/>
        <v>0.125</v>
      </c>
      <c r="J295" s="41">
        <f t="shared" si="34"/>
        <v>1.5625E-2</v>
      </c>
      <c r="K295" s="43">
        <f t="shared" si="35"/>
        <v>4.8828125000000001E-6</v>
      </c>
    </row>
    <row r="296" spans="1:11" hidden="1">
      <c r="A296" s="34" t="s">
        <v>216</v>
      </c>
      <c r="B296" s="314">
        <v>0</v>
      </c>
      <c r="C296" s="36" t="s">
        <v>238</v>
      </c>
      <c r="D296" s="37" t="s">
        <v>215</v>
      </c>
      <c r="E296" s="37">
        <f>SQRT(3)</f>
        <v>1.7320508075688772</v>
      </c>
      <c r="F296" s="37">
        <f>B296/E296</f>
        <v>0</v>
      </c>
      <c r="G296" s="37">
        <v>50</v>
      </c>
      <c r="H296" s="37">
        <v>1</v>
      </c>
      <c r="I296" s="37">
        <f t="shared" si="33"/>
        <v>0</v>
      </c>
      <c r="J296" s="37">
        <f t="shared" si="34"/>
        <v>0</v>
      </c>
      <c r="K296" s="38">
        <f t="shared" si="35"/>
        <v>0</v>
      </c>
    </row>
    <row r="297" spans="1:11" ht="10.5" hidden="1">
      <c r="A297" s="47" t="s">
        <v>218</v>
      </c>
      <c r="B297" s="48"/>
      <c r="C297" s="48"/>
      <c r="D297" s="48"/>
      <c r="E297" s="48"/>
      <c r="F297" s="48"/>
      <c r="G297" s="48"/>
      <c r="H297" s="48"/>
      <c r="I297" s="49"/>
      <c r="J297" s="50" t="e">
        <f>SUM(J294:J296)</f>
        <v>#DIV/0!</v>
      </c>
      <c r="K297" s="51" t="e">
        <f>SUM(K294:K296)</f>
        <v>#DIV/0!</v>
      </c>
    </row>
    <row r="298" spans="1:11" ht="12.5" hidden="1">
      <c r="A298" s="47" t="s">
        <v>219</v>
      </c>
      <c r="B298" s="48"/>
      <c r="C298" s="48"/>
      <c r="D298" s="48"/>
      <c r="E298" s="48"/>
      <c r="F298" s="49"/>
      <c r="G298" s="52" t="s">
        <v>220</v>
      </c>
      <c r="H298" s="53"/>
      <c r="I298" s="54"/>
      <c r="J298" s="50" t="e">
        <f>SQRT(J297)</f>
        <v>#DIV/0!</v>
      </c>
      <c r="K298" s="51"/>
    </row>
    <row r="299" spans="1:11" ht="13.5" hidden="1">
      <c r="A299" s="47" t="s">
        <v>221</v>
      </c>
      <c r="B299" s="48"/>
      <c r="C299" s="48"/>
      <c r="D299" s="48"/>
      <c r="E299" s="48"/>
      <c r="F299" s="49"/>
      <c r="G299" s="55" t="s">
        <v>222</v>
      </c>
      <c r="H299" s="56"/>
      <c r="I299" s="57"/>
      <c r="J299" s="50" t="e">
        <f>J298^4/(K297)</f>
        <v>#DIV/0!</v>
      </c>
      <c r="K299" s="51"/>
    </row>
    <row r="300" spans="1:11" ht="10.5" hidden="1">
      <c r="A300" s="47" t="s">
        <v>223</v>
      </c>
      <c r="B300" s="48"/>
      <c r="C300" s="48"/>
      <c r="D300" s="48"/>
      <c r="E300" s="48"/>
      <c r="F300" s="49"/>
      <c r="G300" s="58" t="s">
        <v>224</v>
      </c>
      <c r="H300" s="59"/>
      <c r="I300" s="60"/>
      <c r="J300" s="50" t="e">
        <f>TINV(0.05,J299)</f>
        <v>#DIV/0!</v>
      </c>
      <c r="K300" s="51"/>
    </row>
    <row r="301" spans="1:11" ht="11" hidden="1" thickBot="1">
      <c r="A301" s="61" t="s">
        <v>225</v>
      </c>
      <c r="B301" s="62"/>
      <c r="C301" s="62"/>
      <c r="D301" s="62"/>
      <c r="E301" s="62"/>
      <c r="F301" s="63"/>
      <c r="G301" s="64" t="s">
        <v>226</v>
      </c>
      <c r="H301" s="65"/>
      <c r="I301" s="66"/>
      <c r="J301" s="316" t="e">
        <f>J300*J298</f>
        <v>#DIV/0!</v>
      </c>
      <c r="K301" s="68" t="s">
        <v>250</v>
      </c>
    </row>
    <row r="302" spans="1:11" ht="11" hidden="1" thickBo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</row>
    <row r="303" spans="1:11" hidden="1">
      <c r="A303" s="28" t="s">
        <v>251</v>
      </c>
      <c r="B303" s="29"/>
      <c r="C303" s="29"/>
      <c r="D303" s="29"/>
      <c r="E303" s="29"/>
      <c r="F303" s="29"/>
      <c r="G303" s="29"/>
      <c r="H303" s="29"/>
      <c r="I303" s="29"/>
      <c r="J303" s="29"/>
      <c r="K303" s="30"/>
    </row>
    <row r="304" spans="1:11" hidden="1">
      <c r="A304" s="31" t="s">
        <v>197</v>
      </c>
      <c r="B304" s="32" t="s">
        <v>198</v>
      </c>
      <c r="C304" s="32" t="s">
        <v>199</v>
      </c>
      <c r="D304" s="32" t="s">
        <v>200</v>
      </c>
      <c r="E304" s="32" t="s">
        <v>201</v>
      </c>
      <c r="F304" s="32" t="s">
        <v>202</v>
      </c>
      <c r="G304" s="32" t="s">
        <v>203</v>
      </c>
      <c r="H304" s="32" t="s">
        <v>204</v>
      </c>
      <c r="I304" s="32" t="s">
        <v>205</v>
      </c>
      <c r="J304" s="32" t="s">
        <v>206</v>
      </c>
      <c r="K304" s="33" t="s">
        <v>207</v>
      </c>
    </row>
    <row r="305" spans="1:11" hidden="1">
      <c r="A305" s="34" t="s">
        <v>208</v>
      </c>
      <c r="B305" s="35" t="e">
        <f>ID!I117</f>
        <v>#DIV/0!</v>
      </c>
      <c r="C305" s="36" t="s">
        <v>238</v>
      </c>
      <c r="D305" s="37" t="s">
        <v>210</v>
      </c>
      <c r="E305" s="37">
        <f>SQRT(3)</f>
        <v>1.7320508075688772</v>
      </c>
      <c r="F305" s="69" t="e">
        <f>B305/E305</f>
        <v>#DIV/0!</v>
      </c>
      <c r="G305" s="37">
        <v>5</v>
      </c>
      <c r="H305" s="37">
        <v>1</v>
      </c>
      <c r="I305" s="37" t="e">
        <f t="shared" ref="I305:I307" si="36">F305*H305</f>
        <v>#DIV/0!</v>
      </c>
      <c r="J305" s="37" t="e">
        <f t="shared" ref="J305:J307" si="37">I305^2</f>
        <v>#DIV/0!</v>
      </c>
      <c r="K305" s="38" t="e">
        <f t="shared" ref="K305:K307" si="38">(J305^2)/G305</f>
        <v>#DIV/0!</v>
      </c>
    </row>
    <row r="306" spans="1:11" hidden="1">
      <c r="A306" s="39" t="s">
        <v>212</v>
      </c>
      <c r="B306" s="41">
        <f>'Data Sound Level Meter'!E31</f>
        <v>0.25</v>
      </c>
      <c r="C306" s="36" t="s">
        <v>238</v>
      </c>
      <c r="D306" s="36" t="s">
        <v>210</v>
      </c>
      <c r="E306" s="36">
        <v>2</v>
      </c>
      <c r="F306" s="70">
        <f>B306/E306</f>
        <v>0.125</v>
      </c>
      <c r="G306" s="42">
        <v>50</v>
      </c>
      <c r="H306" s="42">
        <v>1</v>
      </c>
      <c r="I306" s="41">
        <f t="shared" si="36"/>
        <v>0.125</v>
      </c>
      <c r="J306" s="41">
        <f t="shared" si="37"/>
        <v>1.5625E-2</v>
      </c>
      <c r="K306" s="43">
        <f t="shared" si="38"/>
        <v>4.8828125000000001E-6</v>
      </c>
    </row>
    <row r="307" spans="1:11" hidden="1">
      <c r="A307" s="34" t="s">
        <v>216</v>
      </c>
      <c r="B307" s="314">
        <v>0</v>
      </c>
      <c r="C307" s="36" t="s">
        <v>238</v>
      </c>
      <c r="D307" s="37" t="s">
        <v>215</v>
      </c>
      <c r="E307" s="37">
        <f>SQRT(3)</f>
        <v>1.7320508075688772</v>
      </c>
      <c r="F307" s="69">
        <f>B307/E307</f>
        <v>0</v>
      </c>
      <c r="G307" s="37">
        <v>50</v>
      </c>
      <c r="H307" s="37">
        <v>1</v>
      </c>
      <c r="I307" s="37">
        <f t="shared" si="36"/>
        <v>0</v>
      </c>
      <c r="J307" s="37">
        <f t="shared" si="37"/>
        <v>0</v>
      </c>
      <c r="K307" s="38">
        <f t="shared" si="38"/>
        <v>0</v>
      </c>
    </row>
    <row r="308" spans="1:11" ht="10.5" hidden="1">
      <c r="A308" s="47" t="s">
        <v>218</v>
      </c>
      <c r="B308" s="48"/>
      <c r="C308" s="48"/>
      <c r="D308" s="48"/>
      <c r="E308" s="48"/>
      <c r="F308" s="48"/>
      <c r="G308" s="48"/>
      <c r="H308" s="48"/>
      <c r="I308" s="49"/>
      <c r="J308" s="50" t="e">
        <f>SUM(J305:J307)</f>
        <v>#DIV/0!</v>
      </c>
      <c r="K308" s="51" t="e">
        <f>SUM(K305:K307)</f>
        <v>#DIV/0!</v>
      </c>
    </row>
    <row r="309" spans="1:11" ht="12.5" hidden="1">
      <c r="A309" s="47" t="s">
        <v>219</v>
      </c>
      <c r="B309" s="48"/>
      <c r="C309" s="48"/>
      <c r="D309" s="48"/>
      <c r="E309" s="48"/>
      <c r="F309" s="49"/>
      <c r="G309" s="52" t="s">
        <v>220</v>
      </c>
      <c r="H309" s="53"/>
      <c r="I309" s="54"/>
      <c r="J309" s="50" t="e">
        <f>SQRT(J308)</f>
        <v>#DIV/0!</v>
      </c>
      <c r="K309" s="51"/>
    </row>
    <row r="310" spans="1:11" ht="13.5" hidden="1">
      <c r="A310" s="47" t="s">
        <v>221</v>
      </c>
      <c r="B310" s="48"/>
      <c r="C310" s="48"/>
      <c r="D310" s="48"/>
      <c r="E310" s="48"/>
      <c r="F310" s="49"/>
      <c r="G310" s="55" t="s">
        <v>222</v>
      </c>
      <c r="H310" s="56"/>
      <c r="I310" s="57"/>
      <c r="J310" s="50" t="e">
        <f>J309^4/(K308)</f>
        <v>#DIV/0!</v>
      </c>
      <c r="K310" s="51"/>
    </row>
    <row r="311" spans="1:11" ht="10.5" hidden="1">
      <c r="A311" s="47" t="s">
        <v>223</v>
      </c>
      <c r="B311" s="48"/>
      <c r="C311" s="48"/>
      <c r="D311" s="48"/>
      <c r="E311" s="48"/>
      <c r="F311" s="49"/>
      <c r="G311" s="58" t="s">
        <v>224</v>
      </c>
      <c r="H311" s="59"/>
      <c r="I311" s="60"/>
      <c r="J311" s="50" t="e">
        <f>TINV(0.05,J310)</f>
        <v>#DIV/0!</v>
      </c>
      <c r="K311" s="51"/>
    </row>
    <row r="312" spans="1:11" ht="11" hidden="1" thickBot="1">
      <c r="A312" s="61" t="s">
        <v>225</v>
      </c>
      <c r="B312" s="62"/>
      <c r="C312" s="62"/>
      <c r="D312" s="62"/>
      <c r="E312" s="62"/>
      <c r="F312" s="63"/>
      <c r="G312" s="64" t="s">
        <v>226</v>
      </c>
      <c r="H312" s="65"/>
      <c r="I312" s="66"/>
      <c r="J312" s="316" t="e">
        <f>J311*J309</f>
        <v>#DIV/0!</v>
      </c>
      <c r="K312" s="68" t="s">
        <v>250</v>
      </c>
    </row>
    <row r="313" spans="1:11" ht="11" hidden="1" thickBot="1">
      <c r="A313" s="71"/>
      <c r="B313" s="72"/>
      <c r="C313" s="73"/>
      <c r="D313" s="73"/>
      <c r="E313" s="71"/>
      <c r="F313" s="74"/>
      <c r="G313" s="74"/>
      <c r="H313" s="74"/>
      <c r="I313" s="74"/>
      <c r="J313" s="74"/>
      <c r="K313" s="75"/>
    </row>
    <row r="314" spans="1:11" hidden="1">
      <c r="A314" s="28" t="s">
        <v>252</v>
      </c>
      <c r="B314" s="29"/>
      <c r="C314" s="29"/>
      <c r="D314" s="29"/>
      <c r="E314" s="29"/>
      <c r="F314" s="29"/>
      <c r="G314" s="29"/>
      <c r="H314" s="29"/>
      <c r="I314" s="29"/>
      <c r="J314" s="29"/>
      <c r="K314" s="30"/>
    </row>
    <row r="315" spans="1:11" hidden="1">
      <c r="A315" s="31" t="s">
        <v>197</v>
      </c>
      <c r="B315" s="32" t="s">
        <v>198</v>
      </c>
      <c r="C315" s="32" t="s">
        <v>199</v>
      </c>
      <c r="D315" s="32" t="s">
        <v>200</v>
      </c>
      <c r="E315" s="32" t="s">
        <v>201</v>
      </c>
      <c r="F315" s="32" t="s">
        <v>202</v>
      </c>
      <c r="G315" s="32" t="s">
        <v>203</v>
      </c>
      <c r="H315" s="32" t="s">
        <v>204</v>
      </c>
      <c r="I315" s="32" t="s">
        <v>205</v>
      </c>
      <c r="J315" s="32" t="s">
        <v>206</v>
      </c>
      <c r="K315" s="33" t="s">
        <v>207</v>
      </c>
    </row>
    <row r="316" spans="1:11" hidden="1">
      <c r="A316" s="34" t="s">
        <v>208</v>
      </c>
      <c r="B316" s="35" t="e">
        <f>ID!I118</f>
        <v>#DIV/0!</v>
      </c>
      <c r="C316" s="36" t="s">
        <v>238</v>
      </c>
      <c r="D316" s="37" t="s">
        <v>210</v>
      </c>
      <c r="E316" s="37">
        <f>SQRT(3)</f>
        <v>1.7320508075688772</v>
      </c>
      <c r="F316" s="69" t="e">
        <f>B316/E316</f>
        <v>#DIV/0!</v>
      </c>
      <c r="G316" s="37">
        <v>5</v>
      </c>
      <c r="H316" s="37">
        <v>1</v>
      </c>
      <c r="I316" s="37" t="e">
        <f t="shared" ref="I316:I318" si="39">F316*H316</f>
        <v>#DIV/0!</v>
      </c>
      <c r="J316" s="37" t="e">
        <f t="shared" ref="J316:J318" si="40">I316^2</f>
        <v>#DIV/0!</v>
      </c>
      <c r="K316" s="38" t="e">
        <f t="shared" ref="K316:K318" si="41">(J316^2)/G316</f>
        <v>#DIV/0!</v>
      </c>
    </row>
    <row r="317" spans="1:11" hidden="1">
      <c r="A317" s="39" t="s">
        <v>212</v>
      </c>
      <c r="B317" s="41">
        <f>'Data Sound Level Meter'!E31</f>
        <v>0.25</v>
      </c>
      <c r="C317" s="36" t="s">
        <v>238</v>
      </c>
      <c r="D317" s="36" t="s">
        <v>210</v>
      </c>
      <c r="E317" s="36">
        <v>2</v>
      </c>
      <c r="F317" s="70">
        <f>B317/E317</f>
        <v>0.125</v>
      </c>
      <c r="G317" s="42">
        <v>50</v>
      </c>
      <c r="H317" s="42">
        <v>1</v>
      </c>
      <c r="I317" s="41">
        <f t="shared" si="39"/>
        <v>0.125</v>
      </c>
      <c r="J317" s="41">
        <f t="shared" si="40"/>
        <v>1.5625E-2</v>
      </c>
      <c r="K317" s="43">
        <f t="shared" si="41"/>
        <v>4.8828125000000001E-6</v>
      </c>
    </row>
    <row r="318" spans="1:11" hidden="1">
      <c r="A318" s="34" t="s">
        <v>216</v>
      </c>
      <c r="B318" s="314">
        <v>0</v>
      </c>
      <c r="C318" s="36" t="s">
        <v>238</v>
      </c>
      <c r="D318" s="37" t="s">
        <v>215</v>
      </c>
      <c r="E318" s="37">
        <f>SQRT(3)</f>
        <v>1.7320508075688772</v>
      </c>
      <c r="F318" s="69">
        <f>B318/E318</f>
        <v>0</v>
      </c>
      <c r="G318" s="37">
        <v>50</v>
      </c>
      <c r="H318" s="37">
        <v>1</v>
      </c>
      <c r="I318" s="37">
        <f t="shared" si="39"/>
        <v>0</v>
      </c>
      <c r="J318" s="37">
        <f t="shared" si="40"/>
        <v>0</v>
      </c>
      <c r="K318" s="38">
        <f t="shared" si="41"/>
        <v>0</v>
      </c>
    </row>
    <row r="319" spans="1:11" ht="10.5" hidden="1">
      <c r="A319" s="47" t="s">
        <v>218</v>
      </c>
      <c r="B319" s="48"/>
      <c r="C319" s="48"/>
      <c r="D319" s="48"/>
      <c r="E319" s="48"/>
      <c r="F319" s="48"/>
      <c r="G319" s="48"/>
      <c r="H319" s="48"/>
      <c r="I319" s="49"/>
      <c r="J319" s="50" t="e">
        <f>SUM(J316:J318)</f>
        <v>#DIV/0!</v>
      </c>
      <c r="K319" s="51" t="e">
        <f>SUM(K316:K318)</f>
        <v>#DIV/0!</v>
      </c>
    </row>
    <row r="320" spans="1:11" ht="12.5" hidden="1">
      <c r="A320" s="47" t="s">
        <v>219</v>
      </c>
      <c r="B320" s="48"/>
      <c r="C320" s="48"/>
      <c r="D320" s="48"/>
      <c r="E320" s="48"/>
      <c r="F320" s="49"/>
      <c r="G320" s="52" t="s">
        <v>220</v>
      </c>
      <c r="H320" s="53"/>
      <c r="I320" s="54"/>
      <c r="J320" s="50" t="e">
        <f>SQRT(J319)</f>
        <v>#DIV/0!</v>
      </c>
      <c r="K320" s="51"/>
    </row>
    <row r="321" spans="1:11" ht="13.5" hidden="1">
      <c r="A321" s="47" t="s">
        <v>221</v>
      </c>
      <c r="B321" s="48"/>
      <c r="C321" s="48"/>
      <c r="D321" s="48"/>
      <c r="E321" s="48"/>
      <c r="F321" s="49"/>
      <c r="G321" s="55" t="s">
        <v>222</v>
      </c>
      <c r="H321" s="56"/>
      <c r="I321" s="57"/>
      <c r="J321" s="50" t="e">
        <f>J320^4/(K319)</f>
        <v>#DIV/0!</v>
      </c>
      <c r="K321" s="51"/>
    </row>
    <row r="322" spans="1:11" ht="10.5" hidden="1">
      <c r="A322" s="47" t="s">
        <v>223</v>
      </c>
      <c r="B322" s="48"/>
      <c r="C322" s="48"/>
      <c r="D322" s="48"/>
      <c r="E322" s="48"/>
      <c r="F322" s="49"/>
      <c r="G322" s="58" t="s">
        <v>224</v>
      </c>
      <c r="H322" s="59"/>
      <c r="I322" s="60"/>
      <c r="J322" s="50" t="e">
        <f>TINV(0.05,J321)</f>
        <v>#DIV/0!</v>
      </c>
      <c r="K322" s="51"/>
    </row>
    <row r="323" spans="1:11" ht="11" hidden="1" thickBot="1">
      <c r="A323" s="61" t="s">
        <v>225</v>
      </c>
      <c r="B323" s="62"/>
      <c r="C323" s="62"/>
      <c r="D323" s="62"/>
      <c r="E323" s="62"/>
      <c r="F323" s="63"/>
      <c r="G323" s="64" t="s">
        <v>226</v>
      </c>
      <c r="H323" s="65"/>
      <c r="I323" s="66"/>
      <c r="J323" s="316" t="e">
        <f>J322*J320</f>
        <v>#DIV/0!</v>
      </c>
      <c r="K323" s="68" t="s">
        <v>250</v>
      </c>
    </row>
    <row r="324" spans="1:11" ht="11" hidden="1" thickBot="1">
      <c r="A324" s="76"/>
      <c r="B324" s="76"/>
      <c r="C324" s="77"/>
      <c r="D324" s="77"/>
      <c r="E324" s="77"/>
      <c r="F324" s="77"/>
      <c r="G324" s="78"/>
      <c r="H324" s="77"/>
      <c r="I324" s="77"/>
      <c r="J324" s="44"/>
      <c r="K324" s="77"/>
    </row>
    <row r="325" spans="1:11" hidden="1">
      <c r="A325" s="28" t="s">
        <v>253</v>
      </c>
      <c r="B325" s="29"/>
      <c r="C325" s="29"/>
      <c r="D325" s="29"/>
      <c r="E325" s="29"/>
      <c r="F325" s="29"/>
      <c r="G325" s="29"/>
      <c r="H325" s="29"/>
      <c r="I325" s="29"/>
      <c r="J325" s="29"/>
      <c r="K325" s="30"/>
    </row>
    <row r="326" spans="1:11" hidden="1">
      <c r="A326" s="31" t="s">
        <v>197</v>
      </c>
      <c r="B326" s="32" t="s">
        <v>198</v>
      </c>
      <c r="C326" s="32" t="s">
        <v>199</v>
      </c>
      <c r="D326" s="32" t="s">
        <v>200</v>
      </c>
      <c r="E326" s="32" t="s">
        <v>201</v>
      </c>
      <c r="F326" s="32" t="s">
        <v>202</v>
      </c>
      <c r="G326" s="32" t="s">
        <v>203</v>
      </c>
      <c r="H326" s="32" t="s">
        <v>204</v>
      </c>
      <c r="I326" s="32" t="s">
        <v>205</v>
      </c>
      <c r="J326" s="32" t="s">
        <v>206</v>
      </c>
      <c r="K326" s="33" t="s">
        <v>207</v>
      </c>
    </row>
    <row r="327" spans="1:11" hidden="1">
      <c r="A327" s="34" t="s">
        <v>208</v>
      </c>
      <c r="B327" s="35" t="e">
        <f>ID!I119</f>
        <v>#DIV/0!</v>
      </c>
      <c r="C327" s="36" t="s">
        <v>238</v>
      </c>
      <c r="D327" s="37" t="s">
        <v>210</v>
      </c>
      <c r="E327" s="37">
        <f>SQRT(3)</f>
        <v>1.7320508075688772</v>
      </c>
      <c r="F327" s="69" t="e">
        <f>B327/E327</f>
        <v>#DIV/0!</v>
      </c>
      <c r="G327" s="37">
        <v>5</v>
      </c>
      <c r="H327" s="37">
        <v>1</v>
      </c>
      <c r="I327" s="37" t="e">
        <f t="shared" ref="I327:I329" si="42">F327*H327</f>
        <v>#DIV/0!</v>
      </c>
      <c r="J327" s="37" t="e">
        <f t="shared" ref="J327:J329" si="43">I327^2</f>
        <v>#DIV/0!</v>
      </c>
      <c r="K327" s="38" t="e">
        <f t="shared" ref="K327:K329" si="44">(J327^2)/G327</f>
        <v>#DIV/0!</v>
      </c>
    </row>
    <row r="328" spans="1:11" hidden="1">
      <c r="A328" s="39" t="s">
        <v>212</v>
      </c>
      <c r="B328" s="41">
        <f>'Data Sound Level Meter'!E31</f>
        <v>0.25</v>
      </c>
      <c r="C328" s="36" t="s">
        <v>238</v>
      </c>
      <c r="D328" s="36" t="s">
        <v>210</v>
      </c>
      <c r="E328" s="36">
        <v>2</v>
      </c>
      <c r="F328" s="70">
        <f>B328/E328</f>
        <v>0.125</v>
      </c>
      <c r="G328" s="42">
        <v>50</v>
      </c>
      <c r="H328" s="42">
        <v>1</v>
      </c>
      <c r="I328" s="41">
        <f t="shared" si="42"/>
        <v>0.125</v>
      </c>
      <c r="J328" s="41">
        <f t="shared" si="43"/>
        <v>1.5625E-2</v>
      </c>
      <c r="K328" s="43">
        <f t="shared" si="44"/>
        <v>4.8828125000000001E-6</v>
      </c>
    </row>
    <row r="329" spans="1:11" hidden="1">
      <c r="A329" s="34" t="s">
        <v>216</v>
      </c>
      <c r="B329" s="314">
        <v>0</v>
      </c>
      <c r="C329" s="36" t="s">
        <v>238</v>
      </c>
      <c r="D329" s="37" t="s">
        <v>215</v>
      </c>
      <c r="E329" s="37">
        <f>SQRT(3)</f>
        <v>1.7320508075688772</v>
      </c>
      <c r="F329" s="69">
        <f>B329/E329</f>
        <v>0</v>
      </c>
      <c r="G329" s="37">
        <v>50</v>
      </c>
      <c r="H329" s="37">
        <v>1</v>
      </c>
      <c r="I329" s="37">
        <f t="shared" si="42"/>
        <v>0</v>
      </c>
      <c r="J329" s="37">
        <f t="shared" si="43"/>
        <v>0</v>
      </c>
      <c r="K329" s="38">
        <f t="shared" si="44"/>
        <v>0</v>
      </c>
    </row>
    <row r="330" spans="1:11" ht="10.5" hidden="1">
      <c r="A330" s="47" t="s">
        <v>218</v>
      </c>
      <c r="B330" s="48"/>
      <c r="C330" s="48"/>
      <c r="D330" s="48"/>
      <c r="E330" s="48"/>
      <c r="F330" s="48"/>
      <c r="G330" s="48"/>
      <c r="H330" s="48"/>
      <c r="I330" s="49"/>
      <c r="J330" s="50" t="e">
        <f>SUM(J327:J329)</f>
        <v>#DIV/0!</v>
      </c>
      <c r="K330" s="51" t="e">
        <f>SUM(K327:K329)</f>
        <v>#DIV/0!</v>
      </c>
    </row>
    <row r="331" spans="1:11" ht="12.5" hidden="1">
      <c r="A331" s="47" t="s">
        <v>219</v>
      </c>
      <c r="B331" s="48"/>
      <c r="C331" s="48"/>
      <c r="D331" s="48"/>
      <c r="E331" s="48"/>
      <c r="F331" s="49"/>
      <c r="G331" s="52" t="s">
        <v>220</v>
      </c>
      <c r="H331" s="53"/>
      <c r="I331" s="54"/>
      <c r="J331" s="50" t="e">
        <f>SQRT(J330)</f>
        <v>#DIV/0!</v>
      </c>
      <c r="K331" s="51"/>
    </row>
    <row r="332" spans="1:11" ht="13.5" hidden="1">
      <c r="A332" s="47" t="s">
        <v>221</v>
      </c>
      <c r="B332" s="48"/>
      <c r="C332" s="48"/>
      <c r="D332" s="48"/>
      <c r="E332" s="48"/>
      <c r="F332" s="49"/>
      <c r="G332" s="55" t="s">
        <v>222</v>
      </c>
      <c r="H332" s="56"/>
      <c r="I332" s="57"/>
      <c r="J332" s="50" t="e">
        <f>J331^4/(K330)</f>
        <v>#DIV/0!</v>
      </c>
      <c r="K332" s="51"/>
    </row>
    <row r="333" spans="1:11" ht="10.5" hidden="1">
      <c r="A333" s="47" t="s">
        <v>223</v>
      </c>
      <c r="B333" s="48"/>
      <c r="C333" s="48"/>
      <c r="D333" s="48"/>
      <c r="E333" s="48"/>
      <c r="F333" s="49"/>
      <c r="G333" s="58" t="s">
        <v>224</v>
      </c>
      <c r="H333" s="59"/>
      <c r="I333" s="60"/>
      <c r="J333" s="50" t="e">
        <f>TINV(0.05,J332)</f>
        <v>#DIV/0!</v>
      </c>
      <c r="K333" s="51"/>
    </row>
    <row r="334" spans="1:11" ht="11" hidden="1" thickBot="1">
      <c r="A334" s="61" t="s">
        <v>225</v>
      </c>
      <c r="B334" s="62"/>
      <c r="C334" s="62"/>
      <c r="D334" s="62"/>
      <c r="E334" s="62"/>
      <c r="F334" s="63"/>
      <c r="G334" s="64" t="s">
        <v>226</v>
      </c>
      <c r="H334" s="65"/>
      <c r="I334" s="66"/>
      <c r="J334" s="316" t="e">
        <f>J333*J331</f>
        <v>#DIV/0!</v>
      </c>
      <c r="K334" s="68" t="s">
        <v>250</v>
      </c>
    </row>
    <row r="335" spans="1:11" ht="11" hidden="1" thickBo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</row>
    <row r="336" spans="1:11" hidden="1">
      <c r="A336" s="28" t="s">
        <v>254</v>
      </c>
      <c r="B336" s="29"/>
      <c r="C336" s="29"/>
      <c r="D336" s="29"/>
      <c r="E336" s="29"/>
      <c r="F336" s="29"/>
      <c r="G336" s="29"/>
      <c r="H336" s="29"/>
      <c r="I336" s="29"/>
      <c r="J336" s="29"/>
      <c r="K336" s="30"/>
    </row>
    <row r="337" spans="1:11" hidden="1">
      <c r="A337" s="31" t="s">
        <v>197</v>
      </c>
      <c r="B337" s="32" t="s">
        <v>198</v>
      </c>
      <c r="C337" s="32" t="s">
        <v>199</v>
      </c>
      <c r="D337" s="32" t="s">
        <v>200</v>
      </c>
      <c r="E337" s="32" t="s">
        <v>201</v>
      </c>
      <c r="F337" s="32" t="s">
        <v>202</v>
      </c>
      <c r="G337" s="32" t="s">
        <v>203</v>
      </c>
      <c r="H337" s="32" t="s">
        <v>204</v>
      </c>
      <c r="I337" s="32" t="s">
        <v>205</v>
      </c>
      <c r="J337" s="32" t="s">
        <v>206</v>
      </c>
      <c r="K337" s="33" t="s">
        <v>207</v>
      </c>
    </row>
    <row r="338" spans="1:11" hidden="1">
      <c r="A338" s="34" t="s">
        <v>208</v>
      </c>
      <c r="B338" s="35" t="e">
        <f>ID!I120</f>
        <v>#DIV/0!</v>
      </c>
      <c r="C338" s="36" t="s">
        <v>238</v>
      </c>
      <c r="D338" s="37" t="s">
        <v>210</v>
      </c>
      <c r="E338" s="37">
        <f>SQRT(3)</f>
        <v>1.7320508075688772</v>
      </c>
      <c r="F338" s="69" t="e">
        <f>B338/E338</f>
        <v>#DIV/0!</v>
      </c>
      <c r="G338" s="37">
        <v>5</v>
      </c>
      <c r="H338" s="37">
        <v>1</v>
      </c>
      <c r="I338" s="37" t="e">
        <f t="shared" ref="I338:I340" si="45">F338*H338</f>
        <v>#DIV/0!</v>
      </c>
      <c r="J338" s="37" t="e">
        <f t="shared" ref="J338:J340" si="46">I338^2</f>
        <v>#DIV/0!</v>
      </c>
      <c r="K338" s="38" t="e">
        <f t="shared" ref="K338:K340" si="47">(J338^2)/G338</f>
        <v>#DIV/0!</v>
      </c>
    </row>
    <row r="339" spans="1:11" hidden="1">
      <c r="A339" s="39" t="s">
        <v>212</v>
      </c>
      <c r="B339" s="41">
        <f>'Data Sound Level Meter'!E31</f>
        <v>0.25</v>
      </c>
      <c r="C339" s="36" t="s">
        <v>238</v>
      </c>
      <c r="D339" s="36" t="s">
        <v>210</v>
      </c>
      <c r="E339" s="36">
        <v>2</v>
      </c>
      <c r="F339" s="70">
        <f>B339/E339</f>
        <v>0.125</v>
      </c>
      <c r="G339" s="42">
        <v>50</v>
      </c>
      <c r="H339" s="42">
        <v>1</v>
      </c>
      <c r="I339" s="41">
        <f t="shared" si="45"/>
        <v>0.125</v>
      </c>
      <c r="J339" s="41">
        <f t="shared" si="46"/>
        <v>1.5625E-2</v>
      </c>
      <c r="K339" s="43">
        <f t="shared" si="47"/>
        <v>4.8828125000000001E-6</v>
      </c>
    </row>
    <row r="340" spans="1:11" hidden="1">
      <c r="A340" s="34" t="s">
        <v>216</v>
      </c>
      <c r="B340" s="314">
        <v>0</v>
      </c>
      <c r="C340" s="36" t="s">
        <v>238</v>
      </c>
      <c r="D340" s="37" t="s">
        <v>215</v>
      </c>
      <c r="E340" s="37">
        <f>SQRT(3)</f>
        <v>1.7320508075688772</v>
      </c>
      <c r="F340" s="69">
        <f>B340/E340</f>
        <v>0</v>
      </c>
      <c r="G340" s="37">
        <v>50</v>
      </c>
      <c r="H340" s="37">
        <v>1</v>
      </c>
      <c r="I340" s="37">
        <f t="shared" si="45"/>
        <v>0</v>
      </c>
      <c r="J340" s="37">
        <f t="shared" si="46"/>
        <v>0</v>
      </c>
      <c r="K340" s="38">
        <f t="shared" si="47"/>
        <v>0</v>
      </c>
    </row>
    <row r="341" spans="1:11" ht="10.5" hidden="1">
      <c r="A341" s="47" t="s">
        <v>218</v>
      </c>
      <c r="B341" s="48"/>
      <c r="C341" s="48"/>
      <c r="D341" s="48"/>
      <c r="E341" s="48"/>
      <c r="F341" s="48"/>
      <c r="G341" s="48"/>
      <c r="H341" s="48"/>
      <c r="I341" s="49"/>
      <c r="J341" s="50" t="e">
        <f>SUM(J338:J340)</f>
        <v>#DIV/0!</v>
      </c>
      <c r="K341" s="51" t="e">
        <f>SUM(K338:K340)</f>
        <v>#DIV/0!</v>
      </c>
    </row>
    <row r="342" spans="1:11" ht="12.5" hidden="1">
      <c r="A342" s="47" t="s">
        <v>219</v>
      </c>
      <c r="B342" s="48"/>
      <c r="C342" s="48"/>
      <c r="D342" s="48"/>
      <c r="E342" s="48"/>
      <c r="F342" s="49"/>
      <c r="G342" s="52" t="s">
        <v>220</v>
      </c>
      <c r="H342" s="53"/>
      <c r="I342" s="54"/>
      <c r="J342" s="50" t="e">
        <f>SQRT(J341)</f>
        <v>#DIV/0!</v>
      </c>
      <c r="K342" s="51"/>
    </row>
    <row r="343" spans="1:11" ht="13.5" hidden="1">
      <c r="A343" s="47" t="s">
        <v>221</v>
      </c>
      <c r="B343" s="48"/>
      <c r="C343" s="48"/>
      <c r="D343" s="48"/>
      <c r="E343" s="48"/>
      <c r="F343" s="49"/>
      <c r="G343" s="55" t="s">
        <v>222</v>
      </c>
      <c r="H343" s="56"/>
      <c r="I343" s="57"/>
      <c r="J343" s="50" t="e">
        <f>J342^4/(K341)</f>
        <v>#DIV/0!</v>
      </c>
      <c r="K343" s="51"/>
    </row>
    <row r="344" spans="1:11" ht="10.5" hidden="1">
      <c r="A344" s="47" t="s">
        <v>223</v>
      </c>
      <c r="B344" s="48"/>
      <c r="C344" s="48"/>
      <c r="D344" s="48"/>
      <c r="E344" s="48"/>
      <c r="F344" s="49"/>
      <c r="G344" s="58" t="s">
        <v>224</v>
      </c>
      <c r="H344" s="59"/>
      <c r="I344" s="60"/>
      <c r="J344" s="50" t="e">
        <f>TINV(0.05,J343)</f>
        <v>#DIV/0!</v>
      </c>
      <c r="K344" s="51"/>
    </row>
    <row r="345" spans="1:11" ht="11" hidden="1" thickBot="1">
      <c r="A345" s="61" t="s">
        <v>225</v>
      </c>
      <c r="B345" s="62"/>
      <c r="C345" s="62"/>
      <c r="D345" s="62"/>
      <c r="E345" s="62"/>
      <c r="F345" s="63"/>
      <c r="G345" s="64" t="s">
        <v>226</v>
      </c>
      <c r="H345" s="65"/>
      <c r="I345" s="66"/>
      <c r="J345" s="316" t="e">
        <f>J344*J342</f>
        <v>#DIV/0!</v>
      </c>
      <c r="K345" s="68" t="s">
        <v>250</v>
      </c>
    </row>
    <row r="346" spans="1:11" ht="11" hidden="1" thickBo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</row>
    <row r="347" spans="1:11" hidden="1">
      <c r="A347" s="28" t="s">
        <v>255</v>
      </c>
      <c r="B347" s="29"/>
      <c r="C347" s="29"/>
      <c r="D347" s="29"/>
      <c r="E347" s="29"/>
      <c r="F347" s="29"/>
      <c r="G347" s="29"/>
      <c r="H347" s="29"/>
      <c r="I347" s="29"/>
      <c r="J347" s="29"/>
      <c r="K347" s="30"/>
    </row>
    <row r="348" spans="1:11" hidden="1">
      <c r="A348" s="31" t="s">
        <v>197</v>
      </c>
      <c r="B348" s="32" t="s">
        <v>198</v>
      </c>
      <c r="C348" s="32" t="s">
        <v>199</v>
      </c>
      <c r="D348" s="32" t="s">
        <v>200</v>
      </c>
      <c r="E348" s="32" t="s">
        <v>201</v>
      </c>
      <c r="F348" s="32" t="s">
        <v>202</v>
      </c>
      <c r="G348" s="32" t="s">
        <v>203</v>
      </c>
      <c r="H348" s="32" t="s">
        <v>204</v>
      </c>
      <c r="I348" s="32" t="s">
        <v>205</v>
      </c>
      <c r="J348" s="32" t="s">
        <v>206</v>
      </c>
      <c r="K348" s="33" t="s">
        <v>207</v>
      </c>
    </row>
    <row r="349" spans="1:11" hidden="1">
      <c r="A349" s="34" t="s">
        <v>208</v>
      </c>
      <c r="B349" s="35" t="e">
        <f>ID!I121</f>
        <v>#DIV/0!</v>
      </c>
      <c r="C349" s="36" t="s">
        <v>238</v>
      </c>
      <c r="D349" s="37" t="s">
        <v>210</v>
      </c>
      <c r="E349" s="37">
        <f>SQRT(3)</f>
        <v>1.7320508075688772</v>
      </c>
      <c r="F349" s="69" t="e">
        <f>B349/E349</f>
        <v>#DIV/0!</v>
      </c>
      <c r="G349" s="37">
        <v>5</v>
      </c>
      <c r="H349" s="37">
        <v>1</v>
      </c>
      <c r="I349" s="37" t="e">
        <f t="shared" ref="I349:I351" si="48">F349*H349</f>
        <v>#DIV/0!</v>
      </c>
      <c r="J349" s="37" t="e">
        <f t="shared" ref="J349:J351" si="49">I349^2</f>
        <v>#DIV/0!</v>
      </c>
      <c r="K349" s="38" t="e">
        <f t="shared" ref="K349:K351" si="50">(J349^2)/G349</f>
        <v>#DIV/0!</v>
      </c>
    </row>
    <row r="350" spans="1:11" hidden="1">
      <c r="A350" s="39" t="s">
        <v>212</v>
      </c>
      <c r="B350" s="41">
        <f>'Data Sound Level Meter'!E31</f>
        <v>0.25</v>
      </c>
      <c r="C350" s="36" t="s">
        <v>238</v>
      </c>
      <c r="D350" s="36" t="s">
        <v>210</v>
      </c>
      <c r="E350" s="36">
        <v>2</v>
      </c>
      <c r="F350" s="70">
        <f>B350/E350</f>
        <v>0.125</v>
      </c>
      <c r="G350" s="42">
        <v>50</v>
      </c>
      <c r="H350" s="42">
        <v>1</v>
      </c>
      <c r="I350" s="41">
        <f t="shared" si="48"/>
        <v>0.125</v>
      </c>
      <c r="J350" s="41">
        <f t="shared" si="49"/>
        <v>1.5625E-2</v>
      </c>
      <c r="K350" s="43">
        <f t="shared" si="50"/>
        <v>4.8828125000000001E-6</v>
      </c>
    </row>
    <row r="351" spans="1:11" hidden="1">
      <c r="A351" s="34" t="s">
        <v>216</v>
      </c>
      <c r="B351" s="314">
        <v>0</v>
      </c>
      <c r="C351" s="36" t="s">
        <v>238</v>
      </c>
      <c r="D351" s="37" t="s">
        <v>215</v>
      </c>
      <c r="E351" s="37">
        <f>SQRT(3)</f>
        <v>1.7320508075688772</v>
      </c>
      <c r="F351" s="69">
        <f>B351/E351</f>
        <v>0</v>
      </c>
      <c r="G351" s="37">
        <v>50</v>
      </c>
      <c r="H351" s="37">
        <v>1</v>
      </c>
      <c r="I351" s="37">
        <f t="shared" si="48"/>
        <v>0</v>
      </c>
      <c r="J351" s="37">
        <f t="shared" si="49"/>
        <v>0</v>
      </c>
      <c r="K351" s="38">
        <f t="shared" si="50"/>
        <v>0</v>
      </c>
    </row>
    <row r="352" spans="1:11" ht="10.5" hidden="1">
      <c r="A352" s="47" t="s">
        <v>218</v>
      </c>
      <c r="B352" s="48"/>
      <c r="C352" s="48"/>
      <c r="D352" s="48"/>
      <c r="E352" s="48"/>
      <c r="F352" s="48"/>
      <c r="G352" s="48"/>
      <c r="H352" s="48"/>
      <c r="I352" s="49"/>
      <c r="J352" s="50" t="e">
        <f>SUM(J349:J351)</f>
        <v>#DIV/0!</v>
      </c>
      <c r="K352" s="51" t="e">
        <f>SUM(K349:K351)</f>
        <v>#DIV/0!</v>
      </c>
    </row>
    <row r="353" spans="1:11" ht="12.5" hidden="1">
      <c r="A353" s="47" t="s">
        <v>219</v>
      </c>
      <c r="B353" s="48"/>
      <c r="C353" s="48"/>
      <c r="D353" s="48"/>
      <c r="E353" s="48"/>
      <c r="F353" s="49"/>
      <c r="G353" s="52" t="s">
        <v>220</v>
      </c>
      <c r="H353" s="53"/>
      <c r="I353" s="54"/>
      <c r="J353" s="50" t="e">
        <f>SQRT(J352)</f>
        <v>#DIV/0!</v>
      </c>
      <c r="K353" s="51"/>
    </row>
    <row r="354" spans="1:11" ht="13.5" hidden="1">
      <c r="A354" s="47" t="s">
        <v>221</v>
      </c>
      <c r="B354" s="48"/>
      <c r="C354" s="48"/>
      <c r="D354" s="48"/>
      <c r="E354" s="48"/>
      <c r="F354" s="49"/>
      <c r="G354" s="55" t="s">
        <v>222</v>
      </c>
      <c r="H354" s="56"/>
      <c r="I354" s="57"/>
      <c r="J354" s="50" t="e">
        <f>J353^4/(K352)</f>
        <v>#DIV/0!</v>
      </c>
      <c r="K354" s="51"/>
    </row>
    <row r="355" spans="1:11" ht="10.5" hidden="1">
      <c r="A355" s="47" t="s">
        <v>223</v>
      </c>
      <c r="B355" s="48"/>
      <c r="C355" s="48"/>
      <c r="D355" s="48"/>
      <c r="E355" s="48"/>
      <c r="F355" s="49"/>
      <c r="G355" s="58" t="s">
        <v>224</v>
      </c>
      <c r="H355" s="59"/>
      <c r="I355" s="60"/>
      <c r="J355" s="50" t="e">
        <f>TINV(0.05,J354)</f>
        <v>#DIV/0!</v>
      </c>
      <c r="K355" s="51"/>
    </row>
    <row r="356" spans="1:11" ht="11" hidden="1" thickBot="1">
      <c r="A356" s="61" t="s">
        <v>225</v>
      </c>
      <c r="B356" s="62"/>
      <c r="C356" s="62"/>
      <c r="D356" s="62"/>
      <c r="E356" s="62"/>
      <c r="F356" s="63"/>
      <c r="G356" s="64" t="s">
        <v>226</v>
      </c>
      <c r="H356" s="65"/>
      <c r="I356" s="66"/>
      <c r="J356" s="316" t="e">
        <f>J355*J353</f>
        <v>#DIV/0!</v>
      </c>
      <c r="K356" s="68" t="s">
        <v>250</v>
      </c>
    </row>
    <row r="357" spans="1:11" ht="11" hidden="1" thickBot="1">
      <c r="A357" s="82"/>
      <c r="B357" s="14"/>
      <c r="C357" s="14"/>
      <c r="D357" s="14"/>
      <c r="E357" s="14"/>
      <c r="F357" s="14"/>
      <c r="G357" s="14"/>
      <c r="H357" s="82"/>
      <c r="I357" s="14"/>
      <c r="J357" s="14"/>
      <c r="K357" s="14"/>
    </row>
    <row r="358" spans="1:11" hidden="1">
      <c r="A358" s="28" t="s">
        <v>256</v>
      </c>
      <c r="B358" s="29"/>
      <c r="C358" s="29"/>
      <c r="D358" s="29"/>
      <c r="E358" s="29"/>
      <c r="F358" s="29"/>
      <c r="G358" s="29"/>
      <c r="H358" s="29"/>
      <c r="I358" s="29"/>
      <c r="J358" s="29"/>
      <c r="K358" s="30"/>
    </row>
    <row r="359" spans="1:11" hidden="1">
      <c r="A359" s="31" t="s">
        <v>197</v>
      </c>
      <c r="B359" s="32" t="s">
        <v>198</v>
      </c>
      <c r="C359" s="32" t="s">
        <v>199</v>
      </c>
      <c r="D359" s="32" t="s">
        <v>200</v>
      </c>
      <c r="E359" s="32" t="s">
        <v>201</v>
      </c>
      <c r="F359" s="32" t="s">
        <v>202</v>
      </c>
      <c r="G359" s="32" t="s">
        <v>203</v>
      </c>
      <c r="H359" s="32" t="s">
        <v>204</v>
      </c>
      <c r="I359" s="32" t="s">
        <v>205</v>
      </c>
      <c r="J359" s="32" t="s">
        <v>206</v>
      </c>
      <c r="K359" s="33" t="s">
        <v>207</v>
      </c>
    </row>
    <row r="360" spans="1:11" hidden="1">
      <c r="A360" s="34" t="s">
        <v>208</v>
      </c>
      <c r="B360" s="35" t="e">
        <f>ID!I122</f>
        <v>#DIV/0!</v>
      </c>
      <c r="C360" s="36" t="s">
        <v>238</v>
      </c>
      <c r="D360" s="37" t="s">
        <v>210</v>
      </c>
      <c r="E360" s="37">
        <f>SQRT(3)</f>
        <v>1.7320508075688772</v>
      </c>
      <c r="F360" s="69" t="e">
        <f>B360/E360</f>
        <v>#DIV/0!</v>
      </c>
      <c r="G360" s="37">
        <v>5</v>
      </c>
      <c r="H360" s="37">
        <v>1</v>
      </c>
      <c r="I360" s="37" t="e">
        <f t="shared" ref="I360:I362" si="51">F360*H360</f>
        <v>#DIV/0!</v>
      </c>
      <c r="J360" s="37" t="e">
        <f t="shared" ref="J360:J362" si="52">I360^2</f>
        <v>#DIV/0!</v>
      </c>
      <c r="K360" s="38" t="e">
        <f t="shared" ref="K360:K362" si="53">(J360^2)/G360</f>
        <v>#DIV/0!</v>
      </c>
    </row>
    <row r="361" spans="1:11" hidden="1">
      <c r="A361" s="39" t="s">
        <v>212</v>
      </c>
      <c r="B361" s="41">
        <f>'Data Sound Level Meter'!E31</f>
        <v>0.25</v>
      </c>
      <c r="C361" s="36" t="s">
        <v>238</v>
      </c>
      <c r="D361" s="36" t="s">
        <v>210</v>
      </c>
      <c r="E361" s="36">
        <v>2</v>
      </c>
      <c r="F361" s="70">
        <f>B361/E361</f>
        <v>0.125</v>
      </c>
      <c r="G361" s="42">
        <v>50</v>
      </c>
      <c r="H361" s="42">
        <v>1</v>
      </c>
      <c r="I361" s="41">
        <f t="shared" si="51"/>
        <v>0.125</v>
      </c>
      <c r="J361" s="41">
        <f t="shared" si="52"/>
        <v>1.5625E-2</v>
      </c>
      <c r="K361" s="43">
        <f t="shared" si="53"/>
        <v>4.8828125000000001E-6</v>
      </c>
    </row>
    <row r="362" spans="1:11" hidden="1">
      <c r="A362" s="34" t="s">
        <v>216</v>
      </c>
      <c r="B362" s="314">
        <v>0</v>
      </c>
      <c r="C362" s="36" t="s">
        <v>238</v>
      </c>
      <c r="D362" s="37" t="s">
        <v>215</v>
      </c>
      <c r="E362" s="37">
        <f>SQRT(3)</f>
        <v>1.7320508075688772</v>
      </c>
      <c r="F362" s="69">
        <f>B362/E362</f>
        <v>0</v>
      </c>
      <c r="G362" s="37">
        <v>50</v>
      </c>
      <c r="H362" s="37">
        <v>1</v>
      </c>
      <c r="I362" s="37">
        <f t="shared" si="51"/>
        <v>0</v>
      </c>
      <c r="J362" s="37">
        <f t="shared" si="52"/>
        <v>0</v>
      </c>
      <c r="K362" s="38">
        <f t="shared" si="53"/>
        <v>0</v>
      </c>
    </row>
    <row r="363" spans="1:11" ht="10.5" hidden="1">
      <c r="A363" s="47" t="s">
        <v>218</v>
      </c>
      <c r="B363" s="48"/>
      <c r="C363" s="48"/>
      <c r="D363" s="48"/>
      <c r="E363" s="48"/>
      <c r="F363" s="48"/>
      <c r="G363" s="48"/>
      <c r="H363" s="48"/>
      <c r="I363" s="49"/>
      <c r="J363" s="50" t="e">
        <f>SUM(J360:J362)</f>
        <v>#DIV/0!</v>
      </c>
      <c r="K363" s="51" t="e">
        <f>SUM(K360:K362)</f>
        <v>#DIV/0!</v>
      </c>
    </row>
    <row r="364" spans="1:11" ht="12.5" hidden="1">
      <c r="A364" s="47" t="s">
        <v>219</v>
      </c>
      <c r="B364" s="48"/>
      <c r="C364" s="48"/>
      <c r="D364" s="48"/>
      <c r="E364" s="48"/>
      <c r="F364" s="49"/>
      <c r="G364" s="52" t="s">
        <v>220</v>
      </c>
      <c r="H364" s="53"/>
      <c r="I364" s="54"/>
      <c r="J364" s="50" t="e">
        <f>SQRT(J363)</f>
        <v>#DIV/0!</v>
      </c>
      <c r="K364" s="51"/>
    </row>
    <row r="365" spans="1:11" ht="13.5" hidden="1">
      <c r="A365" s="47" t="s">
        <v>221</v>
      </c>
      <c r="B365" s="48"/>
      <c r="C365" s="48"/>
      <c r="D365" s="48"/>
      <c r="E365" s="48"/>
      <c r="F365" s="49"/>
      <c r="G365" s="55" t="s">
        <v>222</v>
      </c>
      <c r="H365" s="56"/>
      <c r="I365" s="57"/>
      <c r="J365" s="50" t="e">
        <f>J364^4/(K363)</f>
        <v>#DIV/0!</v>
      </c>
      <c r="K365" s="51"/>
    </row>
    <row r="366" spans="1:11" ht="10.5" hidden="1">
      <c r="A366" s="47" t="s">
        <v>223</v>
      </c>
      <c r="B366" s="48"/>
      <c r="C366" s="48"/>
      <c r="D366" s="48"/>
      <c r="E366" s="48"/>
      <c r="F366" s="49"/>
      <c r="G366" s="58" t="s">
        <v>224</v>
      </c>
      <c r="H366" s="59"/>
      <c r="I366" s="60"/>
      <c r="J366" s="50" t="e">
        <f>TINV(0.05,J365)</f>
        <v>#DIV/0!</v>
      </c>
      <c r="K366" s="51"/>
    </row>
    <row r="367" spans="1:11" ht="11" hidden="1" thickBot="1">
      <c r="A367" s="61" t="s">
        <v>225</v>
      </c>
      <c r="B367" s="62"/>
      <c r="C367" s="62"/>
      <c r="D367" s="62"/>
      <c r="E367" s="62"/>
      <c r="F367" s="63"/>
      <c r="G367" s="64" t="s">
        <v>226</v>
      </c>
      <c r="H367" s="65"/>
      <c r="I367" s="66"/>
      <c r="J367" s="315" t="e">
        <f>J366*J364</f>
        <v>#DIV/0!</v>
      </c>
      <c r="K367" s="68" t="s">
        <v>250</v>
      </c>
    </row>
    <row r="368" spans="1:11" ht="11" hidden="1" thickBo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</row>
    <row r="369" spans="1:11" hidden="1">
      <c r="A369" s="28" t="s">
        <v>257</v>
      </c>
      <c r="B369" s="29"/>
      <c r="C369" s="29"/>
      <c r="D369" s="29"/>
      <c r="E369" s="29"/>
      <c r="F369" s="29"/>
      <c r="G369" s="29"/>
      <c r="H369" s="29"/>
      <c r="I369" s="29"/>
      <c r="J369" s="29"/>
      <c r="K369" s="30"/>
    </row>
    <row r="370" spans="1:11" hidden="1">
      <c r="A370" s="31" t="s">
        <v>197</v>
      </c>
      <c r="B370" s="32" t="s">
        <v>198</v>
      </c>
      <c r="C370" s="32" t="s">
        <v>199</v>
      </c>
      <c r="D370" s="32" t="s">
        <v>200</v>
      </c>
      <c r="E370" s="32" t="s">
        <v>201</v>
      </c>
      <c r="F370" s="32" t="s">
        <v>202</v>
      </c>
      <c r="G370" s="32" t="s">
        <v>203</v>
      </c>
      <c r="H370" s="32" t="s">
        <v>204</v>
      </c>
      <c r="I370" s="32" t="s">
        <v>205</v>
      </c>
      <c r="J370" s="32" t="s">
        <v>206</v>
      </c>
      <c r="K370" s="33" t="s">
        <v>207</v>
      </c>
    </row>
    <row r="371" spans="1:11" hidden="1">
      <c r="A371" s="34" t="s">
        <v>208</v>
      </c>
      <c r="B371" s="35" t="e">
        <f>ID!I123</f>
        <v>#DIV/0!</v>
      </c>
      <c r="C371" s="36" t="s">
        <v>238</v>
      </c>
      <c r="D371" s="37" t="s">
        <v>210</v>
      </c>
      <c r="E371" s="37">
        <f>SQRT(3)</f>
        <v>1.7320508075688772</v>
      </c>
      <c r="F371" s="69" t="e">
        <f>B371/E371</f>
        <v>#DIV/0!</v>
      </c>
      <c r="G371" s="37">
        <v>5</v>
      </c>
      <c r="H371" s="37">
        <v>1</v>
      </c>
      <c r="I371" s="37" t="e">
        <f t="shared" ref="I371:I373" si="54">F371*H371</f>
        <v>#DIV/0!</v>
      </c>
      <c r="J371" s="37" t="e">
        <f t="shared" ref="J371:J373" si="55">I371^2</f>
        <v>#DIV/0!</v>
      </c>
      <c r="K371" s="38" t="e">
        <f t="shared" ref="K371:K373" si="56">(J371^2)/G371</f>
        <v>#DIV/0!</v>
      </c>
    </row>
    <row r="372" spans="1:11" hidden="1">
      <c r="A372" s="39" t="s">
        <v>212</v>
      </c>
      <c r="B372" s="41">
        <f>'Data Sound Level Meter'!E31</f>
        <v>0.25</v>
      </c>
      <c r="C372" s="36" t="s">
        <v>238</v>
      </c>
      <c r="D372" s="36" t="s">
        <v>210</v>
      </c>
      <c r="E372" s="36">
        <v>2</v>
      </c>
      <c r="F372" s="70">
        <f>B372/E372</f>
        <v>0.125</v>
      </c>
      <c r="G372" s="42">
        <v>50</v>
      </c>
      <c r="H372" s="42">
        <v>1</v>
      </c>
      <c r="I372" s="41">
        <f t="shared" si="54"/>
        <v>0.125</v>
      </c>
      <c r="J372" s="41">
        <f t="shared" si="55"/>
        <v>1.5625E-2</v>
      </c>
      <c r="K372" s="43">
        <f t="shared" si="56"/>
        <v>4.8828125000000001E-6</v>
      </c>
    </row>
    <row r="373" spans="1:11" hidden="1">
      <c r="A373" s="34" t="s">
        <v>216</v>
      </c>
      <c r="B373" s="314">
        <v>0</v>
      </c>
      <c r="C373" s="36" t="s">
        <v>238</v>
      </c>
      <c r="D373" s="37" t="s">
        <v>215</v>
      </c>
      <c r="E373" s="37">
        <f>SQRT(3)</f>
        <v>1.7320508075688772</v>
      </c>
      <c r="F373" s="69">
        <f>B373/E373</f>
        <v>0</v>
      </c>
      <c r="G373" s="37">
        <v>50</v>
      </c>
      <c r="H373" s="37">
        <v>1</v>
      </c>
      <c r="I373" s="37">
        <f t="shared" si="54"/>
        <v>0</v>
      </c>
      <c r="J373" s="37">
        <f t="shared" si="55"/>
        <v>0</v>
      </c>
      <c r="K373" s="38">
        <f t="shared" si="56"/>
        <v>0</v>
      </c>
    </row>
    <row r="374" spans="1:11" ht="10.5" hidden="1">
      <c r="A374" s="47" t="s">
        <v>218</v>
      </c>
      <c r="B374" s="48"/>
      <c r="C374" s="48"/>
      <c r="D374" s="48"/>
      <c r="E374" s="48"/>
      <c r="F374" s="48"/>
      <c r="G374" s="48"/>
      <c r="H374" s="48"/>
      <c r="I374" s="49"/>
      <c r="J374" s="50" t="e">
        <f>SUM(J371:J373)</f>
        <v>#DIV/0!</v>
      </c>
      <c r="K374" s="51" t="e">
        <f>SUM(K371:K373)</f>
        <v>#DIV/0!</v>
      </c>
    </row>
    <row r="375" spans="1:11" ht="12.5" hidden="1">
      <c r="A375" s="47" t="s">
        <v>219</v>
      </c>
      <c r="B375" s="48"/>
      <c r="C375" s="48"/>
      <c r="D375" s="48"/>
      <c r="E375" s="48"/>
      <c r="F375" s="49"/>
      <c r="G375" s="52" t="s">
        <v>220</v>
      </c>
      <c r="H375" s="53"/>
      <c r="I375" s="54"/>
      <c r="J375" s="50" t="e">
        <f>SQRT(J374)</f>
        <v>#DIV/0!</v>
      </c>
      <c r="K375" s="51"/>
    </row>
    <row r="376" spans="1:11" ht="13.5" hidden="1">
      <c r="A376" s="47" t="s">
        <v>221</v>
      </c>
      <c r="B376" s="48"/>
      <c r="C376" s="48"/>
      <c r="D376" s="48"/>
      <c r="E376" s="48"/>
      <c r="F376" s="49"/>
      <c r="G376" s="55" t="s">
        <v>222</v>
      </c>
      <c r="H376" s="56"/>
      <c r="I376" s="57"/>
      <c r="J376" s="50" t="e">
        <f>J375^4/(K374)</f>
        <v>#DIV/0!</v>
      </c>
      <c r="K376" s="51"/>
    </row>
    <row r="377" spans="1:11" ht="10.5" hidden="1">
      <c r="A377" s="47" t="s">
        <v>223</v>
      </c>
      <c r="B377" s="48"/>
      <c r="C377" s="48"/>
      <c r="D377" s="48"/>
      <c r="E377" s="48"/>
      <c r="F377" s="49"/>
      <c r="G377" s="58" t="s">
        <v>224</v>
      </c>
      <c r="H377" s="59"/>
      <c r="I377" s="60"/>
      <c r="J377" s="50" t="e">
        <f>TINV(0.05,J376)</f>
        <v>#DIV/0!</v>
      </c>
      <c r="K377" s="51"/>
    </row>
    <row r="378" spans="1:11" ht="11" hidden="1" thickBot="1">
      <c r="A378" s="61" t="s">
        <v>225</v>
      </c>
      <c r="B378" s="62"/>
      <c r="C378" s="62"/>
      <c r="D378" s="62"/>
      <c r="E378" s="62"/>
      <c r="F378" s="63"/>
      <c r="G378" s="64" t="s">
        <v>226</v>
      </c>
      <c r="H378" s="65"/>
      <c r="I378" s="66"/>
      <c r="J378" s="316" t="e">
        <f>J377*J375</f>
        <v>#DIV/0!</v>
      </c>
      <c r="K378" s="68" t="s">
        <v>250</v>
      </c>
    </row>
    <row r="379" spans="1:11" ht="11" hidden="1" thickBo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</row>
    <row r="380" spans="1:11" hidden="1">
      <c r="A380" s="28" t="s">
        <v>258</v>
      </c>
      <c r="B380" s="29"/>
      <c r="C380" s="29"/>
      <c r="D380" s="29"/>
      <c r="E380" s="29"/>
      <c r="F380" s="29"/>
      <c r="G380" s="29"/>
      <c r="H380" s="29"/>
      <c r="I380" s="29"/>
      <c r="J380" s="29"/>
      <c r="K380" s="30"/>
    </row>
    <row r="381" spans="1:11" hidden="1">
      <c r="A381" s="31" t="s">
        <v>197</v>
      </c>
      <c r="B381" s="32" t="s">
        <v>198</v>
      </c>
      <c r="C381" s="32" t="s">
        <v>199</v>
      </c>
      <c r="D381" s="32" t="s">
        <v>200</v>
      </c>
      <c r="E381" s="32" t="s">
        <v>201</v>
      </c>
      <c r="F381" s="32" t="s">
        <v>202</v>
      </c>
      <c r="G381" s="32" t="s">
        <v>203</v>
      </c>
      <c r="H381" s="32" t="s">
        <v>204</v>
      </c>
      <c r="I381" s="32" t="s">
        <v>205</v>
      </c>
      <c r="J381" s="32" t="s">
        <v>206</v>
      </c>
      <c r="K381" s="33" t="s">
        <v>207</v>
      </c>
    </row>
    <row r="382" spans="1:11" hidden="1">
      <c r="A382" s="34" t="s">
        <v>208</v>
      </c>
      <c r="B382" s="35" t="e">
        <f>ID!I124</f>
        <v>#DIV/0!</v>
      </c>
      <c r="C382" s="36" t="s">
        <v>238</v>
      </c>
      <c r="D382" s="37" t="s">
        <v>210</v>
      </c>
      <c r="E382" s="37">
        <f>SQRT(3)</f>
        <v>1.7320508075688772</v>
      </c>
      <c r="F382" s="69" t="e">
        <f>B382/E382</f>
        <v>#DIV/0!</v>
      </c>
      <c r="G382" s="37">
        <v>5</v>
      </c>
      <c r="H382" s="37">
        <v>1</v>
      </c>
      <c r="I382" s="37" t="e">
        <f t="shared" ref="I382:I384" si="57">F382*H382</f>
        <v>#DIV/0!</v>
      </c>
      <c r="J382" s="37" t="e">
        <f t="shared" ref="J382:J384" si="58">I382^2</f>
        <v>#DIV/0!</v>
      </c>
      <c r="K382" s="38" t="e">
        <f t="shared" ref="K382:K384" si="59">(J382^2)/G382</f>
        <v>#DIV/0!</v>
      </c>
    </row>
    <row r="383" spans="1:11" hidden="1">
      <c r="A383" s="39" t="s">
        <v>212</v>
      </c>
      <c r="B383" s="41">
        <f>'Data Sound Level Meter'!E31</f>
        <v>0.25</v>
      </c>
      <c r="C383" s="36" t="s">
        <v>238</v>
      </c>
      <c r="D383" s="36" t="s">
        <v>210</v>
      </c>
      <c r="E383" s="36">
        <v>2</v>
      </c>
      <c r="F383" s="70">
        <f>B383/E383</f>
        <v>0.125</v>
      </c>
      <c r="G383" s="42">
        <v>50</v>
      </c>
      <c r="H383" s="42">
        <v>1</v>
      </c>
      <c r="I383" s="41">
        <f t="shared" si="57"/>
        <v>0.125</v>
      </c>
      <c r="J383" s="41">
        <f t="shared" si="58"/>
        <v>1.5625E-2</v>
      </c>
      <c r="K383" s="43">
        <f t="shared" si="59"/>
        <v>4.8828125000000001E-6</v>
      </c>
    </row>
    <row r="384" spans="1:11" hidden="1">
      <c r="A384" s="34" t="s">
        <v>216</v>
      </c>
      <c r="B384" s="314">
        <v>0</v>
      </c>
      <c r="C384" s="36" t="s">
        <v>238</v>
      </c>
      <c r="D384" s="37" t="s">
        <v>215</v>
      </c>
      <c r="E384" s="37">
        <f>SQRT(3)</f>
        <v>1.7320508075688772</v>
      </c>
      <c r="F384" s="69">
        <f>B384/E384</f>
        <v>0</v>
      </c>
      <c r="G384" s="37">
        <v>50</v>
      </c>
      <c r="H384" s="37">
        <v>1</v>
      </c>
      <c r="I384" s="37">
        <f t="shared" si="57"/>
        <v>0</v>
      </c>
      <c r="J384" s="37">
        <f t="shared" si="58"/>
        <v>0</v>
      </c>
      <c r="K384" s="38">
        <f t="shared" si="59"/>
        <v>0</v>
      </c>
    </row>
    <row r="385" spans="1:11" ht="10.5" hidden="1">
      <c r="A385" s="47" t="s">
        <v>218</v>
      </c>
      <c r="B385" s="48"/>
      <c r="C385" s="48"/>
      <c r="D385" s="48"/>
      <c r="E385" s="48"/>
      <c r="F385" s="48"/>
      <c r="G385" s="48"/>
      <c r="H385" s="48"/>
      <c r="I385" s="49"/>
      <c r="J385" s="50" t="e">
        <f>SUM(J382:J384)</f>
        <v>#DIV/0!</v>
      </c>
      <c r="K385" s="51" t="e">
        <f>SUM(K382:K384)</f>
        <v>#DIV/0!</v>
      </c>
    </row>
    <row r="386" spans="1:11" ht="12.5" hidden="1">
      <c r="A386" s="47" t="s">
        <v>219</v>
      </c>
      <c r="B386" s="48"/>
      <c r="C386" s="48"/>
      <c r="D386" s="48"/>
      <c r="E386" s="48"/>
      <c r="F386" s="49"/>
      <c r="G386" s="52" t="s">
        <v>220</v>
      </c>
      <c r="H386" s="53"/>
      <c r="I386" s="54"/>
      <c r="J386" s="50" t="e">
        <f>SQRT(J385)</f>
        <v>#DIV/0!</v>
      </c>
      <c r="K386" s="51"/>
    </row>
    <row r="387" spans="1:11" ht="13.5" hidden="1">
      <c r="A387" s="47" t="s">
        <v>221</v>
      </c>
      <c r="B387" s="48"/>
      <c r="C387" s="48"/>
      <c r="D387" s="48"/>
      <c r="E387" s="48"/>
      <c r="F387" s="49"/>
      <c r="G387" s="55" t="s">
        <v>222</v>
      </c>
      <c r="H387" s="56"/>
      <c r="I387" s="57"/>
      <c r="J387" s="50" t="e">
        <f>J386^4/(K385)</f>
        <v>#DIV/0!</v>
      </c>
      <c r="K387" s="51"/>
    </row>
    <row r="388" spans="1:11" ht="10.5" hidden="1">
      <c r="A388" s="47" t="s">
        <v>223</v>
      </c>
      <c r="B388" s="48"/>
      <c r="C388" s="48"/>
      <c r="D388" s="48"/>
      <c r="E388" s="48"/>
      <c r="F388" s="49"/>
      <c r="G388" s="58" t="s">
        <v>224</v>
      </c>
      <c r="H388" s="59"/>
      <c r="I388" s="60"/>
      <c r="J388" s="50" t="e">
        <f>TINV(0.05,J387)</f>
        <v>#DIV/0!</v>
      </c>
      <c r="K388" s="51"/>
    </row>
    <row r="389" spans="1:11" ht="11" hidden="1" thickBot="1">
      <c r="A389" s="61" t="s">
        <v>225</v>
      </c>
      <c r="B389" s="62"/>
      <c r="C389" s="62"/>
      <c r="D389" s="62"/>
      <c r="E389" s="62"/>
      <c r="F389" s="63"/>
      <c r="G389" s="64" t="s">
        <v>226</v>
      </c>
      <c r="H389" s="65"/>
      <c r="I389" s="66"/>
      <c r="J389" s="316" t="e">
        <f>J388*J386</f>
        <v>#DIV/0!</v>
      </c>
      <c r="K389" s="68" t="s">
        <v>250</v>
      </c>
    </row>
    <row r="390" spans="1:11" ht="11" hidden="1" thickBo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</row>
    <row r="391" spans="1:11" hidden="1">
      <c r="A391" s="28" t="s">
        <v>259</v>
      </c>
      <c r="B391" s="29"/>
      <c r="C391" s="29"/>
      <c r="D391" s="29"/>
      <c r="E391" s="29"/>
      <c r="F391" s="29"/>
      <c r="G391" s="29"/>
      <c r="H391" s="29"/>
      <c r="I391" s="29"/>
      <c r="J391" s="29"/>
      <c r="K391" s="30"/>
    </row>
    <row r="392" spans="1:11" hidden="1">
      <c r="A392" s="31" t="s">
        <v>197</v>
      </c>
      <c r="B392" s="32" t="s">
        <v>198</v>
      </c>
      <c r="C392" s="32" t="s">
        <v>199</v>
      </c>
      <c r="D392" s="32" t="s">
        <v>200</v>
      </c>
      <c r="E392" s="32" t="s">
        <v>201</v>
      </c>
      <c r="F392" s="32" t="s">
        <v>202</v>
      </c>
      <c r="G392" s="32" t="s">
        <v>203</v>
      </c>
      <c r="H392" s="32" t="s">
        <v>204</v>
      </c>
      <c r="I392" s="32" t="s">
        <v>205</v>
      </c>
      <c r="J392" s="32" t="s">
        <v>206</v>
      </c>
      <c r="K392" s="33" t="s">
        <v>207</v>
      </c>
    </row>
    <row r="393" spans="1:11" hidden="1">
      <c r="A393" s="34" t="s">
        <v>208</v>
      </c>
      <c r="B393" s="35" t="e">
        <f>ID!I125</f>
        <v>#DIV/0!</v>
      </c>
      <c r="C393" s="36" t="s">
        <v>238</v>
      </c>
      <c r="D393" s="37" t="s">
        <v>210</v>
      </c>
      <c r="E393" s="37">
        <f>SQRT(3)</f>
        <v>1.7320508075688772</v>
      </c>
      <c r="F393" s="69" t="e">
        <f>B393/E393</f>
        <v>#DIV/0!</v>
      </c>
      <c r="G393" s="37">
        <v>5</v>
      </c>
      <c r="H393" s="37">
        <v>1</v>
      </c>
      <c r="I393" s="37" t="e">
        <f t="shared" ref="I393:I395" si="60">F393*H393</f>
        <v>#DIV/0!</v>
      </c>
      <c r="J393" s="37" t="e">
        <f t="shared" ref="J393:J395" si="61">I393^2</f>
        <v>#DIV/0!</v>
      </c>
      <c r="K393" s="38" t="e">
        <f t="shared" ref="K393:K395" si="62">(J393^2)/G393</f>
        <v>#DIV/0!</v>
      </c>
    </row>
    <row r="394" spans="1:11" hidden="1">
      <c r="A394" s="39" t="s">
        <v>212</v>
      </c>
      <c r="B394" s="41">
        <f>'Data Sound Level Meter'!E31</f>
        <v>0.25</v>
      </c>
      <c r="C394" s="36" t="s">
        <v>238</v>
      </c>
      <c r="D394" s="36" t="s">
        <v>210</v>
      </c>
      <c r="E394" s="36">
        <v>2</v>
      </c>
      <c r="F394" s="70">
        <f>B394/E394</f>
        <v>0.125</v>
      </c>
      <c r="G394" s="42">
        <v>50</v>
      </c>
      <c r="H394" s="42">
        <v>1</v>
      </c>
      <c r="I394" s="41">
        <f t="shared" si="60"/>
        <v>0.125</v>
      </c>
      <c r="J394" s="41">
        <f t="shared" si="61"/>
        <v>1.5625E-2</v>
      </c>
      <c r="K394" s="43">
        <f t="shared" si="62"/>
        <v>4.8828125000000001E-6</v>
      </c>
    </row>
    <row r="395" spans="1:11" hidden="1">
      <c r="A395" s="34" t="s">
        <v>216</v>
      </c>
      <c r="B395" s="314">
        <v>0</v>
      </c>
      <c r="C395" s="36" t="s">
        <v>238</v>
      </c>
      <c r="D395" s="37" t="s">
        <v>215</v>
      </c>
      <c r="E395" s="37">
        <f>SQRT(3)</f>
        <v>1.7320508075688772</v>
      </c>
      <c r="F395" s="69">
        <f>B395/E395</f>
        <v>0</v>
      </c>
      <c r="G395" s="37">
        <v>50</v>
      </c>
      <c r="H395" s="37">
        <v>1</v>
      </c>
      <c r="I395" s="37">
        <f t="shared" si="60"/>
        <v>0</v>
      </c>
      <c r="J395" s="37">
        <f t="shared" si="61"/>
        <v>0</v>
      </c>
      <c r="K395" s="38">
        <f t="shared" si="62"/>
        <v>0</v>
      </c>
    </row>
    <row r="396" spans="1:11" ht="10.5" hidden="1">
      <c r="A396" s="47" t="s">
        <v>218</v>
      </c>
      <c r="B396" s="48"/>
      <c r="C396" s="48"/>
      <c r="D396" s="48"/>
      <c r="E396" s="48"/>
      <c r="F396" s="48"/>
      <c r="G396" s="48"/>
      <c r="H396" s="48"/>
      <c r="I396" s="49"/>
      <c r="J396" s="50" t="e">
        <f>SUM(J393:J395)</f>
        <v>#DIV/0!</v>
      </c>
      <c r="K396" s="51" t="e">
        <f>SUM(K393:K395)</f>
        <v>#DIV/0!</v>
      </c>
    </row>
    <row r="397" spans="1:11" ht="12.5" hidden="1">
      <c r="A397" s="47" t="s">
        <v>219</v>
      </c>
      <c r="B397" s="48"/>
      <c r="C397" s="48"/>
      <c r="D397" s="48"/>
      <c r="E397" s="48"/>
      <c r="F397" s="49"/>
      <c r="G397" s="52" t="s">
        <v>220</v>
      </c>
      <c r="H397" s="53"/>
      <c r="I397" s="54"/>
      <c r="J397" s="50" t="e">
        <f>SQRT(J396)</f>
        <v>#DIV/0!</v>
      </c>
      <c r="K397" s="51"/>
    </row>
    <row r="398" spans="1:11" ht="13.5" hidden="1">
      <c r="A398" s="47" t="s">
        <v>221</v>
      </c>
      <c r="B398" s="48"/>
      <c r="C398" s="48"/>
      <c r="D398" s="48"/>
      <c r="E398" s="48"/>
      <c r="F398" s="49"/>
      <c r="G398" s="55" t="s">
        <v>222</v>
      </c>
      <c r="H398" s="56"/>
      <c r="I398" s="57"/>
      <c r="J398" s="50" t="e">
        <f>J397^4/(K396)</f>
        <v>#DIV/0!</v>
      </c>
      <c r="K398" s="51"/>
    </row>
    <row r="399" spans="1:11" ht="10.5" hidden="1">
      <c r="A399" s="47" t="s">
        <v>223</v>
      </c>
      <c r="B399" s="48"/>
      <c r="C399" s="48"/>
      <c r="D399" s="48"/>
      <c r="E399" s="48"/>
      <c r="F399" s="49"/>
      <c r="G399" s="58" t="s">
        <v>224</v>
      </c>
      <c r="H399" s="59"/>
      <c r="I399" s="60"/>
      <c r="J399" s="50" t="e">
        <f>TINV(0.05,J398)</f>
        <v>#DIV/0!</v>
      </c>
      <c r="K399" s="51"/>
    </row>
    <row r="400" spans="1:11" ht="11" hidden="1" thickBot="1">
      <c r="A400" s="61" t="s">
        <v>225</v>
      </c>
      <c r="B400" s="62"/>
      <c r="C400" s="62"/>
      <c r="D400" s="62"/>
      <c r="E400" s="62"/>
      <c r="F400" s="63"/>
      <c r="G400" s="64" t="s">
        <v>226</v>
      </c>
      <c r="H400" s="65"/>
      <c r="I400" s="66"/>
      <c r="J400" s="316" t="e">
        <f>J399*J397</f>
        <v>#DIV/0!</v>
      </c>
      <c r="K400" s="68" t="s">
        <v>250</v>
      </c>
    </row>
    <row r="401" spans="1:11" ht="11" hidden="1" thickBo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</row>
    <row r="402" spans="1:11" hidden="1">
      <c r="A402" s="28" t="s">
        <v>260</v>
      </c>
      <c r="B402" s="29"/>
      <c r="C402" s="29"/>
      <c r="D402" s="29"/>
      <c r="E402" s="29"/>
      <c r="F402" s="29"/>
      <c r="G402" s="29"/>
      <c r="H402" s="29"/>
      <c r="I402" s="29"/>
      <c r="J402" s="29"/>
      <c r="K402" s="30"/>
    </row>
    <row r="403" spans="1:11" hidden="1">
      <c r="A403" s="31" t="s">
        <v>197</v>
      </c>
      <c r="B403" s="32" t="s">
        <v>198</v>
      </c>
      <c r="C403" s="32" t="s">
        <v>199</v>
      </c>
      <c r="D403" s="32" t="s">
        <v>200</v>
      </c>
      <c r="E403" s="32" t="s">
        <v>201</v>
      </c>
      <c r="F403" s="32" t="s">
        <v>202</v>
      </c>
      <c r="G403" s="32" t="s">
        <v>203</v>
      </c>
      <c r="H403" s="32" t="s">
        <v>204</v>
      </c>
      <c r="I403" s="32" t="s">
        <v>205</v>
      </c>
      <c r="J403" s="32" t="s">
        <v>206</v>
      </c>
      <c r="K403" s="33" t="s">
        <v>207</v>
      </c>
    </row>
    <row r="404" spans="1:11" hidden="1">
      <c r="A404" s="34" t="s">
        <v>208</v>
      </c>
      <c r="B404" s="35" t="e">
        <f>ID!I126</f>
        <v>#DIV/0!</v>
      </c>
      <c r="C404" s="36" t="s">
        <v>238</v>
      </c>
      <c r="D404" s="37" t="s">
        <v>210</v>
      </c>
      <c r="E404" s="37">
        <f>SQRT(3)</f>
        <v>1.7320508075688772</v>
      </c>
      <c r="F404" s="69" t="e">
        <f>B404/E404</f>
        <v>#DIV/0!</v>
      </c>
      <c r="G404" s="37">
        <v>5</v>
      </c>
      <c r="H404" s="37">
        <v>1</v>
      </c>
      <c r="I404" s="37" t="e">
        <f t="shared" ref="I404:I406" si="63">F404*H404</f>
        <v>#DIV/0!</v>
      </c>
      <c r="J404" s="37" t="e">
        <f t="shared" ref="J404:J406" si="64">I404^2</f>
        <v>#DIV/0!</v>
      </c>
      <c r="K404" s="38" t="e">
        <f t="shared" ref="K404:K406" si="65">(J404^2)/G404</f>
        <v>#DIV/0!</v>
      </c>
    </row>
    <row r="405" spans="1:11" hidden="1">
      <c r="A405" s="39" t="s">
        <v>212</v>
      </c>
      <c r="B405" s="41">
        <f>'Data Sound Level Meter'!E31</f>
        <v>0.25</v>
      </c>
      <c r="C405" s="36" t="s">
        <v>238</v>
      </c>
      <c r="D405" s="36" t="s">
        <v>210</v>
      </c>
      <c r="E405" s="36">
        <v>2</v>
      </c>
      <c r="F405" s="70">
        <f>B405/E405</f>
        <v>0.125</v>
      </c>
      <c r="G405" s="42">
        <v>50</v>
      </c>
      <c r="H405" s="42">
        <v>1</v>
      </c>
      <c r="I405" s="41">
        <f t="shared" si="63"/>
        <v>0.125</v>
      </c>
      <c r="J405" s="41">
        <f t="shared" si="64"/>
        <v>1.5625E-2</v>
      </c>
      <c r="K405" s="43">
        <f t="shared" si="65"/>
        <v>4.8828125000000001E-6</v>
      </c>
    </row>
    <row r="406" spans="1:11" hidden="1">
      <c r="A406" s="34" t="s">
        <v>216</v>
      </c>
      <c r="B406" s="314">
        <v>0</v>
      </c>
      <c r="C406" s="36" t="s">
        <v>238</v>
      </c>
      <c r="D406" s="37" t="s">
        <v>215</v>
      </c>
      <c r="E406" s="37">
        <f>SQRT(3)</f>
        <v>1.7320508075688772</v>
      </c>
      <c r="F406" s="69">
        <f>B406/E406</f>
        <v>0</v>
      </c>
      <c r="G406" s="37">
        <v>50</v>
      </c>
      <c r="H406" s="37">
        <v>1</v>
      </c>
      <c r="I406" s="37">
        <f t="shared" si="63"/>
        <v>0</v>
      </c>
      <c r="J406" s="37">
        <f t="shared" si="64"/>
        <v>0</v>
      </c>
      <c r="K406" s="38">
        <f t="shared" si="65"/>
        <v>0</v>
      </c>
    </row>
    <row r="407" spans="1:11" ht="10.5" hidden="1">
      <c r="A407" s="47" t="s">
        <v>218</v>
      </c>
      <c r="B407" s="48"/>
      <c r="C407" s="48"/>
      <c r="D407" s="48"/>
      <c r="E407" s="48"/>
      <c r="F407" s="48"/>
      <c r="G407" s="48"/>
      <c r="H407" s="48"/>
      <c r="I407" s="49"/>
      <c r="J407" s="50" t="e">
        <f>SUM(J404:J406)</f>
        <v>#DIV/0!</v>
      </c>
      <c r="K407" s="51" t="e">
        <f>SUM(K404:K406)</f>
        <v>#DIV/0!</v>
      </c>
    </row>
    <row r="408" spans="1:11" ht="12.5" hidden="1">
      <c r="A408" s="47" t="s">
        <v>219</v>
      </c>
      <c r="B408" s="48"/>
      <c r="C408" s="48"/>
      <c r="D408" s="48"/>
      <c r="E408" s="48"/>
      <c r="F408" s="49"/>
      <c r="G408" s="52" t="s">
        <v>220</v>
      </c>
      <c r="H408" s="53"/>
      <c r="I408" s="54"/>
      <c r="J408" s="50" t="e">
        <f>SQRT(J407)</f>
        <v>#DIV/0!</v>
      </c>
      <c r="K408" s="51"/>
    </row>
    <row r="409" spans="1:11" ht="13.5" hidden="1">
      <c r="A409" s="47" t="s">
        <v>221</v>
      </c>
      <c r="B409" s="48"/>
      <c r="C409" s="48"/>
      <c r="D409" s="48"/>
      <c r="E409" s="48"/>
      <c r="F409" s="49"/>
      <c r="G409" s="55" t="s">
        <v>222</v>
      </c>
      <c r="H409" s="56"/>
      <c r="I409" s="57"/>
      <c r="J409" s="50" t="e">
        <f>J408^4/(K407)</f>
        <v>#DIV/0!</v>
      </c>
      <c r="K409" s="51"/>
    </row>
    <row r="410" spans="1:11" ht="10.5" hidden="1">
      <c r="A410" s="47" t="s">
        <v>223</v>
      </c>
      <c r="B410" s="48"/>
      <c r="C410" s="48"/>
      <c r="D410" s="48"/>
      <c r="E410" s="48"/>
      <c r="F410" s="49"/>
      <c r="G410" s="58" t="s">
        <v>224</v>
      </c>
      <c r="H410" s="59"/>
      <c r="I410" s="60"/>
      <c r="J410" s="50" t="e">
        <f>TINV(0.05,J409)</f>
        <v>#DIV/0!</v>
      </c>
      <c r="K410" s="51"/>
    </row>
    <row r="411" spans="1:11" ht="11" hidden="1" thickBot="1">
      <c r="A411" s="61" t="s">
        <v>225</v>
      </c>
      <c r="B411" s="62"/>
      <c r="C411" s="62"/>
      <c r="D411" s="62"/>
      <c r="E411" s="62"/>
      <c r="F411" s="63"/>
      <c r="G411" s="64" t="s">
        <v>226</v>
      </c>
      <c r="H411" s="65"/>
      <c r="I411" s="66"/>
      <c r="J411" s="316" t="e">
        <f>J410*J408</f>
        <v>#DIV/0!</v>
      </c>
      <c r="K411" s="68" t="s">
        <v>250</v>
      </c>
    </row>
    <row r="412" spans="1:11" ht="10.5" hidden="1" thickBot="1"/>
    <row r="413" spans="1:11" hidden="1">
      <c r="A413" s="28" t="s">
        <v>262</v>
      </c>
      <c r="B413" s="29"/>
      <c r="C413" s="29"/>
      <c r="D413" s="29"/>
      <c r="E413" s="29"/>
      <c r="F413" s="29"/>
      <c r="G413" s="29"/>
      <c r="H413" s="29"/>
      <c r="I413" s="29"/>
      <c r="J413" s="29"/>
      <c r="K413" s="30"/>
    </row>
    <row r="414" spans="1:11" hidden="1">
      <c r="A414" s="31" t="s">
        <v>197</v>
      </c>
      <c r="B414" s="32" t="s">
        <v>198</v>
      </c>
      <c r="C414" s="32" t="s">
        <v>199</v>
      </c>
      <c r="D414" s="32" t="s">
        <v>200</v>
      </c>
      <c r="E414" s="32" t="s">
        <v>201</v>
      </c>
      <c r="F414" s="32" t="s">
        <v>202</v>
      </c>
      <c r="G414" s="32" t="s">
        <v>203</v>
      </c>
      <c r="H414" s="32" t="s">
        <v>204</v>
      </c>
      <c r="I414" s="32" t="s">
        <v>205</v>
      </c>
      <c r="J414" s="32" t="s">
        <v>206</v>
      </c>
      <c r="K414" s="33" t="s">
        <v>207</v>
      </c>
    </row>
    <row r="415" spans="1:11" hidden="1">
      <c r="A415" s="34" t="s">
        <v>208</v>
      </c>
      <c r="B415" s="35" t="e">
        <f>ID!I131</f>
        <v>#DIV/0!</v>
      </c>
      <c r="C415" s="36" t="s">
        <v>238</v>
      </c>
      <c r="D415" s="37" t="s">
        <v>210</v>
      </c>
      <c r="E415" s="37">
        <f>SQRT(3)</f>
        <v>1.7320508075688772</v>
      </c>
      <c r="F415" s="69" t="e">
        <f>B415/E415</f>
        <v>#DIV/0!</v>
      </c>
      <c r="G415" s="37">
        <v>5</v>
      </c>
      <c r="H415" s="37">
        <v>1</v>
      </c>
      <c r="I415" s="37" t="e">
        <f t="shared" ref="I415:I417" si="66">F415*H415</f>
        <v>#DIV/0!</v>
      </c>
      <c r="J415" s="37" t="e">
        <f t="shared" ref="J415:J417" si="67">I415^2</f>
        <v>#DIV/0!</v>
      </c>
      <c r="K415" s="38" t="e">
        <f t="shared" ref="K415:K417" si="68">(J415^2)/G415</f>
        <v>#DIV/0!</v>
      </c>
    </row>
    <row r="416" spans="1:11" hidden="1">
      <c r="A416" s="39" t="s">
        <v>212</v>
      </c>
      <c r="B416" s="41">
        <f>'Data Sound Level Meter'!E31</f>
        <v>0.25</v>
      </c>
      <c r="C416" s="36" t="s">
        <v>238</v>
      </c>
      <c r="D416" s="36" t="s">
        <v>210</v>
      </c>
      <c r="E416" s="36">
        <v>2</v>
      </c>
      <c r="F416" s="70">
        <f>B416/E416</f>
        <v>0.125</v>
      </c>
      <c r="G416" s="42">
        <v>50</v>
      </c>
      <c r="H416" s="42">
        <v>1</v>
      </c>
      <c r="I416" s="41">
        <f t="shared" si="66"/>
        <v>0.125</v>
      </c>
      <c r="J416" s="41">
        <f t="shared" si="67"/>
        <v>1.5625E-2</v>
      </c>
      <c r="K416" s="43">
        <f t="shared" si="68"/>
        <v>4.8828125000000001E-6</v>
      </c>
    </row>
    <row r="417" spans="1:11" hidden="1">
      <c r="A417" s="34" t="s">
        <v>216</v>
      </c>
      <c r="B417" s="314">
        <v>0</v>
      </c>
      <c r="C417" s="36" t="s">
        <v>238</v>
      </c>
      <c r="D417" s="37" t="s">
        <v>215</v>
      </c>
      <c r="E417" s="37">
        <f>SQRT(3)</f>
        <v>1.7320508075688772</v>
      </c>
      <c r="F417" s="69">
        <f>B417/E417</f>
        <v>0</v>
      </c>
      <c r="G417" s="37">
        <v>50</v>
      </c>
      <c r="H417" s="37">
        <v>1</v>
      </c>
      <c r="I417" s="37">
        <f t="shared" si="66"/>
        <v>0</v>
      </c>
      <c r="J417" s="37">
        <f t="shared" si="67"/>
        <v>0</v>
      </c>
      <c r="K417" s="38">
        <f t="shared" si="68"/>
        <v>0</v>
      </c>
    </row>
    <row r="418" spans="1:11" ht="10.5" hidden="1">
      <c r="A418" s="47" t="s">
        <v>218</v>
      </c>
      <c r="B418" s="48"/>
      <c r="C418" s="48"/>
      <c r="D418" s="48"/>
      <c r="E418" s="48"/>
      <c r="F418" s="48"/>
      <c r="G418" s="48"/>
      <c r="H418" s="48"/>
      <c r="I418" s="49"/>
      <c r="J418" s="50" t="e">
        <f>SUM(J415:J417)</f>
        <v>#DIV/0!</v>
      </c>
      <c r="K418" s="51" t="e">
        <f>SUM(K415:K417)</f>
        <v>#DIV/0!</v>
      </c>
    </row>
    <row r="419" spans="1:11" ht="12.5" hidden="1">
      <c r="A419" s="47" t="s">
        <v>219</v>
      </c>
      <c r="B419" s="48"/>
      <c r="C419" s="48"/>
      <c r="D419" s="48"/>
      <c r="E419" s="48"/>
      <c r="F419" s="49"/>
      <c r="G419" s="52" t="s">
        <v>220</v>
      </c>
      <c r="H419" s="53"/>
      <c r="I419" s="54"/>
      <c r="J419" s="50" t="e">
        <f>SQRT(J418)</f>
        <v>#DIV/0!</v>
      </c>
      <c r="K419" s="51"/>
    </row>
    <row r="420" spans="1:11" ht="13.5" hidden="1">
      <c r="A420" s="47" t="s">
        <v>221</v>
      </c>
      <c r="B420" s="48"/>
      <c r="C420" s="48"/>
      <c r="D420" s="48"/>
      <c r="E420" s="48"/>
      <c r="F420" s="49"/>
      <c r="G420" s="55" t="s">
        <v>222</v>
      </c>
      <c r="H420" s="56"/>
      <c r="I420" s="57"/>
      <c r="J420" s="50" t="e">
        <f>J419^4/(K418)</f>
        <v>#DIV/0!</v>
      </c>
      <c r="K420" s="51"/>
    </row>
    <row r="421" spans="1:11" ht="10.5" hidden="1">
      <c r="A421" s="47" t="s">
        <v>223</v>
      </c>
      <c r="B421" s="48"/>
      <c r="C421" s="48"/>
      <c r="D421" s="48"/>
      <c r="E421" s="48"/>
      <c r="F421" s="49"/>
      <c r="G421" s="58" t="s">
        <v>224</v>
      </c>
      <c r="H421" s="59"/>
      <c r="I421" s="60"/>
      <c r="J421" s="50" t="e">
        <f>TINV(0.05,J420)</f>
        <v>#DIV/0!</v>
      </c>
      <c r="K421" s="51"/>
    </row>
    <row r="422" spans="1:11" ht="11" hidden="1" thickBot="1">
      <c r="A422" s="61" t="s">
        <v>225</v>
      </c>
      <c r="B422" s="62"/>
      <c r="C422" s="62"/>
      <c r="D422" s="62"/>
      <c r="E422" s="62"/>
      <c r="F422" s="63"/>
      <c r="G422" s="64" t="s">
        <v>226</v>
      </c>
      <c r="H422" s="65"/>
      <c r="I422" s="66"/>
      <c r="J422" s="316" t="e">
        <f>J421*J419</f>
        <v>#DIV/0!</v>
      </c>
      <c r="K422" s="68" t="s">
        <v>250</v>
      </c>
    </row>
    <row r="423" spans="1:11" ht="11" hidden="1" thickBot="1">
      <c r="A423" s="71"/>
      <c r="B423" s="72"/>
      <c r="C423" s="73"/>
      <c r="D423" s="73"/>
      <c r="E423" s="71"/>
      <c r="F423" s="74"/>
      <c r="G423" s="74"/>
      <c r="H423" s="74"/>
      <c r="I423" s="74"/>
      <c r="J423" s="74"/>
      <c r="K423" s="75"/>
    </row>
    <row r="424" spans="1:11" hidden="1">
      <c r="A424" s="28" t="s">
        <v>263</v>
      </c>
      <c r="B424" s="29"/>
      <c r="C424" s="29"/>
      <c r="D424" s="29"/>
      <c r="E424" s="29"/>
      <c r="F424" s="29"/>
      <c r="G424" s="29"/>
      <c r="H424" s="29"/>
      <c r="I424" s="29"/>
      <c r="J424" s="29"/>
      <c r="K424" s="30"/>
    </row>
    <row r="425" spans="1:11" hidden="1">
      <c r="A425" s="31" t="s">
        <v>197</v>
      </c>
      <c r="B425" s="32" t="s">
        <v>198</v>
      </c>
      <c r="C425" s="32" t="s">
        <v>199</v>
      </c>
      <c r="D425" s="32" t="s">
        <v>200</v>
      </c>
      <c r="E425" s="32" t="s">
        <v>201</v>
      </c>
      <c r="F425" s="32" t="s">
        <v>202</v>
      </c>
      <c r="G425" s="32" t="s">
        <v>203</v>
      </c>
      <c r="H425" s="32" t="s">
        <v>204</v>
      </c>
      <c r="I425" s="32" t="s">
        <v>205</v>
      </c>
      <c r="J425" s="32" t="s">
        <v>206</v>
      </c>
      <c r="K425" s="33" t="s">
        <v>207</v>
      </c>
    </row>
    <row r="426" spans="1:11" hidden="1">
      <c r="A426" s="34" t="s">
        <v>208</v>
      </c>
      <c r="B426" s="35" t="e">
        <f>ID!I132</f>
        <v>#DIV/0!</v>
      </c>
      <c r="C426" s="36" t="s">
        <v>238</v>
      </c>
      <c r="D426" s="37" t="s">
        <v>210</v>
      </c>
      <c r="E426" s="37">
        <f>SQRT(3)</f>
        <v>1.7320508075688772</v>
      </c>
      <c r="F426" s="69" t="e">
        <f>B426/E426</f>
        <v>#DIV/0!</v>
      </c>
      <c r="G426" s="37">
        <v>5</v>
      </c>
      <c r="H426" s="37">
        <v>1</v>
      </c>
      <c r="I426" s="37" t="e">
        <f t="shared" ref="I426:I428" si="69">F426*H426</f>
        <v>#DIV/0!</v>
      </c>
      <c r="J426" s="37" t="e">
        <f t="shared" ref="J426:J428" si="70">I426^2</f>
        <v>#DIV/0!</v>
      </c>
      <c r="K426" s="38" t="e">
        <f t="shared" ref="K426:K428" si="71">(J426^2)/G426</f>
        <v>#DIV/0!</v>
      </c>
    </row>
    <row r="427" spans="1:11" hidden="1">
      <c r="A427" s="39" t="s">
        <v>212</v>
      </c>
      <c r="B427" s="41">
        <f>'Data Sound Level Meter'!E31</f>
        <v>0.25</v>
      </c>
      <c r="C427" s="36" t="s">
        <v>238</v>
      </c>
      <c r="D427" s="36" t="s">
        <v>210</v>
      </c>
      <c r="E427" s="36">
        <v>2</v>
      </c>
      <c r="F427" s="70">
        <f>B427/E427</f>
        <v>0.125</v>
      </c>
      <c r="G427" s="42">
        <v>50</v>
      </c>
      <c r="H427" s="42">
        <v>1</v>
      </c>
      <c r="I427" s="41">
        <f t="shared" si="69"/>
        <v>0.125</v>
      </c>
      <c r="J427" s="41">
        <f t="shared" si="70"/>
        <v>1.5625E-2</v>
      </c>
      <c r="K427" s="43">
        <f t="shared" si="71"/>
        <v>4.8828125000000001E-6</v>
      </c>
    </row>
    <row r="428" spans="1:11" hidden="1">
      <c r="A428" s="34" t="s">
        <v>216</v>
      </c>
      <c r="B428" s="314">
        <v>0</v>
      </c>
      <c r="C428" s="36" t="s">
        <v>238</v>
      </c>
      <c r="D428" s="37" t="s">
        <v>215</v>
      </c>
      <c r="E428" s="37">
        <f>SQRT(3)</f>
        <v>1.7320508075688772</v>
      </c>
      <c r="F428" s="69">
        <f>B428/E428</f>
        <v>0</v>
      </c>
      <c r="G428" s="37">
        <v>50</v>
      </c>
      <c r="H428" s="37">
        <v>1</v>
      </c>
      <c r="I428" s="37">
        <f t="shared" si="69"/>
        <v>0</v>
      </c>
      <c r="J428" s="37">
        <f t="shared" si="70"/>
        <v>0</v>
      </c>
      <c r="K428" s="38">
        <f t="shared" si="71"/>
        <v>0</v>
      </c>
    </row>
    <row r="429" spans="1:11" ht="10.5" hidden="1">
      <c r="A429" s="47" t="s">
        <v>218</v>
      </c>
      <c r="B429" s="48"/>
      <c r="C429" s="48"/>
      <c r="D429" s="48"/>
      <c r="E429" s="48"/>
      <c r="F429" s="48"/>
      <c r="G429" s="48"/>
      <c r="H429" s="48"/>
      <c r="I429" s="49"/>
      <c r="J429" s="50" t="e">
        <f>SUM(J426:J428)</f>
        <v>#DIV/0!</v>
      </c>
      <c r="K429" s="51" t="e">
        <f>SUM(K426:K428)</f>
        <v>#DIV/0!</v>
      </c>
    </row>
    <row r="430" spans="1:11" ht="12.5" hidden="1">
      <c r="A430" s="47" t="s">
        <v>219</v>
      </c>
      <c r="B430" s="48"/>
      <c r="C430" s="48"/>
      <c r="D430" s="48"/>
      <c r="E430" s="48"/>
      <c r="F430" s="49"/>
      <c r="G430" s="52" t="s">
        <v>220</v>
      </c>
      <c r="H430" s="53"/>
      <c r="I430" s="54"/>
      <c r="J430" s="50" t="e">
        <f>SQRT(J429)</f>
        <v>#DIV/0!</v>
      </c>
      <c r="K430" s="51"/>
    </row>
    <row r="431" spans="1:11" ht="13.5" hidden="1">
      <c r="A431" s="47" t="s">
        <v>221</v>
      </c>
      <c r="B431" s="48"/>
      <c r="C431" s="48"/>
      <c r="D431" s="48"/>
      <c r="E431" s="48"/>
      <c r="F431" s="49"/>
      <c r="G431" s="55" t="s">
        <v>222</v>
      </c>
      <c r="H431" s="56"/>
      <c r="I431" s="57"/>
      <c r="J431" s="50" t="e">
        <f>J430^4/(K429)</f>
        <v>#DIV/0!</v>
      </c>
      <c r="K431" s="51"/>
    </row>
    <row r="432" spans="1:11" ht="10.5" hidden="1">
      <c r="A432" s="47" t="s">
        <v>223</v>
      </c>
      <c r="B432" s="48"/>
      <c r="C432" s="48"/>
      <c r="D432" s="48"/>
      <c r="E432" s="48"/>
      <c r="F432" s="49"/>
      <c r="G432" s="58" t="s">
        <v>224</v>
      </c>
      <c r="H432" s="59"/>
      <c r="I432" s="60"/>
      <c r="J432" s="50" t="e">
        <f>TINV(0.05,J431)</f>
        <v>#DIV/0!</v>
      </c>
      <c r="K432" s="51"/>
    </row>
    <row r="433" spans="1:11" ht="11" hidden="1" thickBot="1">
      <c r="A433" s="61" t="s">
        <v>225</v>
      </c>
      <c r="B433" s="62"/>
      <c r="C433" s="62"/>
      <c r="D433" s="62"/>
      <c r="E433" s="62"/>
      <c r="F433" s="63"/>
      <c r="G433" s="64" t="s">
        <v>226</v>
      </c>
      <c r="H433" s="65"/>
      <c r="I433" s="66"/>
      <c r="J433" s="316" t="e">
        <f>J432*J430</f>
        <v>#DIV/0!</v>
      </c>
      <c r="K433" s="68" t="s">
        <v>250</v>
      </c>
    </row>
    <row r="434" spans="1:11" ht="11" hidden="1" thickBot="1">
      <c r="A434" s="76"/>
      <c r="B434" s="76"/>
      <c r="C434" s="77"/>
      <c r="D434" s="77"/>
      <c r="E434" s="77"/>
      <c r="F434" s="77"/>
      <c r="G434" s="78"/>
      <c r="H434" s="77"/>
      <c r="I434" s="77"/>
      <c r="J434" s="44"/>
      <c r="K434" s="77"/>
    </row>
    <row r="435" spans="1:11" hidden="1">
      <c r="A435" s="28" t="s">
        <v>264</v>
      </c>
      <c r="B435" s="29"/>
      <c r="C435" s="29"/>
      <c r="D435" s="29"/>
      <c r="E435" s="29"/>
      <c r="F435" s="29"/>
      <c r="G435" s="29"/>
      <c r="H435" s="29"/>
      <c r="I435" s="29"/>
      <c r="J435" s="29"/>
      <c r="K435" s="30"/>
    </row>
    <row r="436" spans="1:11" hidden="1">
      <c r="A436" s="31" t="s">
        <v>197</v>
      </c>
      <c r="B436" s="32" t="s">
        <v>198</v>
      </c>
      <c r="C436" s="32" t="s">
        <v>199</v>
      </c>
      <c r="D436" s="32" t="s">
        <v>200</v>
      </c>
      <c r="E436" s="32" t="s">
        <v>201</v>
      </c>
      <c r="F436" s="32" t="s">
        <v>202</v>
      </c>
      <c r="G436" s="32" t="s">
        <v>203</v>
      </c>
      <c r="H436" s="32" t="s">
        <v>204</v>
      </c>
      <c r="I436" s="32" t="s">
        <v>205</v>
      </c>
      <c r="J436" s="32" t="s">
        <v>206</v>
      </c>
      <c r="K436" s="33" t="s">
        <v>207</v>
      </c>
    </row>
    <row r="437" spans="1:11" hidden="1">
      <c r="A437" s="34" t="s">
        <v>208</v>
      </c>
      <c r="B437" s="35" t="e">
        <f>ID!I133</f>
        <v>#DIV/0!</v>
      </c>
      <c r="C437" s="36" t="s">
        <v>238</v>
      </c>
      <c r="D437" s="37" t="s">
        <v>210</v>
      </c>
      <c r="E437" s="37">
        <f>SQRT(3)</f>
        <v>1.7320508075688772</v>
      </c>
      <c r="F437" s="69" t="e">
        <f>B437/E437</f>
        <v>#DIV/0!</v>
      </c>
      <c r="G437" s="37">
        <v>5</v>
      </c>
      <c r="H437" s="37">
        <v>1</v>
      </c>
      <c r="I437" s="37" t="e">
        <f t="shared" ref="I437:I439" si="72">F437*H437</f>
        <v>#DIV/0!</v>
      </c>
      <c r="J437" s="37" t="e">
        <f t="shared" ref="J437:J439" si="73">I437^2</f>
        <v>#DIV/0!</v>
      </c>
      <c r="K437" s="38" t="e">
        <f t="shared" ref="K437:K439" si="74">(J437^2)/G437</f>
        <v>#DIV/0!</v>
      </c>
    </row>
    <row r="438" spans="1:11" hidden="1">
      <c r="A438" s="39" t="s">
        <v>212</v>
      </c>
      <c r="B438" s="41">
        <f>'Data Sound Level Meter'!E31</f>
        <v>0.25</v>
      </c>
      <c r="C438" s="36" t="s">
        <v>238</v>
      </c>
      <c r="D438" s="36" t="s">
        <v>210</v>
      </c>
      <c r="E438" s="36">
        <v>2</v>
      </c>
      <c r="F438" s="70">
        <f>B438/E438</f>
        <v>0.125</v>
      </c>
      <c r="G438" s="42">
        <v>50</v>
      </c>
      <c r="H438" s="42">
        <v>1</v>
      </c>
      <c r="I438" s="41">
        <f t="shared" si="72"/>
        <v>0.125</v>
      </c>
      <c r="J438" s="41">
        <f t="shared" si="73"/>
        <v>1.5625E-2</v>
      </c>
      <c r="K438" s="43">
        <f t="shared" si="74"/>
        <v>4.8828125000000001E-6</v>
      </c>
    </row>
    <row r="439" spans="1:11" hidden="1">
      <c r="A439" s="34" t="s">
        <v>216</v>
      </c>
      <c r="B439" s="314">
        <v>0</v>
      </c>
      <c r="C439" s="36" t="s">
        <v>238</v>
      </c>
      <c r="D439" s="37" t="s">
        <v>215</v>
      </c>
      <c r="E439" s="37">
        <f>SQRT(3)</f>
        <v>1.7320508075688772</v>
      </c>
      <c r="F439" s="69">
        <f>B439/E439</f>
        <v>0</v>
      </c>
      <c r="G439" s="37">
        <v>50</v>
      </c>
      <c r="H439" s="37">
        <v>1</v>
      </c>
      <c r="I439" s="37">
        <f t="shared" si="72"/>
        <v>0</v>
      </c>
      <c r="J439" s="37">
        <f t="shared" si="73"/>
        <v>0</v>
      </c>
      <c r="K439" s="38">
        <f t="shared" si="74"/>
        <v>0</v>
      </c>
    </row>
    <row r="440" spans="1:11" ht="10.5" hidden="1">
      <c r="A440" s="47" t="s">
        <v>218</v>
      </c>
      <c r="B440" s="48"/>
      <c r="C440" s="48"/>
      <c r="D440" s="48"/>
      <c r="E440" s="48"/>
      <c r="F440" s="48"/>
      <c r="G440" s="48"/>
      <c r="H440" s="48"/>
      <c r="I440" s="49"/>
      <c r="J440" s="50" t="e">
        <f>SUM(J437:J439)</f>
        <v>#DIV/0!</v>
      </c>
      <c r="K440" s="51" t="e">
        <f>SUM(K437:K439)</f>
        <v>#DIV/0!</v>
      </c>
    </row>
    <row r="441" spans="1:11" ht="12.5" hidden="1">
      <c r="A441" s="47" t="s">
        <v>219</v>
      </c>
      <c r="B441" s="48"/>
      <c r="C441" s="48"/>
      <c r="D441" s="48"/>
      <c r="E441" s="48"/>
      <c r="F441" s="49"/>
      <c r="G441" s="52" t="s">
        <v>220</v>
      </c>
      <c r="H441" s="53"/>
      <c r="I441" s="54"/>
      <c r="J441" s="50" t="e">
        <f>SQRT(J440)</f>
        <v>#DIV/0!</v>
      </c>
      <c r="K441" s="51"/>
    </row>
    <row r="442" spans="1:11" ht="13.5" hidden="1">
      <c r="A442" s="47" t="s">
        <v>221</v>
      </c>
      <c r="B442" s="48"/>
      <c r="C442" s="48"/>
      <c r="D442" s="48"/>
      <c r="E442" s="48"/>
      <c r="F442" s="49"/>
      <c r="G442" s="55" t="s">
        <v>222</v>
      </c>
      <c r="H442" s="56"/>
      <c r="I442" s="57"/>
      <c r="J442" s="50" t="e">
        <f>J441^4/(K440)</f>
        <v>#DIV/0!</v>
      </c>
      <c r="K442" s="51"/>
    </row>
    <row r="443" spans="1:11" ht="10.5" hidden="1">
      <c r="A443" s="47" t="s">
        <v>223</v>
      </c>
      <c r="B443" s="48"/>
      <c r="C443" s="48"/>
      <c r="D443" s="48"/>
      <c r="E443" s="48"/>
      <c r="F443" s="49"/>
      <c r="G443" s="58" t="s">
        <v>224</v>
      </c>
      <c r="H443" s="59"/>
      <c r="I443" s="60"/>
      <c r="J443" s="50" t="e">
        <f>TINV(0.05,J442)</f>
        <v>#DIV/0!</v>
      </c>
      <c r="K443" s="51"/>
    </row>
    <row r="444" spans="1:11" ht="11" hidden="1" thickBot="1">
      <c r="A444" s="61" t="s">
        <v>225</v>
      </c>
      <c r="B444" s="62"/>
      <c r="C444" s="62"/>
      <c r="D444" s="62"/>
      <c r="E444" s="62"/>
      <c r="F444" s="63"/>
      <c r="G444" s="64" t="s">
        <v>226</v>
      </c>
      <c r="H444" s="65"/>
      <c r="I444" s="66"/>
      <c r="J444" s="316" t="e">
        <f>J443*J441</f>
        <v>#DIV/0!</v>
      </c>
      <c r="K444" s="68" t="s">
        <v>250</v>
      </c>
    </row>
    <row r="445" spans="1:11" ht="11" hidden="1" thickBo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</row>
    <row r="446" spans="1:11" hidden="1">
      <c r="A446" s="28" t="s">
        <v>265</v>
      </c>
      <c r="B446" s="29"/>
      <c r="C446" s="29"/>
      <c r="D446" s="29"/>
      <c r="E446" s="29"/>
      <c r="F446" s="29"/>
      <c r="G446" s="29"/>
      <c r="H446" s="29"/>
      <c r="I446" s="29"/>
      <c r="J446" s="29"/>
      <c r="K446" s="30"/>
    </row>
    <row r="447" spans="1:11" hidden="1">
      <c r="A447" s="31" t="s">
        <v>197</v>
      </c>
      <c r="B447" s="32" t="s">
        <v>198</v>
      </c>
      <c r="C447" s="32" t="s">
        <v>199</v>
      </c>
      <c r="D447" s="32" t="s">
        <v>200</v>
      </c>
      <c r="E447" s="32" t="s">
        <v>201</v>
      </c>
      <c r="F447" s="32" t="s">
        <v>202</v>
      </c>
      <c r="G447" s="32" t="s">
        <v>203</v>
      </c>
      <c r="H447" s="32" t="s">
        <v>204</v>
      </c>
      <c r="I447" s="32" t="s">
        <v>205</v>
      </c>
      <c r="J447" s="32" t="s">
        <v>206</v>
      </c>
      <c r="K447" s="33" t="s">
        <v>207</v>
      </c>
    </row>
    <row r="448" spans="1:11" hidden="1">
      <c r="A448" s="34" t="s">
        <v>208</v>
      </c>
      <c r="B448" s="35" t="e">
        <f>ID!I134</f>
        <v>#DIV/0!</v>
      </c>
      <c r="C448" s="36" t="s">
        <v>238</v>
      </c>
      <c r="D448" s="37" t="s">
        <v>210</v>
      </c>
      <c r="E448" s="37">
        <f>SQRT(3)</f>
        <v>1.7320508075688772</v>
      </c>
      <c r="F448" s="69" t="e">
        <f>B448/E448</f>
        <v>#DIV/0!</v>
      </c>
      <c r="G448" s="37">
        <v>5</v>
      </c>
      <c r="H448" s="37">
        <v>1</v>
      </c>
      <c r="I448" s="37" t="e">
        <f t="shared" ref="I448:I450" si="75">F448*H448</f>
        <v>#DIV/0!</v>
      </c>
      <c r="J448" s="37" t="e">
        <f t="shared" ref="J448:J450" si="76">I448^2</f>
        <v>#DIV/0!</v>
      </c>
      <c r="K448" s="38" t="e">
        <f t="shared" ref="K448:K450" si="77">(J448^2)/G448</f>
        <v>#DIV/0!</v>
      </c>
    </row>
    <row r="449" spans="1:11" hidden="1">
      <c r="A449" s="39" t="s">
        <v>212</v>
      </c>
      <c r="B449" s="41">
        <f>'Data Sound Level Meter'!E31</f>
        <v>0.25</v>
      </c>
      <c r="C449" s="36" t="s">
        <v>238</v>
      </c>
      <c r="D449" s="36" t="s">
        <v>210</v>
      </c>
      <c r="E449" s="36">
        <v>2</v>
      </c>
      <c r="F449" s="70">
        <f>B449/E449</f>
        <v>0.125</v>
      </c>
      <c r="G449" s="42">
        <v>50</v>
      </c>
      <c r="H449" s="42">
        <v>1</v>
      </c>
      <c r="I449" s="41">
        <f t="shared" si="75"/>
        <v>0.125</v>
      </c>
      <c r="J449" s="41">
        <f t="shared" si="76"/>
        <v>1.5625E-2</v>
      </c>
      <c r="K449" s="43">
        <f t="shared" si="77"/>
        <v>4.8828125000000001E-6</v>
      </c>
    </row>
    <row r="450" spans="1:11" hidden="1">
      <c r="A450" s="34" t="s">
        <v>216</v>
      </c>
      <c r="B450" s="314">
        <v>0</v>
      </c>
      <c r="C450" s="36" t="s">
        <v>238</v>
      </c>
      <c r="D450" s="37" t="s">
        <v>215</v>
      </c>
      <c r="E450" s="37">
        <f>SQRT(3)</f>
        <v>1.7320508075688772</v>
      </c>
      <c r="F450" s="69">
        <f>B450/E450</f>
        <v>0</v>
      </c>
      <c r="G450" s="37">
        <v>50</v>
      </c>
      <c r="H450" s="37">
        <v>1</v>
      </c>
      <c r="I450" s="37">
        <f t="shared" si="75"/>
        <v>0</v>
      </c>
      <c r="J450" s="37">
        <f t="shared" si="76"/>
        <v>0</v>
      </c>
      <c r="K450" s="38">
        <f t="shared" si="77"/>
        <v>0</v>
      </c>
    </row>
    <row r="451" spans="1:11" ht="10.5" hidden="1">
      <c r="A451" s="47" t="s">
        <v>218</v>
      </c>
      <c r="B451" s="48"/>
      <c r="C451" s="48"/>
      <c r="D451" s="48"/>
      <c r="E451" s="48"/>
      <c r="F451" s="48"/>
      <c r="G451" s="48"/>
      <c r="H451" s="48"/>
      <c r="I451" s="49"/>
      <c r="J451" s="50" t="e">
        <f>SUM(J448:J450)</f>
        <v>#DIV/0!</v>
      </c>
      <c r="K451" s="51" t="e">
        <f>SUM(K448:K450)</f>
        <v>#DIV/0!</v>
      </c>
    </row>
    <row r="452" spans="1:11" ht="12.5" hidden="1">
      <c r="A452" s="47" t="s">
        <v>219</v>
      </c>
      <c r="B452" s="48"/>
      <c r="C452" s="48"/>
      <c r="D452" s="48"/>
      <c r="E452" s="48"/>
      <c r="F452" s="49"/>
      <c r="G452" s="52" t="s">
        <v>220</v>
      </c>
      <c r="H452" s="53"/>
      <c r="I452" s="54"/>
      <c r="J452" s="50" t="e">
        <f>SQRT(J451)</f>
        <v>#DIV/0!</v>
      </c>
      <c r="K452" s="51"/>
    </row>
    <row r="453" spans="1:11" ht="13.5" hidden="1">
      <c r="A453" s="47" t="s">
        <v>221</v>
      </c>
      <c r="B453" s="48"/>
      <c r="C453" s="48"/>
      <c r="D453" s="48"/>
      <c r="E453" s="48"/>
      <c r="F453" s="49"/>
      <c r="G453" s="55" t="s">
        <v>222</v>
      </c>
      <c r="H453" s="56"/>
      <c r="I453" s="57"/>
      <c r="J453" s="50" t="e">
        <f>J452^4/(K451)</f>
        <v>#DIV/0!</v>
      </c>
      <c r="K453" s="51"/>
    </row>
    <row r="454" spans="1:11" ht="10.5" hidden="1">
      <c r="A454" s="47" t="s">
        <v>223</v>
      </c>
      <c r="B454" s="48"/>
      <c r="C454" s="48"/>
      <c r="D454" s="48"/>
      <c r="E454" s="48"/>
      <c r="F454" s="49"/>
      <c r="G454" s="58" t="s">
        <v>224</v>
      </c>
      <c r="H454" s="59"/>
      <c r="I454" s="60"/>
      <c r="J454" s="50" t="e">
        <f>TINV(0.05,J453)</f>
        <v>#DIV/0!</v>
      </c>
      <c r="K454" s="51"/>
    </row>
    <row r="455" spans="1:11" ht="11" hidden="1" thickBot="1">
      <c r="A455" s="61" t="s">
        <v>225</v>
      </c>
      <c r="B455" s="62"/>
      <c r="C455" s="62"/>
      <c r="D455" s="62"/>
      <c r="E455" s="62"/>
      <c r="F455" s="63"/>
      <c r="G455" s="64" t="s">
        <v>226</v>
      </c>
      <c r="H455" s="65"/>
      <c r="I455" s="66"/>
      <c r="J455" s="316" t="e">
        <f>J454*J452</f>
        <v>#DIV/0!</v>
      </c>
      <c r="K455" s="68" t="s">
        <v>250</v>
      </c>
    </row>
    <row r="456" spans="1:11" ht="11" hidden="1" thickBo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</row>
    <row r="457" spans="1:11" hidden="1">
      <c r="A457" s="28" t="s">
        <v>266</v>
      </c>
      <c r="B457" s="29"/>
      <c r="C457" s="29"/>
      <c r="D457" s="29"/>
      <c r="E457" s="29"/>
      <c r="F457" s="29"/>
      <c r="G457" s="29"/>
      <c r="H457" s="29"/>
      <c r="I457" s="29"/>
      <c r="J457" s="29"/>
      <c r="K457" s="30"/>
    </row>
    <row r="458" spans="1:11" hidden="1">
      <c r="A458" s="31" t="s">
        <v>197</v>
      </c>
      <c r="B458" s="32" t="s">
        <v>198</v>
      </c>
      <c r="C458" s="32" t="s">
        <v>199</v>
      </c>
      <c r="D458" s="32" t="s">
        <v>200</v>
      </c>
      <c r="E458" s="32" t="s">
        <v>201</v>
      </c>
      <c r="F458" s="32" t="s">
        <v>202</v>
      </c>
      <c r="G458" s="32" t="s">
        <v>203</v>
      </c>
      <c r="H458" s="32" t="s">
        <v>204</v>
      </c>
      <c r="I458" s="32" t="s">
        <v>205</v>
      </c>
      <c r="J458" s="32" t="s">
        <v>206</v>
      </c>
      <c r="K458" s="33" t="s">
        <v>207</v>
      </c>
    </row>
    <row r="459" spans="1:11" hidden="1">
      <c r="A459" s="34" t="s">
        <v>208</v>
      </c>
      <c r="B459" s="35" t="e">
        <f>ID!I135</f>
        <v>#DIV/0!</v>
      </c>
      <c r="C459" s="36" t="s">
        <v>238</v>
      </c>
      <c r="D459" s="37" t="s">
        <v>210</v>
      </c>
      <c r="E459" s="37">
        <f>SQRT(3)</f>
        <v>1.7320508075688772</v>
      </c>
      <c r="F459" s="69" t="e">
        <f>B459/E459</f>
        <v>#DIV/0!</v>
      </c>
      <c r="G459" s="37">
        <v>5</v>
      </c>
      <c r="H459" s="37">
        <v>1</v>
      </c>
      <c r="I459" s="37" t="e">
        <f t="shared" ref="I459:I461" si="78">F459*H459</f>
        <v>#DIV/0!</v>
      </c>
      <c r="J459" s="37" t="e">
        <f t="shared" ref="J459:J461" si="79">I459^2</f>
        <v>#DIV/0!</v>
      </c>
      <c r="K459" s="38" t="e">
        <f t="shared" ref="K459:K461" si="80">(J459^2)/G459</f>
        <v>#DIV/0!</v>
      </c>
    </row>
    <row r="460" spans="1:11" hidden="1">
      <c r="A460" s="39" t="s">
        <v>212</v>
      </c>
      <c r="B460" s="41">
        <f>'Data Sound Level Meter'!E31</f>
        <v>0.25</v>
      </c>
      <c r="C460" s="36" t="s">
        <v>238</v>
      </c>
      <c r="D460" s="36" t="s">
        <v>210</v>
      </c>
      <c r="E460" s="36">
        <v>2</v>
      </c>
      <c r="F460" s="70">
        <f>B460/E460</f>
        <v>0.125</v>
      </c>
      <c r="G460" s="42">
        <v>50</v>
      </c>
      <c r="H460" s="42">
        <v>1</v>
      </c>
      <c r="I460" s="41">
        <f t="shared" si="78"/>
        <v>0.125</v>
      </c>
      <c r="J460" s="41">
        <f t="shared" si="79"/>
        <v>1.5625E-2</v>
      </c>
      <c r="K460" s="43">
        <f t="shared" si="80"/>
        <v>4.8828125000000001E-6</v>
      </c>
    </row>
    <row r="461" spans="1:11" hidden="1">
      <c r="A461" s="34" t="s">
        <v>216</v>
      </c>
      <c r="B461" s="314">
        <v>0</v>
      </c>
      <c r="C461" s="36" t="s">
        <v>238</v>
      </c>
      <c r="D461" s="37" t="s">
        <v>215</v>
      </c>
      <c r="E461" s="37">
        <f>SQRT(3)</f>
        <v>1.7320508075688772</v>
      </c>
      <c r="F461" s="69">
        <f>B461/E461</f>
        <v>0</v>
      </c>
      <c r="G461" s="37">
        <v>50</v>
      </c>
      <c r="H461" s="37">
        <v>1</v>
      </c>
      <c r="I461" s="37">
        <f t="shared" si="78"/>
        <v>0</v>
      </c>
      <c r="J461" s="37">
        <f t="shared" si="79"/>
        <v>0</v>
      </c>
      <c r="K461" s="38">
        <f t="shared" si="80"/>
        <v>0</v>
      </c>
    </row>
    <row r="462" spans="1:11" ht="10.5" hidden="1">
      <c r="A462" s="47" t="s">
        <v>218</v>
      </c>
      <c r="B462" s="48"/>
      <c r="C462" s="48"/>
      <c r="D462" s="48"/>
      <c r="E462" s="48"/>
      <c r="F462" s="48"/>
      <c r="G462" s="48"/>
      <c r="H462" s="48"/>
      <c r="I462" s="49"/>
      <c r="J462" s="50" t="e">
        <f>SUM(J459:J461)</f>
        <v>#DIV/0!</v>
      </c>
      <c r="K462" s="51" t="e">
        <f>SUM(K459:K461)</f>
        <v>#DIV/0!</v>
      </c>
    </row>
    <row r="463" spans="1:11" ht="12.5" hidden="1">
      <c r="A463" s="47" t="s">
        <v>219</v>
      </c>
      <c r="B463" s="48"/>
      <c r="C463" s="48"/>
      <c r="D463" s="48"/>
      <c r="E463" s="48"/>
      <c r="F463" s="49"/>
      <c r="G463" s="52" t="s">
        <v>220</v>
      </c>
      <c r="H463" s="53"/>
      <c r="I463" s="54"/>
      <c r="J463" s="50" t="e">
        <f>SQRT(J462)</f>
        <v>#DIV/0!</v>
      </c>
      <c r="K463" s="51"/>
    </row>
    <row r="464" spans="1:11" ht="13.5" hidden="1">
      <c r="A464" s="47" t="s">
        <v>221</v>
      </c>
      <c r="B464" s="48"/>
      <c r="C464" s="48"/>
      <c r="D464" s="48"/>
      <c r="E464" s="48"/>
      <c r="F464" s="49"/>
      <c r="G464" s="55" t="s">
        <v>222</v>
      </c>
      <c r="H464" s="56"/>
      <c r="I464" s="57"/>
      <c r="J464" s="50" t="e">
        <f>J463^4/(K462)</f>
        <v>#DIV/0!</v>
      </c>
      <c r="K464" s="51"/>
    </row>
    <row r="465" spans="1:11" ht="10.5" hidden="1">
      <c r="A465" s="47" t="s">
        <v>223</v>
      </c>
      <c r="B465" s="48"/>
      <c r="C465" s="48"/>
      <c r="D465" s="48"/>
      <c r="E465" s="48"/>
      <c r="F465" s="49"/>
      <c r="G465" s="58" t="s">
        <v>224</v>
      </c>
      <c r="H465" s="59"/>
      <c r="I465" s="60"/>
      <c r="J465" s="50" t="e">
        <f>TINV(0.05,J464)</f>
        <v>#DIV/0!</v>
      </c>
      <c r="K465" s="51"/>
    </row>
    <row r="466" spans="1:11" ht="11" hidden="1" thickBot="1">
      <c r="A466" s="61" t="s">
        <v>225</v>
      </c>
      <c r="B466" s="62"/>
      <c r="C466" s="62"/>
      <c r="D466" s="62"/>
      <c r="E466" s="62"/>
      <c r="F466" s="63"/>
      <c r="G466" s="64" t="s">
        <v>226</v>
      </c>
      <c r="H466" s="65"/>
      <c r="I466" s="66"/>
      <c r="J466" s="316" t="e">
        <f>J465*J463</f>
        <v>#DIV/0!</v>
      </c>
      <c r="K466" s="68" t="s">
        <v>250</v>
      </c>
    </row>
    <row r="467" spans="1:11" ht="11" hidden="1" thickBot="1">
      <c r="A467" s="82"/>
      <c r="B467" s="14"/>
      <c r="C467" s="14"/>
      <c r="D467" s="14"/>
      <c r="E467" s="14"/>
      <c r="F467" s="14"/>
      <c r="G467" s="14"/>
      <c r="H467" s="82"/>
      <c r="I467" s="14"/>
      <c r="J467" s="14"/>
      <c r="K467" s="14"/>
    </row>
    <row r="468" spans="1:11" hidden="1">
      <c r="A468" s="28" t="s">
        <v>267</v>
      </c>
      <c r="B468" s="29"/>
      <c r="C468" s="29"/>
      <c r="D468" s="29"/>
      <c r="E468" s="29"/>
      <c r="F468" s="29"/>
      <c r="G468" s="29"/>
      <c r="H468" s="29"/>
      <c r="I468" s="29"/>
      <c r="J468" s="29"/>
      <c r="K468" s="30"/>
    </row>
    <row r="469" spans="1:11" hidden="1">
      <c r="A469" s="31" t="s">
        <v>197</v>
      </c>
      <c r="B469" s="32" t="s">
        <v>198</v>
      </c>
      <c r="C469" s="32" t="s">
        <v>199</v>
      </c>
      <c r="D469" s="32" t="s">
        <v>200</v>
      </c>
      <c r="E469" s="32" t="s">
        <v>201</v>
      </c>
      <c r="F469" s="32" t="s">
        <v>202</v>
      </c>
      <c r="G469" s="32" t="s">
        <v>203</v>
      </c>
      <c r="H469" s="32" t="s">
        <v>204</v>
      </c>
      <c r="I469" s="32" t="s">
        <v>205</v>
      </c>
      <c r="J469" s="32" t="s">
        <v>206</v>
      </c>
      <c r="K469" s="33" t="s">
        <v>207</v>
      </c>
    </row>
    <row r="470" spans="1:11" hidden="1">
      <c r="A470" s="34" t="s">
        <v>208</v>
      </c>
      <c r="B470" s="35" t="e">
        <f>ID!I136</f>
        <v>#DIV/0!</v>
      </c>
      <c r="C470" s="36" t="s">
        <v>238</v>
      </c>
      <c r="D470" s="37" t="s">
        <v>210</v>
      </c>
      <c r="E470" s="37">
        <f>SQRT(3)</f>
        <v>1.7320508075688772</v>
      </c>
      <c r="F470" s="69" t="e">
        <f>B470/E470</f>
        <v>#DIV/0!</v>
      </c>
      <c r="G470" s="37">
        <v>5</v>
      </c>
      <c r="H470" s="37">
        <v>1</v>
      </c>
      <c r="I470" s="37" t="e">
        <f t="shared" ref="I470:I472" si="81">F470*H470</f>
        <v>#DIV/0!</v>
      </c>
      <c r="J470" s="37" t="e">
        <f t="shared" ref="J470:J472" si="82">I470^2</f>
        <v>#DIV/0!</v>
      </c>
      <c r="K470" s="38" t="e">
        <f t="shared" ref="K470:K472" si="83">(J470^2)/G470</f>
        <v>#DIV/0!</v>
      </c>
    </row>
    <row r="471" spans="1:11" hidden="1">
      <c r="A471" s="39" t="s">
        <v>212</v>
      </c>
      <c r="B471" s="40">
        <f>'Data Sound Level Meter'!E31</f>
        <v>0.25</v>
      </c>
      <c r="C471" s="36" t="s">
        <v>238</v>
      </c>
      <c r="D471" s="36" t="s">
        <v>210</v>
      </c>
      <c r="E471" s="36">
        <v>2</v>
      </c>
      <c r="F471" s="70">
        <f>B471/E471</f>
        <v>0.125</v>
      </c>
      <c r="G471" s="42">
        <v>50</v>
      </c>
      <c r="H471" s="42">
        <v>1</v>
      </c>
      <c r="I471" s="41">
        <f t="shared" si="81"/>
        <v>0.125</v>
      </c>
      <c r="J471" s="41">
        <f t="shared" si="82"/>
        <v>1.5625E-2</v>
      </c>
      <c r="K471" s="43">
        <f t="shared" si="83"/>
        <v>4.8828125000000001E-6</v>
      </c>
    </row>
    <row r="472" spans="1:11" hidden="1">
      <c r="A472" s="34" t="s">
        <v>216</v>
      </c>
      <c r="B472" s="314">
        <v>0</v>
      </c>
      <c r="C472" s="36" t="s">
        <v>238</v>
      </c>
      <c r="D472" s="37" t="s">
        <v>215</v>
      </c>
      <c r="E472" s="37">
        <f>SQRT(3)</f>
        <v>1.7320508075688772</v>
      </c>
      <c r="F472" s="69">
        <f>B472/E472</f>
        <v>0</v>
      </c>
      <c r="G472" s="37">
        <v>50</v>
      </c>
      <c r="H472" s="37">
        <v>1</v>
      </c>
      <c r="I472" s="37">
        <f t="shared" si="81"/>
        <v>0</v>
      </c>
      <c r="J472" s="37">
        <f t="shared" si="82"/>
        <v>0</v>
      </c>
      <c r="K472" s="38">
        <f t="shared" si="83"/>
        <v>0</v>
      </c>
    </row>
    <row r="473" spans="1:11" ht="10.5" hidden="1">
      <c r="A473" s="47" t="s">
        <v>218</v>
      </c>
      <c r="B473" s="48"/>
      <c r="C473" s="48"/>
      <c r="D473" s="48"/>
      <c r="E473" s="48"/>
      <c r="F473" s="48"/>
      <c r="G473" s="48"/>
      <c r="H473" s="48"/>
      <c r="I473" s="49"/>
      <c r="J473" s="50" t="e">
        <f>SUM(J470:J472)</f>
        <v>#DIV/0!</v>
      </c>
      <c r="K473" s="51" t="e">
        <f>SUM(K470:K472)</f>
        <v>#DIV/0!</v>
      </c>
    </row>
    <row r="474" spans="1:11" ht="12.5" hidden="1">
      <c r="A474" s="47" t="s">
        <v>219</v>
      </c>
      <c r="B474" s="48"/>
      <c r="C474" s="48"/>
      <c r="D474" s="48"/>
      <c r="E474" s="48"/>
      <c r="F474" s="49"/>
      <c r="G474" s="52" t="s">
        <v>220</v>
      </c>
      <c r="H474" s="53"/>
      <c r="I474" s="54"/>
      <c r="J474" s="50" t="e">
        <f>SQRT(J473)</f>
        <v>#DIV/0!</v>
      </c>
      <c r="K474" s="51"/>
    </row>
    <row r="475" spans="1:11" ht="13.5" hidden="1">
      <c r="A475" s="47" t="s">
        <v>221</v>
      </c>
      <c r="B475" s="48"/>
      <c r="C475" s="48"/>
      <c r="D475" s="48"/>
      <c r="E475" s="48"/>
      <c r="F475" s="49"/>
      <c r="G475" s="55" t="s">
        <v>222</v>
      </c>
      <c r="H475" s="56"/>
      <c r="I475" s="57"/>
      <c r="J475" s="50" t="e">
        <f>J474^4/(K473)</f>
        <v>#DIV/0!</v>
      </c>
      <c r="K475" s="51"/>
    </row>
    <row r="476" spans="1:11" ht="10.5" hidden="1">
      <c r="A476" s="47" t="s">
        <v>223</v>
      </c>
      <c r="B476" s="48"/>
      <c r="C476" s="48"/>
      <c r="D476" s="48"/>
      <c r="E476" s="48"/>
      <c r="F476" s="49"/>
      <c r="G476" s="58" t="s">
        <v>224</v>
      </c>
      <c r="H476" s="59"/>
      <c r="I476" s="60"/>
      <c r="J476" s="50" t="e">
        <f>TINV(0.05,J475)</f>
        <v>#DIV/0!</v>
      </c>
      <c r="K476" s="51"/>
    </row>
    <row r="477" spans="1:11" ht="11" hidden="1" thickBot="1">
      <c r="A477" s="61" t="s">
        <v>225</v>
      </c>
      <c r="B477" s="62"/>
      <c r="C477" s="62"/>
      <c r="D477" s="62"/>
      <c r="E477" s="62"/>
      <c r="F477" s="63"/>
      <c r="G477" s="64" t="s">
        <v>226</v>
      </c>
      <c r="H477" s="65"/>
      <c r="I477" s="66"/>
      <c r="J477" s="315" t="e">
        <f>J476*J474</f>
        <v>#DIV/0!</v>
      </c>
      <c r="K477" s="68" t="s">
        <v>250</v>
      </c>
    </row>
    <row r="478" spans="1:11" ht="11" hidden="1" thickBo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</row>
    <row r="479" spans="1:11" hidden="1">
      <c r="A479" s="28" t="s">
        <v>268</v>
      </c>
      <c r="B479" s="29"/>
      <c r="C479" s="29"/>
      <c r="D479" s="29"/>
      <c r="E479" s="29"/>
      <c r="F479" s="29"/>
      <c r="G479" s="29"/>
      <c r="H479" s="29"/>
      <c r="I479" s="29"/>
      <c r="J479" s="29"/>
      <c r="K479" s="30"/>
    </row>
    <row r="480" spans="1:11" hidden="1">
      <c r="A480" s="31" t="s">
        <v>197</v>
      </c>
      <c r="B480" s="32" t="s">
        <v>198</v>
      </c>
      <c r="C480" s="32" t="s">
        <v>199</v>
      </c>
      <c r="D480" s="32" t="s">
        <v>200</v>
      </c>
      <c r="E480" s="32" t="s">
        <v>201</v>
      </c>
      <c r="F480" s="32" t="s">
        <v>202</v>
      </c>
      <c r="G480" s="32" t="s">
        <v>203</v>
      </c>
      <c r="H480" s="32" t="s">
        <v>204</v>
      </c>
      <c r="I480" s="32" t="s">
        <v>205</v>
      </c>
      <c r="J480" s="32" t="s">
        <v>206</v>
      </c>
      <c r="K480" s="33" t="s">
        <v>207</v>
      </c>
    </row>
    <row r="481" spans="1:11" hidden="1">
      <c r="A481" s="34" t="s">
        <v>208</v>
      </c>
      <c r="B481" s="35" t="e">
        <f>ID!I137</f>
        <v>#DIV/0!</v>
      </c>
      <c r="C481" s="36" t="s">
        <v>238</v>
      </c>
      <c r="D481" s="37" t="s">
        <v>210</v>
      </c>
      <c r="E481" s="37">
        <f>SQRT(3)</f>
        <v>1.7320508075688772</v>
      </c>
      <c r="F481" s="69" t="e">
        <f>B481/E481</f>
        <v>#DIV/0!</v>
      </c>
      <c r="G481" s="37">
        <v>5</v>
      </c>
      <c r="H481" s="37">
        <v>1</v>
      </c>
      <c r="I481" s="37" t="e">
        <f t="shared" ref="I481:I483" si="84">F481*H481</f>
        <v>#DIV/0!</v>
      </c>
      <c r="J481" s="37" t="e">
        <f t="shared" ref="J481:J483" si="85">I481^2</f>
        <v>#DIV/0!</v>
      </c>
      <c r="K481" s="38" t="e">
        <f t="shared" ref="K481:K483" si="86">(J481^2)/G481</f>
        <v>#DIV/0!</v>
      </c>
    </row>
    <row r="482" spans="1:11" hidden="1">
      <c r="A482" s="39" t="s">
        <v>212</v>
      </c>
      <c r="B482" s="40">
        <f>'Data Sound Level Meter'!E31</f>
        <v>0.25</v>
      </c>
      <c r="C482" s="36" t="s">
        <v>238</v>
      </c>
      <c r="D482" s="36" t="s">
        <v>210</v>
      </c>
      <c r="E482" s="36">
        <v>2</v>
      </c>
      <c r="F482" s="70">
        <f>B482/E482</f>
        <v>0.125</v>
      </c>
      <c r="G482" s="42">
        <v>50</v>
      </c>
      <c r="H482" s="42">
        <v>1</v>
      </c>
      <c r="I482" s="41">
        <f t="shared" si="84"/>
        <v>0.125</v>
      </c>
      <c r="J482" s="41">
        <f t="shared" si="85"/>
        <v>1.5625E-2</v>
      </c>
      <c r="K482" s="43">
        <f t="shared" si="86"/>
        <v>4.8828125000000001E-6</v>
      </c>
    </row>
    <row r="483" spans="1:11" hidden="1">
      <c r="A483" s="34" t="s">
        <v>216</v>
      </c>
      <c r="B483" s="314">
        <v>0</v>
      </c>
      <c r="C483" s="36" t="s">
        <v>238</v>
      </c>
      <c r="D483" s="37" t="s">
        <v>215</v>
      </c>
      <c r="E483" s="37">
        <f>SQRT(3)</f>
        <v>1.7320508075688772</v>
      </c>
      <c r="F483" s="69">
        <f>B483/E483</f>
        <v>0</v>
      </c>
      <c r="G483" s="37">
        <v>50</v>
      </c>
      <c r="H483" s="37">
        <v>1</v>
      </c>
      <c r="I483" s="37">
        <f t="shared" si="84"/>
        <v>0</v>
      </c>
      <c r="J483" s="37">
        <f t="shared" si="85"/>
        <v>0</v>
      </c>
      <c r="K483" s="38">
        <f t="shared" si="86"/>
        <v>0</v>
      </c>
    </row>
    <row r="484" spans="1:11" ht="10.5" hidden="1">
      <c r="A484" s="47" t="s">
        <v>218</v>
      </c>
      <c r="B484" s="48"/>
      <c r="C484" s="48"/>
      <c r="D484" s="48"/>
      <c r="E484" s="48"/>
      <c r="F484" s="48"/>
      <c r="G484" s="48"/>
      <c r="H484" s="48"/>
      <c r="I484" s="49"/>
      <c r="J484" s="50" t="e">
        <f>SUM(J481:J483)</f>
        <v>#DIV/0!</v>
      </c>
      <c r="K484" s="51" t="e">
        <f>SUM(K481:K483)</f>
        <v>#DIV/0!</v>
      </c>
    </row>
    <row r="485" spans="1:11" ht="12.5" hidden="1">
      <c r="A485" s="47" t="s">
        <v>219</v>
      </c>
      <c r="B485" s="48"/>
      <c r="C485" s="48"/>
      <c r="D485" s="48"/>
      <c r="E485" s="48"/>
      <c r="F485" s="49"/>
      <c r="G485" s="52" t="s">
        <v>220</v>
      </c>
      <c r="H485" s="53"/>
      <c r="I485" s="54"/>
      <c r="J485" s="50" t="e">
        <f>SQRT(J484)</f>
        <v>#DIV/0!</v>
      </c>
      <c r="K485" s="51"/>
    </row>
    <row r="486" spans="1:11" ht="13.5" hidden="1">
      <c r="A486" s="47" t="s">
        <v>221</v>
      </c>
      <c r="B486" s="48"/>
      <c r="C486" s="48"/>
      <c r="D486" s="48"/>
      <c r="E486" s="48"/>
      <c r="F486" s="49"/>
      <c r="G486" s="55" t="s">
        <v>222</v>
      </c>
      <c r="H486" s="56"/>
      <c r="I486" s="57"/>
      <c r="J486" s="50" t="e">
        <f>J485^4/(K484)</f>
        <v>#DIV/0!</v>
      </c>
      <c r="K486" s="51"/>
    </row>
    <row r="487" spans="1:11" ht="10.5" hidden="1">
      <c r="A487" s="47" t="s">
        <v>223</v>
      </c>
      <c r="B487" s="48"/>
      <c r="C487" s="48"/>
      <c r="D487" s="48"/>
      <c r="E487" s="48"/>
      <c r="F487" s="49"/>
      <c r="G487" s="58" t="s">
        <v>224</v>
      </c>
      <c r="H487" s="59"/>
      <c r="I487" s="60"/>
      <c r="J487" s="50" t="e">
        <f>TINV(0.05,J486)</f>
        <v>#DIV/0!</v>
      </c>
      <c r="K487" s="51"/>
    </row>
    <row r="488" spans="1:11" ht="11" hidden="1" thickBot="1">
      <c r="A488" s="61" t="s">
        <v>225</v>
      </c>
      <c r="B488" s="62"/>
      <c r="C488" s="62"/>
      <c r="D488" s="62"/>
      <c r="E488" s="62"/>
      <c r="F488" s="63"/>
      <c r="G488" s="64" t="s">
        <v>226</v>
      </c>
      <c r="H488" s="65"/>
      <c r="I488" s="66"/>
      <c r="J488" s="316" t="e">
        <f>J487*J485</f>
        <v>#DIV/0!</v>
      </c>
      <c r="K488" s="68" t="s">
        <v>250</v>
      </c>
    </row>
    <row r="489" spans="1:11" ht="11" hidden="1" thickBo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</row>
    <row r="490" spans="1:11" hidden="1">
      <c r="A490" s="28" t="s">
        <v>269</v>
      </c>
      <c r="B490" s="29"/>
      <c r="C490" s="29"/>
      <c r="D490" s="29"/>
      <c r="E490" s="29"/>
      <c r="F490" s="29"/>
      <c r="G490" s="29"/>
      <c r="H490" s="29"/>
      <c r="I490" s="29"/>
      <c r="J490" s="29"/>
      <c r="K490" s="30"/>
    </row>
    <row r="491" spans="1:11" hidden="1">
      <c r="A491" s="31" t="s">
        <v>197</v>
      </c>
      <c r="B491" s="32" t="s">
        <v>198</v>
      </c>
      <c r="C491" s="32" t="s">
        <v>199</v>
      </c>
      <c r="D491" s="32" t="s">
        <v>200</v>
      </c>
      <c r="E491" s="32" t="s">
        <v>201</v>
      </c>
      <c r="F491" s="32" t="s">
        <v>202</v>
      </c>
      <c r="G491" s="32" t="s">
        <v>203</v>
      </c>
      <c r="H491" s="32" t="s">
        <v>204</v>
      </c>
      <c r="I491" s="32" t="s">
        <v>205</v>
      </c>
      <c r="J491" s="32" t="s">
        <v>206</v>
      </c>
      <c r="K491" s="33" t="s">
        <v>207</v>
      </c>
    </row>
    <row r="492" spans="1:11" hidden="1">
      <c r="A492" s="34" t="s">
        <v>208</v>
      </c>
      <c r="B492" s="35" t="e">
        <f>ID!I138</f>
        <v>#DIV/0!</v>
      </c>
      <c r="C492" s="36" t="s">
        <v>238</v>
      </c>
      <c r="D492" s="37" t="s">
        <v>210</v>
      </c>
      <c r="E492" s="37">
        <f>SQRT(3)</f>
        <v>1.7320508075688772</v>
      </c>
      <c r="F492" s="69" t="e">
        <f>B492/E492</f>
        <v>#DIV/0!</v>
      </c>
      <c r="G492" s="37">
        <v>5</v>
      </c>
      <c r="H492" s="37">
        <v>1</v>
      </c>
      <c r="I492" s="37" t="e">
        <f t="shared" ref="I492:I494" si="87">F492*H492</f>
        <v>#DIV/0!</v>
      </c>
      <c r="J492" s="37" t="e">
        <f t="shared" ref="J492:J494" si="88">I492^2</f>
        <v>#DIV/0!</v>
      </c>
      <c r="K492" s="38" t="e">
        <f t="shared" ref="K492:K494" si="89">(J492^2)/G492</f>
        <v>#DIV/0!</v>
      </c>
    </row>
    <row r="493" spans="1:11" hidden="1">
      <c r="A493" s="39" t="s">
        <v>212</v>
      </c>
      <c r="B493" s="41">
        <f>'Data Sound Level Meter'!E31</f>
        <v>0.25</v>
      </c>
      <c r="C493" s="36" t="s">
        <v>238</v>
      </c>
      <c r="D493" s="36" t="s">
        <v>210</v>
      </c>
      <c r="E493" s="36">
        <v>2</v>
      </c>
      <c r="F493" s="70">
        <f>B493/E493</f>
        <v>0.125</v>
      </c>
      <c r="G493" s="42">
        <v>50</v>
      </c>
      <c r="H493" s="42">
        <v>1</v>
      </c>
      <c r="I493" s="41">
        <f t="shared" si="87"/>
        <v>0.125</v>
      </c>
      <c r="J493" s="41">
        <f t="shared" si="88"/>
        <v>1.5625E-2</v>
      </c>
      <c r="K493" s="43">
        <f t="shared" si="89"/>
        <v>4.8828125000000001E-6</v>
      </c>
    </row>
    <row r="494" spans="1:11" hidden="1">
      <c r="A494" s="34" t="s">
        <v>216</v>
      </c>
      <c r="B494" s="314">
        <v>0</v>
      </c>
      <c r="C494" s="36" t="s">
        <v>238</v>
      </c>
      <c r="D494" s="37" t="s">
        <v>215</v>
      </c>
      <c r="E494" s="37">
        <f>SQRT(3)</f>
        <v>1.7320508075688772</v>
      </c>
      <c r="F494" s="69">
        <f>B494/E494</f>
        <v>0</v>
      </c>
      <c r="G494" s="37">
        <v>50</v>
      </c>
      <c r="H494" s="37">
        <v>1</v>
      </c>
      <c r="I494" s="37">
        <f t="shared" si="87"/>
        <v>0</v>
      </c>
      <c r="J494" s="37">
        <f t="shared" si="88"/>
        <v>0</v>
      </c>
      <c r="K494" s="38">
        <f t="shared" si="89"/>
        <v>0</v>
      </c>
    </row>
    <row r="495" spans="1:11" ht="10.5" hidden="1">
      <c r="A495" s="47" t="s">
        <v>218</v>
      </c>
      <c r="B495" s="48"/>
      <c r="C495" s="48"/>
      <c r="D495" s="48"/>
      <c r="E495" s="48"/>
      <c r="F495" s="48"/>
      <c r="G495" s="48"/>
      <c r="H495" s="48"/>
      <c r="I495" s="49"/>
      <c r="J495" s="50" t="e">
        <f>SUM(J492:J494)</f>
        <v>#DIV/0!</v>
      </c>
      <c r="K495" s="51" t="e">
        <f>SUM(K492:K494)</f>
        <v>#DIV/0!</v>
      </c>
    </row>
    <row r="496" spans="1:11" ht="12.5" hidden="1">
      <c r="A496" s="47" t="s">
        <v>219</v>
      </c>
      <c r="B496" s="48"/>
      <c r="C496" s="48"/>
      <c r="D496" s="48"/>
      <c r="E496" s="48"/>
      <c r="F496" s="49"/>
      <c r="G496" s="52" t="s">
        <v>220</v>
      </c>
      <c r="H496" s="53"/>
      <c r="I496" s="54"/>
      <c r="J496" s="50" t="e">
        <f>SQRT(J495)</f>
        <v>#DIV/0!</v>
      </c>
      <c r="K496" s="51"/>
    </row>
    <row r="497" spans="1:11" ht="13.5" hidden="1">
      <c r="A497" s="47" t="s">
        <v>221</v>
      </c>
      <c r="B497" s="48"/>
      <c r="C497" s="48"/>
      <c r="D497" s="48"/>
      <c r="E497" s="48"/>
      <c r="F497" s="49"/>
      <c r="G497" s="55" t="s">
        <v>222</v>
      </c>
      <c r="H497" s="56"/>
      <c r="I497" s="57"/>
      <c r="J497" s="50" t="e">
        <f>J496^4/(K495)</f>
        <v>#DIV/0!</v>
      </c>
      <c r="K497" s="51"/>
    </row>
    <row r="498" spans="1:11" ht="10.5" hidden="1">
      <c r="A498" s="47" t="s">
        <v>223</v>
      </c>
      <c r="B498" s="48"/>
      <c r="C498" s="48"/>
      <c r="D498" s="48"/>
      <c r="E498" s="48"/>
      <c r="F498" s="49"/>
      <c r="G498" s="58" t="s">
        <v>224</v>
      </c>
      <c r="H498" s="59"/>
      <c r="I498" s="60"/>
      <c r="J498" s="50" t="e">
        <f>TINV(0.05,J497)</f>
        <v>#DIV/0!</v>
      </c>
      <c r="K498" s="51"/>
    </row>
    <row r="499" spans="1:11" ht="11" hidden="1" thickBot="1">
      <c r="A499" s="61" t="s">
        <v>225</v>
      </c>
      <c r="B499" s="62"/>
      <c r="C499" s="62"/>
      <c r="D499" s="62"/>
      <c r="E499" s="62"/>
      <c r="F499" s="63"/>
      <c r="G499" s="64" t="s">
        <v>226</v>
      </c>
      <c r="H499" s="65"/>
      <c r="I499" s="66"/>
      <c r="J499" s="316" t="e">
        <f>J498*J496</f>
        <v>#DIV/0!</v>
      </c>
      <c r="K499" s="68" t="s">
        <v>250</v>
      </c>
    </row>
  </sheetData>
  <sheetProtection algorithmName="SHA-512" hashValue="fYEytYDo7Bbdj3rQBoXPAj2qXkod9AnfkWdJ8ePdwMxrcqx0PCPZXeGzo2SNRGIG/bkvQCv5ER9m66ddunf9xg==" saltValue="sjEzdACIu/8SsjbPEdNn0Q==" spinCount="100000" sheet="1" objects="1" scenarios="1"/>
  <mergeCells count="1">
    <mergeCell ref="A1:K1"/>
  </mergeCells>
  <printOptions horizontalCentered="1"/>
  <pageMargins left="0.5" right="0.25" top="0.5" bottom="0.25" header="0.25" footer="0.25"/>
  <pageSetup paperSize="9" scale="63" orientation="portrait" horizontalDpi="4294967294" r:id="rId1"/>
  <headerFooter>
    <oddHeader>&amp;R&amp;"-,Regular"&amp;8OA.UB - 007 - 18 / REV . 0</oddHeader>
    <oddFooter>&amp;C&amp;"-,Regular"&amp;8&amp;K00-024software audiometer 2017&amp;R&amp;"-,Regular"&amp;8Page &amp;P of &amp;N</oddFooter>
  </headerFooter>
  <rowBreaks count="5" manualBreakCount="5">
    <brk id="106" max="10" man="1"/>
    <brk id="213" max="10" man="1"/>
    <brk id="309" max="10" man="1"/>
    <brk id="389" max="10" man="1"/>
    <brk id="467" max="1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9"/>
  <sheetViews>
    <sheetView showGridLines="0" view="pageBreakPreview" topLeftCell="A25" zoomScale="142" zoomScaleNormal="110" zoomScaleSheetLayoutView="142" workbookViewId="0">
      <selection activeCell="F16" sqref="F16"/>
    </sheetView>
  </sheetViews>
  <sheetFormatPr defaultColWidth="9.1796875" defaultRowHeight="10"/>
  <cols>
    <col min="1" max="1" width="27" style="25" customWidth="1"/>
    <col min="2" max="2" width="7" style="25" customWidth="1"/>
    <col min="3" max="3" width="6.453125" style="25" customWidth="1"/>
    <col min="4" max="4" width="6.81640625" style="25" customWidth="1"/>
    <col min="5" max="10" width="9.26953125" style="25" bestFit="1" customWidth="1"/>
    <col min="11" max="11" width="10.453125" style="25" bestFit="1" customWidth="1"/>
    <col min="12" max="16384" width="9.1796875" style="25"/>
  </cols>
  <sheetData>
    <row r="1" spans="1:11" ht="15.5">
      <c r="A1" s="1200" t="s">
        <v>194</v>
      </c>
      <c r="B1" s="1200"/>
      <c r="C1" s="1200"/>
      <c r="D1" s="1200"/>
      <c r="E1" s="1200"/>
      <c r="F1" s="1200"/>
      <c r="G1" s="1200"/>
      <c r="H1" s="1200"/>
      <c r="I1" s="1200"/>
      <c r="J1" s="1200"/>
      <c r="K1" s="1200"/>
    </row>
    <row r="2" spans="1:11" ht="10.5" thickBot="1"/>
    <row r="3" spans="1:11">
      <c r="A3" s="28" t="s">
        <v>262</v>
      </c>
      <c r="B3" s="29"/>
      <c r="C3" s="29"/>
      <c r="D3" s="29"/>
      <c r="E3" s="29"/>
      <c r="F3" s="29"/>
      <c r="G3" s="29"/>
      <c r="H3" s="29"/>
      <c r="I3" s="29"/>
      <c r="J3" s="29"/>
      <c r="K3" s="30"/>
    </row>
    <row r="4" spans="1:11">
      <c r="A4" s="31" t="s">
        <v>197</v>
      </c>
      <c r="B4" s="32" t="s">
        <v>198</v>
      </c>
      <c r="C4" s="32" t="s">
        <v>199</v>
      </c>
      <c r="D4" s="32" t="s">
        <v>200</v>
      </c>
      <c r="E4" s="32" t="s">
        <v>201</v>
      </c>
      <c r="F4" s="32" t="s">
        <v>202</v>
      </c>
      <c r="G4" s="32" t="s">
        <v>203</v>
      </c>
      <c r="H4" s="32" t="s">
        <v>204</v>
      </c>
      <c r="I4" s="32" t="s">
        <v>205</v>
      </c>
      <c r="J4" s="32" t="s">
        <v>206</v>
      </c>
      <c r="K4" s="33" t="s">
        <v>207</v>
      </c>
    </row>
    <row r="5" spans="1:11">
      <c r="A5" s="34" t="s">
        <v>208</v>
      </c>
      <c r="B5" s="35" t="e">
        <f>ID!I131</f>
        <v>#DIV/0!</v>
      </c>
      <c r="C5" s="36" t="s">
        <v>238</v>
      </c>
      <c r="D5" s="37" t="s">
        <v>210</v>
      </c>
      <c r="E5" s="37">
        <f>SQRT(3)</f>
        <v>1.7320508075688772</v>
      </c>
      <c r="F5" s="69" t="e">
        <f>B5/E5</f>
        <v>#DIV/0!</v>
      </c>
      <c r="G5" s="37">
        <v>5</v>
      </c>
      <c r="H5" s="37">
        <v>1</v>
      </c>
      <c r="I5" s="37" t="e">
        <f t="shared" ref="I5:I7" si="0">F5*H5</f>
        <v>#DIV/0!</v>
      </c>
      <c r="J5" s="37" t="e">
        <f t="shared" ref="J5:J7" si="1">I5^2</f>
        <v>#DIV/0!</v>
      </c>
      <c r="K5" s="38" t="e">
        <f t="shared" ref="K5:K7" si="2">(J5^2)/G5</f>
        <v>#DIV/0!</v>
      </c>
    </row>
    <row r="6" spans="1:11">
      <c r="A6" s="39" t="s">
        <v>212</v>
      </c>
      <c r="B6" s="41">
        <f>'Data Sound Level Meter'!E30</f>
        <v>0.5</v>
      </c>
      <c r="C6" s="36" t="s">
        <v>238</v>
      </c>
      <c r="D6" s="36" t="s">
        <v>210</v>
      </c>
      <c r="E6" s="36">
        <v>2</v>
      </c>
      <c r="F6" s="70">
        <f>B6/E6</f>
        <v>0.25</v>
      </c>
      <c r="G6" s="42">
        <v>50</v>
      </c>
      <c r="H6" s="42">
        <v>1</v>
      </c>
      <c r="I6" s="41">
        <f t="shared" si="0"/>
        <v>0.25</v>
      </c>
      <c r="J6" s="41">
        <f t="shared" si="1"/>
        <v>6.25E-2</v>
      </c>
      <c r="K6" s="43">
        <f t="shared" si="2"/>
        <v>7.8125000000000002E-5</v>
      </c>
    </row>
    <row r="7" spans="1:11">
      <c r="A7" s="34" t="s">
        <v>216</v>
      </c>
      <c r="B7" s="314">
        <v>0</v>
      </c>
      <c r="C7" s="36" t="s">
        <v>238</v>
      </c>
      <c r="D7" s="37" t="s">
        <v>215</v>
      </c>
      <c r="E7" s="37">
        <f>SQRT(3)</f>
        <v>1.7320508075688772</v>
      </c>
      <c r="F7" s="69">
        <f>B7/E7</f>
        <v>0</v>
      </c>
      <c r="G7" s="37">
        <v>50</v>
      </c>
      <c r="H7" s="37">
        <v>1</v>
      </c>
      <c r="I7" s="37">
        <f t="shared" si="0"/>
        <v>0</v>
      </c>
      <c r="J7" s="37">
        <f t="shared" si="1"/>
        <v>0</v>
      </c>
      <c r="K7" s="38">
        <f t="shared" si="2"/>
        <v>0</v>
      </c>
    </row>
    <row r="8" spans="1:11" ht="10.5">
      <c r="A8" s="47" t="s">
        <v>218</v>
      </c>
      <c r="B8" s="48"/>
      <c r="C8" s="48"/>
      <c r="D8" s="48"/>
      <c r="E8" s="48"/>
      <c r="F8" s="48"/>
      <c r="G8" s="48"/>
      <c r="H8" s="48"/>
      <c r="I8" s="49"/>
      <c r="J8" s="50" t="e">
        <f>SUM(J5:J7)</f>
        <v>#DIV/0!</v>
      </c>
      <c r="K8" s="51" t="e">
        <f>SUM(K5:K7)</f>
        <v>#DIV/0!</v>
      </c>
    </row>
    <row r="9" spans="1:11" ht="12.5">
      <c r="A9" s="47" t="s">
        <v>219</v>
      </c>
      <c r="B9" s="48"/>
      <c r="C9" s="48"/>
      <c r="D9" s="48"/>
      <c r="E9" s="48"/>
      <c r="F9" s="49"/>
      <c r="G9" s="52" t="s">
        <v>220</v>
      </c>
      <c r="H9" s="53"/>
      <c r="I9" s="54"/>
      <c r="J9" s="50" t="e">
        <f>SQRT(J8)</f>
        <v>#DIV/0!</v>
      </c>
      <c r="K9" s="51"/>
    </row>
    <row r="10" spans="1:11" ht="13.5">
      <c r="A10" s="47" t="s">
        <v>221</v>
      </c>
      <c r="B10" s="48"/>
      <c r="C10" s="48"/>
      <c r="D10" s="48"/>
      <c r="E10" s="48"/>
      <c r="F10" s="49"/>
      <c r="G10" s="55" t="s">
        <v>222</v>
      </c>
      <c r="H10" s="56"/>
      <c r="I10" s="57"/>
      <c r="J10" s="50" t="e">
        <f>J9^4/(K8)</f>
        <v>#DIV/0!</v>
      </c>
      <c r="K10" s="51"/>
    </row>
    <row r="11" spans="1:11" ht="10.5">
      <c r="A11" s="47" t="s">
        <v>223</v>
      </c>
      <c r="B11" s="48"/>
      <c r="C11" s="48"/>
      <c r="D11" s="48"/>
      <c r="E11" s="48"/>
      <c r="F11" s="49"/>
      <c r="G11" s="58" t="s">
        <v>224</v>
      </c>
      <c r="H11" s="59"/>
      <c r="I11" s="60"/>
      <c r="J11" s="50" t="e">
        <f>TINV(0.05,J10)</f>
        <v>#DIV/0!</v>
      </c>
      <c r="K11" s="51"/>
    </row>
    <row r="12" spans="1:11" ht="11" thickBot="1">
      <c r="A12" s="61" t="s">
        <v>225</v>
      </c>
      <c r="B12" s="62"/>
      <c r="C12" s="62"/>
      <c r="D12" s="62"/>
      <c r="E12" s="62"/>
      <c r="F12" s="63"/>
      <c r="G12" s="64" t="s">
        <v>226</v>
      </c>
      <c r="H12" s="65"/>
      <c r="I12" s="66"/>
      <c r="J12" s="316" t="e">
        <f>J11*J9</f>
        <v>#DIV/0!</v>
      </c>
      <c r="K12" s="68" t="s">
        <v>238</v>
      </c>
    </row>
    <row r="13" spans="1:11" ht="11" thickBot="1">
      <c r="A13" s="71"/>
      <c r="B13" s="72"/>
      <c r="C13" s="73"/>
      <c r="D13" s="73"/>
      <c r="E13" s="71"/>
      <c r="F13" s="74"/>
      <c r="G13" s="74"/>
      <c r="H13" s="74"/>
      <c r="I13" s="74"/>
      <c r="J13" s="74"/>
      <c r="K13" s="75"/>
    </row>
    <row r="14" spans="1:11">
      <c r="A14" s="28" t="s">
        <v>263</v>
      </c>
      <c r="B14" s="29"/>
      <c r="C14" s="29"/>
      <c r="D14" s="29"/>
      <c r="E14" s="29"/>
      <c r="F14" s="29"/>
      <c r="G14" s="29"/>
      <c r="H14" s="29"/>
      <c r="I14" s="29"/>
      <c r="J14" s="29"/>
      <c r="K14" s="30"/>
    </row>
    <row r="15" spans="1:11">
      <c r="A15" s="31" t="s">
        <v>197</v>
      </c>
      <c r="B15" s="32" t="s">
        <v>198</v>
      </c>
      <c r="C15" s="32" t="s">
        <v>199</v>
      </c>
      <c r="D15" s="32" t="s">
        <v>200</v>
      </c>
      <c r="E15" s="32" t="s">
        <v>201</v>
      </c>
      <c r="F15" s="32" t="s">
        <v>202</v>
      </c>
      <c r="G15" s="32" t="s">
        <v>203</v>
      </c>
      <c r="H15" s="32" t="s">
        <v>204</v>
      </c>
      <c r="I15" s="32" t="s">
        <v>205</v>
      </c>
      <c r="J15" s="32" t="s">
        <v>206</v>
      </c>
      <c r="K15" s="33" t="s">
        <v>207</v>
      </c>
    </row>
    <row r="16" spans="1:11">
      <c r="A16" s="34" t="s">
        <v>208</v>
      </c>
      <c r="B16" s="35" t="e">
        <f>ID!I132</f>
        <v>#DIV/0!</v>
      </c>
      <c r="C16" s="36" t="s">
        <v>238</v>
      </c>
      <c r="D16" s="37" t="s">
        <v>210</v>
      </c>
      <c r="E16" s="37">
        <f>SQRT(3)</f>
        <v>1.7320508075688772</v>
      </c>
      <c r="F16" s="69" t="e">
        <f>B16/E16</f>
        <v>#DIV/0!</v>
      </c>
      <c r="G16" s="37">
        <v>5</v>
      </c>
      <c r="H16" s="37">
        <v>1</v>
      </c>
      <c r="I16" s="37" t="e">
        <f t="shared" ref="I16:I18" si="3">F16*H16</f>
        <v>#DIV/0!</v>
      </c>
      <c r="J16" s="37" t="e">
        <f t="shared" ref="J16:J18" si="4">I16^2</f>
        <v>#DIV/0!</v>
      </c>
      <c r="K16" s="38" t="e">
        <f t="shared" ref="K16:K18" si="5">(J16^2)/G16</f>
        <v>#DIV/0!</v>
      </c>
    </row>
    <row r="17" spans="1:11">
      <c r="A17" s="39" t="s">
        <v>212</v>
      </c>
      <c r="B17" s="41">
        <f>'Data Sound Level Meter'!E30</f>
        <v>0.5</v>
      </c>
      <c r="C17" s="36" t="s">
        <v>238</v>
      </c>
      <c r="D17" s="36" t="s">
        <v>210</v>
      </c>
      <c r="E17" s="36">
        <v>2</v>
      </c>
      <c r="F17" s="70">
        <f>B17/E17</f>
        <v>0.25</v>
      </c>
      <c r="G17" s="42">
        <v>50</v>
      </c>
      <c r="H17" s="42">
        <v>1</v>
      </c>
      <c r="I17" s="41">
        <f t="shared" si="3"/>
        <v>0.25</v>
      </c>
      <c r="J17" s="41">
        <f t="shared" si="4"/>
        <v>6.25E-2</v>
      </c>
      <c r="K17" s="43">
        <f t="shared" si="5"/>
        <v>7.8125000000000002E-5</v>
      </c>
    </row>
    <row r="18" spans="1:11">
      <c r="A18" s="34" t="s">
        <v>216</v>
      </c>
      <c r="B18" s="314">
        <v>0</v>
      </c>
      <c r="C18" s="36" t="s">
        <v>238</v>
      </c>
      <c r="D18" s="37" t="s">
        <v>215</v>
      </c>
      <c r="E18" s="37">
        <f>SQRT(3)</f>
        <v>1.7320508075688772</v>
      </c>
      <c r="F18" s="69">
        <f>B18/E18</f>
        <v>0</v>
      </c>
      <c r="G18" s="37">
        <v>50</v>
      </c>
      <c r="H18" s="37">
        <v>1</v>
      </c>
      <c r="I18" s="37">
        <f t="shared" si="3"/>
        <v>0</v>
      </c>
      <c r="J18" s="37">
        <f t="shared" si="4"/>
        <v>0</v>
      </c>
      <c r="K18" s="38">
        <f t="shared" si="5"/>
        <v>0</v>
      </c>
    </row>
    <row r="19" spans="1:11" ht="10.5">
      <c r="A19" s="47" t="s">
        <v>218</v>
      </c>
      <c r="B19" s="48"/>
      <c r="C19" s="48"/>
      <c r="D19" s="48"/>
      <c r="E19" s="48"/>
      <c r="F19" s="48"/>
      <c r="G19" s="48"/>
      <c r="H19" s="48"/>
      <c r="I19" s="49"/>
      <c r="J19" s="50" t="e">
        <f>SUM(J16:J18)</f>
        <v>#DIV/0!</v>
      </c>
      <c r="K19" s="51" t="e">
        <f>SUM(K16:K18)</f>
        <v>#DIV/0!</v>
      </c>
    </row>
    <row r="20" spans="1:11" ht="12.5">
      <c r="A20" s="47" t="s">
        <v>219</v>
      </c>
      <c r="B20" s="48"/>
      <c r="C20" s="48"/>
      <c r="D20" s="48"/>
      <c r="E20" s="48"/>
      <c r="F20" s="49"/>
      <c r="G20" s="52" t="s">
        <v>220</v>
      </c>
      <c r="H20" s="53"/>
      <c r="I20" s="54"/>
      <c r="J20" s="50" t="e">
        <f>SQRT(J19)</f>
        <v>#DIV/0!</v>
      </c>
      <c r="K20" s="51"/>
    </row>
    <row r="21" spans="1:11" ht="13.5">
      <c r="A21" s="47" t="s">
        <v>221</v>
      </c>
      <c r="B21" s="48"/>
      <c r="C21" s="48"/>
      <c r="D21" s="48"/>
      <c r="E21" s="48"/>
      <c r="F21" s="49"/>
      <c r="G21" s="55" t="s">
        <v>222</v>
      </c>
      <c r="H21" s="56"/>
      <c r="I21" s="57"/>
      <c r="J21" s="50" t="e">
        <f>J20^4/(K19)</f>
        <v>#DIV/0!</v>
      </c>
      <c r="K21" s="51"/>
    </row>
    <row r="22" spans="1:11" ht="10.5">
      <c r="A22" s="47" t="s">
        <v>223</v>
      </c>
      <c r="B22" s="48"/>
      <c r="C22" s="48"/>
      <c r="D22" s="48"/>
      <c r="E22" s="48"/>
      <c r="F22" s="49"/>
      <c r="G22" s="58" t="s">
        <v>224</v>
      </c>
      <c r="H22" s="59"/>
      <c r="I22" s="60"/>
      <c r="J22" s="50" t="e">
        <f>TINV(0.05,J21)</f>
        <v>#DIV/0!</v>
      </c>
      <c r="K22" s="51"/>
    </row>
    <row r="23" spans="1:11" ht="11" thickBot="1">
      <c r="A23" s="61" t="s">
        <v>225</v>
      </c>
      <c r="B23" s="62"/>
      <c r="C23" s="62"/>
      <c r="D23" s="62"/>
      <c r="E23" s="62"/>
      <c r="F23" s="63"/>
      <c r="G23" s="64" t="s">
        <v>226</v>
      </c>
      <c r="H23" s="65"/>
      <c r="I23" s="66"/>
      <c r="J23" s="316" t="e">
        <f>J22*J20</f>
        <v>#DIV/0!</v>
      </c>
      <c r="K23" s="68" t="s">
        <v>238</v>
      </c>
    </row>
    <row r="24" spans="1:11" ht="11" thickBot="1">
      <c r="A24" s="76"/>
      <c r="B24" s="76"/>
      <c r="C24" s="77"/>
      <c r="D24" s="77"/>
      <c r="E24" s="77"/>
      <c r="F24" s="77"/>
      <c r="G24" s="78"/>
      <c r="H24" s="77"/>
      <c r="I24" s="77"/>
      <c r="J24" s="44"/>
      <c r="K24" s="77"/>
    </row>
    <row r="25" spans="1:11">
      <c r="A25" s="28" t="s">
        <v>264</v>
      </c>
      <c r="B25" s="29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31" t="s">
        <v>197</v>
      </c>
      <c r="B26" s="32" t="s">
        <v>198</v>
      </c>
      <c r="C26" s="32" t="s">
        <v>199</v>
      </c>
      <c r="D26" s="32" t="s">
        <v>200</v>
      </c>
      <c r="E26" s="32" t="s">
        <v>201</v>
      </c>
      <c r="F26" s="32" t="s">
        <v>202</v>
      </c>
      <c r="G26" s="32" t="s">
        <v>203</v>
      </c>
      <c r="H26" s="32" t="s">
        <v>204</v>
      </c>
      <c r="I26" s="32" t="s">
        <v>205</v>
      </c>
      <c r="J26" s="32" t="s">
        <v>206</v>
      </c>
      <c r="K26" s="33" t="s">
        <v>207</v>
      </c>
    </row>
    <row r="27" spans="1:11">
      <c r="A27" s="34" t="s">
        <v>208</v>
      </c>
      <c r="B27" s="35" t="e">
        <f>ID!I133</f>
        <v>#DIV/0!</v>
      </c>
      <c r="C27" s="36" t="s">
        <v>238</v>
      </c>
      <c r="D27" s="37" t="s">
        <v>210</v>
      </c>
      <c r="E27" s="37">
        <f>SQRT(3)</f>
        <v>1.7320508075688772</v>
      </c>
      <c r="F27" s="69" t="e">
        <f>B27/E27</f>
        <v>#DIV/0!</v>
      </c>
      <c r="G27" s="37">
        <v>5</v>
      </c>
      <c r="H27" s="37">
        <v>1</v>
      </c>
      <c r="I27" s="37" t="e">
        <f t="shared" ref="I27:I29" si="6">F27*H27</f>
        <v>#DIV/0!</v>
      </c>
      <c r="J27" s="37" t="e">
        <f t="shared" ref="J27:J29" si="7">I27^2</f>
        <v>#DIV/0!</v>
      </c>
      <c r="K27" s="38" t="e">
        <f t="shared" ref="K27:K29" si="8">(J27^2)/G27</f>
        <v>#DIV/0!</v>
      </c>
    </row>
    <row r="28" spans="1:11">
      <c r="A28" s="39" t="s">
        <v>212</v>
      </c>
      <c r="B28" s="41">
        <f>'Data Sound Level Meter'!E30</f>
        <v>0.5</v>
      </c>
      <c r="C28" s="36" t="s">
        <v>238</v>
      </c>
      <c r="D28" s="36" t="s">
        <v>210</v>
      </c>
      <c r="E28" s="36">
        <v>2</v>
      </c>
      <c r="F28" s="70">
        <f>B28/E28</f>
        <v>0.25</v>
      </c>
      <c r="G28" s="42">
        <v>50</v>
      </c>
      <c r="H28" s="42">
        <v>1</v>
      </c>
      <c r="I28" s="41">
        <f t="shared" si="6"/>
        <v>0.25</v>
      </c>
      <c r="J28" s="41">
        <f t="shared" si="7"/>
        <v>6.25E-2</v>
      </c>
      <c r="K28" s="43">
        <f t="shared" si="8"/>
        <v>7.8125000000000002E-5</v>
      </c>
    </row>
    <row r="29" spans="1:11">
      <c r="A29" s="34" t="s">
        <v>216</v>
      </c>
      <c r="B29" s="314">
        <v>0</v>
      </c>
      <c r="C29" s="36" t="s">
        <v>238</v>
      </c>
      <c r="D29" s="37" t="s">
        <v>215</v>
      </c>
      <c r="E29" s="37">
        <f>SQRT(3)</f>
        <v>1.7320508075688772</v>
      </c>
      <c r="F29" s="69">
        <f>B29/E29</f>
        <v>0</v>
      </c>
      <c r="G29" s="37">
        <v>50</v>
      </c>
      <c r="H29" s="37">
        <v>1</v>
      </c>
      <c r="I29" s="37">
        <f t="shared" si="6"/>
        <v>0</v>
      </c>
      <c r="J29" s="37">
        <f t="shared" si="7"/>
        <v>0</v>
      </c>
      <c r="K29" s="38">
        <f t="shared" si="8"/>
        <v>0</v>
      </c>
    </row>
    <row r="30" spans="1:11" ht="10.5">
      <c r="A30" s="47" t="s">
        <v>218</v>
      </c>
      <c r="B30" s="48"/>
      <c r="C30" s="48"/>
      <c r="D30" s="48"/>
      <c r="E30" s="48"/>
      <c r="F30" s="48"/>
      <c r="G30" s="48"/>
      <c r="H30" s="48"/>
      <c r="I30" s="49"/>
      <c r="J30" s="50" t="e">
        <f>SUM(J27:J29)</f>
        <v>#DIV/0!</v>
      </c>
      <c r="K30" s="51" t="e">
        <f>SUM(K27:K29)</f>
        <v>#DIV/0!</v>
      </c>
    </row>
    <row r="31" spans="1:11" ht="12.5">
      <c r="A31" s="47" t="s">
        <v>219</v>
      </c>
      <c r="B31" s="48"/>
      <c r="C31" s="48"/>
      <c r="D31" s="48"/>
      <c r="E31" s="48"/>
      <c r="F31" s="49"/>
      <c r="G31" s="52" t="s">
        <v>220</v>
      </c>
      <c r="H31" s="53"/>
      <c r="I31" s="54"/>
      <c r="J31" s="50" t="e">
        <f>SQRT(J30)</f>
        <v>#DIV/0!</v>
      </c>
      <c r="K31" s="51"/>
    </row>
    <row r="32" spans="1:11" ht="13.5">
      <c r="A32" s="47" t="s">
        <v>221</v>
      </c>
      <c r="B32" s="48"/>
      <c r="C32" s="48"/>
      <c r="D32" s="48"/>
      <c r="E32" s="48"/>
      <c r="F32" s="49"/>
      <c r="G32" s="55" t="s">
        <v>222</v>
      </c>
      <c r="H32" s="56"/>
      <c r="I32" s="57"/>
      <c r="J32" s="50" t="e">
        <f>J31^4/(K30)</f>
        <v>#DIV/0!</v>
      </c>
      <c r="K32" s="51"/>
    </row>
    <row r="33" spans="1:11" ht="10.5">
      <c r="A33" s="47" t="s">
        <v>223</v>
      </c>
      <c r="B33" s="48"/>
      <c r="C33" s="48"/>
      <c r="D33" s="48"/>
      <c r="E33" s="48"/>
      <c r="F33" s="49"/>
      <c r="G33" s="58" t="s">
        <v>224</v>
      </c>
      <c r="H33" s="59"/>
      <c r="I33" s="60"/>
      <c r="J33" s="50" t="e">
        <f>TINV(0.05,J32)</f>
        <v>#DIV/0!</v>
      </c>
      <c r="K33" s="51"/>
    </row>
    <row r="34" spans="1:11" ht="11" thickBot="1">
      <c r="A34" s="61" t="s">
        <v>225</v>
      </c>
      <c r="B34" s="62"/>
      <c r="C34" s="62"/>
      <c r="D34" s="62"/>
      <c r="E34" s="62"/>
      <c r="F34" s="63"/>
      <c r="G34" s="64" t="s">
        <v>226</v>
      </c>
      <c r="H34" s="65"/>
      <c r="I34" s="66"/>
      <c r="J34" s="316" t="e">
        <f>J33*J31</f>
        <v>#DIV/0!</v>
      </c>
      <c r="K34" s="68" t="s">
        <v>238</v>
      </c>
    </row>
    <row r="35" spans="1:11" ht="11" thickBot="1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</row>
    <row r="36" spans="1:11">
      <c r="A36" s="28" t="s">
        <v>265</v>
      </c>
      <c r="B36" s="29"/>
      <c r="C36" s="29"/>
      <c r="D36" s="29"/>
      <c r="E36" s="29"/>
      <c r="F36" s="29"/>
      <c r="G36" s="29"/>
      <c r="H36" s="29"/>
      <c r="I36" s="29"/>
      <c r="J36" s="29"/>
      <c r="K36" s="30"/>
    </row>
    <row r="37" spans="1:11">
      <c r="A37" s="31" t="s">
        <v>197</v>
      </c>
      <c r="B37" s="32" t="s">
        <v>198</v>
      </c>
      <c r="C37" s="32" t="s">
        <v>199</v>
      </c>
      <c r="D37" s="32" t="s">
        <v>200</v>
      </c>
      <c r="E37" s="32" t="s">
        <v>201</v>
      </c>
      <c r="F37" s="32" t="s">
        <v>202</v>
      </c>
      <c r="G37" s="32" t="s">
        <v>203</v>
      </c>
      <c r="H37" s="32" t="s">
        <v>204</v>
      </c>
      <c r="I37" s="32" t="s">
        <v>205</v>
      </c>
      <c r="J37" s="32" t="s">
        <v>206</v>
      </c>
      <c r="K37" s="33" t="s">
        <v>207</v>
      </c>
    </row>
    <row r="38" spans="1:11">
      <c r="A38" s="34" t="s">
        <v>208</v>
      </c>
      <c r="B38" s="35" t="e">
        <f>ID!I134</f>
        <v>#DIV/0!</v>
      </c>
      <c r="C38" s="36" t="s">
        <v>238</v>
      </c>
      <c r="D38" s="37" t="s">
        <v>210</v>
      </c>
      <c r="E38" s="37">
        <f>SQRT(3)</f>
        <v>1.7320508075688772</v>
      </c>
      <c r="F38" s="69" t="e">
        <f>B38/E38</f>
        <v>#DIV/0!</v>
      </c>
      <c r="G38" s="37">
        <v>5</v>
      </c>
      <c r="H38" s="37">
        <v>1</v>
      </c>
      <c r="I38" s="37" t="e">
        <f t="shared" ref="I38:I40" si="9">F38*H38</f>
        <v>#DIV/0!</v>
      </c>
      <c r="J38" s="37" t="e">
        <f t="shared" ref="J38:J40" si="10">I38^2</f>
        <v>#DIV/0!</v>
      </c>
      <c r="K38" s="38" t="e">
        <f t="shared" ref="K38:K40" si="11">(J38^2)/G38</f>
        <v>#DIV/0!</v>
      </c>
    </row>
    <row r="39" spans="1:11">
      <c r="A39" s="39" t="s">
        <v>212</v>
      </c>
      <c r="B39" s="41">
        <f>'Data Sound Level Meter'!E30</f>
        <v>0.5</v>
      </c>
      <c r="C39" s="36" t="s">
        <v>238</v>
      </c>
      <c r="D39" s="36" t="s">
        <v>210</v>
      </c>
      <c r="E39" s="36">
        <v>2</v>
      </c>
      <c r="F39" s="70">
        <f>B39/E39</f>
        <v>0.25</v>
      </c>
      <c r="G39" s="42">
        <v>50</v>
      </c>
      <c r="H39" s="42">
        <v>1</v>
      </c>
      <c r="I39" s="41">
        <f t="shared" si="9"/>
        <v>0.25</v>
      </c>
      <c r="J39" s="41">
        <f t="shared" si="10"/>
        <v>6.25E-2</v>
      </c>
      <c r="K39" s="43">
        <f t="shared" si="11"/>
        <v>7.8125000000000002E-5</v>
      </c>
    </row>
    <row r="40" spans="1:11">
      <c r="A40" s="34" t="s">
        <v>216</v>
      </c>
      <c r="B40" s="314">
        <v>0</v>
      </c>
      <c r="C40" s="36" t="s">
        <v>238</v>
      </c>
      <c r="D40" s="37" t="s">
        <v>215</v>
      </c>
      <c r="E40" s="37">
        <f>SQRT(3)</f>
        <v>1.7320508075688772</v>
      </c>
      <c r="F40" s="69">
        <f>B40/E40</f>
        <v>0</v>
      </c>
      <c r="G40" s="37">
        <v>50</v>
      </c>
      <c r="H40" s="37">
        <v>1</v>
      </c>
      <c r="I40" s="37">
        <f t="shared" si="9"/>
        <v>0</v>
      </c>
      <c r="J40" s="37">
        <f t="shared" si="10"/>
        <v>0</v>
      </c>
      <c r="K40" s="38">
        <f t="shared" si="11"/>
        <v>0</v>
      </c>
    </row>
    <row r="41" spans="1:11" ht="10.5">
      <c r="A41" s="47" t="s">
        <v>218</v>
      </c>
      <c r="B41" s="48"/>
      <c r="C41" s="48"/>
      <c r="D41" s="48"/>
      <c r="E41" s="48"/>
      <c r="F41" s="48"/>
      <c r="G41" s="48"/>
      <c r="H41" s="48"/>
      <c r="I41" s="49"/>
      <c r="J41" s="50" t="e">
        <f>SUM(J38:J40)</f>
        <v>#DIV/0!</v>
      </c>
      <c r="K41" s="51" t="e">
        <f>SUM(K38:K40)</f>
        <v>#DIV/0!</v>
      </c>
    </row>
    <row r="42" spans="1:11" ht="12.5">
      <c r="A42" s="47" t="s">
        <v>219</v>
      </c>
      <c r="B42" s="48"/>
      <c r="C42" s="48"/>
      <c r="D42" s="48"/>
      <c r="E42" s="48"/>
      <c r="F42" s="49"/>
      <c r="G42" s="52" t="s">
        <v>220</v>
      </c>
      <c r="H42" s="53"/>
      <c r="I42" s="54"/>
      <c r="J42" s="50" t="e">
        <f>SQRT(J41)</f>
        <v>#DIV/0!</v>
      </c>
      <c r="K42" s="51"/>
    </row>
    <row r="43" spans="1:11" ht="13.5">
      <c r="A43" s="47" t="s">
        <v>221</v>
      </c>
      <c r="B43" s="48"/>
      <c r="C43" s="48"/>
      <c r="D43" s="48"/>
      <c r="E43" s="48"/>
      <c r="F43" s="49"/>
      <c r="G43" s="55" t="s">
        <v>222</v>
      </c>
      <c r="H43" s="56"/>
      <c r="I43" s="57"/>
      <c r="J43" s="50" t="e">
        <f>J42^4/(K41)</f>
        <v>#DIV/0!</v>
      </c>
      <c r="K43" s="51"/>
    </row>
    <row r="44" spans="1:11" ht="10.5">
      <c r="A44" s="47" t="s">
        <v>223</v>
      </c>
      <c r="B44" s="48"/>
      <c r="C44" s="48"/>
      <c r="D44" s="48"/>
      <c r="E44" s="48"/>
      <c r="F44" s="49"/>
      <c r="G44" s="58" t="s">
        <v>224</v>
      </c>
      <c r="H44" s="59"/>
      <c r="I44" s="60"/>
      <c r="J44" s="50" t="e">
        <f>TINV(0.05,J43)</f>
        <v>#DIV/0!</v>
      </c>
      <c r="K44" s="51"/>
    </row>
    <row r="45" spans="1:11" ht="11" thickBot="1">
      <c r="A45" s="61" t="s">
        <v>225</v>
      </c>
      <c r="B45" s="62"/>
      <c r="C45" s="62"/>
      <c r="D45" s="62"/>
      <c r="E45" s="62"/>
      <c r="F45" s="63"/>
      <c r="G45" s="64" t="s">
        <v>226</v>
      </c>
      <c r="H45" s="65"/>
      <c r="I45" s="66"/>
      <c r="J45" s="316" t="e">
        <f>J44*J42</f>
        <v>#DIV/0!</v>
      </c>
      <c r="K45" s="68" t="s">
        <v>238</v>
      </c>
    </row>
    <row r="46" spans="1:11" ht="11" thickBo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>
      <c r="A47" s="28" t="s">
        <v>266</v>
      </c>
      <c r="B47" s="29"/>
      <c r="C47" s="29"/>
      <c r="D47" s="29"/>
      <c r="E47" s="29"/>
      <c r="F47" s="29"/>
      <c r="G47" s="29"/>
      <c r="H47" s="29"/>
      <c r="I47" s="29"/>
      <c r="J47" s="29"/>
      <c r="K47" s="30"/>
    </row>
    <row r="48" spans="1:11">
      <c r="A48" s="31" t="s">
        <v>197</v>
      </c>
      <c r="B48" s="32" t="s">
        <v>198</v>
      </c>
      <c r="C48" s="32" t="s">
        <v>199</v>
      </c>
      <c r="D48" s="32" t="s">
        <v>200</v>
      </c>
      <c r="E48" s="32" t="s">
        <v>201</v>
      </c>
      <c r="F48" s="32" t="s">
        <v>202</v>
      </c>
      <c r="G48" s="32" t="s">
        <v>203</v>
      </c>
      <c r="H48" s="32" t="s">
        <v>204</v>
      </c>
      <c r="I48" s="32" t="s">
        <v>205</v>
      </c>
      <c r="J48" s="32" t="s">
        <v>206</v>
      </c>
      <c r="K48" s="33" t="s">
        <v>207</v>
      </c>
    </row>
    <row r="49" spans="1:11">
      <c r="A49" s="34" t="s">
        <v>208</v>
      </c>
      <c r="B49" s="35" t="e">
        <f>ID!I135</f>
        <v>#DIV/0!</v>
      </c>
      <c r="C49" s="36" t="s">
        <v>238</v>
      </c>
      <c r="D49" s="37" t="s">
        <v>210</v>
      </c>
      <c r="E49" s="37">
        <f>SQRT(3)</f>
        <v>1.7320508075688772</v>
      </c>
      <c r="F49" s="69" t="e">
        <f>B49/E49</f>
        <v>#DIV/0!</v>
      </c>
      <c r="G49" s="37">
        <v>5</v>
      </c>
      <c r="H49" s="37">
        <v>1</v>
      </c>
      <c r="I49" s="37" t="e">
        <f t="shared" ref="I49:I51" si="12">F49*H49</f>
        <v>#DIV/0!</v>
      </c>
      <c r="J49" s="37" t="e">
        <f t="shared" ref="J49:J51" si="13">I49^2</f>
        <v>#DIV/0!</v>
      </c>
      <c r="K49" s="38" t="e">
        <f t="shared" ref="K49:K51" si="14">(J49^2)/G49</f>
        <v>#DIV/0!</v>
      </c>
    </row>
    <row r="50" spans="1:11">
      <c r="A50" s="39" t="s">
        <v>212</v>
      </c>
      <c r="B50" s="41">
        <f>'Data Sound Level Meter'!E30</f>
        <v>0.5</v>
      </c>
      <c r="C50" s="36" t="s">
        <v>238</v>
      </c>
      <c r="D50" s="36" t="s">
        <v>210</v>
      </c>
      <c r="E50" s="36">
        <v>2</v>
      </c>
      <c r="F50" s="70">
        <f>B50/E50</f>
        <v>0.25</v>
      </c>
      <c r="G50" s="42">
        <v>50</v>
      </c>
      <c r="H50" s="42">
        <v>1</v>
      </c>
      <c r="I50" s="41">
        <f t="shared" si="12"/>
        <v>0.25</v>
      </c>
      <c r="J50" s="41">
        <f t="shared" si="13"/>
        <v>6.25E-2</v>
      </c>
      <c r="K50" s="43">
        <f t="shared" si="14"/>
        <v>7.8125000000000002E-5</v>
      </c>
    </row>
    <row r="51" spans="1:11">
      <c r="A51" s="34" t="s">
        <v>216</v>
      </c>
      <c r="B51" s="314">
        <v>0</v>
      </c>
      <c r="C51" s="36" t="s">
        <v>238</v>
      </c>
      <c r="D51" s="37" t="s">
        <v>215</v>
      </c>
      <c r="E51" s="37">
        <f>SQRT(3)</f>
        <v>1.7320508075688772</v>
      </c>
      <c r="F51" s="69">
        <f>B51/E51</f>
        <v>0</v>
      </c>
      <c r="G51" s="37">
        <v>50</v>
      </c>
      <c r="H51" s="37">
        <v>1</v>
      </c>
      <c r="I51" s="37">
        <f t="shared" si="12"/>
        <v>0</v>
      </c>
      <c r="J51" s="37">
        <f t="shared" si="13"/>
        <v>0</v>
      </c>
      <c r="K51" s="38">
        <f t="shared" si="14"/>
        <v>0</v>
      </c>
    </row>
    <row r="52" spans="1:11" ht="10.5">
      <c r="A52" s="47" t="s">
        <v>218</v>
      </c>
      <c r="B52" s="48"/>
      <c r="C52" s="48"/>
      <c r="D52" s="48"/>
      <c r="E52" s="48"/>
      <c r="F52" s="48"/>
      <c r="G52" s="48"/>
      <c r="H52" s="48"/>
      <c r="I52" s="49"/>
      <c r="J52" s="50" t="e">
        <f>SUM(J49:J51)</f>
        <v>#DIV/0!</v>
      </c>
      <c r="K52" s="51" t="e">
        <f>SUM(K49:K51)</f>
        <v>#DIV/0!</v>
      </c>
    </row>
    <row r="53" spans="1:11" ht="12.5">
      <c r="A53" s="47" t="s">
        <v>219</v>
      </c>
      <c r="B53" s="48"/>
      <c r="C53" s="48"/>
      <c r="D53" s="48"/>
      <c r="E53" s="48"/>
      <c r="F53" s="49"/>
      <c r="G53" s="52" t="s">
        <v>220</v>
      </c>
      <c r="H53" s="53"/>
      <c r="I53" s="54"/>
      <c r="J53" s="50" t="e">
        <f>SQRT(J52)</f>
        <v>#DIV/0!</v>
      </c>
      <c r="K53" s="51"/>
    </row>
    <row r="54" spans="1:11" ht="13.5">
      <c r="A54" s="47" t="s">
        <v>221</v>
      </c>
      <c r="B54" s="48"/>
      <c r="C54" s="48"/>
      <c r="D54" s="48"/>
      <c r="E54" s="48"/>
      <c r="F54" s="49"/>
      <c r="G54" s="55" t="s">
        <v>222</v>
      </c>
      <c r="H54" s="56"/>
      <c r="I54" s="57"/>
      <c r="J54" s="50" t="e">
        <f>J53^4/(K52)</f>
        <v>#DIV/0!</v>
      </c>
      <c r="K54" s="51"/>
    </row>
    <row r="55" spans="1:11" ht="10.5">
      <c r="A55" s="47" t="s">
        <v>223</v>
      </c>
      <c r="B55" s="48"/>
      <c r="C55" s="48"/>
      <c r="D55" s="48"/>
      <c r="E55" s="48"/>
      <c r="F55" s="49"/>
      <c r="G55" s="58" t="s">
        <v>224</v>
      </c>
      <c r="H55" s="59"/>
      <c r="I55" s="60"/>
      <c r="J55" s="50" t="e">
        <f>TINV(0.05,J54)</f>
        <v>#DIV/0!</v>
      </c>
      <c r="K55" s="51"/>
    </row>
    <row r="56" spans="1:11" ht="11" thickBot="1">
      <c r="A56" s="61" t="s">
        <v>225</v>
      </c>
      <c r="B56" s="62"/>
      <c r="C56" s="62"/>
      <c r="D56" s="62"/>
      <c r="E56" s="62"/>
      <c r="F56" s="63"/>
      <c r="G56" s="64" t="s">
        <v>226</v>
      </c>
      <c r="H56" s="65"/>
      <c r="I56" s="66"/>
      <c r="J56" s="316" t="e">
        <f>J55*J53</f>
        <v>#DIV/0!</v>
      </c>
      <c r="K56" s="68" t="s">
        <v>238</v>
      </c>
    </row>
    <row r="57" spans="1:11" ht="11" thickBot="1">
      <c r="A57" s="82"/>
      <c r="B57" s="14"/>
      <c r="C57" s="14"/>
      <c r="D57" s="14"/>
      <c r="E57" s="14"/>
      <c r="F57" s="14"/>
      <c r="G57" s="14"/>
      <c r="H57" s="82"/>
      <c r="I57" s="14"/>
      <c r="J57" s="14"/>
      <c r="K57" s="14"/>
    </row>
    <row r="58" spans="1:11">
      <c r="A58" s="28" t="s">
        <v>267</v>
      </c>
      <c r="B58" s="29"/>
      <c r="C58" s="29"/>
      <c r="D58" s="29"/>
      <c r="E58" s="29"/>
      <c r="F58" s="29"/>
      <c r="G58" s="29"/>
      <c r="H58" s="29"/>
      <c r="I58" s="29"/>
      <c r="J58" s="29"/>
      <c r="K58" s="30"/>
    </row>
    <row r="59" spans="1:11">
      <c r="A59" s="31" t="s">
        <v>197</v>
      </c>
      <c r="B59" s="32" t="s">
        <v>198</v>
      </c>
      <c r="C59" s="32" t="s">
        <v>199</v>
      </c>
      <c r="D59" s="32" t="s">
        <v>200</v>
      </c>
      <c r="E59" s="32" t="s">
        <v>201</v>
      </c>
      <c r="F59" s="32" t="s">
        <v>202</v>
      </c>
      <c r="G59" s="32" t="s">
        <v>203</v>
      </c>
      <c r="H59" s="32" t="s">
        <v>204</v>
      </c>
      <c r="I59" s="32" t="s">
        <v>205</v>
      </c>
      <c r="J59" s="32" t="s">
        <v>206</v>
      </c>
      <c r="K59" s="33" t="s">
        <v>207</v>
      </c>
    </row>
    <row r="60" spans="1:11">
      <c r="A60" s="34" t="s">
        <v>208</v>
      </c>
      <c r="B60" s="35" t="e">
        <f>ID!I136</f>
        <v>#DIV/0!</v>
      </c>
      <c r="C60" s="36" t="s">
        <v>238</v>
      </c>
      <c r="D60" s="37" t="s">
        <v>210</v>
      </c>
      <c r="E60" s="37">
        <f>SQRT(3)</f>
        <v>1.7320508075688772</v>
      </c>
      <c r="F60" s="69" t="e">
        <f>B60/E60</f>
        <v>#DIV/0!</v>
      </c>
      <c r="G60" s="37">
        <v>5</v>
      </c>
      <c r="H60" s="37">
        <v>1</v>
      </c>
      <c r="I60" s="37" t="e">
        <f t="shared" ref="I60:I62" si="15">F60*H60</f>
        <v>#DIV/0!</v>
      </c>
      <c r="J60" s="37" t="e">
        <f t="shared" ref="J60:J62" si="16">I60^2</f>
        <v>#DIV/0!</v>
      </c>
      <c r="K60" s="38" t="e">
        <f t="shared" ref="K60:K62" si="17">(J60^2)/G60</f>
        <v>#DIV/0!</v>
      </c>
    </row>
    <row r="61" spans="1:11">
      <c r="A61" s="39" t="s">
        <v>212</v>
      </c>
      <c r="B61" s="40">
        <f>'Data Sound Level Meter'!E30</f>
        <v>0.5</v>
      </c>
      <c r="C61" s="36" t="s">
        <v>238</v>
      </c>
      <c r="D61" s="36" t="s">
        <v>210</v>
      </c>
      <c r="E61" s="36">
        <v>2</v>
      </c>
      <c r="F61" s="70">
        <f>B61/E61</f>
        <v>0.25</v>
      </c>
      <c r="G61" s="42">
        <v>50</v>
      </c>
      <c r="H61" s="42">
        <v>1</v>
      </c>
      <c r="I61" s="41">
        <f t="shared" si="15"/>
        <v>0.25</v>
      </c>
      <c r="J61" s="41">
        <f t="shared" si="16"/>
        <v>6.25E-2</v>
      </c>
      <c r="K61" s="43">
        <f t="shared" si="17"/>
        <v>7.8125000000000002E-5</v>
      </c>
    </row>
    <row r="62" spans="1:11">
      <c r="A62" s="34" t="s">
        <v>216</v>
      </c>
      <c r="B62" s="314">
        <v>0</v>
      </c>
      <c r="C62" s="36" t="s">
        <v>238</v>
      </c>
      <c r="D62" s="37" t="s">
        <v>215</v>
      </c>
      <c r="E62" s="37">
        <f>SQRT(3)</f>
        <v>1.7320508075688772</v>
      </c>
      <c r="F62" s="69">
        <f>B62/E62</f>
        <v>0</v>
      </c>
      <c r="G62" s="37">
        <v>50</v>
      </c>
      <c r="H62" s="37">
        <v>1</v>
      </c>
      <c r="I62" s="37">
        <f t="shared" si="15"/>
        <v>0</v>
      </c>
      <c r="J62" s="37">
        <f t="shared" si="16"/>
        <v>0</v>
      </c>
      <c r="K62" s="38">
        <f t="shared" si="17"/>
        <v>0</v>
      </c>
    </row>
    <row r="63" spans="1:11" ht="10.5">
      <c r="A63" s="47" t="s">
        <v>218</v>
      </c>
      <c r="B63" s="48"/>
      <c r="C63" s="48"/>
      <c r="D63" s="48"/>
      <c r="E63" s="48"/>
      <c r="F63" s="48"/>
      <c r="G63" s="48"/>
      <c r="H63" s="48"/>
      <c r="I63" s="49"/>
      <c r="J63" s="50" t="e">
        <f>SUM(J60:J62)</f>
        <v>#DIV/0!</v>
      </c>
      <c r="K63" s="51" t="e">
        <f>SUM(K60:K62)</f>
        <v>#DIV/0!</v>
      </c>
    </row>
    <row r="64" spans="1:11" ht="12.5">
      <c r="A64" s="47" t="s">
        <v>219</v>
      </c>
      <c r="B64" s="48"/>
      <c r="C64" s="48"/>
      <c r="D64" s="48"/>
      <c r="E64" s="48"/>
      <c r="F64" s="49"/>
      <c r="G64" s="52" t="s">
        <v>220</v>
      </c>
      <c r="H64" s="53"/>
      <c r="I64" s="54"/>
      <c r="J64" s="50" t="e">
        <f>SQRT(J63)</f>
        <v>#DIV/0!</v>
      </c>
      <c r="K64" s="51"/>
    </row>
    <row r="65" spans="1:11" ht="13.5">
      <c r="A65" s="47" t="s">
        <v>221</v>
      </c>
      <c r="B65" s="48"/>
      <c r="C65" s="48"/>
      <c r="D65" s="48"/>
      <c r="E65" s="48"/>
      <c r="F65" s="49"/>
      <c r="G65" s="55" t="s">
        <v>222</v>
      </c>
      <c r="H65" s="56"/>
      <c r="I65" s="57"/>
      <c r="J65" s="50" t="e">
        <f>J64^4/(K63)</f>
        <v>#DIV/0!</v>
      </c>
      <c r="K65" s="51"/>
    </row>
    <row r="66" spans="1:11" ht="10.5">
      <c r="A66" s="47" t="s">
        <v>223</v>
      </c>
      <c r="B66" s="48"/>
      <c r="C66" s="48"/>
      <c r="D66" s="48"/>
      <c r="E66" s="48"/>
      <c r="F66" s="49"/>
      <c r="G66" s="58" t="s">
        <v>224</v>
      </c>
      <c r="H66" s="59"/>
      <c r="I66" s="60"/>
      <c r="J66" s="50" t="e">
        <f>TINV(0.05,J65)</f>
        <v>#DIV/0!</v>
      </c>
      <c r="K66" s="51"/>
    </row>
    <row r="67" spans="1:11" ht="11" thickBot="1">
      <c r="A67" s="61" t="s">
        <v>225</v>
      </c>
      <c r="B67" s="62"/>
      <c r="C67" s="62"/>
      <c r="D67" s="62"/>
      <c r="E67" s="62"/>
      <c r="F67" s="63"/>
      <c r="G67" s="64" t="s">
        <v>226</v>
      </c>
      <c r="H67" s="65"/>
      <c r="I67" s="66"/>
      <c r="J67" s="315" t="e">
        <f>J66*J64</f>
        <v>#DIV/0!</v>
      </c>
      <c r="K67" s="68" t="s">
        <v>238</v>
      </c>
    </row>
    <row r="68" spans="1:11" ht="11" thickBo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</row>
    <row r="69" spans="1:11">
      <c r="A69" s="28" t="s">
        <v>268</v>
      </c>
      <c r="B69" s="29"/>
      <c r="C69" s="29"/>
      <c r="D69" s="29"/>
      <c r="E69" s="29"/>
      <c r="F69" s="29"/>
      <c r="G69" s="29"/>
      <c r="H69" s="29"/>
      <c r="I69" s="29"/>
      <c r="J69" s="29"/>
      <c r="K69" s="30"/>
    </row>
    <row r="70" spans="1:11">
      <c r="A70" s="31" t="s">
        <v>197</v>
      </c>
      <c r="B70" s="32" t="s">
        <v>198</v>
      </c>
      <c r="C70" s="32" t="s">
        <v>199</v>
      </c>
      <c r="D70" s="32" t="s">
        <v>200</v>
      </c>
      <c r="E70" s="32" t="s">
        <v>201</v>
      </c>
      <c r="F70" s="32" t="s">
        <v>202</v>
      </c>
      <c r="G70" s="32" t="s">
        <v>203</v>
      </c>
      <c r="H70" s="32" t="s">
        <v>204</v>
      </c>
      <c r="I70" s="32" t="s">
        <v>205</v>
      </c>
      <c r="J70" s="32" t="s">
        <v>206</v>
      </c>
      <c r="K70" s="33" t="s">
        <v>207</v>
      </c>
    </row>
    <row r="71" spans="1:11">
      <c r="A71" s="34" t="s">
        <v>208</v>
      </c>
      <c r="B71" s="35" t="e">
        <f>ID!I137</f>
        <v>#DIV/0!</v>
      </c>
      <c r="C71" s="36" t="s">
        <v>238</v>
      </c>
      <c r="D71" s="37" t="s">
        <v>210</v>
      </c>
      <c r="E71" s="37">
        <f>SQRT(3)</f>
        <v>1.7320508075688772</v>
      </c>
      <c r="F71" s="69" t="e">
        <f>B71/E71</f>
        <v>#DIV/0!</v>
      </c>
      <c r="G71" s="37">
        <v>5</v>
      </c>
      <c r="H71" s="37">
        <v>1</v>
      </c>
      <c r="I71" s="37" t="e">
        <f t="shared" ref="I71:I73" si="18">F71*H71</f>
        <v>#DIV/0!</v>
      </c>
      <c r="J71" s="37" t="e">
        <f t="shared" ref="J71:J73" si="19">I71^2</f>
        <v>#DIV/0!</v>
      </c>
      <c r="K71" s="38" t="e">
        <f t="shared" ref="K71:K73" si="20">(J71^2)/G71</f>
        <v>#DIV/0!</v>
      </c>
    </row>
    <row r="72" spans="1:11">
      <c r="A72" s="39" t="s">
        <v>212</v>
      </c>
      <c r="B72" s="41">
        <f>'Data Sound Level Meter'!E30</f>
        <v>0.5</v>
      </c>
      <c r="C72" s="36" t="s">
        <v>238</v>
      </c>
      <c r="D72" s="36" t="s">
        <v>210</v>
      </c>
      <c r="E72" s="36">
        <v>2</v>
      </c>
      <c r="F72" s="70">
        <f>B72/E72</f>
        <v>0.25</v>
      </c>
      <c r="G72" s="42">
        <v>50</v>
      </c>
      <c r="H72" s="42">
        <v>1</v>
      </c>
      <c r="I72" s="41">
        <f t="shared" si="18"/>
        <v>0.25</v>
      </c>
      <c r="J72" s="41">
        <f t="shared" si="19"/>
        <v>6.25E-2</v>
      </c>
      <c r="K72" s="43">
        <f t="shared" si="20"/>
        <v>7.8125000000000002E-5</v>
      </c>
    </row>
    <row r="73" spans="1:11">
      <c r="A73" s="34" t="s">
        <v>216</v>
      </c>
      <c r="B73" s="314">
        <v>0</v>
      </c>
      <c r="C73" s="36" t="s">
        <v>238</v>
      </c>
      <c r="D73" s="37" t="s">
        <v>215</v>
      </c>
      <c r="E73" s="37">
        <f>SQRT(3)</f>
        <v>1.7320508075688772</v>
      </c>
      <c r="F73" s="69">
        <f>B73/E73</f>
        <v>0</v>
      </c>
      <c r="G73" s="37">
        <v>50</v>
      </c>
      <c r="H73" s="37">
        <v>1</v>
      </c>
      <c r="I73" s="37">
        <f t="shared" si="18"/>
        <v>0</v>
      </c>
      <c r="J73" s="37">
        <f t="shared" si="19"/>
        <v>0</v>
      </c>
      <c r="K73" s="38">
        <f t="shared" si="20"/>
        <v>0</v>
      </c>
    </row>
    <row r="74" spans="1:11" ht="10.5">
      <c r="A74" s="47" t="s">
        <v>218</v>
      </c>
      <c r="B74" s="48"/>
      <c r="C74" s="48"/>
      <c r="D74" s="48"/>
      <c r="E74" s="48"/>
      <c r="F74" s="48"/>
      <c r="G74" s="48"/>
      <c r="H74" s="48"/>
      <c r="I74" s="49"/>
      <c r="J74" s="50" t="e">
        <f>SUM(J71:J73)</f>
        <v>#DIV/0!</v>
      </c>
      <c r="K74" s="51" t="e">
        <f>SUM(K71:K73)</f>
        <v>#DIV/0!</v>
      </c>
    </row>
    <row r="75" spans="1:11" ht="12.5">
      <c r="A75" s="47" t="s">
        <v>219</v>
      </c>
      <c r="B75" s="48"/>
      <c r="C75" s="48"/>
      <c r="D75" s="48"/>
      <c r="E75" s="48"/>
      <c r="F75" s="49"/>
      <c r="G75" s="52" t="s">
        <v>220</v>
      </c>
      <c r="H75" s="53"/>
      <c r="I75" s="54"/>
      <c r="J75" s="50" t="e">
        <f>SQRT(J74)</f>
        <v>#DIV/0!</v>
      </c>
      <c r="K75" s="51"/>
    </row>
    <row r="76" spans="1:11" ht="13.5">
      <c r="A76" s="47" t="s">
        <v>221</v>
      </c>
      <c r="B76" s="48"/>
      <c r="C76" s="48"/>
      <c r="D76" s="48"/>
      <c r="E76" s="48"/>
      <c r="F76" s="49"/>
      <c r="G76" s="55" t="s">
        <v>222</v>
      </c>
      <c r="H76" s="56"/>
      <c r="I76" s="57"/>
      <c r="J76" s="50" t="e">
        <f>J75^4/(K74)</f>
        <v>#DIV/0!</v>
      </c>
      <c r="K76" s="51"/>
    </row>
    <row r="77" spans="1:11" ht="10.5">
      <c r="A77" s="47" t="s">
        <v>223</v>
      </c>
      <c r="B77" s="48"/>
      <c r="C77" s="48"/>
      <c r="D77" s="48"/>
      <c r="E77" s="48"/>
      <c r="F77" s="49"/>
      <c r="G77" s="58" t="s">
        <v>224</v>
      </c>
      <c r="H77" s="59"/>
      <c r="I77" s="60"/>
      <c r="J77" s="50" t="e">
        <f>TINV(0.05,J76)</f>
        <v>#DIV/0!</v>
      </c>
      <c r="K77" s="51"/>
    </row>
    <row r="78" spans="1:11" ht="11" thickBot="1">
      <c r="A78" s="61" t="s">
        <v>225</v>
      </c>
      <c r="B78" s="62"/>
      <c r="C78" s="62"/>
      <c r="D78" s="62"/>
      <c r="E78" s="62"/>
      <c r="F78" s="63"/>
      <c r="G78" s="64" t="s">
        <v>226</v>
      </c>
      <c r="H78" s="65"/>
      <c r="I78" s="66"/>
      <c r="J78" s="316" t="e">
        <f>J77*J75</f>
        <v>#DIV/0!</v>
      </c>
      <c r="K78" s="68" t="s">
        <v>238</v>
      </c>
    </row>
    <row r="79" spans="1:11" ht="11" thickBo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 spans="1:11">
      <c r="A80" s="28" t="s">
        <v>269</v>
      </c>
      <c r="B80" s="29"/>
      <c r="C80" s="29"/>
      <c r="D80" s="29"/>
      <c r="E80" s="29"/>
      <c r="F80" s="29"/>
      <c r="G80" s="29"/>
      <c r="H80" s="29"/>
      <c r="I80" s="29"/>
      <c r="J80" s="29"/>
      <c r="K80" s="30"/>
    </row>
    <row r="81" spans="1:11">
      <c r="A81" s="31" t="s">
        <v>197</v>
      </c>
      <c r="B81" s="32" t="s">
        <v>198</v>
      </c>
      <c r="C81" s="32" t="s">
        <v>199</v>
      </c>
      <c r="D81" s="32" t="s">
        <v>200</v>
      </c>
      <c r="E81" s="32" t="s">
        <v>201</v>
      </c>
      <c r="F81" s="32" t="s">
        <v>202</v>
      </c>
      <c r="G81" s="32" t="s">
        <v>203</v>
      </c>
      <c r="H81" s="32" t="s">
        <v>204</v>
      </c>
      <c r="I81" s="32" t="s">
        <v>205</v>
      </c>
      <c r="J81" s="32" t="s">
        <v>206</v>
      </c>
      <c r="K81" s="33" t="s">
        <v>207</v>
      </c>
    </row>
    <row r="82" spans="1:11">
      <c r="A82" s="34" t="s">
        <v>208</v>
      </c>
      <c r="B82" s="35" t="e">
        <f>ID!I138</f>
        <v>#DIV/0!</v>
      </c>
      <c r="C82" s="36" t="s">
        <v>238</v>
      </c>
      <c r="D82" s="37" t="s">
        <v>210</v>
      </c>
      <c r="E82" s="37">
        <f>SQRT(3)</f>
        <v>1.7320508075688772</v>
      </c>
      <c r="F82" s="69" t="e">
        <f>B82/E82</f>
        <v>#DIV/0!</v>
      </c>
      <c r="G82" s="37">
        <v>5</v>
      </c>
      <c r="H82" s="37">
        <v>1</v>
      </c>
      <c r="I82" s="37" t="e">
        <f t="shared" ref="I82:I84" si="21">F82*H82</f>
        <v>#DIV/0!</v>
      </c>
      <c r="J82" s="37" t="e">
        <f t="shared" ref="J82:J84" si="22">I82^2</f>
        <v>#DIV/0!</v>
      </c>
      <c r="K82" s="38" t="e">
        <f t="shared" ref="K82:K84" si="23">(J82^2)/G82</f>
        <v>#DIV/0!</v>
      </c>
    </row>
    <row r="83" spans="1:11">
      <c r="A83" s="39" t="s">
        <v>212</v>
      </c>
      <c r="B83" s="41">
        <f>'Data Sound Level Meter'!E30</f>
        <v>0.5</v>
      </c>
      <c r="C83" s="36" t="s">
        <v>238</v>
      </c>
      <c r="D83" s="36" t="s">
        <v>210</v>
      </c>
      <c r="E83" s="36">
        <v>2</v>
      </c>
      <c r="F83" s="70">
        <f>B83/E83</f>
        <v>0.25</v>
      </c>
      <c r="G83" s="42">
        <v>50</v>
      </c>
      <c r="H83" s="42">
        <v>1</v>
      </c>
      <c r="I83" s="41">
        <f t="shared" si="21"/>
        <v>0.25</v>
      </c>
      <c r="J83" s="41">
        <f t="shared" si="22"/>
        <v>6.25E-2</v>
      </c>
      <c r="K83" s="43">
        <f t="shared" si="23"/>
        <v>7.8125000000000002E-5</v>
      </c>
    </row>
    <row r="84" spans="1:11">
      <c r="A84" s="34" t="s">
        <v>216</v>
      </c>
      <c r="B84" s="314">
        <v>0</v>
      </c>
      <c r="C84" s="36" t="s">
        <v>238</v>
      </c>
      <c r="D84" s="37" t="s">
        <v>215</v>
      </c>
      <c r="E84" s="37">
        <f>SQRT(3)</f>
        <v>1.7320508075688772</v>
      </c>
      <c r="F84" s="69">
        <f>B84/E84</f>
        <v>0</v>
      </c>
      <c r="G84" s="37">
        <v>50</v>
      </c>
      <c r="H84" s="37">
        <v>1</v>
      </c>
      <c r="I84" s="37">
        <f t="shared" si="21"/>
        <v>0</v>
      </c>
      <c r="J84" s="37">
        <f t="shared" si="22"/>
        <v>0</v>
      </c>
      <c r="K84" s="38">
        <f t="shared" si="23"/>
        <v>0</v>
      </c>
    </row>
    <row r="85" spans="1:11" ht="10.5">
      <c r="A85" s="47" t="s">
        <v>218</v>
      </c>
      <c r="B85" s="48"/>
      <c r="C85" s="48"/>
      <c r="D85" s="48"/>
      <c r="E85" s="48"/>
      <c r="F85" s="48"/>
      <c r="G85" s="48"/>
      <c r="H85" s="48"/>
      <c r="I85" s="49"/>
      <c r="J85" s="50" t="e">
        <f>SUM(J82:J84)</f>
        <v>#DIV/0!</v>
      </c>
      <c r="K85" s="51" t="e">
        <f>SUM(K82:K84)</f>
        <v>#DIV/0!</v>
      </c>
    </row>
    <row r="86" spans="1:11" ht="12.5">
      <c r="A86" s="47" t="s">
        <v>219</v>
      </c>
      <c r="B86" s="48"/>
      <c r="C86" s="48"/>
      <c r="D86" s="48"/>
      <c r="E86" s="48"/>
      <c r="F86" s="49"/>
      <c r="G86" s="52" t="s">
        <v>220</v>
      </c>
      <c r="H86" s="53"/>
      <c r="I86" s="54"/>
      <c r="J86" s="50" t="e">
        <f>SQRT(J85)</f>
        <v>#DIV/0!</v>
      </c>
      <c r="K86" s="51"/>
    </row>
    <row r="87" spans="1:11" ht="13.5">
      <c r="A87" s="47" t="s">
        <v>221</v>
      </c>
      <c r="B87" s="48"/>
      <c r="C87" s="48"/>
      <c r="D87" s="48"/>
      <c r="E87" s="48"/>
      <c r="F87" s="49"/>
      <c r="G87" s="55" t="s">
        <v>222</v>
      </c>
      <c r="H87" s="56"/>
      <c r="I87" s="57"/>
      <c r="J87" s="50" t="e">
        <f>J86^4/(K85)</f>
        <v>#DIV/0!</v>
      </c>
      <c r="K87" s="51"/>
    </row>
    <row r="88" spans="1:11" ht="10.5">
      <c r="A88" s="47" t="s">
        <v>223</v>
      </c>
      <c r="B88" s="48"/>
      <c r="C88" s="48"/>
      <c r="D88" s="48"/>
      <c r="E88" s="48"/>
      <c r="F88" s="49"/>
      <c r="G88" s="58" t="s">
        <v>224</v>
      </c>
      <c r="H88" s="59"/>
      <c r="I88" s="60"/>
      <c r="J88" s="50" t="e">
        <f>TINV(0.05,J87)</f>
        <v>#DIV/0!</v>
      </c>
      <c r="K88" s="51"/>
    </row>
    <row r="89" spans="1:11" ht="11" thickBot="1">
      <c r="A89" s="61" t="s">
        <v>225</v>
      </c>
      <c r="B89" s="62"/>
      <c r="C89" s="62"/>
      <c r="D89" s="62"/>
      <c r="E89" s="62"/>
      <c r="F89" s="63"/>
      <c r="G89" s="64" t="s">
        <v>226</v>
      </c>
      <c r="H89" s="65"/>
      <c r="I89" s="66"/>
      <c r="J89" s="316" t="e">
        <f>J88*J86</f>
        <v>#DIV/0!</v>
      </c>
      <c r="K89" s="68" t="s">
        <v>238</v>
      </c>
    </row>
  </sheetData>
  <sheetProtection algorithmName="SHA-512" hashValue="CKFMsxSdG7pzqXwxecwPZUFvz4cnj86yFHCHHpEwvxBIWdcV/xoD6Jpn6Ly9oIfPY6PbEHQobY6xOfH9MTr9Cw==" saltValue="mVYFMkla2yZSOXPr2WsFVQ==" spinCount="100000" sheet="1" objects="1" scenarios="1"/>
  <mergeCells count="1">
    <mergeCell ref="A1:K1"/>
  </mergeCells>
  <printOptions horizontalCentered="1"/>
  <pageMargins left="0.5" right="0.25" top="0.5" bottom="0.25" header="0.25" footer="0.25"/>
  <pageSetup paperSize="9" scale="63" orientation="portrait" horizontalDpi="4294967294" r:id="rId1"/>
  <headerFooter>
    <oddHeader>&amp;R&amp;"-,Regular"&amp;8OA.UB - 007 - 18 / REV . 0</oddHeader>
    <oddFooter>&amp;C&amp;"-,Regular"&amp;8&amp;K00-024software audiometer 2017&amp;R&amp;"-,Regular"&amp;8Page &amp;P of &amp;N</oddFooter>
  </headerFooter>
  <rowBreaks count="1" manualBreakCount="1">
    <brk id="57" max="10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2:K33"/>
  <sheetViews>
    <sheetView topLeftCell="A19" zoomScaleNormal="100" workbookViewId="0">
      <selection activeCell="A2" sqref="A2:F2"/>
    </sheetView>
  </sheetViews>
  <sheetFormatPr defaultColWidth="9.1796875" defaultRowHeight="12.5"/>
  <cols>
    <col min="1" max="1" width="4.81640625" style="761" customWidth="1"/>
    <col min="2" max="2" width="19.453125" style="761" customWidth="1"/>
    <col min="3" max="3" width="1.453125" style="761" customWidth="1"/>
    <col min="4" max="4" width="12" style="761" customWidth="1"/>
    <col min="5" max="5" width="19" style="761" customWidth="1"/>
    <col min="6" max="7" width="18.7265625" style="761" customWidth="1"/>
    <col min="8" max="8" width="9.1796875" style="761"/>
    <col min="9" max="9" width="23" style="761" bestFit="1" customWidth="1"/>
    <col min="10" max="10" width="9.7265625" style="761" bestFit="1" customWidth="1"/>
    <col min="11" max="11" width="8.81640625" style="761" customWidth="1"/>
    <col min="12" max="16384" width="9.1796875" style="761"/>
  </cols>
  <sheetData>
    <row r="2" spans="1:11">
      <c r="G2" s="765" t="e">
        <f>VLOOKUP(B18,'DB SERTIFIKAT'!$B$2:$C$73,2,FALSE)</f>
        <v>#REF!</v>
      </c>
      <c r="I2" s="811"/>
      <c r="J2" s="1203"/>
      <c r="K2" s="1203"/>
    </row>
    <row r="3" spans="1:11" ht="22.5">
      <c r="A3" s="1204" t="s">
        <v>366</v>
      </c>
      <c r="B3" s="1204"/>
      <c r="C3" s="1204"/>
      <c r="D3" s="1204"/>
      <c r="E3" s="1204"/>
      <c r="F3" s="1204"/>
      <c r="G3" s="1204"/>
      <c r="I3" s="807"/>
      <c r="J3" s="1205"/>
      <c r="K3" s="1206"/>
    </row>
    <row r="4" spans="1:11" ht="15">
      <c r="A4" s="1207" t="str">
        <f>"Nomor : 4 /"&amp;" M - "&amp;ID!I2</f>
        <v>Nomor : 4 / M - 1 / V - 21 / E - 061 Dt</v>
      </c>
      <c r="B4" s="1207"/>
      <c r="C4" s="1207"/>
      <c r="D4" s="1207"/>
      <c r="E4" s="1207"/>
      <c r="F4" s="1207"/>
      <c r="G4" s="1207"/>
      <c r="I4" s="766"/>
      <c r="J4" s="767"/>
      <c r="K4" s="768"/>
    </row>
    <row r="5" spans="1:11">
      <c r="I5" s="769"/>
      <c r="J5" s="770"/>
      <c r="K5" s="768"/>
    </row>
    <row r="6" spans="1:11">
      <c r="I6" s="771"/>
      <c r="J6" s="768"/>
      <c r="K6" s="768"/>
    </row>
    <row r="7" spans="1:11" ht="33.75" customHeight="1">
      <c r="A7" s="1201" t="s">
        <v>367</v>
      </c>
      <c r="B7" s="1201"/>
      <c r="C7" s="1201"/>
      <c r="D7" s="1201"/>
      <c r="E7" s="1201"/>
      <c r="F7" s="1201"/>
      <c r="G7" s="1201"/>
      <c r="I7" s="771"/>
      <c r="J7" s="772"/>
      <c r="K7" s="768"/>
    </row>
    <row r="8" spans="1:11" ht="15.5">
      <c r="A8" s="773"/>
      <c r="B8" s="773"/>
      <c r="C8" s="773"/>
      <c r="D8" s="773"/>
      <c r="E8" s="773"/>
      <c r="F8" s="773"/>
      <c r="G8" s="773"/>
      <c r="I8" s="771"/>
      <c r="J8" s="768"/>
      <c r="K8" s="768"/>
    </row>
    <row r="9" spans="1:11">
      <c r="I9" s="771"/>
      <c r="J9" s="768"/>
      <c r="K9" s="768"/>
    </row>
    <row r="10" spans="1:11" ht="15.5">
      <c r="A10" s="774" t="s">
        <v>368</v>
      </c>
      <c r="C10" s="774" t="s">
        <v>3</v>
      </c>
      <c r="D10" s="1201" t="e">
        <f>#REF!</f>
        <v>#REF!</v>
      </c>
      <c r="E10" s="1201"/>
      <c r="F10" s="1201"/>
      <c r="G10" s="1201"/>
      <c r="I10" s="771"/>
      <c r="J10" s="1202"/>
      <c r="K10" s="1202"/>
    </row>
    <row r="11" spans="1:11" ht="32.25" customHeight="1">
      <c r="A11" s="775" t="s">
        <v>369</v>
      </c>
      <c r="C11" s="775" t="s">
        <v>3</v>
      </c>
      <c r="D11" s="1201" t="e">
        <f>#REF!</f>
        <v>#REF!</v>
      </c>
      <c r="E11" s="1201"/>
      <c r="F11" s="1201"/>
      <c r="G11" s="1201"/>
      <c r="I11" s="771"/>
      <c r="J11" s="1202"/>
      <c r="K11" s="1202"/>
    </row>
    <row r="12" spans="1:11" ht="15.5">
      <c r="A12" s="774" t="s">
        <v>370</v>
      </c>
      <c r="C12" s="774" t="s">
        <v>3</v>
      </c>
      <c r="D12" s="774" t="e">
        <f>#REF!</f>
        <v>#REF!</v>
      </c>
      <c r="I12" s="771"/>
      <c r="J12" s="1208"/>
      <c r="K12" s="1209"/>
    </row>
    <row r="15" spans="1:11" ht="15.5">
      <c r="A15" s="776" t="s">
        <v>371</v>
      </c>
    </row>
    <row r="17" spans="1:7" ht="22.5" customHeight="1">
      <c r="A17" s="777" t="s">
        <v>89</v>
      </c>
      <c r="B17" s="777" t="s">
        <v>372</v>
      </c>
      <c r="C17" s="1210" t="s">
        <v>373</v>
      </c>
      <c r="D17" s="1211"/>
      <c r="E17" s="777" t="s">
        <v>374</v>
      </c>
      <c r="F17" s="777" t="s">
        <v>375</v>
      </c>
      <c r="G17" s="777" t="s">
        <v>376</v>
      </c>
    </row>
    <row r="18" spans="1:7" ht="30.75" customHeight="1">
      <c r="A18" s="778" t="s">
        <v>279</v>
      </c>
      <c r="B18" s="779" t="e">
        <f>#REF!</f>
        <v>#REF!</v>
      </c>
      <c r="C18" s="1212" t="e">
        <f>#REF!</f>
        <v>#REF!</v>
      </c>
      <c r="D18" s="1213"/>
      <c r="E18" s="780" t="e">
        <f>#REF!</f>
        <v>#REF!</v>
      </c>
      <c r="F18" s="781" t="e">
        <f>#REF!</f>
        <v>#REF!</v>
      </c>
      <c r="G18" s="777" t="e">
        <f>#REF!</f>
        <v>#REF!</v>
      </c>
    </row>
    <row r="19" spans="1:7" ht="15.5">
      <c r="A19" s="782"/>
      <c r="C19" s="783"/>
      <c r="D19" s="783"/>
    </row>
    <row r="21" spans="1:7" ht="30.75" customHeight="1">
      <c r="A21" s="1201" t="s">
        <v>377</v>
      </c>
      <c r="B21" s="1201"/>
      <c r="C21" s="1201"/>
      <c r="D21" s="1201"/>
      <c r="E21" s="1201"/>
      <c r="F21" s="1201"/>
      <c r="G21" s="1201"/>
    </row>
    <row r="23" spans="1:7" ht="15.5">
      <c r="A23" s="1214" t="s">
        <v>378</v>
      </c>
      <c r="B23" s="1214"/>
      <c r="C23" s="1214"/>
      <c r="D23" s="1214"/>
      <c r="E23" s="1214"/>
      <c r="F23" s="1214"/>
      <c r="G23" s="1214"/>
    </row>
    <row r="24" spans="1:7" ht="15.5">
      <c r="A24" s="784"/>
      <c r="B24" s="784"/>
      <c r="C24" s="784"/>
      <c r="D24" s="784"/>
      <c r="E24" s="784"/>
      <c r="F24" s="784"/>
      <c r="G24" s="784"/>
    </row>
    <row r="26" spans="1:7" ht="15.5">
      <c r="F26" s="810" t="s">
        <v>379</v>
      </c>
      <c r="G26" s="809">
        <f ca="1">TODAY()</f>
        <v>45264</v>
      </c>
    </row>
    <row r="27" spans="1:7" ht="15.5">
      <c r="F27" s="1215" t="s">
        <v>380</v>
      </c>
      <c r="G27" s="1215"/>
    </row>
    <row r="32" spans="1:7" ht="15">
      <c r="F32" s="1216" t="s">
        <v>364</v>
      </c>
      <c r="G32" s="1216"/>
    </row>
    <row r="33" spans="6:7" ht="15.5">
      <c r="F33" s="1215" t="s">
        <v>365</v>
      </c>
      <c r="G33" s="1215"/>
    </row>
  </sheetData>
  <sheetProtection algorithmName="SHA-512" hashValue="UBctWYRqK4UvHpj8OlvwAziua99xncM64w+KfNgg9DfwgVy2oVp+OXson5a1BGCEq9St7Qj+yfz/Q/yWkDI65g==" saltValue="h2GgRusavqgg5K0EkVgxCA==" spinCount="100000" sheet="1" objects="1" scenarios="1"/>
  <mergeCells count="17">
    <mergeCell ref="A23:G23"/>
    <mergeCell ref="F27:G27"/>
    <mergeCell ref="F32:G32"/>
    <mergeCell ref="F33:G33"/>
    <mergeCell ref="D11:G11"/>
    <mergeCell ref="J11:K11"/>
    <mergeCell ref="J12:K12"/>
    <mergeCell ref="C17:D17"/>
    <mergeCell ref="C18:D18"/>
    <mergeCell ref="A21:G21"/>
    <mergeCell ref="D10:G10"/>
    <mergeCell ref="J10:K10"/>
    <mergeCell ref="J2:K2"/>
    <mergeCell ref="A3:G3"/>
    <mergeCell ref="J3:K3"/>
    <mergeCell ref="A4:G4"/>
    <mergeCell ref="A7:G7"/>
  </mergeCells>
  <pageMargins left="0.6" right="0.3" top="1.5" bottom="0.75" header="0.3" footer="0.3"/>
  <pageSetup paperSize="9" scale="9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3"/>
  <sheetViews>
    <sheetView workbookViewId="0">
      <selection activeCell="A2" sqref="A2:F2"/>
    </sheetView>
  </sheetViews>
  <sheetFormatPr defaultColWidth="9.1796875" defaultRowHeight="12.5"/>
  <cols>
    <col min="1" max="1" width="9.1796875" style="761"/>
    <col min="2" max="2" width="30.26953125" style="761" bestFit="1" customWidth="1"/>
    <col min="3" max="3" width="24.54296875" style="761" bestFit="1" customWidth="1"/>
    <col min="4" max="4" width="32.54296875" style="761" bestFit="1" customWidth="1"/>
    <col min="5" max="5" width="9.81640625" style="761" customWidth="1"/>
    <col min="6" max="6" width="30.1796875" style="761" bestFit="1" customWidth="1"/>
    <col min="7" max="7" width="9.1796875" style="761"/>
    <col min="8" max="8" width="15.453125" style="761" bestFit="1" customWidth="1"/>
    <col min="9" max="9" width="9.1796875" style="761"/>
    <col min="10" max="10" width="11.7265625" style="761" bestFit="1" customWidth="1"/>
    <col min="11" max="16384" width="9.1796875" style="761"/>
  </cols>
  <sheetData>
    <row r="1" spans="1:15" ht="14">
      <c r="A1" s="785" t="s">
        <v>25</v>
      </c>
      <c r="B1" s="785" t="s">
        <v>372</v>
      </c>
      <c r="C1" s="785" t="s">
        <v>381</v>
      </c>
      <c r="D1" s="786" t="s">
        <v>382</v>
      </c>
      <c r="E1" s="787"/>
      <c r="F1" s="788" t="s">
        <v>345</v>
      </c>
      <c r="H1" s="787"/>
      <c r="J1" s="787"/>
    </row>
    <row r="2" spans="1:15" ht="14">
      <c r="A2" s="789">
        <v>1</v>
      </c>
      <c r="B2" s="789" t="s">
        <v>383</v>
      </c>
      <c r="C2" s="789" t="s">
        <v>384</v>
      </c>
      <c r="D2" s="790" t="s">
        <v>385</v>
      </c>
      <c r="F2" s="791" t="s">
        <v>386</v>
      </c>
    </row>
    <row r="3" spans="1:15" ht="14">
      <c r="A3" s="789">
        <v>2</v>
      </c>
      <c r="B3" s="789" t="s">
        <v>387</v>
      </c>
      <c r="C3" s="789" t="s">
        <v>388</v>
      </c>
      <c r="D3" s="789" t="s">
        <v>389</v>
      </c>
      <c r="F3" s="791" t="s">
        <v>390</v>
      </c>
    </row>
    <row r="4" spans="1:15" ht="14">
      <c r="A4" s="789">
        <v>3</v>
      </c>
      <c r="B4" s="789" t="s">
        <v>391</v>
      </c>
      <c r="C4" s="789" t="s">
        <v>392</v>
      </c>
      <c r="D4" s="789" t="s">
        <v>393</v>
      </c>
      <c r="F4" s="791" t="s">
        <v>394</v>
      </c>
    </row>
    <row r="5" spans="1:15" ht="14">
      <c r="A5" s="789">
        <v>4</v>
      </c>
      <c r="B5" s="789" t="s">
        <v>350</v>
      </c>
      <c r="C5" s="789" t="s">
        <v>395</v>
      </c>
      <c r="D5" s="790" t="s">
        <v>94</v>
      </c>
      <c r="F5" s="791" t="s">
        <v>396</v>
      </c>
      <c r="H5" s="792"/>
    </row>
    <row r="6" spans="1:15" ht="14">
      <c r="A6" s="789">
        <v>5</v>
      </c>
      <c r="B6" s="789" t="s">
        <v>397</v>
      </c>
      <c r="C6" s="789" t="s">
        <v>398</v>
      </c>
      <c r="D6" s="790" t="s">
        <v>399</v>
      </c>
      <c r="F6" s="791" t="s">
        <v>348</v>
      </c>
    </row>
    <row r="7" spans="1:15" ht="14">
      <c r="A7" s="789">
        <v>6</v>
      </c>
      <c r="B7" s="789" t="s">
        <v>400</v>
      </c>
      <c r="C7" s="789" t="s">
        <v>401</v>
      </c>
      <c r="D7" s="790" t="s">
        <v>402</v>
      </c>
      <c r="F7" s="791" t="s">
        <v>403</v>
      </c>
    </row>
    <row r="8" spans="1:15" ht="14">
      <c r="A8" s="789">
        <v>7</v>
      </c>
      <c r="B8" s="789" t="s">
        <v>404</v>
      </c>
      <c r="C8" s="789" t="s">
        <v>405</v>
      </c>
      <c r="D8" s="790" t="s">
        <v>406</v>
      </c>
      <c r="F8" s="791" t="s">
        <v>407</v>
      </c>
    </row>
    <row r="9" spans="1:15" ht="14">
      <c r="A9" s="789">
        <v>8</v>
      </c>
      <c r="B9" s="789" t="s">
        <v>408</v>
      </c>
      <c r="C9" s="789" t="s">
        <v>409</v>
      </c>
      <c r="D9" s="789" t="s">
        <v>410</v>
      </c>
      <c r="F9" s="791" t="s">
        <v>411</v>
      </c>
    </row>
    <row r="10" spans="1:15" ht="14">
      <c r="A10" s="789">
        <v>9</v>
      </c>
      <c r="B10" s="789" t="s">
        <v>412</v>
      </c>
      <c r="C10" s="789" t="s">
        <v>413</v>
      </c>
      <c r="D10" s="790" t="s">
        <v>414</v>
      </c>
      <c r="F10" s="791" t="s">
        <v>415</v>
      </c>
      <c r="H10" s="792"/>
    </row>
    <row r="11" spans="1:15" ht="14">
      <c r="A11" s="789">
        <v>10</v>
      </c>
      <c r="B11" s="789" t="s">
        <v>416</v>
      </c>
      <c r="C11" s="789" t="s">
        <v>417</v>
      </c>
      <c r="D11" s="789" t="s">
        <v>418</v>
      </c>
      <c r="F11" s="791" t="s">
        <v>419</v>
      </c>
      <c r="L11" s="793"/>
      <c r="M11" s="794"/>
      <c r="N11" s="793"/>
      <c r="O11" s="794"/>
    </row>
    <row r="12" spans="1:15" ht="14">
      <c r="A12" s="789">
        <v>11</v>
      </c>
      <c r="B12" s="789" t="s">
        <v>420</v>
      </c>
      <c r="C12" s="789" t="s">
        <v>417</v>
      </c>
      <c r="D12" s="789" t="s">
        <v>418</v>
      </c>
      <c r="F12" s="791" t="s">
        <v>421</v>
      </c>
      <c r="H12" s="795"/>
    </row>
    <row r="13" spans="1:15" ht="14">
      <c r="A13" s="789">
        <v>12</v>
      </c>
      <c r="B13" s="789" t="s">
        <v>422</v>
      </c>
      <c r="C13" s="789" t="s">
        <v>423</v>
      </c>
      <c r="D13" s="790" t="s">
        <v>424</v>
      </c>
      <c r="F13" s="791" t="s">
        <v>425</v>
      </c>
    </row>
    <row r="14" spans="1:15" ht="14">
      <c r="A14" s="789">
        <v>13</v>
      </c>
      <c r="B14" s="789" t="s">
        <v>426</v>
      </c>
      <c r="C14" s="789" t="s">
        <v>427</v>
      </c>
      <c r="D14" s="790" t="s">
        <v>428</v>
      </c>
    </row>
    <row r="15" spans="1:15" ht="14">
      <c r="A15" s="789">
        <v>14</v>
      </c>
      <c r="B15" s="789" t="s">
        <v>429</v>
      </c>
      <c r="C15" s="789" t="s">
        <v>430</v>
      </c>
      <c r="D15" s="790" t="s">
        <v>431</v>
      </c>
      <c r="L15" s="793"/>
      <c r="M15" s="793"/>
      <c r="N15" s="793"/>
      <c r="O15" s="794"/>
    </row>
    <row r="16" spans="1:15" ht="14">
      <c r="A16" s="789">
        <v>15</v>
      </c>
      <c r="B16" s="789" t="s">
        <v>432</v>
      </c>
      <c r="C16" s="789" t="s">
        <v>433</v>
      </c>
      <c r="D16" s="790" t="s">
        <v>434</v>
      </c>
      <c r="L16" s="793"/>
      <c r="M16" s="793"/>
    </row>
    <row r="17" spans="1:14" ht="14">
      <c r="A17" s="789">
        <v>16</v>
      </c>
      <c r="B17" s="789" t="s">
        <v>435</v>
      </c>
      <c r="C17" s="789" t="s">
        <v>430</v>
      </c>
      <c r="D17" s="790" t="s">
        <v>431</v>
      </c>
    </row>
    <row r="18" spans="1:14" ht="14">
      <c r="A18" s="789">
        <v>17</v>
      </c>
      <c r="B18" s="789" t="s">
        <v>436</v>
      </c>
      <c r="C18" s="789" t="s">
        <v>437</v>
      </c>
      <c r="D18" s="789" t="s">
        <v>438</v>
      </c>
    </row>
    <row r="19" spans="1:14" ht="14">
      <c r="A19" s="789">
        <v>18</v>
      </c>
      <c r="B19" s="789" t="s">
        <v>439</v>
      </c>
      <c r="C19" s="789" t="s">
        <v>440</v>
      </c>
      <c r="D19" s="790" t="s">
        <v>441</v>
      </c>
    </row>
    <row r="20" spans="1:14" ht="14">
      <c r="A20" s="789">
        <v>19</v>
      </c>
      <c r="B20" s="789" t="s">
        <v>442</v>
      </c>
      <c r="C20" s="789" t="s">
        <v>443</v>
      </c>
      <c r="D20" s="790" t="s">
        <v>444</v>
      </c>
    </row>
    <row r="21" spans="1:14" ht="14">
      <c r="A21" s="789">
        <v>20</v>
      </c>
      <c r="B21" s="789" t="s">
        <v>445</v>
      </c>
      <c r="C21" s="789" t="s">
        <v>446</v>
      </c>
      <c r="D21" s="789" t="s">
        <v>447</v>
      </c>
    </row>
    <row r="22" spans="1:14" ht="14">
      <c r="A22" s="789">
        <v>21</v>
      </c>
      <c r="B22" s="789" t="s">
        <v>448</v>
      </c>
      <c r="C22" s="789" t="s">
        <v>449</v>
      </c>
      <c r="D22" s="789" t="s">
        <v>450</v>
      </c>
    </row>
    <row r="23" spans="1:14" ht="14">
      <c r="A23" s="789">
        <v>22</v>
      </c>
      <c r="B23" s="789" t="s">
        <v>451</v>
      </c>
      <c r="C23" s="789" t="s">
        <v>452</v>
      </c>
      <c r="D23" s="790" t="s">
        <v>453</v>
      </c>
    </row>
    <row r="24" spans="1:14" ht="14">
      <c r="A24" s="789">
        <v>23</v>
      </c>
      <c r="B24" s="789" t="s">
        <v>454</v>
      </c>
      <c r="C24" s="789" t="s">
        <v>455</v>
      </c>
      <c r="D24" s="790" t="s">
        <v>456</v>
      </c>
    </row>
    <row r="25" spans="1:14" ht="14">
      <c r="A25" s="789">
        <v>24</v>
      </c>
      <c r="B25" s="789" t="s">
        <v>457</v>
      </c>
      <c r="C25" s="789" t="s">
        <v>458</v>
      </c>
      <c r="D25" s="790" t="s">
        <v>459</v>
      </c>
      <c r="G25" s="794"/>
      <c r="K25" s="793"/>
      <c r="L25" s="794"/>
      <c r="M25" s="793"/>
      <c r="N25" s="794"/>
    </row>
    <row r="26" spans="1:14" ht="14">
      <c r="A26" s="789">
        <v>25</v>
      </c>
      <c r="B26" s="789" t="s">
        <v>460</v>
      </c>
      <c r="C26" s="789" t="s">
        <v>461</v>
      </c>
      <c r="D26" s="789" t="s">
        <v>462</v>
      </c>
    </row>
    <row r="27" spans="1:14" ht="14">
      <c r="A27" s="789">
        <v>26</v>
      </c>
      <c r="B27" s="789" t="s">
        <v>463</v>
      </c>
      <c r="C27" s="789" t="s">
        <v>464</v>
      </c>
      <c r="D27" s="789" t="s">
        <v>465</v>
      </c>
      <c r="F27" s="793"/>
      <c r="G27" s="794"/>
    </row>
    <row r="28" spans="1:14" ht="14">
      <c r="A28" s="789">
        <v>27</v>
      </c>
      <c r="B28" s="789" t="s">
        <v>466</v>
      </c>
      <c r="C28" s="789"/>
      <c r="D28" s="789"/>
    </row>
    <row r="29" spans="1:14" ht="14">
      <c r="A29" s="789">
        <v>28</v>
      </c>
      <c r="B29" s="789" t="s">
        <v>467</v>
      </c>
      <c r="C29" s="789" t="s">
        <v>468</v>
      </c>
      <c r="D29" s="790" t="s">
        <v>469</v>
      </c>
    </row>
    <row r="30" spans="1:14" ht="14">
      <c r="A30" s="789">
        <v>29</v>
      </c>
      <c r="B30" s="789" t="s">
        <v>470</v>
      </c>
      <c r="C30" s="789" t="s">
        <v>471</v>
      </c>
      <c r="D30" s="790" t="s">
        <v>472</v>
      </c>
      <c r="F30" s="793"/>
      <c r="G30" s="794"/>
    </row>
    <row r="31" spans="1:14" ht="14">
      <c r="A31" s="789">
        <v>30</v>
      </c>
      <c r="B31" s="789" t="s">
        <v>473</v>
      </c>
      <c r="C31" s="789" t="s">
        <v>474</v>
      </c>
      <c r="D31" s="789" t="s">
        <v>475</v>
      </c>
      <c r="G31" s="793"/>
    </row>
    <row r="32" spans="1:14" ht="14">
      <c r="A32" s="789">
        <v>31</v>
      </c>
      <c r="B32" s="789" t="s">
        <v>476</v>
      </c>
      <c r="C32" s="789" t="s">
        <v>477</v>
      </c>
      <c r="D32" s="789" t="s">
        <v>478</v>
      </c>
      <c r="G32" s="793"/>
    </row>
    <row r="33" spans="1:7" ht="14">
      <c r="A33" s="789">
        <v>32</v>
      </c>
      <c r="B33" s="789" t="s">
        <v>479</v>
      </c>
      <c r="C33" s="789" t="s">
        <v>480</v>
      </c>
      <c r="D33" s="789" t="s">
        <v>481</v>
      </c>
      <c r="F33" s="793"/>
      <c r="G33" s="793"/>
    </row>
    <row r="34" spans="1:7" ht="14">
      <c r="A34" s="789">
        <v>33</v>
      </c>
      <c r="B34" s="789" t="s">
        <v>482</v>
      </c>
      <c r="C34" s="789" t="s">
        <v>483</v>
      </c>
      <c r="D34" s="790" t="s">
        <v>484</v>
      </c>
      <c r="F34" s="793"/>
      <c r="G34" s="793"/>
    </row>
    <row r="35" spans="1:7" ht="14">
      <c r="A35" s="789">
        <v>34</v>
      </c>
      <c r="B35" s="789" t="s">
        <v>485</v>
      </c>
      <c r="C35" s="789" t="s">
        <v>486</v>
      </c>
      <c r="D35" s="789" t="s">
        <v>487</v>
      </c>
      <c r="G35" s="793"/>
    </row>
    <row r="36" spans="1:7" ht="14">
      <c r="A36" s="789">
        <v>35</v>
      </c>
      <c r="B36" s="789" t="s">
        <v>488</v>
      </c>
      <c r="C36" s="789" t="s">
        <v>489</v>
      </c>
      <c r="D36" s="790" t="s">
        <v>490</v>
      </c>
      <c r="G36" s="793"/>
    </row>
    <row r="37" spans="1:7" ht="14">
      <c r="A37" s="789">
        <v>36</v>
      </c>
      <c r="B37" s="789" t="s">
        <v>491</v>
      </c>
      <c r="C37" s="789" t="s">
        <v>492</v>
      </c>
      <c r="D37" s="789" t="s">
        <v>493</v>
      </c>
      <c r="G37" s="793"/>
    </row>
    <row r="38" spans="1:7" ht="14">
      <c r="A38" s="789">
        <v>37</v>
      </c>
      <c r="B38" s="789" t="s">
        <v>494</v>
      </c>
      <c r="C38" s="789" t="s">
        <v>495</v>
      </c>
      <c r="D38" s="789" t="s">
        <v>496</v>
      </c>
      <c r="G38" s="793"/>
    </row>
    <row r="39" spans="1:7" ht="14">
      <c r="A39" s="789">
        <v>38</v>
      </c>
      <c r="B39" s="789" t="s">
        <v>497</v>
      </c>
      <c r="C39" s="789" t="s">
        <v>498</v>
      </c>
      <c r="D39" s="790" t="s">
        <v>499</v>
      </c>
      <c r="F39" s="793"/>
      <c r="G39" s="794"/>
    </row>
    <row r="40" spans="1:7" ht="14">
      <c r="A40" s="789">
        <v>39</v>
      </c>
      <c r="B40" s="789" t="s">
        <v>500</v>
      </c>
      <c r="C40" s="789" t="s">
        <v>501</v>
      </c>
      <c r="D40" s="789" t="s">
        <v>502</v>
      </c>
    </row>
    <row r="41" spans="1:7" ht="14">
      <c r="A41" s="789">
        <v>40</v>
      </c>
      <c r="B41" s="789" t="s">
        <v>503</v>
      </c>
      <c r="C41" s="789" t="s">
        <v>504</v>
      </c>
      <c r="D41" s="789" t="s">
        <v>505</v>
      </c>
    </row>
    <row r="42" spans="1:7" ht="14">
      <c r="A42" s="789">
        <v>41</v>
      </c>
      <c r="B42" s="789" t="s">
        <v>506</v>
      </c>
      <c r="C42" s="789" t="s">
        <v>507</v>
      </c>
      <c r="D42" s="789" t="s">
        <v>508</v>
      </c>
    </row>
    <row r="43" spans="1:7" ht="14">
      <c r="A43" s="789">
        <v>42</v>
      </c>
      <c r="B43" s="789" t="s">
        <v>509</v>
      </c>
      <c r="C43" s="789" t="s">
        <v>510</v>
      </c>
      <c r="D43" s="789" t="s">
        <v>511</v>
      </c>
    </row>
    <row r="44" spans="1:7" ht="14">
      <c r="A44" s="789">
        <v>43</v>
      </c>
      <c r="B44" s="789" t="s">
        <v>512</v>
      </c>
      <c r="C44" s="789"/>
      <c r="D44" s="789"/>
    </row>
    <row r="45" spans="1:7" ht="14">
      <c r="A45" s="789">
        <v>44</v>
      </c>
      <c r="B45" s="789" t="s">
        <v>513</v>
      </c>
      <c r="C45" s="789" t="s">
        <v>514</v>
      </c>
      <c r="D45" s="790" t="s">
        <v>515</v>
      </c>
    </row>
    <row r="46" spans="1:7" ht="14">
      <c r="A46" s="789">
        <v>45</v>
      </c>
      <c r="B46" s="789" t="s">
        <v>516</v>
      </c>
      <c r="C46" s="789" t="s">
        <v>517</v>
      </c>
      <c r="D46" s="790" t="s">
        <v>518</v>
      </c>
    </row>
    <row r="47" spans="1:7" ht="14">
      <c r="A47" s="789">
        <v>46</v>
      </c>
      <c r="B47" s="789" t="s">
        <v>519</v>
      </c>
      <c r="C47" s="789" t="s">
        <v>520</v>
      </c>
      <c r="D47" s="789" t="s">
        <v>521</v>
      </c>
    </row>
    <row r="48" spans="1:7" ht="14">
      <c r="A48" s="789">
        <v>47</v>
      </c>
      <c r="B48" s="789" t="s">
        <v>522</v>
      </c>
      <c r="C48" s="789" t="s">
        <v>523</v>
      </c>
      <c r="D48" s="790" t="s">
        <v>524</v>
      </c>
    </row>
    <row r="49" spans="1:7" ht="14">
      <c r="A49" s="789">
        <v>48</v>
      </c>
      <c r="B49" s="789" t="s">
        <v>525</v>
      </c>
      <c r="C49" s="789"/>
      <c r="D49" s="789"/>
    </row>
    <row r="50" spans="1:7" ht="14">
      <c r="A50" s="789">
        <v>49</v>
      </c>
      <c r="B50" s="789" t="s">
        <v>526</v>
      </c>
      <c r="C50" s="789" t="s">
        <v>527</v>
      </c>
      <c r="D50" s="790" t="s">
        <v>528</v>
      </c>
      <c r="F50" s="793"/>
      <c r="G50" s="794"/>
    </row>
    <row r="51" spans="1:7" ht="14">
      <c r="A51" s="789">
        <v>50</v>
      </c>
      <c r="B51" s="789" t="s">
        <v>529</v>
      </c>
      <c r="C51" s="789" t="s">
        <v>530</v>
      </c>
      <c r="D51" s="789" t="s">
        <v>531</v>
      </c>
    </row>
    <row r="52" spans="1:7" ht="14">
      <c r="A52" s="789">
        <v>51</v>
      </c>
      <c r="B52" s="789" t="s">
        <v>532</v>
      </c>
      <c r="C52" s="789" t="s">
        <v>533</v>
      </c>
      <c r="D52" s="790" t="s">
        <v>534</v>
      </c>
      <c r="F52" s="793"/>
      <c r="G52" s="794"/>
    </row>
    <row r="53" spans="1:7" ht="14">
      <c r="A53" s="789">
        <v>52</v>
      </c>
      <c r="B53" s="789" t="s">
        <v>535</v>
      </c>
      <c r="C53" s="789" t="s">
        <v>536</v>
      </c>
      <c r="D53" s="790" t="s">
        <v>537</v>
      </c>
    </row>
    <row r="54" spans="1:7" ht="14">
      <c r="A54" s="789">
        <v>53</v>
      </c>
      <c r="B54" s="789" t="s">
        <v>538</v>
      </c>
      <c r="C54" s="789" t="s">
        <v>539</v>
      </c>
      <c r="D54" s="789" t="s">
        <v>540</v>
      </c>
    </row>
    <row r="55" spans="1:7" ht="14">
      <c r="A55" s="789">
        <v>54</v>
      </c>
      <c r="B55" s="789" t="s">
        <v>541</v>
      </c>
      <c r="C55" s="789" t="s">
        <v>539</v>
      </c>
      <c r="D55" s="789" t="s">
        <v>540</v>
      </c>
    </row>
    <row r="56" spans="1:7" ht="14">
      <c r="A56" s="789">
        <v>55</v>
      </c>
      <c r="B56" s="789" t="s">
        <v>542</v>
      </c>
      <c r="C56" s="789" t="s">
        <v>449</v>
      </c>
      <c r="D56" s="789" t="s">
        <v>543</v>
      </c>
    </row>
    <row r="57" spans="1:7" ht="14">
      <c r="A57" s="789">
        <v>56</v>
      </c>
      <c r="B57" s="789" t="s">
        <v>544</v>
      </c>
      <c r="C57" s="789" t="s">
        <v>545</v>
      </c>
      <c r="D57" s="790" t="s">
        <v>546</v>
      </c>
      <c r="F57" s="793"/>
      <c r="G57" s="794"/>
    </row>
    <row r="58" spans="1:7" ht="14">
      <c r="A58" s="789">
        <v>57</v>
      </c>
      <c r="B58" s="789" t="s">
        <v>547</v>
      </c>
      <c r="C58" s="789"/>
      <c r="D58" s="789"/>
    </row>
    <row r="59" spans="1:7" ht="14">
      <c r="A59" s="789">
        <v>58</v>
      </c>
      <c r="B59" s="789" t="s">
        <v>548</v>
      </c>
      <c r="C59" s="789" t="s">
        <v>549</v>
      </c>
      <c r="D59" s="789" t="s">
        <v>550</v>
      </c>
    </row>
    <row r="60" spans="1:7" ht="14">
      <c r="A60" s="789">
        <v>59</v>
      </c>
      <c r="B60" s="789" t="s">
        <v>551</v>
      </c>
      <c r="C60" s="789"/>
      <c r="D60" s="789"/>
    </row>
    <row r="61" spans="1:7" ht="14">
      <c r="A61" s="789">
        <v>60</v>
      </c>
      <c r="B61" s="789" t="s">
        <v>552</v>
      </c>
      <c r="C61" s="789" t="s">
        <v>553</v>
      </c>
      <c r="D61" s="790" t="s">
        <v>554</v>
      </c>
    </row>
    <row r="62" spans="1:7" ht="14">
      <c r="A62" s="789">
        <v>61</v>
      </c>
      <c r="B62" s="789" t="s">
        <v>555</v>
      </c>
      <c r="C62" s="789" t="s">
        <v>556</v>
      </c>
      <c r="D62" s="789" t="s">
        <v>557</v>
      </c>
    </row>
    <row r="63" spans="1:7" ht="14">
      <c r="A63" s="789">
        <v>62</v>
      </c>
      <c r="B63" s="789" t="s">
        <v>558</v>
      </c>
      <c r="C63" s="789" t="s">
        <v>559</v>
      </c>
      <c r="D63" s="790" t="s">
        <v>560</v>
      </c>
    </row>
    <row r="64" spans="1:7" ht="14">
      <c r="A64" s="789">
        <v>63</v>
      </c>
      <c r="B64" s="789" t="s">
        <v>561</v>
      </c>
      <c r="C64" s="789" t="s">
        <v>562</v>
      </c>
      <c r="D64" s="789" t="s">
        <v>563</v>
      </c>
    </row>
    <row r="65" spans="1:4" ht="14">
      <c r="A65" s="789">
        <v>64</v>
      </c>
      <c r="B65" s="789" t="s">
        <v>564</v>
      </c>
      <c r="C65" s="789"/>
      <c r="D65" s="789"/>
    </row>
    <row r="66" spans="1:4" ht="14">
      <c r="A66" s="789">
        <v>65</v>
      </c>
      <c r="B66" s="789" t="s">
        <v>565</v>
      </c>
      <c r="C66" s="789"/>
      <c r="D66" s="789"/>
    </row>
    <row r="67" spans="1:4" ht="14">
      <c r="A67" s="789">
        <v>66</v>
      </c>
      <c r="B67" s="789" t="s">
        <v>566</v>
      </c>
      <c r="C67" s="789"/>
      <c r="D67" s="789"/>
    </row>
    <row r="68" spans="1:4" ht="14">
      <c r="A68" s="789">
        <v>67</v>
      </c>
      <c r="B68" s="789" t="s">
        <v>567</v>
      </c>
      <c r="C68" s="789"/>
      <c r="D68" s="789"/>
    </row>
    <row r="69" spans="1:4" ht="14">
      <c r="A69" s="789">
        <v>68</v>
      </c>
      <c r="B69" s="789" t="s">
        <v>568</v>
      </c>
      <c r="C69" s="789" t="s">
        <v>569</v>
      </c>
      <c r="D69" s="789" t="s">
        <v>570</v>
      </c>
    </row>
    <row r="70" spans="1:4" ht="14.5">
      <c r="A70" s="789">
        <v>71</v>
      </c>
      <c r="B70" s="789" t="s">
        <v>571</v>
      </c>
      <c r="C70" s="789" t="s">
        <v>433</v>
      </c>
      <c r="D70" s="790" t="s">
        <v>434</v>
      </c>
    </row>
    <row r="71" spans="1:4" ht="14">
      <c r="A71" s="789">
        <v>70</v>
      </c>
      <c r="B71" s="789" t="s">
        <v>572</v>
      </c>
      <c r="C71" s="789" t="s">
        <v>573</v>
      </c>
      <c r="D71" s="789" t="s">
        <v>434</v>
      </c>
    </row>
    <row r="72" spans="1:4" ht="14">
      <c r="A72" s="789">
        <v>76</v>
      </c>
      <c r="B72" s="789" t="s">
        <v>574</v>
      </c>
      <c r="C72" s="789" t="s">
        <v>575</v>
      </c>
      <c r="D72" s="790" t="s">
        <v>576</v>
      </c>
    </row>
    <row r="73" spans="1:4" ht="14">
      <c r="A73" s="789">
        <v>78</v>
      </c>
      <c r="B73" s="789" t="s">
        <v>577</v>
      </c>
      <c r="C73" s="789" t="s">
        <v>578</v>
      </c>
      <c r="D73" s="789" t="s">
        <v>579</v>
      </c>
    </row>
  </sheetData>
  <sheetProtection algorithmName="SHA-512" hashValue="uxxchv0cosArpQ6+kxZ5sP0XaNssXYKVmYfSykllYO19GaxHrcpMcYbqncBMMra5ficEmnVNMxROvEp3vzy9Xw==" saltValue="voM1cbaprIQtsMpTybAoQ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60"/>
  <sheetViews>
    <sheetView topLeftCell="A4" zoomScale="106" zoomScaleNormal="106" workbookViewId="0">
      <selection activeCell="J24" sqref="J24"/>
    </sheetView>
  </sheetViews>
  <sheetFormatPr defaultRowHeight="12.5"/>
  <cols>
    <col min="1" max="1" width="11.26953125" customWidth="1"/>
    <col min="2" max="2" width="9" customWidth="1"/>
    <col min="4" max="5" width="10.453125" customWidth="1"/>
    <col min="8" max="8" width="10.453125" customWidth="1"/>
    <col min="9" max="9" width="6" customWidth="1"/>
    <col min="10" max="10" width="4.453125" customWidth="1"/>
    <col min="11" max="11" width="7.1796875" customWidth="1"/>
    <col min="12" max="12" width="5.81640625" customWidth="1"/>
    <col min="14" max="14" width="5.7265625" customWidth="1"/>
    <col min="15" max="15" width="5.81640625" customWidth="1"/>
    <col min="16" max="16" width="6.54296875" customWidth="1"/>
    <col min="17" max="17" width="6" customWidth="1"/>
    <col min="19" max="19" width="6.81640625" customWidth="1"/>
    <col min="20" max="20" width="4.7265625" customWidth="1"/>
    <col min="21" max="21" width="6.7265625" customWidth="1"/>
    <col min="22" max="22" width="6" customWidth="1"/>
  </cols>
  <sheetData>
    <row r="1" spans="1:19" ht="6" customHeight="1"/>
    <row r="2" spans="1:19" ht="36" customHeight="1">
      <c r="A2" s="1223" t="str">
        <f>'SLM DB'!B157</f>
        <v>Audiometer Analyzer, Merek : Larson Davis, Model : 831C, SN : 11418</v>
      </c>
      <c r="B2" s="1223"/>
      <c r="C2" s="1223"/>
      <c r="E2" s="1222" t="s">
        <v>580</v>
      </c>
      <c r="F2" s="1222"/>
      <c r="G2" s="1222"/>
      <c r="H2" s="1222"/>
      <c r="I2" s="1222"/>
      <c r="J2" s="1222"/>
      <c r="K2" s="1222"/>
      <c r="L2" s="1222"/>
      <c r="M2" s="1222"/>
      <c r="N2" s="1222"/>
      <c r="O2" s="1222"/>
      <c r="P2" s="1222"/>
      <c r="Q2" s="1222"/>
      <c r="R2" s="1222"/>
      <c r="S2" s="1222"/>
    </row>
    <row r="3" spans="1:19">
      <c r="A3" s="287" t="s">
        <v>209</v>
      </c>
      <c r="B3" s="287" t="s">
        <v>293</v>
      </c>
    </row>
    <row r="4" spans="1:19">
      <c r="A4" s="287">
        <v>0</v>
      </c>
      <c r="B4" s="297">
        <v>0</v>
      </c>
    </row>
    <row r="5" spans="1:19">
      <c r="A5" s="287">
        <f>'SLM DB'!A161</f>
        <v>20</v>
      </c>
      <c r="B5" s="297">
        <f>'SLM DB'!B161</f>
        <v>0.35</v>
      </c>
    </row>
    <row r="6" spans="1:19">
      <c r="A6" s="287">
        <f>'SLM DB'!A162</f>
        <v>50</v>
      </c>
      <c r="B6" s="297">
        <f>'SLM DB'!B162</f>
        <v>-0.02</v>
      </c>
    </row>
    <row r="7" spans="1:19">
      <c r="A7" s="287">
        <f>'SLM DB'!A163</f>
        <v>60</v>
      </c>
      <c r="B7" s="297">
        <f>'SLM DB'!B163</f>
        <v>-0.02</v>
      </c>
    </row>
    <row r="8" spans="1:19">
      <c r="A8" s="287">
        <f>'SLM DB'!A164</f>
        <v>70</v>
      </c>
      <c r="B8" s="297">
        <f>'SLM DB'!B164</f>
        <v>-0.02</v>
      </c>
    </row>
    <row r="9" spans="1:19">
      <c r="A9" s="287">
        <f>'SLM DB'!A165</f>
        <v>75</v>
      </c>
      <c r="B9" s="297">
        <f>'SLM DB'!B165</f>
        <v>-0.04</v>
      </c>
    </row>
    <row r="10" spans="1:19">
      <c r="A10" s="287">
        <f>'SLM DB'!A166</f>
        <v>90</v>
      </c>
      <c r="B10" s="297">
        <f>'SLM DB'!B166</f>
        <v>-0.02</v>
      </c>
    </row>
    <row r="11" spans="1:19">
      <c r="A11" s="287">
        <f>'SLM DB'!A167</f>
        <v>95</v>
      </c>
      <c r="B11" s="297">
        <f>'SLM DB'!B167</f>
        <v>-0.02</v>
      </c>
    </row>
    <row r="12" spans="1:19">
      <c r="A12" s="287">
        <f>'SLM DB'!A168</f>
        <v>110</v>
      </c>
      <c r="B12" s="297">
        <f>'SLM DB'!B168</f>
        <v>0.01</v>
      </c>
    </row>
    <row r="13" spans="1:19">
      <c r="A13" s="287">
        <f>'SLM DB'!A169</f>
        <v>120</v>
      </c>
      <c r="B13" s="297">
        <f>'SLM DB'!B169</f>
        <v>0.04</v>
      </c>
    </row>
    <row r="14" spans="1:19">
      <c r="A14" s="287">
        <v>130</v>
      </c>
      <c r="B14" s="297">
        <v>0</v>
      </c>
    </row>
    <row r="16" spans="1:19" ht="18">
      <c r="A16" s="307" t="s">
        <v>581</v>
      </c>
    </row>
    <row r="17" spans="1:22" ht="13.5" thickBot="1">
      <c r="A17" s="308" t="s">
        <v>298</v>
      </c>
    </row>
    <row r="18" spans="1:22" ht="27" customHeight="1">
      <c r="A18" s="298" t="s">
        <v>238</v>
      </c>
      <c r="B18" s="298" t="s">
        <v>209</v>
      </c>
      <c r="C18" s="299" t="s">
        <v>582</v>
      </c>
      <c r="D18" s="300" t="s">
        <v>583</v>
      </c>
      <c r="E18" s="300" t="s">
        <v>584</v>
      </c>
      <c r="F18" s="298" t="s">
        <v>585</v>
      </c>
      <c r="G18" s="298" t="s">
        <v>293</v>
      </c>
      <c r="H18" s="531"/>
      <c r="I18" s="1219">
        <v>125</v>
      </c>
      <c r="J18" s="1219"/>
      <c r="K18" s="1219"/>
      <c r="L18" s="1220"/>
      <c r="N18" s="1221">
        <v>1500</v>
      </c>
      <c r="O18" s="1219"/>
      <c r="P18" s="1219"/>
      <c r="Q18" s="1220"/>
      <c r="S18" s="1221">
        <v>8000</v>
      </c>
      <c r="T18" s="1219"/>
      <c r="U18" s="1219"/>
      <c r="V18" s="1220"/>
    </row>
    <row r="19" spans="1:22">
      <c r="A19" s="301">
        <f>ID!C34</f>
        <v>125</v>
      </c>
      <c r="B19" s="287">
        <f>ID!D34</f>
        <v>70</v>
      </c>
      <c r="C19" s="287">
        <f>ID!H34</f>
        <v>70</v>
      </c>
      <c r="D19" s="302">
        <f>K20</f>
        <v>-0.02</v>
      </c>
      <c r="E19" s="306">
        <f>C19+D19</f>
        <v>69.98</v>
      </c>
      <c r="F19" s="319">
        <f>'UB Earphone Kanan'!J16</f>
        <v>0.53380891459609159</v>
      </c>
      <c r="G19" s="306">
        <f>E19-B19</f>
        <v>-1.9999999999996021E-2</v>
      </c>
      <c r="H19" s="532"/>
      <c r="I19" s="303"/>
      <c r="J19" s="289">
        <f>IF(I20&lt;=$A$5,$A$4,IF(I20&lt;=$A$6,$A$5,IF(I20&lt;=$A$7,$A$6,IF(I20&lt;=$A$8,$A$7,IF(I20&lt;=$A$9,$A$8,IF(I20&lt;=$A$10,$A$9,IF(I20&lt;=$A$11,$A$10,IF(I20&lt;=$A$12,$A$11,IF(I20&lt;=$A$13,$A$12,IF(I20&lt;=$A$14,$A$13))))))))))</f>
        <v>60</v>
      </c>
      <c r="K19" s="289"/>
      <c r="L19" s="290">
        <f>IF(I20&lt;=$A$5,$B$4,IF(I20&lt;=$A$6,$B$5,IF(I20&lt;=$A$7,$B$6,IF(I20&lt;=$A$8,$B$7,IF(I20&lt;=$A$9,$B$8,IF(I20&lt;=$A$10,$B$9,IF(I20&lt;=$A$11,$B$10,IF(I20&lt;=$A$12,$B$11,IF(I20&lt;=$A$13,$B$12,IF(I20&lt;=$A$14,$B$13))))))))))</f>
        <v>-0.02</v>
      </c>
      <c r="N19" s="288"/>
      <c r="O19" s="289">
        <f>IF(N20&lt;=$A$5,$A$4,IF(N20&lt;=$A$6,$A$5,IF(N20&lt;=$A$7,$A$6,IF(N20&lt;=$A$8,$A$7,IF(N20&lt;=$A$9,$A$8,IF(N20&lt;=$A$10,$A$9,IF(N20&lt;=$A$11,$A$10,IF(N20&lt;=$A$12,$A$11,IF(N20&lt;=$A$13,$A$12,IF(N20&lt;=$A$14,$A$13))))))))))</f>
        <v>110</v>
      </c>
      <c r="P19" s="289"/>
      <c r="Q19" s="290">
        <f>IF(N20&lt;=$A$5,$B$4,IF(N20&lt;=$A$6,$B$5,IF(N20&lt;=$A$7,$B$6,IF(N20&lt;=$A$8,$B$7,IF(N20&lt;=$A$9,$B$8,IF(N20&lt;=$A$10,$B$9,IF(N20&lt;=$A$11,$B$10,IF(N20&lt;=$A$12,$B$11,IF(N20&lt;=$A$13,$B$12,IF(N20&lt;=$A$14,$B$13))))))))))</f>
        <v>0.01</v>
      </c>
      <c r="S19" s="288"/>
      <c r="T19" s="289">
        <f>IF(S20&lt;=$A$5,$A$4,IF(S20&lt;=$A$6,$A$5,IF(S20&lt;=$A$7,$A$6,IF(S20&lt;=$A$8,$A$7,IF(S20&lt;=$A$9,$A$8,IF(S20&lt;=$A$10,$A$9,IF(S20&lt;=$A$11,$A$10,IF(S20&lt;=$A$12,$A$11,IF(S20&lt;=$A$13,$A$12,IF(S20&lt;=$A$14,$A$13))))))))))</f>
        <v>95</v>
      </c>
      <c r="U19" s="289"/>
      <c r="V19" s="290">
        <f>IF(S20&lt;=$A$5,$B$4,IF(S20&lt;=$A$6,$B$5,IF(S20&lt;=$A$7,$B$6,IF(S20&lt;=$A$8,$B$7,IF(S20&lt;=$A$9,$B$8,IF(S20&lt;=$A$10,$B$9,IF(S20&lt;=$A$11,$B$10,IF(S20&lt;=$A$12,$B$11,IF(S20&lt;=$A$13,$B$12,IF(S20&lt;=$A$14,$B$13))))))))))</f>
        <v>-0.02</v>
      </c>
    </row>
    <row r="20" spans="1:22">
      <c r="A20" s="301">
        <f>ID!C35</f>
        <v>250</v>
      </c>
      <c r="B20" s="287">
        <f>ID!D35</f>
        <v>90</v>
      </c>
      <c r="C20" s="287">
        <f>ID!H35</f>
        <v>90</v>
      </c>
      <c r="D20" s="302">
        <f>K24</f>
        <v>0.04</v>
      </c>
      <c r="E20" s="306">
        <f t="shared" ref="E20:E29" si="0">C20+D20</f>
        <v>90.04</v>
      </c>
      <c r="F20" s="319">
        <f>'UB Earphone Kanan'!J31</f>
        <v>0.53380891459609159</v>
      </c>
      <c r="G20" s="306">
        <f t="shared" ref="G20:G29" si="1">E20-B20</f>
        <v>4.0000000000006253E-2</v>
      </c>
      <c r="H20" s="532"/>
      <c r="I20" s="304">
        <f>C19</f>
        <v>70</v>
      </c>
      <c r="J20" s="289"/>
      <c r="K20" s="292">
        <f>((I20-J19)/(J21-J19)*(L21-L19)+L19)</f>
        <v>-0.02</v>
      </c>
      <c r="L20" s="290"/>
      <c r="N20" s="291">
        <f>C24</f>
        <v>120</v>
      </c>
      <c r="O20" s="289"/>
      <c r="P20" s="292">
        <f>((N20-O19)/(O21-O19)*(Q21-Q19)+Q19)</f>
        <v>0.04</v>
      </c>
      <c r="Q20" s="290"/>
      <c r="S20" s="291">
        <f>C29</f>
        <v>100</v>
      </c>
      <c r="T20" s="289"/>
      <c r="U20" s="292">
        <f>((S20-T19)/(T21-T19)*(V21-V19)+V19)</f>
        <v>-1.0000000000000002E-2</v>
      </c>
      <c r="V20" s="290"/>
    </row>
    <row r="21" spans="1:22" ht="13" thickBot="1">
      <c r="A21" s="301">
        <f>ID!C36</f>
        <v>500</v>
      </c>
      <c r="B21" s="287">
        <f>ID!D36</f>
        <v>120</v>
      </c>
      <c r="C21" s="287">
        <f>ID!H36</f>
        <v>120</v>
      </c>
      <c r="D21" s="302">
        <f>K28</f>
        <v>3.7600000000000078E-2</v>
      </c>
      <c r="E21" s="306">
        <f t="shared" si="0"/>
        <v>120.0376</v>
      </c>
      <c r="F21" s="319">
        <f>'UB Earphone Kanan'!J46</f>
        <v>0.53380891459609159</v>
      </c>
      <c r="G21" s="306">
        <f t="shared" si="1"/>
        <v>3.7599999999997635E-2</v>
      </c>
      <c r="H21" s="533"/>
      <c r="I21" s="305"/>
      <c r="J21" s="294">
        <f>IF(I20&lt;=$A$4,$A$4,IF(I20&lt;=$A$5,$A$5,IF(I20&lt;=$A$6,$A$6,IF(I20&lt;=$A$7,$A$7,IF(I20&lt;=$A$8,$A$8,IF(I20&lt;=$A$9,$A$9,IF(I20&lt;=$A$10,$A$10,IF(I20&lt;=$A$11,$A$11,IF(I20&lt;=$A$12,$A$12,IF(I20&lt;=$A$13,$A$13,IF(I20&lt;=$A$14,$A$14)))))))))))</f>
        <v>70</v>
      </c>
      <c r="K21" s="294"/>
      <c r="L21" s="295">
        <f>IF(I20&lt;=$A$4,$B$4,IF(I20&lt;=$A$5,$B$5,IF(I20&lt;=$A$6,$B$6,IF(I20&lt;=$A$7,$B$7,IF(I20&lt;=$A$8,$B$8,IF(I20&lt;=$A$9,$B$9,IF(I20&lt;=$A$10,$B$10,IF(I20&lt;=$A$11,$B$11,IF(I20&lt;=$A$12,$B$12,IF(I20&lt;=$A$13,$B$13,IF(I20&lt;=$A$14,$B$14)))))))))))</f>
        <v>-0.02</v>
      </c>
      <c r="N21" s="293"/>
      <c r="O21" s="294">
        <f>IF(N20&lt;=$A$4,$A$4,IF(N20&lt;=$A$5,$A$5,IF(N20&lt;=$A$6,$A$6,IF(N20&lt;=$A$7,$A$7,IF(N20&lt;=$A$8,$A$8,IF(N20&lt;=$A$9,$A$9,IF(N20&lt;=$A$10,$A$10,IF(N20&lt;=$A$11,$A$11,IF(N20&lt;=$A$12,$A$12,IF(N20&lt;=$A$13,$A$13,IF(N20&lt;=$A$14,$A$14)))))))))))</f>
        <v>120</v>
      </c>
      <c r="P21" s="294"/>
      <c r="Q21" s="295">
        <f>IF(N20&lt;=$A$4,$B$4,IF(N20&lt;=$A$5,$B$5,IF(N20&lt;=$A$6,$B$6,IF(N20&lt;=$A$7,$B$7,IF(N20&lt;=$A$8,$B$8,IF(N20&lt;=$A$9,$B$9,IF(N20&lt;=$A$10,$B$10,IF(N20&lt;=$A$11,$B$11,IF(N20&lt;=$A$12,$B$12,IF(N20&lt;=$A$13,$B$13,IF(N20&lt;=$A$14,$B$14)))))))))))</f>
        <v>0.04</v>
      </c>
      <c r="S21" s="293"/>
      <c r="T21" s="294">
        <f>IF(S20&lt;=$A$4,$A$4,IF(S20&lt;=$A$5,$A$5,IF(S20&lt;=$A$6,$A$6,IF(S20&lt;=$A$7,$A$7,IF(S20&lt;=$A$8,$A$8,IF(S20&lt;=$A$9,$A$9,IF(S20&lt;=$A$10,$A$10,IF(S20&lt;=$A$11,$A$11,IF(S20&lt;=$A$12,$A$12,IF(S20&lt;=$A$13,$A$13,IF(S20&lt;=$A$14,$A$14)))))))))))</f>
        <v>110</v>
      </c>
      <c r="U21" s="294"/>
      <c r="V21" s="295">
        <f>IF(S20&lt;=$A$4,$B$4,IF(S20&lt;=$A$5,$B$5,IF(S20&lt;=$A$6,$B$6,IF(S20&lt;=$A$7,$B$7,IF(S20&lt;=$A$8,$B$8,IF(S20&lt;=$A$9,$B$9,IF(S20&lt;=$A$10,$B$10,IF(S20&lt;=$A$11,$B$11,IF(S20&lt;=$A$12,$B$12,IF(S20&lt;=$A$13,$B$13,IF(S20&lt;=$A$14,$B$14)))))))))))</f>
        <v>0.01</v>
      </c>
    </row>
    <row r="22" spans="1:22" ht="15">
      <c r="A22" s="301">
        <f>ID!C37</f>
        <v>750</v>
      </c>
      <c r="B22" s="287">
        <f>ID!D37</f>
        <v>120</v>
      </c>
      <c r="C22" s="287">
        <f>ID!H37</f>
        <v>120</v>
      </c>
      <c r="D22" s="302">
        <f>K32</f>
        <v>0.04</v>
      </c>
      <c r="E22" s="306">
        <f t="shared" si="0"/>
        <v>120.04</v>
      </c>
      <c r="F22" s="319">
        <f>'UB Earphone Kanan'!J61</f>
        <v>0.62906106791079441</v>
      </c>
      <c r="G22" s="306">
        <f t="shared" si="1"/>
        <v>4.0000000000006253E-2</v>
      </c>
      <c r="H22" s="534"/>
      <c r="I22" s="1219">
        <v>250</v>
      </c>
      <c r="J22" s="1219"/>
      <c r="K22" s="1219"/>
      <c r="L22" s="1220"/>
      <c r="N22" s="1221">
        <v>2000</v>
      </c>
      <c r="O22" s="1219"/>
      <c r="P22" s="1219"/>
      <c r="Q22" s="1220"/>
    </row>
    <row r="23" spans="1:22">
      <c r="A23" s="301">
        <f>ID!C38</f>
        <v>1000</v>
      </c>
      <c r="B23" s="287">
        <f>ID!D38</f>
        <v>120</v>
      </c>
      <c r="C23" s="287">
        <f>ID!H38</f>
        <v>120</v>
      </c>
      <c r="D23" s="302">
        <f>K36</f>
        <v>0.04</v>
      </c>
      <c r="E23" s="306">
        <f t="shared" si="0"/>
        <v>120.04</v>
      </c>
      <c r="F23" s="319">
        <f>'UB Earphone Kanan'!J76</f>
        <v>0.62906106791079441</v>
      </c>
      <c r="G23" s="306">
        <f t="shared" si="1"/>
        <v>4.0000000000006253E-2</v>
      </c>
      <c r="H23" s="532"/>
      <c r="I23" s="303"/>
      <c r="J23" s="289">
        <f>IF(I24&lt;=$A$5,$A$4,IF(I24&lt;=$A$6,$A$5,IF(I24&lt;=$A$7,$A$6,IF(I24&lt;=$A$8,$A$7,IF(I24&lt;=$A$9,$A$8,IF(I24&lt;=$A$10,$A$9,IF(I24&lt;=$A$11,$A$10,IF(I24&lt;=$A$12,$A$11,IF(I24&lt;=$A$13,$A$12,IF(I24&lt;=$A$14,$A$13))))))))))</f>
        <v>110</v>
      </c>
      <c r="K23" s="289"/>
      <c r="L23" s="290">
        <f>IF(I24&lt;=$A$5,$B$4,IF(I24&lt;=$A$6,$B$5,IF(I24&lt;=$A$7,$B$6,IF(I24&lt;=$A$8,$B$7,IF(I24&lt;=$A$9,$B$8,IF(I24&lt;=$A$10,$B$9,IF(I24&lt;=$A$11,$B$10,IF(I24&lt;=$A$12,$B$11,IF(I24&lt;=$A$13,$B$12,IF(I24&lt;=$A$14,$B$13))))))))))</f>
        <v>0.01</v>
      </c>
      <c r="N23" s="288"/>
      <c r="O23" s="289">
        <f>IF(N24&lt;=$A$5,$A$4,IF(N24&lt;=$A$6,$A$5,IF(N24&lt;=$A$7,$A$6,IF(N24&lt;=$A$8,$A$7,IF(N24&lt;=$A$9,$A$8,IF(N24&lt;=$A$10,$A$9,IF(N24&lt;=$A$11,$A$10,IF(N24&lt;=$A$12,$A$11,IF(N24&lt;=$A$13,$A$12,IF(N24&lt;=$A$14,$A$13))))))))))</f>
        <v>110</v>
      </c>
      <c r="P23" s="289"/>
      <c r="Q23" s="290">
        <f>IF(N24&lt;=$A$5,$B$4,IF(N24&lt;=$A$6,$B$5,IF(N24&lt;=$A$7,$B$6,IF(N24&lt;=$A$8,$B$7,IF(N24&lt;=$A$9,$B$8,IF(N24&lt;=$A$10,$B$9,IF(N24&lt;=$A$11,$B$10,IF(N24&lt;=$A$12,$B$11,IF(N24&lt;=$A$13,$B$12,IF(N24&lt;=$A$14,$B$13))))))))))</f>
        <v>0.01</v>
      </c>
    </row>
    <row r="24" spans="1:22">
      <c r="A24" s="301">
        <f>ID!C39</f>
        <v>1500</v>
      </c>
      <c r="B24" s="287">
        <f>ID!D39</f>
        <v>120</v>
      </c>
      <c r="C24" s="287">
        <f>ID!H39</f>
        <v>120</v>
      </c>
      <c r="D24" s="302">
        <f>P20</f>
        <v>0.04</v>
      </c>
      <c r="E24" s="306">
        <f t="shared" si="0"/>
        <v>120.04</v>
      </c>
      <c r="F24" s="319">
        <f>'UB Earphone Kanan'!J91</f>
        <v>0.21138092612805931</v>
      </c>
      <c r="G24" s="306">
        <f t="shared" si="1"/>
        <v>4.0000000000006253E-2</v>
      </c>
      <c r="H24" s="532"/>
      <c r="I24" s="304">
        <f>C23</f>
        <v>120</v>
      </c>
      <c r="J24" s="289"/>
      <c r="K24" s="292">
        <f>((I24-J23)/(J25-J23)*(L25-L23)+L23)</f>
        <v>0.04</v>
      </c>
      <c r="L24" s="290"/>
      <c r="N24" s="291">
        <f>C25</f>
        <v>120</v>
      </c>
      <c r="O24" s="289"/>
      <c r="P24" s="292">
        <f>((N24-O23)/(O25-O23)*(Q25-Q23)+Q23)</f>
        <v>0.04</v>
      </c>
      <c r="Q24" s="290"/>
    </row>
    <row r="25" spans="1:22" ht="13" thickBot="1">
      <c r="A25" s="301">
        <f>ID!C40</f>
        <v>2000</v>
      </c>
      <c r="B25" s="287">
        <f>ID!D40</f>
        <v>120</v>
      </c>
      <c r="C25" s="287">
        <f>ID!H40</f>
        <v>120</v>
      </c>
      <c r="D25" s="302">
        <f>P24</f>
        <v>0.04</v>
      </c>
      <c r="E25" s="306">
        <f t="shared" si="0"/>
        <v>120.04</v>
      </c>
      <c r="F25" s="319">
        <f>'UB Earphone Kanan'!J106</f>
        <v>0.82361120611612804</v>
      </c>
      <c r="G25" s="306">
        <f t="shared" si="1"/>
        <v>4.0000000000006253E-2</v>
      </c>
      <c r="H25" s="533"/>
      <c r="I25" s="305"/>
      <c r="J25" s="294">
        <f>IF(I24&lt;=$A$4,$A$4,IF(I24&lt;=$A$5,$A$5,IF(I24&lt;=$A$6,$A$6,IF(I24&lt;=$A$7,$A$7,IF(I24&lt;=$A$8,$A$8,IF(I24&lt;=$A$9,$A$9,IF(I24&lt;=$A$10,$A$10,IF(I24&lt;=$A$11,$A$11,IF(I24&lt;=$A$12,$A$12,IF(I24&lt;=$A$13,$A$13,IF(I24&lt;=$A$14,$A$14)))))))))))</f>
        <v>120</v>
      </c>
      <c r="K25" s="294"/>
      <c r="L25" s="295">
        <f>IF(I24&lt;=$A$4,$B$4,IF(I24&lt;=$A$5,$B$5,IF(I24&lt;=$A$6,$B$6,IF(I24&lt;=$A$7,$B$7,IF(I24&lt;=$A$8,$B$8,IF(I24&lt;=$A$9,$B$9,IF(I24&lt;=$A$10,$B$10,IF(I24&lt;=$A$11,$B$11,IF(I24&lt;=$A$12,$B$12,IF(I24&lt;=$A$13,$B$13,IF(I24&lt;=$A$14,$B$14)))))))))))</f>
        <v>0.04</v>
      </c>
      <c r="N25" s="293"/>
      <c r="O25" s="294">
        <f>IF(N24&lt;=$A$4,$A$4,IF(N24&lt;=$A$5,$A$5,IF(N24&lt;=$A$6,$A$6,IF(N24&lt;=$A$7,$A$7,IF(N24&lt;=$A$8,$A$8,IF(N24&lt;=$A$9,$A$9,IF(N24&lt;=$A$10,$A$10,IF(N24&lt;=$A$11,$A$11,IF(N24&lt;=$A$12,$A$12,IF(N24&lt;=$A$13,$A$13,IF(N24&lt;=$A$14,$A$14)))))))))))</f>
        <v>120</v>
      </c>
      <c r="P25" s="294"/>
      <c r="Q25" s="295">
        <f>IF(N24&lt;=$A$4,$B$4,IF(N24&lt;=$A$5,$B$5,IF(N24&lt;=$A$6,$B$6,IF(N24&lt;=$A$7,$B$7,IF(N24&lt;=$A$8,$B$8,IF(N24&lt;=$A$9,$B$9,IF(N24&lt;=$A$10,$B$10,IF(N24&lt;=$A$11,$B$11,IF(N24&lt;=$A$12,$B$12,IF(N24&lt;=$A$13,$B$13,IF(N24&lt;=$A$14,$B$14)))))))))))</f>
        <v>0.04</v>
      </c>
    </row>
    <row r="26" spans="1:22" ht="15">
      <c r="A26" s="301">
        <f>ID!C41</f>
        <v>3000</v>
      </c>
      <c r="B26" s="287">
        <f>ID!D41</f>
        <v>120</v>
      </c>
      <c r="C26" s="287">
        <f>ID!H41</f>
        <v>120.59999999999998</v>
      </c>
      <c r="D26" s="302">
        <f>P28</f>
        <v>3.7600000000000078E-2</v>
      </c>
      <c r="E26" s="306">
        <f t="shared" si="0"/>
        <v>120.63759999999998</v>
      </c>
      <c r="F26" s="319">
        <f>'UB Earphone Kanan'!J121</f>
        <v>0.725876466154452</v>
      </c>
      <c r="G26" s="306">
        <f t="shared" si="1"/>
        <v>0.63759999999997774</v>
      </c>
      <c r="H26" s="534"/>
      <c r="I26" s="1219">
        <v>500</v>
      </c>
      <c r="J26" s="1219"/>
      <c r="K26" s="1219"/>
      <c r="L26" s="1220"/>
      <c r="N26" s="1221">
        <v>3000</v>
      </c>
      <c r="O26" s="1219"/>
      <c r="P26" s="1219"/>
      <c r="Q26" s="1220"/>
    </row>
    <row r="27" spans="1:22">
      <c r="A27" s="301">
        <f>ID!C42</f>
        <v>4000</v>
      </c>
      <c r="B27" s="287">
        <f>ID!D42</f>
        <v>120</v>
      </c>
      <c r="C27" s="287">
        <f>ID!H42</f>
        <v>120.59999999999998</v>
      </c>
      <c r="D27" s="302">
        <f>P32</f>
        <v>3.7600000000000078E-2</v>
      </c>
      <c r="E27" s="306">
        <f t="shared" si="0"/>
        <v>120.63759999999998</v>
      </c>
      <c r="F27" s="319">
        <f>'UB Earphone Kanan'!J136</f>
        <v>1.1197736458955867</v>
      </c>
      <c r="G27" s="306">
        <f t="shared" si="1"/>
        <v>0.63759999999997774</v>
      </c>
      <c r="H27" s="532"/>
      <c r="I27" s="303"/>
      <c r="J27" s="289">
        <f>IF(I28&lt;=$A$5,$A$4,IF(I28&lt;=$A$6,$A$5,IF(I28&lt;=$A$7,$A$6,IF(I28&lt;=$A$8,$A$7,IF(I28&lt;=$A$9,$A$8,IF(I28&lt;=$A$10,$A$9,IF(I28&lt;=$A$11,$A$10,IF(I28&lt;=$A$12,$A$11,IF(I28&lt;=$A$13,$A$12,IF(I28&lt;=$A$14,$A$13))))))))))</f>
        <v>120</v>
      </c>
      <c r="K27" s="289"/>
      <c r="L27" s="290">
        <f>IF(I28&lt;=$A$5,$B$4,IF(I28&lt;=$A$6,$B$5,IF(I28&lt;=$A$7,$B$6,IF(I28&lt;=$A$8,$B$7,IF(I28&lt;=$A$9,$B$8,IF(I28&lt;=$A$10,$B$9,IF(I28&lt;=$A$11,$B$10,IF(I28&lt;=$A$12,$B$11,IF(I28&lt;=$A$13,$B$12,IF(I28&lt;=$A$14,$B$13))))))))))</f>
        <v>0.04</v>
      </c>
      <c r="N27" s="288"/>
      <c r="O27" s="289">
        <f>IF(N28&lt;=$A$5,$A$4,IF(N28&lt;=$A$6,$A$5,IF(N28&lt;=$A$7,$A$6,IF(N28&lt;=$A$8,$A$7,IF(N28&lt;=$A$9,$A$8,IF(N28&lt;=$A$10,$A$9,IF(N28&lt;=$A$11,$A$10,IF(N28&lt;=$A$12,$A$11,IF(N28&lt;=$A$13,$A$12,IF(N28&lt;=$A$14,$A$13))))))))))</f>
        <v>120</v>
      </c>
      <c r="P27" s="289"/>
      <c r="Q27" s="290">
        <f>IF(N28&lt;=$A$5,$B$4,IF(N28&lt;=$A$6,$B$5,IF(N28&lt;=$A$7,$B$6,IF(N28&lt;=$A$8,$B$7,IF(N28&lt;=$A$9,$B$8,IF(N28&lt;=$A$10,$B$9,IF(N28&lt;=$A$11,$B$10,IF(N28&lt;=$A$12,$B$11,IF(N28&lt;=$A$13,$B$12,IF(N28&lt;=$A$14,$B$13))))))))))</f>
        <v>0.04</v>
      </c>
    </row>
    <row r="28" spans="1:22">
      <c r="A28" s="301">
        <f>ID!C43</f>
        <v>6000</v>
      </c>
      <c r="B28" s="287">
        <f>ID!D43</f>
        <v>110</v>
      </c>
      <c r="C28" s="287">
        <f>ID!H43</f>
        <v>110.2</v>
      </c>
      <c r="D28" s="302">
        <f>P36</f>
        <v>1.0600000000000009E-2</v>
      </c>
      <c r="E28" s="306">
        <f t="shared" si="0"/>
        <v>110.2106</v>
      </c>
      <c r="F28" s="319">
        <f>'UB Earphone Kanan'!J151</f>
        <v>1.3179866410832879</v>
      </c>
      <c r="G28" s="306">
        <f t="shared" si="1"/>
        <v>0.21059999999999945</v>
      </c>
      <c r="H28" s="532"/>
      <c r="I28" s="304">
        <f>C27</f>
        <v>120.59999999999998</v>
      </c>
      <c r="J28" s="289"/>
      <c r="K28" s="292">
        <f>((I28-J27)/(J29-J27)*(L29-L27)+L27)</f>
        <v>3.7600000000000078E-2</v>
      </c>
      <c r="L28" s="290"/>
      <c r="N28" s="291">
        <f>C26</f>
        <v>120.59999999999998</v>
      </c>
      <c r="O28" s="289"/>
      <c r="P28" s="292">
        <f>((N28-O27)/(O29-O27)*(Q29-Q27)+Q27)</f>
        <v>3.7600000000000078E-2</v>
      </c>
      <c r="Q28" s="290"/>
    </row>
    <row r="29" spans="1:22" ht="13" thickBot="1">
      <c r="A29" s="301">
        <f>ID!C44</f>
        <v>8000</v>
      </c>
      <c r="B29" s="287">
        <f>ID!D44</f>
        <v>100</v>
      </c>
      <c r="C29" s="287">
        <f>ID!H44</f>
        <v>100</v>
      </c>
      <c r="D29" s="302">
        <f>U20</f>
        <v>-1.0000000000000002E-2</v>
      </c>
      <c r="E29" s="306">
        <f t="shared" si="0"/>
        <v>99.99</v>
      </c>
      <c r="F29" s="319">
        <f>'UB Earphone Kanan'!J166</f>
        <v>1.1197736458955867</v>
      </c>
      <c r="G29" s="306">
        <f t="shared" si="1"/>
        <v>-1.0000000000005116E-2</v>
      </c>
      <c r="H29" s="533"/>
      <c r="I29" s="305"/>
      <c r="J29" s="294">
        <f>IF(I28&lt;=$A$4,$A$4,IF(I28&lt;=$A$5,$A$5,IF(I28&lt;=$A$6,$A$6,IF(I28&lt;=$A$7,$A$7,IF(I28&lt;=$A$8,$A$8,IF(I28&lt;=$A$9,$A$9,IF(I28&lt;=$A$10,$A$10,IF(I28&lt;=$A$11,$A$11,IF(I28&lt;=$A$12,$A$12,IF(I28&lt;=$A$13,$A$13,IF(I28&lt;=$A$14,$A$14)))))))))))</f>
        <v>130</v>
      </c>
      <c r="K29" s="294"/>
      <c r="L29" s="295">
        <f>IF(I28&lt;=$A$4,$B$4,IF(I28&lt;=$A$5,$B$5,IF(I28&lt;=$A$6,$B$6,IF(I28&lt;=$A$7,$B$7,IF(I28&lt;=$A$8,$B$8,IF(I28&lt;=$A$9,$B$9,IF(I28&lt;=$A$10,$B$10,IF(I28&lt;=$A$11,$B$11,IF(I28&lt;=$A$12,$B$12,IF(I28&lt;=$A$13,$B$13,IF(I28&lt;=$A$14,$B$14)))))))))))</f>
        <v>0</v>
      </c>
      <c r="N29" s="293"/>
      <c r="O29" s="294">
        <f>IF(N28&lt;=$A$4,$A$4,IF(N28&lt;=$A$5,$A$5,IF(N28&lt;=$A$6,$A$6,IF(N28&lt;=$A$7,$A$7,IF(N28&lt;=$A$8,$A$8,IF(N28&lt;=$A$9,$A$9,IF(N28&lt;=$A$10,$A$10,IF(N28&lt;=$A$11,$A$11,IF(N28&lt;=$A$12,$A$12,IF(N28&lt;=$A$13,$A$13,IF(N28&lt;=$A$14,$A$14)))))))))))</f>
        <v>130</v>
      </c>
      <c r="P29" s="294"/>
      <c r="Q29" s="295">
        <f>IF(N28&lt;=$A$4,$B$4,IF(N28&lt;=$A$5,$B$5,IF(N28&lt;=$A$6,$B$6,IF(N28&lt;=$A$7,$B$7,IF(N28&lt;=$A$8,$B$8,IF(N28&lt;=$A$9,$B$9,IF(N28&lt;=$A$10,$B$10,IF(N28&lt;=$A$11,$B$11,IF(N28&lt;=$A$12,$B$12,IF(N28&lt;=$A$13,$B$13,IF(N28&lt;=$A$14,$B$14)))))))))))</f>
        <v>0</v>
      </c>
    </row>
    <row r="30" spans="1:22" ht="15">
      <c r="I30" s="1221">
        <v>750</v>
      </c>
      <c r="J30" s="1219"/>
      <c r="K30" s="1219"/>
      <c r="L30" s="1220"/>
      <c r="N30" s="1221">
        <v>4000</v>
      </c>
      <c r="O30" s="1219"/>
      <c r="P30" s="1219"/>
      <c r="Q30" s="1220"/>
    </row>
    <row r="31" spans="1:22">
      <c r="I31" s="288"/>
      <c r="J31" s="289">
        <f>IF(I32&lt;=$A$5,$A$4,IF(I32&lt;=$A$6,$A$5,IF(I32&lt;=$A$7,$A$6,IF(I32&lt;=$A$8,$A$7,IF(I32&lt;=$A$9,$A$8,IF(I32&lt;=$A$10,$A$9,IF(I32&lt;=$A$11,$A$10,IF(I32&lt;=$A$12,$A$11,IF(I32&lt;=$A$13,$A$12,IF(I32&lt;=$A$14,$A$13))))))))))</f>
        <v>110</v>
      </c>
      <c r="K31" s="289"/>
      <c r="L31" s="290">
        <f>IF(I32&lt;=$A$5,$B$4,IF(I32&lt;=$A$6,$B$5,IF(I32&lt;=$A$7,$B$6,IF(I32&lt;=$A$8,$B$7,IF(I32&lt;=$A$9,$B$8,IF(I32&lt;=$A$10,$B$9,IF(I32&lt;=$A$11,$B$10,IF(I32&lt;=$A$12,$B$11,IF(I32&lt;=$A$13,$B$12,IF(I32&lt;=$A$14,$B$13))))))))))</f>
        <v>0.01</v>
      </c>
      <c r="N31" s="288"/>
      <c r="O31" s="289">
        <f>IF(N32&lt;=$A$5,$A$4,IF(N32&lt;=$A$6,$A$5,IF(N32&lt;=$A$7,$A$6,IF(N32&lt;=$A$8,$A$7,IF(N32&lt;=$A$9,$A$8,IF(N32&lt;=$A$10,$A$9,IF(N32&lt;=$A$11,$A$10,IF(N32&lt;=$A$12,$A$11,IF(N32&lt;=$A$13,$A$12,IF(N32&lt;=$A$14,$A$13))))))))))</f>
        <v>120</v>
      </c>
      <c r="P31" s="289"/>
      <c r="Q31" s="290">
        <f>IF(N32&lt;=$A$5,$B$4,IF(N32&lt;=$A$6,$B$5,IF(N32&lt;=$A$7,$B$6,IF(N32&lt;=$A$8,$B$7,IF(N32&lt;=$A$9,$B$8,IF(N32&lt;=$A$10,$B$9,IF(N32&lt;=$A$11,$B$10,IF(N32&lt;=$A$12,$B$11,IF(N32&lt;=$A$13,$B$12,IF(N32&lt;=$A$14,$B$13))))))))))</f>
        <v>0.04</v>
      </c>
    </row>
    <row r="32" spans="1:22">
      <c r="I32" s="291">
        <f>C22</f>
        <v>120</v>
      </c>
      <c r="J32" s="289"/>
      <c r="K32" s="292">
        <f>((I32-J31)/(J33-J31)*(L33-L31)+L31)</f>
        <v>0.04</v>
      </c>
      <c r="L32" s="290"/>
      <c r="N32" s="291">
        <f>C27</f>
        <v>120.59999999999998</v>
      </c>
      <c r="O32" s="289"/>
      <c r="P32" s="292">
        <f>((N32-O31)/(O33-O31)*(Q33-Q31)+Q31)</f>
        <v>3.7600000000000078E-2</v>
      </c>
      <c r="Q32" s="290"/>
    </row>
    <row r="33" spans="1:22" ht="13" thickBot="1">
      <c r="I33" s="293"/>
      <c r="J33" s="294">
        <f>IF(I32&lt;=$A$4,$A$4,IF(I32&lt;=$A$5,$A$5,IF(I32&lt;=$A$6,$A$6,IF(I32&lt;=$A$7,$A$7,IF(I32&lt;=$A$8,$A$8,IF(I32&lt;=$A$9,$A$9,IF(I32&lt;=$A$10,$A$10,IF(I32&lt;=$A$11,$A$11,IF(I32&lt;=$A$12,$A$12,IF(I32&lt;=$A$13,$A$13,IF(I32&lt;=$A$14,$A$14)))))))))))</f>
        <v>120</v>
      </c>
      <c r="K33" s="294"/>
      <c r="L33" s="295">
        <f>IF(I32&lt;=$A$4,$B$4,IF(I32&lt;=$A$5,$B$5,IF(I32&lt;=$A$6,$B$6,IF(I32&lt;=$A$7,$B$7,IF(I32&lt;=$A$8,$B$8,IF(I32&lt;=$A$9,$B$9,IF(I32&lt;=$A$10,$B$10,IF(I32&lt;=$A$11,$B$11,IF(I32&lt;=$A$12,$B$12,IF(I32&lt;=$A$13,$B$13,IF(I32&lt;=$A$14,$B$14)))))))))))</f>
        <v>0.04</v>
      </c>
      <c r="N33" s="293"/>
      <c r="O33" s="294">
        <f>IF(N32&lt;=$A$4,$A$4,IF(N32&lt;=$A$5,$A$5,IF(N32&lt;=$A$6,$A$6,IF(N32&lt;=$A$7,$A$7,IF(N32&lt;=$A$8,$A$8,IF(N32&lt;=$A$9,$A$9,IF(N32&lt;=$A$10,$A$10,IF(N32&lt;=$A$11,$A$11,IF(N32&lt;=$A$12,$A$12,IF(N32&lt;=$A$13,$A$13,IF(N32&lt;=$A$14,$A$14)))))))))))</f>
        <v>130</v>
      </c>
      <c r="P33" s="294"/>
      <c r="Q33" s="295">
        <f>IF(N32&lt;=$A$4,$B$4,IF(N32&lt;=$A$5,$B$5,IF(N32&lt;=$A$6,$B$6,IF(N32&lt;=$A$7,$B$7,IF(N32&lt;=$A$8,$B$8,IF(N32&lt;=$A$9,$B$9,IF(N32&lt;=$A$10,$B$10,IF(N32&lt;=$A$11,$B$11,IF(N32&lt;=$A$12,$B$12,IF(N32&lt;=$A$13,$B$13,IF(N32&lt;=$A$14,$B$14)))))))))))</f>
        <v>0</v>
      </c>
    </row>
    <row r="34" spans="1:22" ht="15">
      <c r="I34" s="1221">
        <v>1000</v>
      </c>
      <c r="J34" s="1219"/>
      <c r="K34" s="1219"/>
      <c r="L34" s="1220"/>
      <c r="N34" s="1221">
        <v>6000</v>
      </c>
      <c r="O34" s="1219"/>
      <c r="P34" s="1219"/>
      <c r="Q34" s="1220"/>
    </row>
    <row r="35" spans="1:22">
      <c r="I35" s="288"/>
      <c r="J35" s="289">
        <f>IF(I36&lt;=$A$5,$A$4,IF(I36&lt;=$A$6,$A$5,IF(I36&lt;=$A$7,$A$6,IF(I36&lt;=$A$8,$A$7,IF(I36&lt;=$A$9,$A$8,IF(I36&lt;=$A$10,$A$9,IF(I36&lt;=$A$11,$A$10,IF(I36&lt;=$A$12,$A$11,IF(I36&lt;=$A$13,$A$12,IF(I36&lt;=$A$14,$A$13))))))))))</f>
        <v>110</v>
      </c>
      <c r="K35" s="289"/>
      <c r="L35" s="290">
        <f>IF(I36&lt;=$A$5,$B$4,IF(I36&lt;=$A$6,$B$5,IF(I36&lt;=$A$7,$B$6,IF(I36&lt;=$A$8,$B$7,IF(I36&lt;=$A$9,$B$8,IF(I36&lt;=$A$10,$B$9,IF(I36&lt;=$A$11,$B$10,IF(I36&lt;=$A$12,$B$11,IF(I36&lt;=$A$13,$B$12,IF(I36&lt;=$A$14,$B$13))))))))))</f>
        <v>0.01</v>
      </c>
      <c r="N35" s="288"/>
      <c r="O35" s="289">
        <f>IF(N36&lt;=$A$5,$A$4,IF(N36&lt;=$A$6,$A$5,IF(N36&lt;=$A$7,$A$6,IF(N36&lt;=$A$8,$A$7,IF(N36&lt;=$A$9,$A$8,IF(N36&lt;=$A$10,$A$9,IF(N36&lt;=$A$11,$A$10,IF(N36&lt;=$A$12,$A$11,IF(N36&lt;=$A$13,$A$12,IF(N36&lt;=$A$14,$A$13))))))))))</f>
        <v>110</v>
      </c>
      <c r="P35" s="289"/>
      <c r="Q35" s="290">
        <f>IF(N36&lt;=$A$5,$B$4,IF(N36&lt;=$A$6,$B$5,IF(N36&lt;=$A$7,$B$6,IF(N36&lt;=$A$8,$B$7,IF(N36&lt;=$A$9,$B$8,IF(N36&lt;=$A$10,$B$9,IF(N36&lt;=$A$11,$B$10,IF(N36&lt;=$A$12,$B$11,IF(N36&lt;=$A$13,$B$12,IF(N36&lt;=$A$14,$B$13))))))))))</f>
        <v>0.01</v>
      </c>
    </row>
    <row r="36" spans="1:22">
      <c r="I36" s="291">
        <f>C23</f>
        <v>120</v>
      </c>
      <c r="J36" s="289"/>
      <c r="K36" s="292">
        <f>((I36-J35)/(J37-J35)*(L37-L35)+L35)</f>
        <v>0.04</v>
      </c>
      <c r="L36" s="290"/>
      <c r="N36" s="291">
        <f>C28</f>
        <v>110.2</v>
      </c>
      <c r="O36" s="289"/>
      <c r="P36" s="292">
        <f>((N36-O35)/(O37-O35)*(Q37-Q35)+Q35)</f>
        <v>1.0600000000000009E-2</v>
      </c>
      <c r="Q36" s="290"/>
    </row>
    <row r="37" spans="1:22" ht="13" thickBot="1">
      <c r="I37" s="293"/>
      <c r="J37" s="294">
        <f>IF(I36&lt;=$A$4,$A$4,IF(I36&lt;=$A$5,$A$5,IF(I36&lt;=$A$6,$A$6,IF(I36&lt;=$A$7,$A$7,IF(I36&lt;=$A$8,$A$8,IF(I36&lt;=$A$9,$A$9,IF(I36&lt;=$A$10,$A$10,IF(I36&lt;=$A$11,$A$11,IF(I36&lt;=$A$12,$A$12,IF(I36&lt;=$A$13,$A$13,IF(I36&lt;=$A$14,$A$14)))))))))))</f>
        <v>120</v>
      </c>
      <c r="K37" s="294"/>
      <c r="L37" s="295">
        <f>IF(I36&lt;=$A$4,$B$4,IF(I36&lt;=$A$5,$B$5,IF(I36&lt;=$A$6,$B$6,IF(I36&lt;=$A$7,$B$7,IF(I36&lt;=$A$8,$B$8,IF(I36&lt;=$A$9,$B$9,IF(I36&lt;=$A$10,$B$10,IF(I36&lt;=$A$11,$B$11,IF(I36&lt;=$A$12,$B$12,IF(I36&lt;=$A$13,$B$13,IF(I36&lt;=$A$14,$B$14)))))))))))</f>
        <v>0.04</v>
      </c>
      <c r="N37" s="293"/>
      <c r="O37" s="294">
        <f>IF(N36&lt;=$A$4,$A$4,IF(N36&lt;=$A$5,$A$5,IF(N36&lt;=$A$6,$A$6,IF(N36&lt;=$A$7,$A$7,IF(N36&lt;=$A$8,$A$8,IF(N36&lt;=$A$9,$A$9,IF(N36&lt;=$A$10,$A$10,IF(N36&lt;=$A$11,$A$11,IF(N36&lt;=$A$12,$A$12,IF(N36&lt;=$A$13,$A$13,IF(N36&lt;=$A$14,$A$14)))))))))))</f>
        <v>120</v>
      </c>
      <c r="P37" s="294"/>
      <c r="Q37" s="295">
        <f>IF(N36&lt;=$A$4,$B$4,IF(N36&lt;=$A$5,$B$5,IF(N36&lt;=$A$6,$B$6,IF(N36&lt;=$A$7,$B$7,IF(N36&lt;=$A$8,$B$8,IF(N36&lt;=$A$9,$B$9,IF(N36&lt;=$A$10,$B$10,IF(N36&lt;=$A$11,$B$11,IF(N36&lt;=$A$12,$B$12,IF(N36&lt;=$A$13,$B$13,IF(N36&lt;=$A$14,$B$14)))))))))))</f>
        <v>0.04</v>
      </c>
    </row>
    <row r="39" spans="1:22" ht="13.5" thickBot="1">
      <c r="A39" s="308" t="s">
        <v>305</v>
      </c>
    </row>
    <row r="40" spans="1:22" ht="25">
      <c r="A40" s="298" t="s">
        <v>238</v>
      </c>
      <c r="B40" s="298" t="s">
        <v>209</v>
      </c>
      <c r="C40" s="299" t="s">
        <v>582</v>
      </c>
      <c r="D40" s="300" t="s">
        <v>583</v>
      </c>
      <c r="E40" s="300" t="s">
        <v>584</v>
      </c>
      <c r="F40" s="298" t="s">
        <v>585</v>
      </c>
      <c r="G40" s="298" t="s">
        <v>293</v>
      </c>
      <c r="H40" s="535"/>
      <c r="I40" s="1219">
        <v>125</v>
      </c>
      <c r="J40" s="1219"/>
      <c r="K40" s="1219"/>
      <c r="L40" s="1220"/>
      <c r="N40" s="1221">
        <v>1500</v>
      </c>
      <c r="O40" s="1219"/>
      <c r="P40" s="1219"/>
      <c r="Q40" s="1220"/>
      <c r="S40" s="1221">
        <v>8000</v>
      </c>
      <c r="T40" s="1219"/>
      <c r="U40" s="1219"/>
      <c r="V40" s="1220"/>
    </row>
    <row r="41" spans="1:22">
      <c r="A41" s="301">
        <f>ID!C79</f>
        <v>125</v>
      </c>
      <c r="B41" s="287">
        <f>ID!D79</f>
        <v>70</v>
      </c>
      <c r="C41" s="287">
        <f>ID!H79</f>
        <v>70</v>
      </c>
      <c r="D41" s="302">
        <f>K42</f>
        <v>-0.02</v>
      </c>
      <c r="E41" s="306">
        <f>C41+D41</f>
        <v>69.98</v>
      </c>
      <c r="F41" s="319">
        <f>'UB Earphone Kiri'!J16</f>
        <v>0.53380891459609159</v>
      </c>
      <c r="G41" s="306">
        <f>E41-B41</f>
        <v>-1.9999999999996021E-2</v>
      </c>
      <c r="H41" s="306"/>
      <c r="I41" s="303"/>
      <c r="J41" s="289">
        <f>IF(I42&lt;=$A$5,$A$4,IF(I42&lt;=$A$6,$A$5,IF(I42&lt;=$A$7,$A$6,IF(I42&lt;=$A$8,$A$7,IF(I42&lt;=$A$9,$A$8,IF(I42&lt;=$A$10,$A$9,IF(I42&lt;=$A$11,$A$10,IF(I42&lt;=$A$12,$A$11,IF(I42&lt;=$A$13,$A$12,IF(I42&lt;=$A$14,$A$13))))))))))</f>
        <v>60</v>
      </c>
      <c r="K41" s="289"/>
      <c r="L41" s="290">
        <f>IF(I42&lt;=$A$5,$B$4,IF(I42&lt;=$A$6,$B$5,IF(I42&lt;=$A$7,$B$6,IF(I42&lt;=$A$8,$B$7,IF(I42&lt;=$A$9,$B$8,IF(I42&lt;=$A$10,$B$9,IF(I42&lt;=$A$11,$B$10,IF(I42&lt;=$A$12,$B$11,IF(I42&lt;=$A$13,$B$12,IF(I42&lt;=$A$14,$B$13))))))))))</f>
        <v>-0.02</v>
      </c>
      <c r="N41" s="288"/>
      <c r="O41" s="289">
        <f>IF(N42&lt;=$A$5,$A$4,IF(N42&lt;=$A$6,$A$5,IF(N42&lt;=$A$7,$A$6,IF(N42&lt;=$A$8,$A$7,IF(N42&lt;=$A$9,$A$8,IF(N42&lt;=$A$10,$A$9,IF(N42&lt;=$A$11,$A$10,IF(N42&lt;=$A$12,$A$11,IF(N42&lt;=$A$13,$A$12,IF(N42&lt;=$A$14,$A$13))))))))))</f>
        <v>110</v>
      </c>
      <c r="P41" s="289"/>
      <c r="Q41" s="290">
        <f>IF(N42&lt;=$A$5,$B$4,IF(N42&lt;=$A$6,$B$5,IF(N42&lt;=$A$7,$B$6,IF(N42&lt;=$A$8,$B$7,IF(N42&lt;=$A$9,$B$8,IF(N42&lt;=$A$10,$B$9,IF(N42&lt;=$A$11,$B$10,IF(N42&lt;=$A$12,$B$11,IF(N42&lt;=$A$13,$B$12,IF(N42&lt;=$A$14,$B$13))))))))))</f>
        <v>0.01</v>
      </c>
      <c r="S41" s="288"/>
      <c r="T41" s="289">
        <f>IF(S42&lt;=$A$5,$A$4,IF(S42&lt;=$A$6,$A$5,IF(S42&lt;=$A$7,$A$6,IF(S42&lt;=$A$8,$A$7,IF(S42&lt;=$A$9,$A$8,IF(S42&lt;=$A$10,$A$9,IF(S42&lt;=$A$11,$A$10,IF(S42&lt;=$A$12,$A$11,IF(S42&lt;=$A$13,$A$12,IF(S42&lt;=$A$14,$A$13))))))))))</f>
        <v>95</v>
      </c>
      <c r="U41" s="289"/>
      <c r="V41" s="290">
        <f>IF(S42&lt;=$A$5,$B$4,IF(S42&lt;=$A$6,$B$5,IF(S42&lt;=$A$7,$B$6,IF(S42&lt;=$A$8,$B$7,IF(S42&lt;=$A$9,$B$8,IF(S42&lt;=$A$10,$B$9,IF(S42&lt;=$A$11,$B$10,IF(S42&lt;=$A$12,$B$11,IF(S42&lt;=$A$13,$B$12,IF(S42&lt;=$A$14,$B$13))))))))))</f>
        <v>-0.02</v>
      </c>
    </row>
    <row r="42" spans="1:22">
      <c r="A42" s="301">
        <f>ID!C80</f>
        <v>250</v>
      </c>
      <c r="B42" s="287">
        <f>ID!D80</f>
        <v>90</v>
      </c>
      <c r="C42" s="287">
        <f>ID!H80</f>
        <v>90</v>
      </c>
      <c r="D42" s="302">
        <f>K46</f>
        <v>-0.02</v>
      </c>
      <c r="E42" s="306">
        <f t="shared" ref="E42:E50" si="2">C42+D42</f>
        <v>89.98</v>
      </c>
      <c r="F42" s="319">
        <f>'UB Earphone Kiri'!J31</f>
        <v>0.53380891459609159</v>
      </c>
      <c r="G42" s="306">
        <f t="shared" ref="G42:G51" si="3">E42-B42</f>
        <v>-1.9999999999996021E-2</v>
      </c>
      <c r="H42" s="306"/>
      <c r="I42" s="304">
        <f>C41</f>
        <v>70</v>
      </c>
      <c r="J42" s="289"/>
      <c r="K42" s="292">
        <f>((I42-J41)/(J43-J41)*(L43-L41)+L41)</f>
        <v>-0.02</v>
      </c>
      <c r="L42" s="290"/>
      <c r="N42" s="291">
        <f>C46</f>
        <v>120</v>
      </c>
      <c r="O42" s="289"/>
      <c r="P42" s="292">
        <f>((N42-O41)/(O43-O41)*(Q43-Q41)+Q41)</f>
        <v>0.04</v>
      </c>
      <c r="Q42" s="290"/>
      <c r="S42" s="291">
        <f>C51</f>
        <v>100</v>
      </c>
      <c r="T42" s="289"/>
      <c r="U42" s="292">
        <f>((S42-T41)/(T43-T41)*(V43-V41)+V41)</f>
        <v>-1.0000000000000002E-2</v>
      </c>
      <c r="V42" s="290"/>
    </row>
    <row r="43" spans="1:22" ht="13" thickBot="1">
      <c r="A43" s="301">
        <f>ID!C81</f>
        <v>500</v>
      </c>
      <c r="B43" s="287">
        <f>ID!D81</f>
        <v>120</v>
      </c>
      <c r="C43" s="287">
        <f>ID!H81</f>
        <v>120</v>
      </c>
      <c r="D43" s="302">
        <f>K50</f>
        <v>0.04</v>
      </c>
      <c r="E43" s="306">
        <f t="shared" si="2"/>
        <v>120.04</v>
      </c>
      <c r="F43" s="319">
        <f>'UB Earphone Kiri'!J46</f>
        <v>0.53380891459609159</v>
      </c>
      <c r="G43" s="306">
        <f t="shared" si="3"/>
        <v>4.0000000000006253E-2</v>
      </c>
      <c r="H43" s="536"/>
      <c r="I43" s="305"/>
      <c r="J43" s="294">
        <f>IF(I42&lt;=$A$4,$A$4,IF(I42&lt;=$A$5,$A$5,IF(I42&lt;=$A$6,$A$6,IF(I42&lt;=$A$7,$A$7,IF(I42&lt;=$A$8,$A$8,IF(I42&lt;=$A$9,$A$9,IF(I42&lt;=$A$10,$A$10,IF(I42&lt;=$A$11,$A$11,IF(I42&lt;=$A$12,$A$12,IF(I42&lt;=$A$13,$A$13,IF(I42&lt;=$A$14,$A$14)))))))))))</f>
        <v>70</v>
      </c>
      <c r="K43" s="294"/>
      <c r="L43" s="295">
        <f>IF(I42&lt;=$A$4,$B$4,IF(I42&lt;=$A$5,$B$5,IF(I42&lt;=$A$6,$B$6,IF(I42&lt;=$A$7,$B$7,IF(I42&lt;=$A$8,$B$8,IF(I42&lt;=$A$9,$B$9,IF(I42&lt;=$A$10,$B$10,IF(I42&lt;=$A$11,$B$11,IF(I42&lt;=$A$12,$B$12,IF(I42&lt;=$A$13,$B$13,IF(I42&lt;=$A$14,$B$14)))))))))))</f>
        <v>-0.02</v>
      </c>
      <c r="N43" s="293"/>
      <c r="O43" s="294">
        <f>IF(N42&lt;=$A$4,$A$4,IF(N42&lt;=$A$5,$A$5,IF(N42&lt;=$A$6,$A$6,IF(N42&lt;=$A$7,$A$7,IF(N42&lt;=$A$8,$A$8,IF(N42&lt;=$A$9,$A$9,IF(N42&lt;=$A$10,$A$10,IF(N42&lt;=$A$11,$A$11,IF(N42&lt;=$A$12,$A$12,IF(N42&lt;=$A$13,$A$13,IF(N42&lt;=$A$14,$A$14)))))))))))</f>
        <v>120</v>
      </c>
      <c r="P43" s="294"/>
      <c r="Q43" s="295">
        <f>IF(N42&lt;=$A$4,$B$4,IF(N42&lt;=$A$5,$B$5,IF(N42&lt;=$A$6,$B$6,IF(N42&lt;=$A$7,$B$7,IF(N42&lt;=$A$8,$B$8,IF(N42&lt;=$A$9,$B$9,IF(N42&lt;=$A$10,$B$10,IF(N42&lt;=$A$11,$B$11,IF(N42&lt;=$A$12,$B$12,IF(N42&lt;=$A$13,$B$13,IF(N42&lt;=$A$14,$B$14)))))))))))</f>
        <v>0.04</v>
      </c>
      <c r="S43" s="293"/>
      <c r="T43" s="294">
        <f>IF(S42&lt;=$A$4,$A$4,IF(S42&lt;=$A$5,$A$5,IF(S42&lt;=$A$6,$A$6,IF(S42&lt;=$A$7,$A$7,IF(S42&lt;=$A$8,$A$8,IF(S42&lt;=$A$9,$A$9,IF(S42&lt;=$A$10,$A$10,IF(S42&lt;=$A$11,$A$11,IF(S42&lt;=$A$12,$A$12,IF(S42&lt;=$A$13,$A$13,IF(S42&lt;=$A$14,$A$14)))))))))))</f>
        <v>110</v>
      </c>
      <c r="U43" s="294"/>
      <c r="V43" s="295">
        <f>IF(S42&lt;=$A$4,$B$4,IF(S42&lt;=$A$5,$B$5,IF(S42&lt;=$A$6,$B$6,IF(S42&lt;=$A$7,$B$7,IF(S42&lt;=$A$8,$B$8,IF(S42&lt;=$A$9,$B$9,IF(S42&lt;=$A$10,$B$10,IF(S42&lt;=$A$11,$B$11,IF(S42&lt;=$A$12,$B$12,IF(S42&lt;=$A$13,$B$13,IF(S42&lt;=$A$14,$B$14)))))))))))</f>
        <v>0.01</v>
      </c>
    </row>
    <row r="44" spans="1:22" ht="15">
      <c r="A44" s="301">
        <f>ID!C82</f>
        <v>750</v>
      </c>
      <c r="B44" s="287">
        <f>ID!D82</f>
        <v>120</v>
      </c>
      <c r="C44" s="287">
        <f>ID!H82</f>
        <v>120</v>
      </c>
      <c r="D44" s="302">
        <f>K54</f>
        <v>0.04</v>
      </c>
      <c r="E44" s="306">
        <f t="shared" si="2"/>
        <v>120.04</v>
      </c>
      <c r="F44" s="319">
        <f>'UB Earphone Kiri'!J61</f>
        <v>0.62906106791079441</v>
      </c>
      <c r="G44" s="306">
        <f t="shared" si="3"/>
        <v>4.0000000000006253E-2</v>
      </c>
      <c r="H44" s="537"/>
      <c r="I44" s="1219">
        <v>250</v>
      </c>
      <c r="J44" s="1219"/>
      <c r="K44" s="1219"/>
      <c r="L44" s="1220"/>
      <c r="N44" s="1221">
        <v>2000</v>
      </c>
      <c r="O44" s="1219"/>
      <c r="P44" s="1219"/>
      <c r="Q44" s="1220"/>
    </row>
    <row r="45" spans="1:22">
      <c r="A45" s="301">
        <f>ID!C83</f>
        <v>1000</v>
      </c>
      <c r="B45" s="287">
        <f>ID!D83</f>
        <v>120</v>
      </c>
      <c r="C45" s="287">
        <f>ID!H83</f>
        <v>120</v>
      </c>
      <c r="D45" s="302">
        <f>K58</f>
        <v>0.04</v>
      </c>
      <c r="E45" s="306">
        <f t="shared" si="2"/>
        <v>120.04</v>
      </c>
      <c r="F45" s="319">
        <f>'UB Earphone Kiri'!J76</f>
        <v>0.62906106791079441</v>
      </c>
      <c r="G45" s="306">
        <f t="shared" si="3"/>
        <v>4.0000000000006253E-2</v>
      </c>
      <c r="H45" s="306"/>
      <c r="I45" s="303"/>
      <c r="J45" s="289">
        <f>IF(I46&lt;=$A$5,$A$4,IF(I46&lt;=$A$6,$A$5,IF(I46&lt;=$A$7,$A$6,IF(I46&lt;=$A$8,$A$7,IF(I46&lt;=$A$9,$A$8,IF(I46&lt;=$A$10,$A$9,IF(I46&lt;=$A$11,$A$10,IF(I46&lt;=$A$12,$A$11,IF(I46&lt;=$A$13,$A$12,IF(I46&lt;=$A$14,$A$13))))))))))</f>
        <v>75</v>
      </c>
      <c r="K45" s="289"/>
      <c r="L45" s="290">
        <f>IF(I46&lt;=$A$5,$B$4,IF(I46&lt;=$A$6,$B$5,IF(I46&lt;=$A$7,$B$6,IF(I46&lt;=$A$8,$B$7,IF(I46&lt;=$A$9,$B$8,IF(I46&lt;=$A$10,$B$9,IF(I46&lt;=$A$11,$B$10,IF(I46&lt;=$A$12,$B$11,IF(I46&lt;=$A$13,$B$12,IF(I46&lt;=$A$14,$B$13))))))))))</f>
        <v>-0.04</v>
      </c>
      <c r="N45" s="288"/>
      <c r="O45" s="289">
        <f>IF(N46&lt;=$A$5,$A$4,IF(N46&lt;=$A$6,$A$5,IF(N46&lt;=$A$7,$A$6,IF(N46&lt;=$A$8,$A$7,IF(N46&lt;=$A$9,$A$8,IF(N46&lt;=$A$10,$A$9,IF(N46&lt;=$A$11,$A$10,IF(N46&lt;=$A$12,$A$11,IF(N46&lt;=$A$13,$A$12,IF(N46&lt;=$A$14,$A$13))))))))))</f>
        <v>110</v>
      </c>
      <c r="P45" s="289"/>
      <c r="Q45" s="290">
        <f>IF(N46&lt;=$A$5,$B$4,IF(N46&lt;=$A$6,$B$5,IF(N46&lt;=$A$7,$B$6,IF(N46&lt;=$A$8,$B$7,IF(N46&lt;=$A$9,$B$8,IF(N46&lt;=$A$10,$B$9,IF(N46&lt;=$A$11,$B$10,IF(N46&lt;=$A$12,$B$11,IF(N46&lt;=$A$13,$B$12,IF(N46&lt;=$A$14,$B$13))))))))))</f>
        <v>0.01</v>
      </c>
    </row>
    <row r="46" spans="1:22">
      <c r="A46" s="301">
        <f>ID!C84</f>
        <v>1500</v>
      </c>
      <c r="B46" s="287">
        <f>ID!D84</f>
        <v>120</v>
      </c>
      <c r="C46" s="287">
        <f>ID!H84</f>
        <v>120</v>
      </c>
      <c r="D46" s="302">
        <f>P42</f>
        <v>0.04</v>
      </c>
      <c r="E46" s="306">
        <f t="shared" si="2"/>
        <v>120.04</v>
      </c>
      <c r="F46" s="319">
        <f>'UB Earphone Kiri'!J91</f>
        <v>0.21138092612805931</v>
      </c>
      <c r="G46" s="306">
        <f t="shared" si="3"/>
        <v>4.0000000000006253E-2</v>
      </c>
      <c r="H46" s="306"/>
      <c r="I46" s="304">
        <f>C42</f>
        <v>90</v>
      </c>
      <c r="J46" s="289"/>
      <c r="K46" s="292">
        <f>((I46-J45)/(J47-J45)*(L47-L45)+L45)</f>
        <v>-0.02</v>
      </c>
      <c r="L46" s="290"/>
      <c r="N46" s="291">
        <f>C47</f>
        <v>120</v>
      </c>
      <c r="O46" s="289"/>
      <c r="P46" s="292">
        <f>((N46-O45)/(O47-O45)*(Q47-Q45)+Q45)</f>
        <v>0.04</v>
      </c>
      <c r="Q46" s="290"/>
    </row>
    <row r="47" spans="1:22" ht="13" thickBot="1">
      <c r="A47" s="301">
        <f>ID!C85</f>
        <v>2000</v>
      </c>
      <c r="B47" s="287">
        <f>ID!D85</f>
        <v>120</v>
      </c>
      <c r="C47" s="287">
        <f>ID!H85</f>
        <v>120</v>
      </c>
      <c r="D47" s="302">
        <f>P46</f>
        <v>0.04</v>
      </c>
      <c r="E47" s="306">
        <f t="shared" si="2"/>
        <v>120.04</v>
      </c>
      <c r="F47" s="319">
        <f>'UB Earphone Kiri'!J106</f>
        <v>0.82361120611612804</v>
      </c>
      <c r="G47" s="306">
        <f t="shared" si="3"/>
        <v>4.0000000000006253E-2</v>
      </c>
      <c r="H47" s="536"/>
      <c r="I47" s="305"/>
      <c r="J47" s="294">
        <f>IF(I46&lt;=$A$4,$A$4,IF(I46&lt;=$A$5,$A$5,IF(I46&lt;=$A$6,$A$6,IF(I46&lt;=$A$7,$A$7,IF(I46&lt;=$A$8,$A$8,IF(I46&lt;=$A$9,$A$9,IF(I46&lt;=$A$10,$A$10,IF(I46&lt;=$A$11,$A$11,IF(I46&lt;=$A$12,$A$12,IF(I46&lt;=$A$13,$A$13,IF(I46&lt;=$A$14,$A$14)))))))))))</f>
        <v>90</v>
      </c>
      <c r="K47" s="294"/>
      <c r="L47" s="295">
        <f>IF(I46&lt;=$A$4,$B$4,IF(I46&lt;=$A$5,$B$5,IF(I46&lt;=$A$6,$B$6,IF(I46&lt;=$A$7,$B$7,IF(I46&lt;=$A$8,$B$8,IF(I46&lt;=$A$9,$B$9,IF(I46&lt;=$A$10,$B$10,IF(I46&lt;=$A$11,$B$11,IF(I46&lt;=$A$12,$B$12,IF(I46&lt;=$A$13,$B$13,IF(I46&lt;=$A$14,$B$14)))))))))))</f>
        <v>-0.02</v>
      </c>
      <c r="N47" s="293"/>
      <c r="O47" s="294">
        <f>IF(N46&lt;=$A$4,$A$4,IF(N46&lt;=$A$5,$A$5,IF(N46&lt;=$A$6,$A$6,IF(N46&lt;=$A$7,$A$7,IF(N46&lt;=$A$8,$A$8,IF(N46&lt;=$A$9,$A$9,IF(N46&lt;=$A$10,$A$10,IF(N46&lt;=$A$11,$A$11,IF(N46&lt;=$A$12,$A$12,IF(N46&lt;=$A$13,$A$13,IF(N46&lt;=$A$14,$A$14)))))))))))</f>
        <v>120</v>
      </c>
      <c r="P47" s="294"/>
      <c r="Q47" s="295">
        <f>IF(N46&lt;=$A$4,$B$4,IF(N46&lt;=$A$5,$B$5,IF(N46&lt;=$A$6,$B$6,IF(N46&lt;=$A$7,$B$7,IF(N46&lt;=$A$8,$B$8,IF(N46&lt;=$A$9,$B$9,IF(N46&lt;=$A$10,$B$10,IF(N46&lt;=$A$11,$B$11,IF(N46&lt;=$A$12,$B$12,IF(N46&lt;=$A$13,$B$13,IF(N46&lt;=$A$14,$B$14)))))))))))</f>
        <v>0.04</v>
      </c>
    </row>
    <row r="48" spans="1:22" ht="15">
      <c r="A48" s="301">
        <f>ID!C86</f>
        <v>3000</v>
      </c>
      <c r="B48" s="287">
        <f>ID!D86</f>
        <v>120</v>
      </c>
      <c r="C48" s="287">
        <f>ID!H86</f>
        <v>120</v>
      </c>
      <c r="D48" s="302">
        <f>P50</f>
        <v>0.04</v>
      </c>
      <c r="E48" s="306">
        <f t="shared" si="2"/>
        <v>120.04</v>
      </c>
      <c r="F48" s="319">
        <f>'UB Earphone Kiri'!J121</f>
        <v>0.725876466154452</v>
      </c>
      <c r="G48" s="306">
        <f>E48-B48</f>
        <v>4.0000000000006253E-2</v>
      </c>
      <c r="H48" s="537"/>
      <c r="I48" s="1219">
        <v>500</v>
      </c>
      <c r="J48" s="1219"/>
      <c r="K48" s="1219"/>
      <c r="L48" s="1220"/>
      <c r="N48" s="1221">
        <v>3000</v>
      </c>
      <c r="O48" s="1219"/>
      <c r="P48" s="1219"/>
      <c r="Q48" s="1220"/>
    </row>
    <row r="49" spans="1:17">
      <c r="A49" s="301">
        <f>ID!C87</f>
        <v>4000</v>
      </c>
      <c r="B49" s="287">
        <f>ID!D87</f>
        <v>120</v>
      </c>
      <c r="C49" s="287">
        <f>ID!H87</f>
        <v>120</v>
      </c>
      <c r="D49" s="302">
        <f>P54</f>
        <v>0.04</v>
      </c>
      <c r="E49" s="306">
        <f t="shared" si="2"/>
        <v>120.04</v>
      </c>
      <c r="F49" s="319">
        <f>'UB Earphone Kiri'!J136</f>
        <v>1.1197736458955867</v>
      </c>
      <c r="G49" s="306">
        <f t="shared" si="3"/>
        <v>4.0000000000006253E-2</v>
      </c>
      <c r="H49" s="306"/>
      <c r="I49" s="303"/>
      <c r="J49" s="289">
        <f>IF(I50&lt;=$A$5,$A$4,IF(I50&lt;=$A$6,$A$5,IF(I50&lt;=$A$7,$A$6,IF(I50&lt;=$A$8,$A$7,IF(I50&lt;=$A$9,$A$8,IF(I50&lt;=$A$10,$A$9,IF(I50&lt;=$A$11,$A$10,IF(I50&lt;=$A$12,$A$11,IF(I50&lt;=$A$13,$A$12,IF(I50&lt;=$A$14,$A$13))))))))))</f>
        <v>110</v>
      </c>
      <c r="K49" s="289"/>
      <c r="L49" s="290">
        <f>IF(I50&lt;=$A$5,$B$4,IF(I50&lt;=$A$6,$B$5,IF(I50&lt;=$A$7,$B$6,IF(I50&lt;=$A$8,$B$7,IF(I50&lt;=$A$9,$B$8,IF(I50&lt;=$A$10,$B$9,IF(I50&lt;=$A$11,$B$10,IF(I50&lt;=$A$12,$B$11,IF(I50&lt;=$A$13,$B$12,IF(I50&lt;=$A$14,$B$13))))))))))</f>
        <v>0.01</v>
      </c>
      <c r="N49" s="288"/>
      <c r="O49" s="289">
        <f>IF(N50&lt;=$A$5,$A$4,IF(N50&lt;=$A$6,$A$5,IF(N50&lt;=$A$7,$A$6,IF(N50&lt;=$A$8,$A$7,IF(N50&lt;=$A$9,$A$8,IF(N50&lt;=$A$10,$A$9,IF(N50&lt;=$A$11,$A$10,IF(N50&lt;=$A$12,$A$11,IF(N50&lt;=$A$13,$A$12,IF(N50&lt;=$A$14,$A$13))))))))))</f>
        <v>110</v>
      </c>
      <c r="P49" s="289"/>
      <c r="Q49" s="290">
        <f>IF(N50&lt;=$A$5,$B$4,IF(N50&lt;=$A$6,$B$5,IF(N50&lt;=$A$7,$B$6,IF(N50&lt;=$A$8,$B$7,IF(N50&lt;=$A$9,$B$8,IF(N50&lt;=$A$10,$B$9,IF(N50&lt;=$A$11,$B$10,IF(N50&lt;=$A$12,$B$11,IF(N50&lt;=$A$13,$B$12,IF(N50&lt;=$A$14,$B$13))))))))))</f>
        <v>0.01</v>
      </c>
    </row>
    <row r="50" spans="1:17">
      <c r="A50" s="301">
        <f>ID!C88</f>
        <v>6000</v>
      </c>
      <c r="B50" s="287">
        <f>ID!D88</f>
        <v>110</v>
      </c>
      <c r="C50" s="287">
        <f>ID!H88</f>
        <v>109.93333333333334</v>
      </c>
      <c r="D50" s="302">
        <f>P58</f>
        <v>9.8666666666666729E-3</v>
      </c>
      <c r="E50" s="306">
        <f t="shared" si="2"/>
        <v>109.9432</v>
      </c>
      <c r="F50" s="319">
        <f>'UB Earphone Kiri'!J151</f>
        <v>1.3241637392587782</v>
      </c>
      <c r="G50" s="306">
        <f t="shared" si="3"/>
        <v>-5.6799999999995521E-2</v>
      </c>
      <c r="H50" s="306"/>
      <c r="I50" s="304">
        <f>C43</f>
        <v>120</v>
      </c>
      <c r="J50" s="289"/>
      <c r="K50" s="292">
        <f>((I50-J49)/(J51-J49)*(L51-L49)+L49)</f>
        <v>0.04</v>
      </c>
      <c r="L50" s="290"/>
      <c r="N50" s="291">
        <f>C48</f>
        <v>120</v>
      </c>
      <c r="O50" s="289"/>
      <c r="P50" s="292">
        <f>((N50-O49)/(O51-O49)*(Q51-Q49)+Q49)</f>
        <v>0.04</v>
      </c>
      <c r="Q50" s="290"/>
    </row>
    <row r="51" spans="1:17" ht="13" thickBot="1">
      <c r="A51" s="301">
        <f>ID!C89</f>
        <v>8000</v>
      </c>
      <c r="B51" s="287">
        <f>ID!D89</f>
        <v>100</v>
      </c>
      <c r="C51" s="287">
        <f>ID!H89</f>
        <v>100</v>
      </c>
      <c r="D51" s="302">
        <f>U42</f>
        <v>-1.0000000000000002E-2</v>
      </c>
      <c r="E51" s="306">
        <f>C51+D51</f>
        <v>99.99</v>
      </c>
      <c r="F51" s="319">
        <f>'UB Earphone Kiri'!J166</f>
        <v>1.1197736458955867</v>
      </c>
      <c r="G51" s="306">
        <f t="shared" si="3"/>
        <v>-1.0000000000005116E-2</v>
      </c>
      <c r="H51" s="536"/>
      <c r="I51" s="305"/>
      <c r="J51" s="294">
        <f>IF(I50&lt;=$A$4,$A$4,IF(I50&lt;=$A$5,$A$5,IF(I50&lt;=$A$6,$A$6,IF(I50&lt;=$A$7,$A$7,IF(I50&lt;=$A$8,$A$8,IF(I50&lt;=$A$9,$A$9,IF(I50&lt;=$A$10,$A$10,IF(I50&lt;=$A$11,$A$11,IF(I50&lt;=$A$12,$A$12,IF(I50&lt;=$A$13,$A$13,IF(I50&lt;=$A$14,$A$14)))))))))))</f>
        <v>120</v>
      </c>
      <c r="K51" s="294"/>
      <c r="L51" s="295">
        <f>IF(I50&lt;=$A$4,$B$4,IF(I50&lt;=$A$5,$B$5,IF(I50&lt;=$A$6,$B$6,IF(I50&lt;=$A$7,$B$7,IF(I50&lt;=$A$8,$B$8,IF(I50&lt;=$A$9,$B$9,IF(I50&lt;=$A$10,$B$10,IF(I50&lt;=$A$11,$B$11,IF(I50&lt;=$A$12,$B$12,IF(I50&lt;=$A$13,$B$13,IF(I50&lt;=$A$14,$B$14)))))))))))</f>
        <v>0.04</v>
      </c>
      <c r="N51" s="293"/>
      <c r="O51" s="294">
        <f>IF(N50&lt;=$A$4,$A$4,IF(N50&lt;=$A$5,$A$5,IF(N50&lt;=$A$6,$A$6,IF(N50&lt;=$A$7,$A$7,IF(N50&lt;=$A$8,$A$8,IF(N50&lt;=$A$9,$A$9,IF(N50&lt;=$A$10,$A$10,IF(N50&lt;=$A$11,$A$11,IF(N50&lt;=$A$12,$A$12,IF(N50&lt;=$A$13,$A$13,IF(N50&lt;=$A$14,$A$14)))))))))))</f>
        <v>120</v>
      </c>
      <c r="P51" s="294"/>
      <c r="Q51" s="295">
        <f>IF(N50&lt;=$A$4,$B$4,IF(N50&lt;=$A$5,$B$5,IF(N50&lt;=$A$6,$B$6,IF(N50&lt;=$A$7,$B$7,IF(N50&lt;=$A$8,$B$8,IF(N50&lt;=$A$9,$B$9,IF(N50&lt;=$A$10,$B$10,IF(N50&lt;=$A$11,$B$11,IF(N50&lt;=$A$12,$B$12,IF(N50&lt;=$A$13,$B$13,IF(N50&lt;=$A$14,$B$14)))))))))))</f>
        <v>0.04</v>
      </c>
    </row>
    <row r="52" spans="1:17" ht="15">
      <c r="I52" s="1221">
        <v>750</v>
      </c>
      <c r="J52" s="1219"/>
      <c r="K52" s="1219"/>
      <c r="L52" s="1220"/>
      <c r="N52" s="1221">
        <v>4000</v>
      </c>
      <c r="O52" s="1219"/>
      <c r="P52" s="1219"/>
      <c r="Q52" s="1220"/>
    </row>
    <row r="53" spans="1:17">
      <c r="I53" s="288"/>
      <c r="J53" s="289">
        <f>IF(I54&lt;=$A$5,$A$4,IF(I54&lt;=$A$6,$A$5,IF(I54&lt;=$A$7,$A$6,IF(I54&lt;=$A$8,$A$7,IF(I54&lt;=$A$9,$A$8,IF(I54&lt;=$A$10,$A$9,IF(I54&lt;=$A$11,$A$10,IF(I54&lt;=$A$12,$A$11,IF(I54&lt;=$A$13,$A$12,IF(I54&lt;=$A$14,$A$13))))))))))</f>
        <v>110</v>
      </c>
      <c r="K53" s="289"/>
      <c r="L53" s="290">
        <f>IF(I54&lt;=$A$5,$B$4,IF(I54&lt;=$A$6,$B$5,IF(I54&lt;=$A$7,$B$6,IF(I54&lt;=$A$8,$B$7,IF(I54&lt;=$A$9,$B$8,IF(I54&lt;=$A$10,$B$9,IF(I54&lt;=$A$11,$B$10,IF(I54&lt;=$A$12,$B$11,IF(I54&lt;=$A$13,$B$12,IF(I54&lt;=$A$14,$B$13))))))))))</f>
        <v>0.01</v>
      </c>
      <c r="N53" s="288"/>
      <c r="O53" s="289">
        <f>IF(N54&lt;=$A$5,$A$4,IF(N54&lt;=$A$6,$A$5,IF(N54&lt;=$A$7,$A$6,IF(N54&lt;=$A$8,$A$7,IF(N54&lt;=$A$9,$A$8,IF(N54&lt;=$A$10,$A$9,IF(N54&lt;=$A$11,$A$10,IF(N54&lt;=$A$12,$A$11,IF(N54&lt;=$A$13,$A$12,IF(N54&lt;=$A$14,$A$13))))))))))</f>
        <v>110</v>
      </c>
      <c r="P53" s="289"/>
      <c r="Q53" s="290">
        <f>IF(N54&lt;=$A$5,$B$4,IF(N54&lt;=$A$6,$B$5,IF(N54&lt;=$A$7,$B$6,IF(N54&lt;=$A$8,$B$7,IF(N54&lt;=$A$9,$B$8,IF(N54&lt;=$A$10,$B$9,IF(N54&lt;=$A$11,$B$10,IF(N54&lt;=$A$12,$B$11,IF(N54&lt;=$A$13,$B$12,IF(N54&lt;=$A$14,$B$13))))))))))</f>
        <v>0.01</v>
      </c>
    </row>
    <row r="54" spans="1:17">
      <c r="I54" s="291">
        <f>C44</f>
        <v>120</v>
      </c>
      <c r="J54" s="289"/>
      <c r="K54" s="292">
        <f>((I54-J53)/(J55-J53)*(L55-L53)+L53)</f>
        <v>0.04</v>
      </c>
      <c r="L54" s="290"/>
      <c r="N54" s="291">
        <f>C49</f>
        <v>120</v>
      </c>
      <c r="O54" s="289"/>
      <c r="P54" s="292">
        <f>((N54-O53)/(O55-O53)*(Q55-Q53)+Q53)</f>
        <v>0.04</v>
      </c>
      <c r="Q54" s="290"/>
    </row>
    <row r="55" spans="1:17" ht="13" thickBot="1">
      <c r="I55" s="293"/>
      <c r="J55" s="294">
        <f>IF(I54&lt;=$A$4,$A$4,IF(I54&lt;=$A$5,$A$5,IF(I54&lt;=$A$6,$A$6,IF(I54&lt;=$A$7,$A$7,IF(I54&lt;=$A$8,$A$8,IF(I54&lt;=$A$9,$A$9,IF(I54&lt;=$A$10,$A$10,IF(I54&lt;=$A$11,$A$11,IF(I54&lt;=$A$12,$A$12,IF(I54&lt;=$A$13,$A$13,IF(I54&lt;=$A$14,$A$14)))))))))))</f>
        <v>120</v>
      </c>
      <c r="K55" s="294"/>
      <c r="L55" s="295">
        <f>IF(I54&lt;=$A$4,$B$4,IF(I54&lt;=$A$5,$B$5,IF(I54&lt;=$A$6,$B$6,IF(I54&lt;=$A$7,$B$7,IF(I54&lt;=$A$8,$B$8,IF(I54&lt;=$A$9,$B$9,IF(I54&lt;=$A$10,$B$10,IF(I54&lt;=$A$11,$B$11,IF(I54&lt;=$A$12,$B$12,IF(I54&lt;=$A$13,$B$13,IF(I54&lt;=$A$14,$B$14)))))))))))</f>
        <v>0.04</v>
      </c>
      <c r="N55" s="293"/>
      <c r="O55" s="294">
        <f>IF(N54&lt;=$A$4,$A$4,IF(N54&lt;=$A$5,$A$5,IF(N54&lt;=$A$6,$A$6,IF(N54&lt;=$A$7,$A$7,IF(N54&lt;=$A$8,$A$8,IF(N54&lt;=$A$9,$A$9,IF(N54&lt;=$A$10,$A$10,IF(N54&lt;=$A$11,$A$11,IF(N54&lt;=$A$12,$A$12,IF(N54&lt;=$A$13,$A$13,IF(N54&lt;=$A$14,$A$14)))))))))))</f>
        <v>120</v>
      </c>
      <c r="P55" s="294"/>
      <c r="Q55" s="295">
        <f>IF(N54&lt;=$A$4,$B$4,IF(N54&lt;=$A$5,$B$5,IF(N54&lt;=$A$6,$B$6,IF(N54&lt;=$A$7,$B$7,IF(N54&lt;=$A$8,$B$8,IF(N54&lt;=$A$9,$B$9,IF(N54&lt;=$A$10,$B$10,IF(N54&lt;=$A$11,$B$11,IF(N54&lt;=$A$12,$B$12,IF(N54&lt;=$A$13,$B$13,IF(N54&lt;=$A$14,$B$14)))))))))))</f>
        <v>0.04</v>
      </c>
    </row>
    <row r="56" spans="1:17" ht="15">
      <c r="I56" s="1221">
        <v>1000</v>
      </c>
      <c r="J56" s="1219"/>
      <c r="K56" s="1219"/>
      <c r="L56" s="1220"/>
      <c r="N56" s="1221">
        <v>6000</v>
      </c>
      <c r="O56" s="1219"/>
      <c r="P56" s="1219"/>
      <c r="Q56" s="1220"/>
    </row>
    <row r="57" spans="1:17">
      <c r="I57" s="288"/>
      <c r="J57" s="289">
        <f>IF(I58&lt;=$A$5,$A$4,IF(I58&lt;=$A$6,$A$5,IF(I58&lt;=$A$7,$A$6,IF(I58&lt;=$A$8,$A$7,IF(I58&lt;=$A$9,$A$8,IF(I58&lt;=$A$10,$A$9,IF(I58&lt;=$A$11,$A$10,IF(I58&lt;=$A$12,$A$11,IF(I58&lt;=$A$13,$A$12,IF(I58&lt;=$A$14,$A$13))))))))))</f>
        <v>110</v>
      </c>
      <c r="K57" s="289"/>
      <c r="L57" s="290">
        <f>IF(I58&lt;=$A$5,$B$4,IF(I58&lt;=$A$6,$B$5,IF(I58&lt;=$A$7,$B$6,IF(I58&lt;=$A$8,$B$7,IF(I58&lt;=$A$9,$B$8,IF(I58&lt;=$A$10,$B$9,IF(I58&lt;=$A$11,$B$10,IF(I58&lt;=$A$12,$B$11,IF(I58&lt;=$A$13,$B$12,IF(I58&lt;=$A$14,$B$13))))))))))</f>
        <v>0.01</v>
      </c>
      <c r="N57" s="288"/>
      <c r="O57" s="289">
        <f>IF(N58&lt;=$A$5,$A$4,IF(N58&lt;=$A$6,$A$5,IF(N58&lt;=$A$7,$A$6,IF(N58&lt;=$A$8,$A$7,IF(N58&lt;=$A$9,$A$8,IF(N58&lt;=$A$10,$A$9,IF(N58&lt;=$A$11,$A$10,IF(N58&lt;=$A$12,$A$11,IF(N58&lt;=$A$13,$A$12,IF(N58&lt;=$A$14,$A$13))))))))))</f>
        <v>95</v>
      </c>
      <c r="P57" s="289"/>
      <c r="Q57" s="290">
        <f>IF(N58&lt;=$A$5,$B$4,IF(N58&lt;=$A$6,$B$5,IF(N58&lt;=$A$7,$B$6,IF(N58&lt;=$A$8,$B$7,IF(N58&lt;=$A$9,$B$8,IF(N58&lt;=$A$10,$B$9,IF(N58&lt;=$A$11,$B$10,IF(N58&lt;=$A$12,$B$11,IF(N58&lt;=$A$13,$B$12,IF(N58&lt;=$A$14,$B$13))))))))))</f>
        <v>-0.02</v>
      </c>
    </row>
    <row r="58" spans="1:17">
      <c r="I58" s="291">
        <f>C45</f>
        <v>120</v>
      </c>
      <c r="J58" s="289"/>
      <c r="K58" s="292">
        <f>((I58-J57)/(J59-J57)*(L59-L57)+L57)</f>
        <v>0.04</v>
      </c>
      <c r="L58" s="290"/>
      <c r="N58" s="291">
        <f>C50</f>
        <v>109.93333333333334</v>
      </c>
      <c r="O58" s="289"/>
      <c r="P58" s="292">
        <f>((N58-O57)/(O59-O57)*(Q59-Q57)+Q57)</f>
        <v>9.8666666666666729E-3</v>
      </c>
      <c r="Q58" s="290"/>
    </row>
    <row r="59" spans="1:17" ht="13" thickBot="1">
      <c r="I59" s="293"/>
      <c r="J59" s="294">
        <f>IF(I58&lt;=$A$4,$A$4,IF(I58&lt;=$A$5,$A$5,IF(I58&lt;=$A$6,$A$6,IF(I58&lt;=$A$7,$A$7,IF(I58&lt;=$A$8,$A$8,IF(I58&lt;=$A$9,$A$9,IF(I58&lt;=$A$10,$A$10,IF(I58&lt;=$A$11,$A$11,IF(I58&lt;=$A$12,$A$12,IF(I58&lt;=$A$13,$A$13,IF(I58&lt;=$A$14,$A$14)))))))))))</f>
        <v>120</v>
      </c>
      <c r="K59" s="294"/>
      <c r="L59" s="295">
        <f>IF(I58&lt;=$A$4,$B$4,IF(I58&lt;=$A$5,$B$5,IF(I58&lt;=$A$6,$B$6,IF(I58&lt;=$A$7,$B$7,IF(I58&lt;=$A$8,$B$8,IF(I58&lt;=$A$9,$B$9,IF(I58&lt;=$A$10,$B$10,IF(I58&lt;=$A$11,$B$11,IF(I58&lt;=$A$12,$B$12,IF(I58&lt;=$A$13,$B$13,IF(I58&lt;=$A$14,$B$14)))))))))))</f>
        <v>0.04</v>
      </c>
      <c r="N59" s="293"/>
      <c r="O59" s="294">
        <f>IF(N58&lt;=$A$4,$A$4,IF(N58&lt;=$A$5,$A$5,IF(N58&lt;=$A$6,$A$6,IF(N58&lt;=$A$7,$A$7,IF(N58&lt;=$A$8,$A$8,IF(N58&lt;=$A$9,$A$9,IF(N58&lt;=$A$10,$A$10,IF(N58&lt;=$A$11,$A$11,IF(N58&lt;=$A$12,$A$12,IF(N58&lt;=$A$13,$A$13,IF(N58&lt;=$A$14,$A$14)))))))))))</f>
        <v>110</v>
      </c>
      <c r="P59" s="294"/>
      <c r="Q59" s="295">
        <f>IF(N58&lt;=$A$4,$B$4,IF(N58&lt;=$A$5,$B$5,IF(N58&lt;=$A$6,$B$6,IF(N58&lt;=$A$7,$B$7,IF(N58&lt;=$A$8,$B$8,IF(N58&lt;=$A$9,$B$9,IF(N58&lt;=$A$10,$B$10,IF(N58&lt;=$A$11,$B$11,IF(N58&lt;=$A$12,$B$12,IF(N58&lt;=$A$13,$B$13,IF(N58&lt;=$A$14,$B$14)))))))))))</f>
        <v>0.01</v>
      </c>
    </row>
    <row r="62" spans="1:17" ht="18">
      <c r="A62" s="307" t="s">
        <v>586</v>
      </c>
    </row>
    <row r="63" spans="1:17" ht="13">
      <c r="A63" s="308" t="s">
        <v>298</v>
      </c>
    </row>
    <row r="64" spans="1:17">
      <c r="A64" s="3" t="s">
        <v>587</v>
      </c>
    </row>
    <row r="65" spans="1:22" ht="25">
      <c r="A65" s="298" t="s">
        <v>238</v>
      </c>
      <c r="B65" s="298" t="s">
        <v>209</v>
      </c>
      <c r="C65" s="299" t="s">
        <v>582</v>
      </c>
      <c r="D65" s="300" t="s">
        <v>583</v>
      </c>
      <c r="E65" s="300" t="s">
        <v>584</v>
      </c>
      <c r="F65" s="298" t="s">
        <v>585</v>
      </c>
      <c r="G65" s="298" t="s">
        <v>293</v>
      </c>
      <c r="H65" s="300" t="s">
        <v>588</v>
      </c>
      <c r="I65" s="1217"/>
      <c r="J65" s="1217"/>
      <c r="K65" s="1217"/>
      <c r="L65" s="1217"/>
      <c r="N65" s="1217"/>
      <c r="O65" s="1217"/>
      <c r="P65" s="1217"/>
      <c r="Q65" s="1217"/>
      <c r="S65" s="1217"/>
      <c r="T65" s="1217"/>
      <c r="U65" s="1217"/>
      <c r="V65" s="1217"/>
    </row>
    <row r="66" spans="1:22">
      <c r="A66" s="287">
        <f>ID!C63</f>
        <v>125</v>
      </c>
      <c r="B66" s="287">
        <f>ID!D63</f>
        <v>75</v>
      </c>
      <c r="C66" s="296" t="e">
        <f>ID!H63</f>
        <v>#DIV/0!</v>
      </c>
      <c r="D66" s="297">
        <v>0</v>
      </c>
      <c r="E66" s="306" t="e">
        <f>C66+D66</f>
        <v>#DIV/0!</v>
      </c>
      <c r="F66" s="566" t="e">
        <f>'UB Earphone Kanan'!J301</f>
        <v>#DIV/0!</v>
      </c>
      <c r="G66" s="306" t="e">
        <f>E66-A66</f>
        <v>#DIV/0!</v>
      </c>
      <c r="H66" s="306" t="e">
        <f>((A66-E66)/A66)*100</f>
        <v>#DIV/0!</v>
      </c>
      <c r="I66" s="567"/>
      <c r="J66" s="568"/>
      <c r="K66" s="568"/>
      <c r="L66" s="569"/>
      <c r="N66" s="567"/>
      <c r="O66" s="568"/>
      <c r="P66" s="568"/>
      <c r="Q66" s="569"/>
      <c r="S66" s="567"/>
      <c r="T66" s="568"/>
      <c r="U66" s="568"/>
      <c r="V66" s="569"/>
    </row>
    <row r="67" spans="1:22">
      <c r="A67" s="287">
        <f>ID!C64</f>
        <v>250</v>
      </c>
      <c r="B67" s="287">
        <f>ID!D64</f>
        <v>90</v>
      </c>
      <c r="C67" s="296" t="e">
        <f>ID!H64</f>
        <v>#DIV/0!</v>
      </c>
      <c r="D67" s="297">
        <v>0</v>
      </c>
      <c r="E67" s="306" t="e">
        <f t="shared" ref="E67:E76" si="4">C67+D67</f>
        <v>#DIV/0!</v>
      </c>
      <c r="F67" s="566" t="e">
        <f>'UB Earphone Kanan'!J312</f>
        <v>#DIV/0!</v>
      </c>
      <c r="G67" s="306" t="e">
        <f t="shared" ref="G67:G76" si="5">E67-A67</f>
        <v>#DIV/0!</v>
      </c>
      <c r="H67" s="306" t="e">
        <f t="shared" ref="H67:H76" si="6">((A67-E67)/A67)*100</f>
        <v>#DIV/0!</v>
      </c>
      <c r="I67" s="570"/>
      <c r="J67" s="568"/>
      <c r="K67" s="571"/>
      <c r="L67" s="569"/>
      <c r="N67" s="570"/>
      <c r="O67" s="568"/>
      <c r="P67" s="571"/>
      <c r="Q67" s="569"/>
      <c r="S67" s="570"/>
      <c r="T67" s="568"/>
      <c r="U67" s="571"/>
      <c r="V67" s="569"/>
    </row>
    <row r="68" spans="1:22">
      <c r="A68" s="287">
        <f>ID!C65</f>
        <v>500</v>
      </c>
      <c r="B68" s="287">
        <f>ID!D65</f>
        <v>110</v>
      </c>
      <c r="C68" s="296" t="e">
        <f>ID!H65</f>
        <v>#DIV/0!</v>
      </c>
      <c r="D68" s="297">
        <v>0</v>
      </c>
      <c r="E68" s="306" t="e">
        <f t="shared" si="4"/>
        <v>#DIV/0!</v>
      </c>
      <c r="F68" s="566" t="e">
        <f>'UB Earphone Kanan'!J323</f>
        <v>#DIV/0!</v>
      </c>
      <c r="G68" s="306" t="e">
        <f t="shared" si="5"/>
        <v>#DIV/0!</v>
      </c>
      <c r="H68" s="306" t="e">
        <f t="shared" si="6"/>
        <v>#DIV/0!</v>
      </c>
      <c r="I68" s="570"/>
      <c r="J68" s="568"/>
      <c r="K68" s="568"/>
      <c r="L68" s="569"/>
      <c r="N68" s="570"/>
      <c r="O68" s="568"/>
      <c r="P68" s="568"/>
      <c r="Q68" s="569"/>
      <c r="S68" s="570"/>
      <c r="T68" s="568"/>
      <c r="U68" s="568"/>
      <c r="V68" s="569"/>
    </row>
    <row r="69" spans="1:22" ht="15">
      <c r="A69" s="287">
        <f>ID!C66</f>
        <v>750</v>
      </c>
      <c r="B69" s="287">
        <f>ID!D66</f>
        <v>110</v>
      </c>
      <c r="C69" s="296" t="e">
        <f>ID!H66</f>
        <v>#DIV/0!</v>
      </c>
      <c r="D69" s="297">
        <v>0</v>
      </c>
      <c r="E69" s="306" t="e">
        <f t="shared" si="4"/>
        <v>#DIV/0!</v>
      </c>
      <c r="F69" s="566" t="e">
        <f>'UB Earphone Kanan'!J334</f>
        <v>#DIV/0!</v>
      </c>
      <c r="G69" s="306" t="e">
        <f t="shared" si="5"/>
        <v>#DIV/0!</v>
      </c>
      <c r="H69" s="306" t="e">
        <f t="shared" si="6"/>
        <v>#DIV/0!</v>
      </c>
      <c r="I69" s="1217"/>
      <c r="J69" s="1217"/>
      <c r="K69" s="1217"/>
      <c r="L69" s="1217"/>
      <c r="N69" s="1217"/>
      <c r="O69" s="1217"/>
      <c r="P69" s="1217"/>
      <c r="Q69" s="1217"/>
    </row>
    <row r="70" spans="1:22">
      <c r="A70" s="287">
        <f>ID!C67</f>
        <v>1000</v>
      </c>
      <c r="B70" s="287">
        <f>ID!D67</f>
        <v>110</v>
      </c>
      <c r="C70" s="296" t="e">
        <f>ID!H67</f>
        <v>#DIV/0!</v>
      </c>
      <c r="D70" s="297">
        <v>0</v>
      </c>
      <c r="E70" s="306" t="e">
        <f t="shared" si="4"/>
        <v>#DIV/0!</v>
      </c>
      <c r="F70" s="566" t="e">
        <f>'UB Earphone Kanan'!J345</f>
        <v>#DIV/0!</v>
      </c>
      <c r="G70" s="306" t="e">
        <f t="shared" si="5"/>
        <v>#DIV/0!</v>
      </c>
      <c r="H70" s="306" t="e">
        <f t="shared" si="6"/>
        <v>#DIV/0!</v>
      </c>
      <c r="I70" s="567"/>
      <c r="J70" s="568"/>
      <c r="K70" s="568"/>
      <c r="L70" s="569"/>
      <c r="N70" s="567"/>
      <c r="O70" s="568"/>
      <c r="P70" s="568"/>
      <c r="Q70" s="569"/>
    </row>
    <row r="71" spans="1:22">
      <c r="A71" s="287">
        <f>ID!C68</f>
        <v>1500</v>
      </c>
      <c r="B71" s="287">
        <f>ID!D68</f>
        <v>110</v>
      </c>
      <c r="C71" s="296" t="e">
        <f>ID!H68</f>
        <v>#DIV/0!</v>
      </c>
      <c r="D71" s="297">
        <v>0</v>
      </c>
      <c r="E71" s="306" t="e">
        <f t="shared" si="4"/>
        <v>#DIV/0!</v>
      </c>
      <c r="F71" s="566" t="e">
        <f>'UB Earphone Kanan'!J356</f>
        <v>#DIV/0!</v>
      </c>
      <c r="G71" s="306" t="e">
        <f t="shared" si="5"/>
        <v>#DIV/0!</v>
      </c>
      <c r="H71" s="306" t="e">
        <f t="shared" si="6"/>
        <v>#DIV/0!</v>
      </c>
      <c r="I71" s="570"/>
      <c r="J71" s="568"/>
      <c r="K71" s="571"/>
      <c r="L71" s="569"/>
      <c r="N71" s="570"/>
      <c r="O71" s="568"/>
      <c r="P71" s="571"/>
      <c r="Q71" s="569"/>
    </row>
    <row r="72" spans="1:22">
      <c r="A72" s="287">
        <f>ID!C69</f>
        <v>2000</v>
      </c>
      <c r="B72" s="287">
        <f>ID!D69</f>
        <v>110</v>
      </c>
      <c r="C72" s="296" t="e">
        <f>ID!H69</f>
        <v>#DIV/0!</v>
      </c>
      <c r="D72" s="297">
        <v>0</v>
      </c>
      <c r="E72" s="306" t="e">
        <f t="shared" si="4"/>
        <v>#DIV/0!</v>
      </c>
      <c r="F72" s="566" t="e">
        <f>'UB Earphone Kanan'!J367</f>
        <v>#DIV/0!</v>
      </c>
      <c r="G72" s="306" t="e">
        <f t="shared" si="5"/>
        <v>#DIV/0!</v>
      </c>
      <c r="H72" s="306" t="e">
        <f t="shared" si="6"/>
        <v>#DIV/0!</v>
      </c>
      <c r="I72" s="570"/>
      <c r="J72" s="568"/>
      <c r="K72" s="568"/>
      <c r="L72" s="569"/>
      <c r="N72" s="570"/>
      <c r="O72" s="568"/>
      <c r="P72" s="568"/>
      <c r="Q72" s="569"/>
    </row>
    <row r="73" spans="1:22" ht="15">
      <c r="A73" s="287">
        <f>ID!C70</f>
        <v>3000</v>
      </c>
      <c r="B73" s="287">
        <f>ID!D70</f>
        <v>110</v>
      </c>
      <c r="C73" s="296" t="e">
        <f>ID!H70</f>
        <v>#DIV/0!</v>
      </c>
      <c r="D73" s="297">
        <v>0</v>
      </c>
      <c r="E73" s="306" t="e">
        <f t="shared" si="4"/>
        <v>#DIV/0!</v>
      </c>
      <c r="F73" s="566" t="e">
        <f>'UB Earphone Kanan'!J378</f>
        <v>#DIV/0!</v>
      </c>
      <c r="G73" s="306" t="e">
        <f t="shared" si="5"/>
        <v>#DIV/0!</v>
      </c>
      <c r="H73" s="306" t="e">
        <f t="shared" si="6"/>
        <v>#DIV/0!</v>
      </c>
      <c r="I73" s="1217"/>
      <c r="J73" s="1217"/>
      <c r="K73" s="1217"/>
      <c r="L73" s="1217"/>
      <c r="N73" s="1217"/>
      <c r="O73" s="1217"/>
      <c r="P73" s="1217"/>
      <c r="Q73" s="1217"/>
    </row>
    <row r="74" spans="1:22">
      <c r="A74" s="287">
        <f>ID!C71</f>
        <v>4000</v>
      </c>
      <c r="B74" s="287">
        <f>ID!D71</f>
        <v>110</v>
      </c>
      <c r="C74" s="296" t="e">
        <f>ID!H71</f>
        <v>#DIV/0!</v>
      </c>
      <c r="D74" s="297">
        <v>0</v>
      </c>
      <c r="E74" s="306" t="e">
        <f t="shared" si="4"/>
        <v>#DIV/0!</v>
      </c>
      <c r="F74" s="566" t="e">
        <f>'UB Earphone Kanan'!J389</f>
        <v>#DIV/0!</v>
      </c>
      <c r="G74" s="306" t="e">
        <f t="shared" si="5"/>
        <v>#DIV/0!</v>
      </c>
      <c r="H74" s="306" t="e">
        <f t="shared" si="6"/>
        <v>#DIV/0!</v>
      </c>
      <c r="I74" s="567"/>
      <c r="J74" s="568"/>
      <c r="K74" s="568"/>
      <c r="L74" s="569"/>
      <c r="N74" s="567"/>
      <c r="O74" s="568"/>
      <c r="P74" s="568"/>
      <c r="Q74" s="569"/>
    </row>
    <row r="75" spans="1:22">
      <c r="A75" s="287">
        <f>ID!C72</f>
        <v>6000</v>
      </c>
      <c r="B75" s="287">
        <f>ID!D72</f>
        <v>110</v>
      </c>
      <c r="C75" s="296" t="e">
        <f>ID!H72</f>
        <v>#DIV/0!</v>
      </c>
      <c r="D75" s="297">
        <v>0</v>
      </c>
      <c r="E75" s="306" t="e">
        <f t="shared" si="4"/>
        <v>#DIV/0!</v>
      </c>
      <c r="F75" s="566" t="e">
        <f>'UB Earphone Kanan'!J400</f>
        <v>#DIV/0!</v>
      </c>
      <c r="G75" s="306" t="e">
        <f t="shared" si="5"/>
        <v>#DIV/0!</v>
      </c>
      <c r="H75" s="306" t="e">
        <f t="shared" si="6"/>
        <v>#DIV/0!</v>
      </c>
      <c r="I75" s="570"/>
      <c r="J75" s="568"/>
      <c r="K75" s="571"/>
      <c r="L75" s="569"/>
      <c r="N75" s="570"/>
      <c r="O75" s="568"/>
      <c r="P75" s="571"/>
      <c r="Q75" s="569"/>
    </row>
    <row r="76" spans="1:22">
      <c r="A76" s="287">
        <f>ID!C73</f>
        <v>8000</v>
      </c>
      <c r="B76" s="287">
        <f>ID!D73</f>
        <v>110</v>
      </c>
      <c r="C76" s="296" t="e">
        <f>ID!H73</f>
        <v>#DIV/0!</v>
      </c>
      <c r="D76" s="297">
        <v>0</v>
      </c>
      <c r="E76" s="306" t="e">
        <f t="shared" si="4"/>
        <v>#DIV/0!</v>
      </c>
      <c r="F76" s="566" t="e">
        <f>'UB Earphone Kanan'!J411</f>
        <v>#DIV/0!</v>
      </c>
      <c r="G76" s="306" t="e">
        <f t="shared" si="5"/>
        <v>#DIV/0!</v>
      </c>
      <c r="H76" s="306" t="e">
        <f t="shared" si="6"/>
        <v>#DIV/0!</v>
      </c>
      <c r="I76" s="570"/>
      <c r="J76" s="568"/>
      <c r="K76" s="568"/>
      <c r="L76" s="569"/>
      <c r="N76" s="570"/>
      <c r="O76" s="568"/>
      <c r="P76" s="568"/>
      <c r="Q76" s="569"/>
    </row>
    <row r="77" spans="1:22" ht="15">
      <c r="I77" s="1217"/>
      <c r="J77" s="1217"/>
      <c r="K77" s="1217"/>
      <c r="L77" s="1217"/>
      <c r="N77" s="1217"/>
      <c r="O77" s="1217"/>
      <c r="P77" s="1217"/>
      <c r="Q77" s="1217"/>
    </row>
    <row r="78" spans="1:22">
      <c r="I78" s="567"/>
      <c r="J78" s="568"/>
      <c r="K78" s="568"/>
      <c r="L78" s="569"/>
      <c r="N78" s="567"/>
      <c r="O78" s="568"/>
      <c r="P78" s="568"/>
      <c r="Q78" s="569"/>
    </row>
    <row r="79" spans="1:22">
      <c r="I79" s="570"/>
      <c r="J79" s="568"/>
      <c r="K79" s="571"/>
      <c r="L79" s="569"/>
      <c r="N79" s="570"/>
      <c r="O79" s="568"/>
      <c r="P79" s="571"/>
      <c r="Q79" s="569"/>
    </row>
    <row r="80" spans="1:22">
      <c r="I80" s="570"/>
      <c r="J80" s="568"/>
      <c r="K80" s="568"/>
      <c r="L80" s="569"/>
      <c r="N80" s="570"/>
      <c r="O80" s="568"/>
      <c r="P80" s="568"/>
      <c r="Q80" s="569"/>
    </row>
    <row r="81" spans="1:22" ht="15">
      <c r="I81" s="1217"/>
      <c r="J81" s="1217"/>
      <c r="K81" s="1217"/>
      <c r="L81" s="1217"/>
      <c r="N81" s="1217"/>
      <c r="O81" s="1217"/>
      <c r="P81" s="1217"/>
      <c r="Q81" s="1217"/>
    </row>
    <row r="82" spans="1:22">
      <c r="I82" s="567"/>
      <c r="J82" s="568"/>
      <c r="K82" s="568"/>
      <c r="L82" s="569"/>
      <c r="N82" s="567"/>
      <c r="O82" s="568"/>
      <c r="P82" s="568"/>
      <c r="Q82" s="569"/>
    </row>
    <row r="83" spans="1:22">
      <c r="I83" s="570"/>
      <c r="J83" s="568"/>
      <c r="K83" s="571"/>
      <c r="L83" s="569"/>
      <c r="N83" s="570"/>
      <c r="O83" s="568"/>
      <c r="P83" s="571"/>
      <c r="Q83" s="569"/>
    </row>
    <row r="84" spans="1:22">
      <c r="I84" s="570"/>
      <c r="J84" s="568"/>
      <c r="K84" s="568"/>
      <c r="L84" s="569"/>
      <c r="N84" s="570"/>
      <c r="O84" s="568"/>
      <c r="P84" s="568"/>
      <c r="Q84" s="569"/>
    </row>
    <row r="87" spans="1:22" ht="13">
      <c r="A87" s="308" t="s">
        <v>305</v>
      </c>
    </row>
    <row r="88" spans="1:22">
      <c r="A88" s="3" t="s">
        <v>587</v>
      </c>
    </row>
    <row r="89" spans="1:22" ht="25">
      <c r="A89" s="298" t="s">
        <v>238</v>
      </c>
      <c r="B89" s="298" t="s">
        <v>209</v>
      </c>
      <c r="C89" s="299" t="s">
        <v>582</v>
      </c>
      <c r="D89" s="300" t="s">
        <v>583</v>
      </c>
      <c r="E89" s="300" t="s">
        <v>584</v>
      </c>
      <c r="F89" s="298" t="s">
        <v>585</v>
      </c>
      <c r="G89" s="298" t="s">
        <v>293</v>
      </c>
      <c r="H89" s="300" t="s">
        <v>588</v>
      </c>
      <c r="I89" s="1217"/>
      <c r="J89" s="1217"/>
      <c r="K89" s="1217"/>
      <c r="L89" s="1217"/>
      <c r="N89" s="1217"/>
      <c r="O89" s="1217"/>
      <c r="P89" s="1217"/>
      <c r="Q89" s="1217"/>
      <c r="S89" s="1217"/>
      <c r="T89" s="1217"/>
      <c r="U89" s="1217"/>
      <c r="V89" s="1217"/>
    </row>
    <row r="90" spans="1:22">
      <c r="A90" s="287">
        <f>ID!C116</f>
        <v>125</v>
      </c>
      <c r="B90" s="287">
        <f>ID!D116</f>
        <v>75</v>
      </c>
      <c r="C90" s="296" t="e">
        <f>ID!H116</f>
        <v>#DIV/0!</v>
      </c>
      <c r="D90" s="297">
        <v>0</v>
      </c>
      <c r="E90" s="306" t="e">
        <f>C90+D90</f>
        <v>#DIV/0!</v>
      </c>
      <c r="F90" s="566" t="e">
        <f>'UB Earphone Kiri'!J301</f>
        <v>#DIV/0!</v>
      </c>
      <c r="G90" s="306" t="e">
        <f>E90-A90</f>
        <v>#DIV/0!</v>
      </c>
      <c r="H90" s="306" t="e">
        <f>((A90-E90)/A90)*100</f>
        <v>#DIV/0!</v>
      </c>
      <c r="I90" s="567"/>
      <c r="J90" s="568"/>
      <c r="K90" s="568"/>
      <c r="L90" s="569"/>
      <c r="N90" s="567"/>
      <c r="O90" s="568"/>
      <c r="P90" s="568"/>
      <c r="Q90" s="569"/>
      <c r="S90" s="567"/>
      <c r="T90" s="568"/>
      <c r="U90" s="568"/>
      <c r="V90" s="569"/>
    </row>
    <row r="91" spans="1:22">
      <c r="A91" s="287">
        <f>ID!C117</f>
        <v>250</v>
      </c>
      <c r="B91" s="287">
        <f>ID!D117</f>
        <v>90</v>
      </c>
      <c r="C91" s="296" t="e">
        <f>ID!H117</f>
        <v>#DIV/0!</v>
      </c>
      <c r="D91" s="297">
        <v>0</v>
      </c>
      <c r="E91" s="306" t="e">
        <f t="shared" ref="E91:E100" si="7">C91+D91</f>
        <v>#DIV/0!</v>
      </c>
      <c r="F91" s="566" t="e">
        <f>'UB Earphone Kiri'!J312</f>
        <v>#DIV/0!</v>
      </c>
      <c r="G91" s="306" t="e">
        <f t="shared" ref="G91:G100" si="8">E91-A91</f>
        <v>#DIV/0!</v>
      </c>
      <c r="H91" s="306" t="e">
        <f t="shared" ref="H91:H100" si="9">((A91-E91)/A91)*100</f>
        <v>#DIV/0!</v>
      </c>
      <c r="I91" s="570"/>
      <c r="J91" s="568"/>
      <c r="K91" s="571"/>
      <c r="L91" s="569"/>
      <c r="N91" s="570"/>
      <c r="O91" s="568"/>
      <c r="P91" s="571"/>
      <c r="Q91" s="569"/>
      <c r="S91" s="570"/>
      <c r="T91" s="568"/>
      <c r="U91" s="571"/>
      <c r="V91" s="569"/>
    </row>
    <row r="92" spans="1:22">
      <c r="A92" s="287">
        <f>ID!C118</f>
        <v>500</v>
      </c>
      <c r="B92" s="287">
        <f>ID!D118</f>
        <v>110</v>
      </c>
      <c r="C92" s="296" t="e">
        <f>ID!H118</f>
        <v>#DIV/0!</v>
      </c>
      <c r="D92" s="297">
        <v>0</v>
      </c>
      <c r="E92" s="306" t="e">
        <f t="shared" si="7"/>
        <v>#DIV/0!</v>
      </c>
      <c r="F92" s="566" t="e">
        <f>'UB Earphone Kiri'!J323</f>
        <v>#DIV/0!</v>
      </c>
      <c r="G92" s="306" t="e">
        <f t="shared" si="8"/>
        <v>#DIV/0!</v>
      </c>
      <c r="H92" s="306" t="e">
        <f t="shared" si="9"/>
        <v>#DIV/0!</v>
      </c>
      <c r="I92" s="570"/>
      <c r="J92" s="568"/>
      <c r="K92" s="568"/>
      <c r="L92" s="569"/>
      <c r="N92" s="570"/>
      <c r="O92" s="568"/>
      <c r="P92" s="568"/>
      <c r="Q92" s="569"/>
      <c r="S92" s="570"/>
      <c r="T92" s="568"/>
      <c r="U92" s="568"/>
      <c r="V92" s="569"/>
    </row>
    <row r="93" spans="1:22" ht="15">
      <c r="A93" s="287">
        <f>ID!C119</f>
        <v>750</v>
      </c>
      <c r="B93" s="287">
        <f>ID!D119</f>
        <v>110</v>
      </c>
      <c r="C93" s="296" t="e">
        <f>ID!H119</f>
        <v>#DIV/0!</v>
      </c>
      <c r="D93" s="297">
        <v>0</v>
      </c>
      <c r="E93" s="306" t="e">
        <f t="shared" si="7"/>
        <v>#DIV/0!</v>
      </c>
      <c r="F93" s="566" t="e">
        <f>'UB Earphone Kiri'!J334</f>
        <v>#DIV/0!</v>
      </c>
      <c r="G93" s="306" t="e">
        <f t="shared" si="8"/>
        <v>#DIV/0!</v>
      </c>
      <c r="H93" s="306" t="e">
        <f t="shared" si="9"/>
        <v>#DIV/0!</v>
      </c>
      <c r="I93" s="1217"/>
      <c r="J93" s="1217"/>
      <c r="K93" s="1217"/>
      <c r="L93" s="1217"/>
      <c r="N93" s="1217"/>
      <c r="O93" s="1217"/>
      <c r="P93" s="1217"/>
      <c r="Q93" s="1217"/>
    </row>
    <row r="94" spans="1:22">
      <c r="A94" s="287">
        <f>ID!C120</f>
        <v>1000</v>
      </c>
      <c r="B94" s="287">
        <f>ID!D120</f>
        <v>110</v>
      </c>
      <c r="C94" s="296" t="e">
        <f>ID!H120</f>
        <v>#DIV/0!</v>
      </c>
      <c r="D94" s="297">
        <v>0</v>
      </c>
      <c r="E94" s="306" t="e">
        <f t="shared" si="7"/>
        <v>#DIV/0!</v>
      </c>
      <c r="F94" s="566" t="e">
        <f>'UB Earphone Kiri'!J345</f>
        <v>#DIV/0!</v>
      </c>
      <c r="G94" s="306" t="e">
        <f t="shared" si="8"/>
        <v>#DIV/0!</v>
      </c>
      <c r="H94" s="306" t="e">
        <f t="shared" si="9"/>
        <v>#DIV/0!</v>
      </c>
      <c r="I94" s="567"/>
      <c r="J94" s="568"/>
      <c r="K94" s="568"/>
      <c r="L94" s="569"/>
      <c r="N94" s="567"/>
      <c r="O94" s="568"/>
      <c r="P94" s="568"/>
      <c r="Q94" s="569"/>
    </row>
    <row r="95" spans="1:22">
      <c r="A95" s="287">
        <f>ID!C121</f>
        <v>1500</v>
      </c>
      <c r="B95" s="287">
        <f>ID!D121</f>
        <v>110</v>
      </c>
      <c r="C95" s="296" t="e">
        <f>ID!H121</f>
        <v>#DIV/0!</v>
      </c>
      <c r="D95" s="297">
        <v>0</v>
      </c>
      <c r="E95" s="306" t="e">
        <f t="shared" si="7"/>
        <v>#DIV/0!</v>
      </c>
      <c r="F95" s="566" t="e">
        <f>'UB Earphone Kiri'!J356</f>
        <v>#DIV/0!</v>
      </c>
      <c r="G95" s="306" t="e">
        <f t="shared" si="8"/>
        <v>#DIV/0!</v>
      </c>
      <c r="H95" s="306" t="e">
        <f t="shared" si="9"/>
        <v>#DIV/0!</v>
      </c>
      <c r="I95" s="570"/>
      <c r="J95" s="568"/>
      <c r="K95" s="571"/>
      <c r="L95" s="569"/>
      <c r="N95" s="570"/>
      <c r="O95" s="568"/>
      <c r="P95" s="571"/>
      <c r="Q95" s="569"/>
    </row>
    <row r="96" spans="1:22">
      <c r="A96" s="287">
        <f>ID!C122</f>
        <v>2000</v>
      </c>
      <c r="B96" s="287">
        <f>ID!D122</f>
        <v>110</v>
      </c>
      <c r="C96" s="296" t="e">
        <f>ID!H122</f>
        <v>#DIV/0!</v>
      </c>
      <c r="D96" s="297">
        <v>0</v>
      </c>
      <c r="E96" s="306" t="e">
        <f t="shared" si="7"/>
        <v>#DIV/0!</v>
      </c>
      <c r="F96" s="566" t="e">
        <f>'UB Earphone Kiri'!J367</f>
        <v>#DIV/0!</v>
      </c>
      <c r="G96" s="306" t="e">
        <f t="shared" si="8"/>
        <v>#DIV/0!</v>
      </c>
      <c r="H96" s="306" t="e">
        <f t="shared" si="9"/>
        <v>#DIV/0!</v>
      </c>
      <c r="I96" s="570"/>
      <c r="J96" s="568"/>
      <c r="K96" s="568"/>
      <c r="L96" s="569"/>
      <c r="N96" s="570"/>
      <c r="O96" s="568"/>
      <c r="P96" s="568"/>
      <c r="Q96" s="569"/>
    </row>
    <row r="97" spans="1:22" ht="15">
      <c r="A97" s="287">
        <f>ID!C123</f>
        <v>3000</v>
      </c>
      <c r="B97" s="287">
        <f>ID!D123</f>
        <v>110</v>
      </c>
      <c r="C97" s="296" t="e">
        <f>ID!H123</f>
        <v>#DIV/0!</v>
      </c>
      <c r="D97" s="297">
        <v>0</v>
      </c>
      <c r="E97" s="306" t="e">
        <f t="shared" si="7"/>
        <v>#DIV/0!</v>
      </c>
      <c r="F97" s="566" t="e">
        <f>'UB Earphone Kiri'!J378</f>
        <v>#DIV/0!</v>
      </c>
      <c r="G97" s="306" t="e">
        <f t="shared" si="8"/>
        <v>#DIV/0!</v>
      </c>
      <c r="H97" s="306" t="e">
        <f t="shared" si="9"/>
        <v>#DIV/0!</v>
      </c>
      <c r="I97" s="1217"/>
      <c r="J97" s="1217"/>
      <c r="K97" s="1217"/>
      <c r="L97" s="1217"/>
      <c r="N97" s="1217"/>
      <c r="O97" s="1217"/>
      <c r="P97" s="1217"/>
      <c r="Q97" s="1217"/>
    </row>
    <row r="98" spans="1:22">
      <c r="A98" s="287">
        <f>ID!C124</f>
        <v>4000</v>
      </c>
      <c r="B98" s="287">
        <f>ID!D124</f>
        <v>110</v>
      </c>
      <c r="C98" s="296" t="e">
        <f>ID!H124</f>
        <v>#DIV/0!</v>
      </c>
      <c r="D98" s="297">
        <v>0</v>
      </c>
      <c r="E98" s="306" t="e">
        <f t="shared" si="7"/>
        <v>#DIV/0!</v>
      </c>
      <c r="F98" s="566" t="e">
        <f>'UB Earphone Kiri'!J389</f>
        <v>#DIV/0!</v>
      </c>
      <c r="G98" s="306" t="e">
        <f t="shared" si="8"/>
        <v>#DIV/0!</v>
      </c>
      <c r="H98" s="306" t="e">
        <f t="shared" si="9"/>
        <v>#DIV/0!</v>
      </c>
      <c r="I98" s="567"/>
      <c r="J98" s="568"/>
      <c r="K98" s="568"/>
      <c r="L98" s="569"/>
      <c r="N98" s="567"/>
      <c r="O98" s="568"/>
      <c r="P98" s="568"/>
      <c r="Q98" s="569"/>
    </row>
    <row r="99" spans="1:22">
      <c r="A99" s="287">
        <f>ID!C125</f>
        <v>6000</v>
      </c>
      <c r="B99" s="287">
        <f>ID!D125</f>
        <v>110</v>
      </c>
      <c r="C99" s="296" t="e">
        <f>ID!H125</f>
        <v>#DIV/0!</v>
      </c>
      <c r="D99" s="297">
        <v>0</v>
      </c>
      <c r="E99" s="306" t="e">
        <f t="shared" si="7"/>
        <v>#DIV/0!</v>
      </c>
      <c r="F99" s="566" t="e">
        <f>'UB Earphone Kiri'!J400</f>
        <v>#DIV/0!</v>
      </c>
      <c r="G99" s="306" t="e">
        <f t="shared" si="8"/>
        <v>#DIV/0!</v>
      </c>
      <c r="H99" s="306" t="e">
        <f t="shared" si="9"/>
        <v>#DIV/0!</v>
      </c>
      <c r="I99" s="570"/>
      <c r="J99" s="568"/>
      <c r="K99" s="571"/>
      <c r="L99" s="569"/>
      <c r="N99" s="570"/>
      <c r="O99" s="568"/>
      <c r="P99" s="571"/>
      <c r="Q99" s="569"/>
    </row>
    <row r="100" spans="1:22">
      <c r="A100" s="287">
        <f>ID!C126</f>
        <v>8000</v>
      </c>
      <c r="B100" s="287">
        <f>ID!D126</f>
        <v>110</v>
      </c>
      <c r="C100" s="296" t="e">
        <f>ID!H126</f>
        <v>#DIV/0!</v>
      </c>
      <c r="D100" s="297">
        <v>0</v>
      </c>
      <c r="E100" s="306" t="e">
        <f t="shared" si="7"/>
        <v>#DIV/0!</v>
      </c>
      <c r="F100" s="566" t="e">
        <f>'UB Earphone Kiri'!J411</f>
        <v>#DIV/0!</v>
      </c>
      <c r="G100" s="306" t="e">
        <f t="shared" si="8"/>
        <v>#DIV/0!</v>
      </c>
      <c r="H100" s="306" t="e">
        <f t="shared" si="9"/>
        <v>#DIV/0!</v>
      </c>
      <c r="I100" s="570"/>
      <c r="J100" s="568"/>
      <c r="K100" s="568"/>
      <c r="L100" s="569"/>
      <c r="N100" s="570"/>
      <c r="O100" s="568"/>
      <c r="P100" s="568"/>
      <c r="Q100" s="569"/>
    </row>
    <row r="101" spans="1:22" ht="15">
      <c r="I101" s="1217"/>
      <c r="J101" s="1217"/>
      <c r="K101" s="1217"/>
      <c r="L101" s="1217"/>
      <c r="N101" s="1217"/>
      <c r="O101" s="1217"/>
      <c r="P101" s="1217"/>
      <c r="Q101" s="1217"/>
    </row>
    <row r="102" spans="1:22">
      <c r="I102" s="567"/>
      <c r="J102" s="568"/>
      <c r="K102" s="568"/>
      <c r="L102" s="569"/>
      <c r="N102" s="567"/>
      <c r="O102" s="568"/>
      <c r="P102" s="568"/>
      <c r="Q102" s="569"/>
    </row>
    <row r="103" spans="1:22">
      <c r="I103" s="570"/>
      <c r="J103" s="568"/>
      <c r="K103" s="571"/>
      <c r="L103" s="569"/>
      <c r="N103" s="570"/>
      <c r="O103" s="568"/>
      <c r="P103" s="571"/>
      <c r="Q103" s="569"/>
    </row>
    <row r="104" spans="1:22">
      <c r="I104" s="570"/>
      <c r="J104" s="568"/>
      <c r="K104" s="568"/>
      <c r="L104" s="569"/>
      <c r="N104" s="570"/>
      <c r="O104" s="568"/>
      <c r="P104" s="568"/>
      <c r="Q104" s="569"/>
    </row>
    <row r="105" spans="1:22" ht="15">
      <c r="I105" s="1217"/>
      <c r="J105" s="1217"/>
      <c r="K105" s="1217"/>
      <c r="L105" s="1217"/>
      <c r="N105" s="1217"/>
      <c r="O105" s="1217"/>
      <c r="P105" s="1217"/>
      <c r="Q105" s="1217"/>
    </row>
    <row r="106" spans="1:22">
      <c r="I106" s="567"/>
      <c r="J106" s="568"/>
      <c r="K106" s="568"/>
      <c r="L106" s="569"/>
      <c r="N106" s="567"/>
      <c r="O106" s="568"/>
      <c r="P106" s="568"/>
      <c r="Q106" s="569"/>
    </row>
    <row r="107" spans="1:22">
      <c r="I107" s="570"/>
      <c r="J107" s="568"/>
      <c r="K107" s="571"/>
      <c r="L107" s="569"/>
      <c r="N107" s="570"/>
      <c r="O107" s="568"/>
      <c r="P107" s="571"/>
      <c r="Q107" s="569"/>
    </row>
    <row r="108" spans="1:22">
      <c r="I108" s="570"/>
      <c r="J108" s="568"/>
      <c r="K108" s="568"/>
      <c r="L108" s="569"/>
      <c r="N108" s="570"/>
      <c r="O108" s="568"/>
      <c r="P108" s="568"/>
      <c r="Q108" s="569"/>
    </row>
    <row r="110" spans="1:22">
      <c r="A110" s="3" t="s">
        <v>69</v>
      </c>
    </row>
    <row r="111" spans="1:22" ht="25">
      <c r="A111" s="298" t="s">
        <v>238</v>
      </c>
      <c r="B111" s="298" t="s">
        <v>209</v>
      </c>
      <c r="C111" s="299" t="s">
        <v>582</v>
      </c>
      <c r="D111" s="300" t="s">
        <v>583</v>
      </c>
      <c r="E111" s="300" t="s">
        <v>584</v>
      </c>
      <c r="F111" s="298" t="s">
        <v>585</v>
      </c>
      <c r="G111" s="298" t="s">
        <v>589</v>
      </c>
      <c r="H111" s="300" t="s">
        <v>588</v>
      </c>
      <c r="I111" s="1217"/>
      <c r="J111" s="1217"/>
      <c r="K111" s="1217"/>
      <c r="L111" s="1217"/>
      <c r="N111" s="1217"/>
      <c r="O111" s="1217"/>
      <c r="P111" s="1217"/>
      <c r="Q111" s="1217"/>
      <c r="S111" s="1218"/>
      <c r="T111" s="1218"/>
      <c r="U111" s="1218"/>
      <c r="V111" s="1218"/>
    </row>
    <row r="112" spans="1:22">
      <c r="A112" s="287">
        <f>ID!C131</f>
        <v>250</v>
      </c>
      <c r="B112" s="287">
        <f>ID!D131</f>
        <v>20</v>
      </c>
      <c r="C112" s="296" t="e">
        <f>ID!H131</f>
        <v>#DIV/0!</v>
      </c>
      <c r="D112" s="297">
        <v>0</v>
      </c>
      <c r="E112" s="306" t="e">
        <f>C112+D112</f>
        <v>#DIV/0!</v>
      </c>
      <c r="F112" s="566" t="e">
        <f>'UB BONE'!J12</f>
        <v>#DIV/0!</v>
      </c>
      <c r="G112" s="306" t="e">
        <f>E112-A112</f>
        <v>#DIV/0!</v>
      </c>
      <c r="H112" s="306" t="e">
        <f>((A112-E112)/A112)*100</f>
        <v>#DIV/0!</v>
      </c>
      <c r="I112" s="567"/>
      <c r="J112" s="568"/>
      <c r="K112" s="568"/>
      <c r="L112" s="569"/>
      <c r="N112" s="567"/>
      <c r="O112" s="568"/>
      <c r="P112" s="568"/>
      <c r="Q112" s="569"/>
      <c r="S112" s="309"/>
      <c r="T112" s="310"/>
      <c r="U112" s="310"/>
      <c r="V112" s="311"/>
    </row>
    <row r="113" spans="1:22">
      <c r="A113" s="287">
        <f>ID!C132</f>
        <v>500</v>
      </c>
      <c r="B113" s="287">
        <f>ID!D132</f>
        <v>50</v>
      </c>
      <c r="C113" s="296" t="e">
        <f>ID!H132</f>
        <v>#DIV/0!</v>
      </c>
      <c r="D113" s="297">
        <v>0</v>
      </c>
      <c r="E113" s="306" t="e">
        <f t="shared" ref="E113:E119" si="10">C113+D113</f>
        <v>#DIV/0!</v>
      </c>
      <c r="F113" s="566" t="e">
        <f>'UB BONE'!J23</f>
        <v>#DIV/0!</v>
      </c>
      <c r="G113" s="306" t="e">
        <f t="shared" ref="G113:G119" si="11">E113-A113</f>
        <v>#DIV/0!</v>
      </c>
      <c r="H113" s="306" t="e">
        <f t="shared" ref="H113:H119" si="12">((A113-E113)/A113)*100</f>
        <v>#DIV/0!</v>
      </c>
      <c r="I113" s="570"/>
      <c r="J113" s="568"/>
      <c r="K113" s="571"/>
      <c r="L113" s="569"/>
      <c r="N113" s="570"/>
      <c r="O113" s="568"/>
      <c r="P113" s="571"/>
      <c r="Q113" s="569"/>
      <c r="S113" s="312"/>
      <c r="T113" s="310"/>
      <c r="U113" s="313"/>
      <c r="V113" s="311"/>
    </row>
    <row r="114" spans="1:22">
      <c r="A114" s="287">
        <f>ID!C133</f>
        <v>750</v>
      </c>
      <c r="B114" s="287">
        <f>ID!D133</f>
        <v>50</v>
      </c>
      <c r="C114" s="296" t="e">
        <f>ID!H133</f>
        <v>#DIV/0!</v>
      </c>
      <c r="D114" s="297">
        <v>0</v>
      </c>
      <c r="E114" s="306" t="e">
        <f t="shared" si="10"/>
        <v>#DIV/0!</v>
      </c>
      <c r="F114" s="566" t="e">
        <f>'UB BONE'!J34</f>
        <v>#DIV/0!</v>
      </c>
      <c r="G114" s="306" t="e">
        <f t="shared" si="11"/>
        <v>#DIV/0!</v>
      </c>
      <c r="H114" s="306" t="e">
        <f t="shared" si="12"/>
        <v>#DIV/0!</v>
      </c>
      <c r="I114" s="570"/>
      <c r="J114" s="568"/>
      <c r="K114" s="568"/>
      <c r="L114" s="569"/>
      <c r="N114" s="570"/>
      <c r="O114" s="568"/>
      <c r="P114" s="568"/>
      <c r="Q114" s="569"/>
      <c r="S114" s="312"/>
      <c r="T114" s="310"/>
      <c r="U114" s="310"/>
      <c r="V114" s="311"/>
    </row>
    <row r="115" spans="1:22" ht="15">
      <c r="A115" s="287">
        <f>ID!C134</f>
        <v>1000</v>
      </c>
      <c r="B115" s="287">
        <f>ID!D134</f>
        <v>60</v>
      </c>
      <c r="C115" s="296" t="e">
        <f>ID!H134</f>
        <v>#DIV/0!</v>
      </c>
      <c r="D115" s="297">
        <v>0</v>
      </c>
      <c r="E115" s="306" t="e">
        <f t="shared" si="10"/>
        <v>#DIV/0!</v>
      </c>
      <c r="F115" s="566" t="e">
        <f>'UB BONE'!J45</f>
        <v>#DIV/0!</v>
      </c>
      <c r="G115" s="306" t="e">
        <f t="shared" si="11"/>
        <v>#DIV/0!</v>
      </c>
      <c r="H115" s="306" t="e">
        <f t="shared" si="12"/>
        <v>#DIV/0!</v>
      </c>
      <c r="I115" s="1217"/>
      <c r="J115" s="1217"/>
      <c r="K115" s="1217"/>
      <c r="L115" s="1217"/>
      <c r="N115" s="1217"/>
      <c r="O115" s="1217"/>
      <c r="P115" s="1217"/>
      <c r="Q115" s="1217"/>
    </row>
    <row r="116" spans="1:22">
      <c r="A116" s="287">
        <f>ID!C135</f>
        <v>1500</v>
      </c>
      <c r="B116" s="287">
        <f>ID!D135</f>
        <v>60</v>
      </c>
      <c r="C116" s="296" t="e">
        <f>ID!H135</f>
        <v>#DIV/0!</v>
      </c>
      <c r="D116" s="297">
        <v>0</v>
      </c>
      <c r="E116" s="306" t="e">
        <f t="shared" si="10"/>
        <v>#DIV/0!</v>
      </c>
      <c r="F116" s="566" t="e">
        <f>'UB BONE'!J56</f>
        <v>#DIV/0!</v>
      </c>
      <c r="G116" s="306" t="e">
        <f t="shared" si="11"/>
        <v>#DIV/0!</v>
      </c>
      <c r="H116" s="306" t="e">
        <f t="shared" si="12"/>
        <v>#DIV/0!</v>
      </c>
      <c r="I116" s="567"/>
      <c r="J116" s="568"/>
      <c r="K116" s="568"/>
      <c r="L116" s="569"/>
      <c r="N116" s="567"/>
      <c r="O116" s="568"/>
      <c r="P116" s="568"/>
      <c r="Q116" s="569"/>
    </row>
    <row r="117" spans="1:22">
      <c r="A117" s="287">
        <f>ID!C136</f>
        <v>2000</v>
      </c>
      <c r="B117" s="287">
        <f>ID!D136</f>
        <v>60</v>
      </c>
      <c r="C117" s="296" t="e">
        <f>ID!H136</f>
        <v>#DIV/0!</v>
      </c>
      <c r="D117" s="297">
        <v>0</v>
      </c>
      <c r="E117" s="306" t="e">
        <f t="shared" si="10"/>
        <v>#DIV/0!</v>
      </c>
      <c r="F117" s="566" t="e">
        <f>'UB BONE'!J67</f>
        <v>#DIV/0!</v>
      </c>
      <c r="G117" s="306" t="e">
        <f t="shared" si="11"/>
        <v>#DIV/0!</v>
      </c>
      <c r="H117" s="306" t="e">
        <f t="shared" si="12"/>
        <v>#DIV/0!</v>
      </c>
      <c r="I117" s="570"/>
      <c r="J117" s="568"/>
      <c r="K117" s="571"/>
      <c r="L117" s="569"/>
      <c r="N117" s="570"/>
      <c r="O117" s="568"/>
      <c r="P117" s="571"/>
      <c r="Q117" s="569"/>
    </row>
    <row r="118" spans="1:22">
      <c r="A118" s="287">
        <f>ID!C137</f>
        <v>3000</v>
      </c>
      <c r="B118" s="287">
        <f>ID!D137</f>
        <v>60</v>
      </c>
      <c r="C118" s="296" t="e">
        <f>ID!H137</f>
        <v>#DIV/0!</v>
      </c>
      <c r="D118" s="297">
        <v>0</v>
      </c>
      <c r="E118" s="306" t="e">
        <f t="shared" si="10"/>
        <v>#DIV/0!</v>
      </c>
      <c r="F118" s="566" t="e">
        <f>'UB BONE'!J78</f>
        <v>#DIV/0!</v>
      </c>
      <c r="G118" s="306" t="e">
        <f t="shared" si="11"/>
        <v>#DIV/0!</v>
      </c>
      <c r="H118" s="306" t="e">
        <f t="shared" si="12"/>
        <v>#DIV/0!</v>
      </c>
      <c r="I118" s="570"/>
      <c r="J118" s="568"/>
      <c r="K118" s="568"/>
      <c r="L118" s="569"/>
      <c r="N118" s="570"/>
      <c r="O118" s="568"/>
      <c r="P118" s="568"/>
      <c r="Q118" s="569"/>
    </row>
    <row r="119" spans="1:22" ht="15">
      <c r="A119" s="287">
        <f>ID!C138</f>
        <v>4000</v>
      </c>
      <c r="B119" s="287">
        <f>ID!D138</f>
        <v>60</v>
      </c>
      <c r="C119" s="296" t="e">
        <f>ID!H138</f>
        <v>#DIV/0!</v>
      </c>
      <c r="D119" s="297">
        <v>0</v>
      </c>
      <c r="E119" s="306" t="e">
        <f t="shared" si="10"/>
        <v>#DIV/0!</v>
      </c>
      <c r="F119" s="566" t="e">
        <f>'UB BONE'!J89</f>
        <v>#DIV/0!</v>
      </c>
      <c r="G119" s="306" t="e">
        <f t="shared" si="11"/>
        <v>#DIV/0!</v>
      </c>
      <c r="H119" s="306" t="e">
        <f t="shared" si="12"/>
        <v>#DIV/0!</v>
      </c>
      <c r="I119" s="1217"/>
      <c r="J119" s="1217"/>
      <c r="K119" s="1217"/>
      <c r="L119" s="1217"/>
      <c r="N119" s="1217"/>
      <c r="O119" s="1217"/>
      <c r="P119" s="1217"/>
      <c r="Q119" s="1217"/>
    </row>
    <row r="120" spans="1:22">
      <c r="I120" s="567"/>
      <c r="J120" s="568"/>
      <c r="K120" s="568"/>
      <c r="L120" s="569"/>
      <c r="N120" s="567"/>
      <c r="O120" s="568"/>
      <c r="P120" s="568"/>
      <c r="Q120" s="569"/>
    </row>
    <row r="121" spans="1:22">
      <c r="I121" s="570"/>
      <c r="J121" s="568"/>
      <c r="K121" s="571"/>
      <c r="L121" s="569"/>
      <c r="N121" s="570"/>
      <c r="O121" s="568"/>
      <c r="P121" s="571"/>
      <c r="Q121" s="569"/>
    </row>
    <row r="122" spans="1:22">
      <c r="I122" s="570"/>
      <c r="J122" s="568"/>
      <c r="K122" s="568"/>
      <c r="L122" s="569"/>
      <c r="N122" s="570"/>
      <c r="O122" s="568"/>
      <c r="P122" s="568"/>
      <c r="Q122" s="569"/>
    </row>
    <row r="123" spans="1:22" ht="15">
      <c r="I123" s="1217"/>
      <c r="J123" s="1217"/>
      <c r="K123" s="1217"/>
      <c r="L123" s="1217"/>
      <c r="N123" s="1218"/>
      <c r="O123" s="1218"/>
      <c r="P123" s="1218"/>
      <c r="Q123" s="1218"/>
    </row>
    <row r="124" spans="1:22">
      <c r="I124" s="567"/>
      <c r="J124" s="568"/>
      <c r="K124" s="568"/>
      <c r="L124" s="569"/>
      <c r="N124" s="309"/>
      <c r="O124" s="310"/>
      <c r="P124" s="310"/>
      <c r="Q124" s="311"/>
    </row>
    <row r="125" spans="1:22">
      <c r="I125" s="570"/>
      <c r="J125" s="568"/>
      <c r="K125" s="571"/>
      <c r="L125" s="569"/>
      <c r="N125" s="312"/>
      <c r="O125" s="310"/>
      <c r="P125" s="313"/>
      <c r="Q125" s="311"/>
    </row>
    <row r="126" spans="1:22">
      <c r="I126" s="570"/>
      <c r="J126" s="568"/>
      <c r="K126" s="568"/>
      <c r="L126" s="569"/>
      <c r="N126" s="312"/>
      <c r="O126" s="310"/>
      <c r="P126" s="310"/>
      <c r="Q126" s="311"/>
    </row>
    <row r="127" spans="1:22" ht="15">
      <c r="I127" s="1217"/>
      <c r="J127" s="1217"/>
      <c r="K127" s="1217"/>
      <c r="L127" s="1217"/>
      <c r="N127" s="1218"/>
      <c r="O127" s="1218"/>
      <c r="P127" s="1218"/>
      <c r="Q127" s="1218"/>
    </row>
    <row r="128" spans="1:22">
      <c r="I128" s="567"/>
      <c r="J128" s="568"/>
      <c r="K128" s="568"/>
      <c r="L128" s="569"/>
      <c r="N128" s="309"/>
      <c r="O128" s="310"/>
      <c r="P128" s="310"/>
      <c r="Q128" s="311"/>
    </row>
    <row r="129" spans="1:17">
      <c r="I129" s="570"/>
      <c r="J129" s="568"/>
      <c r="K129" s="571"/>
      <c r="L129" s="569"/>
      <c r="N129" s="312"/>
      <c r="O129" s="310"/>
      <c r="P129" s="313"/>
      <c r="Q129" s="311"/>
    </row>
    <row r="130" spans="1:17">
      <c r="I130" s="570"/>
      <c r="J130" s="568"/>
      <c r="K130" s="568"/>
      <c r="L130" s="569"/>
      <c r="N130" s="312"/>
      <c r="O130" s="310"/>
      <c r="P130" s="310"/>
      <c r="Q130" s="311"/>
    </row>
    <row r="133" spans="1:17" ht="18">
      <c r="A133" s="307" t="s">
        <v>590</v>
      </c>
    </row>
    <row r="134" spans="1:17" ht="13">
      <c r="A134" s="318" t="s">
        <v>298</v>
      </c>
    </row>
    <row r="135" spans="1:17">
      <c r="A135" s="298" t="s">
        <v>590</v>
      </c>
      <c r="B135" s="299" t="s">
        <v>582</v>
      </c>
      <c r="C135" s="298" t="s">
        <v>585</v>
      </c>
      <c r="D135" s="298" t="s">
        <v>293</v>
      </c>
      <c r="E135" s="469"/>
    </row>
    <row r="136" spans="1:17">
      <c r="A136" s="287">
        <f>ID!C48</f>
        <v>125</v>
      </c>
      <c r="B136" s="306">
        <f>ID!H48</f>
        <v>125</v>
      </c>
      <c r="C136" s="566">
        <f>'UB Earphone Kanan'!J179</f>
        <v>0.50213977802519028</v>
      </c>
      <c r="D136" s="306">
        <f>B136-A136</f>
        <v>0</v>
      </c>
      <c r="E136" s="470"/>
    </row>
    <row r="137" spans="1:17">
      <c r="A137" s="287">
        <f>ID!C49</f>
        <v>250</v>
      </c>
      <c r="B137" s="306">
        <f>ID!H49</f>
        <v>250</v>
      </c>
      <c r="C137" s="566">
        <f>'UB Earphone Kanan'!J190</f>
        <v>0.50213977802519028</v>
      </c>
      <c r="D137" s="306">
        <f t="shared" ref="D137:D146" si="13">B137-A137</f>
        <v>0</v>
      </c>
      <c r="E137" s="470"/>
    </row>
    <row r="138" spans="1:17">
      <c r="A138" s="287">
        <f>ID!C50</f>
        <v>500</v>
      </c>
      <c r="B138" s="306">
        <f>ID!H50</f>
        <v>500</v>
      </c>
      <c r="C138" s="566">
        <f>'UB Earphone Kanan'!J201</f>
        <v>0.50213977802519028</v>
      </c>
      <c r="D138" s="306">
        <f t="shared" si="13"/>
        <v>0</v>
      </c>
      <c r="E138" s="470"/>
    </row>
    <row r="139" spans="1:17">
      <c r="A139" s="287">
        <f>ID!C51</f>
        <v>750</v>
      </c>
      <c r="B139" s="306">
        <f>ID!H51</f>
        <v>750</v>
      </c>
      <c r="C139" s="566">
        <f>'UB Earphone Kanan'!J212</f>
        <v>0.50213977802519028</v>
      </c>
      <c r="D139" s="306">
        <f t="shared" si="13"/>
        <v>0</v>
      </c>
      <c r="E139" s="470"/>
    </row>
    <row r="140" spans="1:17">
      <c r="A140" s="287">
        <f>ID!C52</f>
        <v>1000</v>
      </c>
      <c r="B140" s="306">
        <f>ID!H52</f>
        <v>1000</v>
      </c>
      <c r="C140" s="566">
        <f>'UB Earphone Kanan'!J224</f>
        <v>0.50213977802519028</v>
      </c>
      <c r="D140" s="306">
        <f t="shared" si="13"/>
        <v>0</v>
      </c>
      <c r="E140" s="529"/>
    </row>
    <row r="141" spans="1:17">
      <c r="A141" s="287">
        <f>ID!C53</f>
        <v>1500</v>
      </c>
      <c r="B141" s="306">
        <f>ID!H53</f>
        <v>1500</v>
      </c>
      <c r="C141" s="566">
        <f>'UB Earphone Kanan'!J235</f>
        <v>0.50213977802519028</v>
      </c>
      <c r="D141" s="306">
        <f t="shared" si="13"/>
        <v>0</v>
      </c>
      <c r="E141" s="529"/>
    </row>
    <row r="142" spans="1:17">
      <c r="A142" s="287">
        <f>ID!C54</f>
        <v>2000</v>
      </c>
      <c r="B142" s="306">
        <f>ID!H54</f>
        <v>2000</v>
      </c>
      <c r="C142" s="566">
        <f>'UB Earphone Kanan'!J246</f>
        <v>0.50213977802519028</v>
      </c>
      <c r="D142" s="306">
        <f t="shared" si="13"/>
        <v>0</v>
      </c>
      <c r="E142" s="529"/>
    </row>
    <row r="143" spans="1:17">
      <c r="A143" s="287">
        <f>ID!C55</f>
        <v>3000</v>
      </c>
      <c r="B143" s="306">
        <f>ID!H55</f>
        <v>3000</v>
      </c>
      <c r="C143" s="566">
        <f>'UB Earphone Kanan'!J257</f>
        <v>0.50213977802519028</v>
      </c>
      <c r="D143" s="306">
        <f t="shared" si="13"/>
        <v>0</v>
      </c>
      <c r="E143" s="529"/>
    </row>
    <row r="144" spans="1:17">
      <c r="A144" s="287">
        <f>ID!C56</f>
        <v>4000</v>
      </c>
      <c r="B144" s="306">
        <f>ID!H56</f>
        <v>4000</v>
      </c>
      <c r="C144" s="566">
        <f>'UB Earphone Kanan'!J268</f>
        <v>0.50213977802519028</v>
      </c>
      <c r="D144" s="306">
        <f t="shared" si="13"/>
        <v>0</v>
      </c>
      <c r="E144" s="529"/>
    </row>
    <row r="145" spans="1:5">
      <c r="A145" s="287">
        <f>ID!C57</f>
        <v>6000</v>
      </c>
      <c r="B145" s="306">
        <f>ID!H57</f>
        <v>6000</v>
      </c>
      <c r="C145" s="566">
        <f>'UB Earphone Kanan'!J279</f>
        <v>0.50213977802519028</v>
      </c>
      <c r="D145" s="306">
        <f t="shared" si="13"/>
        <v>0</v>
      </c>
      <c r="E145" s="529"/>
    </row>
    <row r="146" spans="1:5">
      <c r="A146" s="287">
        <f>ID!C58</f>
        <v>8000</v>
      </c>
      <c r="B146" s="306">
        <f>ID!H58</f>
        <v>8000</v>
      </c>
      <c r="C146" s="566">
        <f>'UB Earphone Kanan'!J290</f>
        <v>0.50213977802519028</v>
      </c>
      <c r="D146" s="306">
        <f t="shared" si="13"/>
        <v>0</v>
      </c>
      <c r="E146" s="529"/>
    </row>
    <row r="148" spans="1:5" ht="13">
      <c r="A148" s="318" t="s">
        <v>305</v>
      </c>
    </row>
    <row r="149" spans="1:5">
      <c r="A149" s="298" t="s">
        <v>590</v>
      </c>
      <c r="B149" s="298" t="s">
        <v>582</v>
      </c>
      <c r="C149" s="298" t="s">
        <v>585</v>
      </c>
      <c r="D149" s="298" t="s">
        <v>293</v>
      </c>
      <c r="E149" s="469"/>
    </row>
    <row r="150" spans="1:5">
      <c r="A150" s="287">
        <f>ID!C94</f>
        <v>125</v>
      </c>
      <c r="B150" s="306">
        <f>ID!H94</f>
        <v>125</v>
      </c>
      <c r="C150" s="566">
        <f>'UB Earphone Kiri'!J179</f>
        <v>0.50213977802519028</v>
      </c>
      <c r="D150" s="306">
        <f>B150-A150</f>
        <v>0</v>
      </c>
      <c r="E150" s="470"/>
    </row>
    <row r="151" spans="1:5">
      <c r="A151" s="287">
        <f>ID!C95</f>
        <v>250</v>
      </c>
      <c r="B151" s="306">
        <f>ID!H95</f>
        <v>250</v>
      </c>
      <c r="C151" s="566">
        <f>'UB Earphone Kiri'!J190</f>
        <v>0.50213977802519028</v>
      </c>
      <c r="D151" s="306">
        <f t="shared" ref="D151:D160" si="14">B151-A151</f>
        <v>0</v>
      </c>
      <c r="E151" s="470"/>
    </row>
    <row r="152" spans="1:5">
      <c r="A152" s="287">
        <f>ID!C96</f>
        <v>500</v>
      </c>
      <c r="B152" s="306">
        <f>ID!H96</f>
        <v>500</v>
      </c>
      <c r="C152" s="566">
        <f>'UB Earphone Kiri'!J201</f>
        <v>0.50213977802519028</v>
      </c>
      <c r="D152" s="306">
        <f t="shared" si="14"/>
        <v>0</v>
      </c>
      <c r="E152" s="470"/>
    </row>
    <row r="153" spans="1:5">
      <c r="A153" s="287">
        <f>ID!C97</f>
        <v>750</v>
      </c>
      <c r="B153" s="306">
        <f>ID!H97</f>
        <v>750</v>
      </c>
      <c r="C153" s="566">
        <f>'UB Earphone Kiri'!J212</f>
        <v>0.50213977802519028</v>
      </c>
      <c r="D153" s="306">
        <f t="shared" si="14"/>
        <v>0</v>
      </c>
      <c r="E153" s="530"/>
    </row>
    <row r="154" spans="1:5">
      <c r="A154" s="287">
        <f>ID!C98</f>
        <v>1000</v>
      </c>
      <c r="B154" s="306">
        <f>ID!H98</f>
        <v>1000</v>
      </c>
      <c r="C154" s="566">
        <f>'UB Earphone Kiri'!J224</f>
        <v>0.50213977802519028</v>
      </c>
      <c r="D154" s="306">
        <f t="shared" si="14"/>
        <v>0</v>
      </c>
      <c r="E154" s="529"/>
    </row>
    <row r="155" spans="1:5">
      <c r="A155" s="287">
        <f>ID!C99</f>
        <v>1500</v>
      </c>
      <c r="B155" s="306">
        <f>ID!H99</f>
        <v>1500</v>
      </c>
      <c r="C155" s="566">
        <f>'UB Earphone Kiri'!J235</f>
        <v>0.50213977802519028</v>
      </c>
      <c r="D155" s="306">
        <f t="shared" si="14"/>
        <v>0</v>
      </c>
      <c r="E155" s="529"/>
    </row>
    <row r="156" spans="1:5">
      <c r="A156" s="287">
        <f>ID!C100</f>
        <v>2000</v>
      </c>
      <c r="B156" s="306">
        <f>ID!H100</f>
        <v>2000</v>
      </c>
      <c r="C156" s="566">
        <f>'UB Earphone Kiri'!J246</f>
        <v>0.50213977802519028</v>
      </c>
      <c r="D156" s="306">
        <f t="shared" si="14"/>
        <v>0</v>
      </c>
      <c r="E156" s="529"/>
    </row>
    <row r="157" spans="1:5">
      <c r="A157" s="287">
        <f>ID!C101</f>
        <v>3000</v>
      </c>
      <c r="B157" s="306">
        <f>ID!H101</f>
        <v>3000</v>
      </c>
      <c r="C157" s="566">
        <f>'UB Earphone Kiri'!J257</f>
        <v>0.50213977802519028</v>
      </c>
      <c r="D157" s="306">
        <f t="shared" si="14"/>
        <v>0</v>
      </c>
      <c r="E157" s="529"/>
    </row>
    <row r="158" spans="1:5">
      <c r="A158" s="287">
        <f>ID!C102</f>
        <v>4000</v>
      </c>
      <c r="B158" s="306">
        <f>ID!H102</f>
        <v>3999</v>
      </c>
      <c r="C158" s="566">
        <f>'UB Earphone Kiri'!J268</f>
        <v>0.50213977802519028</v>
      </c>
      <c r="D158" s="306">
        <f t="shared" si="14"/>
        <v>-1</v>
      </c>
      <c r="E158" s="529"/>
    </row>
    <row r="159" spans="1:5">
      <c r="A159" s="287">
        <f>ID!C103</f>
        <v>6000</v>
      </c>
      <c r="B159" s="306">
        <f>ID!H103</f>
        <v>6000</v>
      </c>
      <c r="C159" s="566">
        <f>'UB Earphone Kiri'!J279</f>
        <v>0.50213977802519028</v>
      </c>
      <c r="D159" s="306">
        <f t="shared" si="14"/>
        <v>0</v>
      </c>
      <c r="E159" s="529"/>
    </row>
    <row r="160" spans="1:5">
      <c r="A160" s="287">
        <f>ID!C104</f>
        <v>8000</v>
      </c>
      <c r="B160" s="306">
        <f>ID!H104</f>
        <v>8000</v>
      </c>
      <c r="C160" s="566">
        <f>'UB Earphone Kiri'!J290</f>
        <v>0.50213977802519028</v>
      </c>
      <c r="D160" s="306">
        <f t="shared" si="14"/>
        <v>0</v>
      </c>
      <c r="E160" s="529"/>
    </row>
  </sheetData>
  <mergeCells count="57">
    <mergeCell ref="A2:C2"/>
    <mergeCell ref="I18:L18"/>
    <mergeCell ref="I22:L22"/>
    <mergeCell ref="I26:L26"/>
    <mergeCell ref="I44:L44"/>
    <mergeCell ref="N44:Q44"/>
    <mergeCell ref="I30:L30"/>
    <mergeCell ref="I34:L34"/>
    <mergeCell ref="N18:Q18"/>
    <mergeCell ref="N22:Q22"/>
    <mergeCell ref="N26:Q26"/>
    <mergeCell ref="N30:Q30"/>
    <mergeCell ref="N34:Q34"/>
    <mergeCell ref="S18:V18"/>
    <mergeCell ref="E2:S2"/>
    <mergeCell ref="I40:L40"/>
    <mergeCell ref="N40:Q40"/>
    <mergeCell ref="S40:V40"/>
    <mergeCell ref="I48:L48"/>
    <mergeCell ref="N48:Q48"/>
    <mergeCell ref="I52:L52"/>
    <mergeCell ref="N52:Q52"/>
    <mergeCell ref="I56:L56"/>
    <mergeCell ref="N56:Q56"/>
    <mergeCell ref="S65:V65"/>
    <mergeCell ref="I69:L69"/>
    <mergeCell ref="N69:Q69"/>
    <mergeCell ref="I77:L77"/>
    <mergeCell ref="N77:Q77"/>
    <mergeCell ref="I73:L73"/>
    <mergeCell ref="N73:Q73"/>
    <mergeCell ref="I65:L65"/>
    <mergeCell ref="N65:Q65"/>
    <mergeCell ref="I81:L81"/>
    <mergeCell ref="N81:Q81"/>
    <mergeCell ref="I93:L93"/>
    <mergeCell ref="N93:Q93"/>
    <mergeCell ref="I89:L89"/>
    <mergeCell ref="N89:Q89"/>
    <mergeCell ref="S89:V89"/>
    <mergeCell ref="I97:L97"/>
    <mergeCell ref="N97:Q97"/>
    <mergeCell ref="I101:L101"/>
    <mergeCell ref="N101:Q101"/>
    <mergeCell ref="I105:L105"/>
    <mergeCell ref="N105:Q105"/>
    <mergeCell ref="S111:V111"/>
    <mergeCell ref="I115:L115"/>
    <mergeCell ref="N115:Q115"/>
    <mergeCell ref="I111:L111"/>
    <mergeCell ref="N111:Q111"/>
    <mergeCell ref="I119:L119"/>
    <mergeCell ref="N119:Q119"/>
    <mergeCell ref="I123:L123"/>
    <mergeCell ref="N123:Q123"/>
    <mergeCell ref="I127:L127"/>
    <mergeCell ref="N127:Q127"/>
  </mergeCells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89"/>
  <sheetViews>
    <sheetView view="pageBreakPreview" topLeftCell="A28" zoomScale="130" zoomScaleNormal="100" zoomScaleSheetLayoutView="130" workbookViewId="0">
      <selection activeCell="I27" sqref="I27"/>
    </sheetView>
  </sheetViews>
  <sheetFormatPr defaultRowHeight="12.5"/>
  <cols>
    <col min="1" max="1" width="17.81640625" customWidth="1"/>
    <col min="2" max="2" width="17.26953125" customWidth="1"/>
    <col min="3" max="3" width="16.26953125" customWidth="1"/>
    <col min="4" max="4" width="13" customWidth="1"/>
    <col min="5" max="5" width="13.26953125" customWidth="1"/>
    <col min="6" max="6" width="12.1796875" customWidth="1"/>
    <col min="7" max="7" width="8.1796875" customWidth="1"/>
    <col min="8" max="8" width="5.453125" customWidth="1"/>
    <col min="9" max="9" width="13.54296875" customWidth="1"/>
    <col min="11" max="11" width="12" customWidth="1"/>
    <col min="12" max="12" width="12.54296875" customWidth="1"/>
    <col min="14" max="14" width="12.26953125" customWidth="1"/>
    <col min="15" max="15" width="12" customWidth="1"/>
    <col min="17" max="18" width="12.26953125" customWidth="1"/>
    <col min="20" max="20" width="13.453125" customWidth="1"/>
    <col min="21" max="21" width="12.1796875" customWidth="1"/>
    <col min="23" max="23" width="10.7265625" customWidth="1"/>
  </cols>
  <sheetData>
    <row r="2" spans="1:9" ht="76.5" customHeight="1">
      <c r="A2" s="19" t="s">
        <v>591</v>
      </c>
      <c r="B2" s="18" t="s">
        <v>592</v>
      </c>
      <c r="C2" s="581" t="s">
        <v>593</v>
      </c>
      <c r="D2" s="582" t="s">
        <v>594</v>
      </c>
      <c r="E2" s="582" t="s">
        <v>595</v>
      </c>
      <c r="F2" s="582" t="s">
        <v>167</v>
      </c>
    </row>
    <row r="3" spans="1:9" ht="15.5">
      <c r="A3" s="23" t="s">
        <v>596</v>
      </c>
      <c r="B3" s="21">
        <v>0.1</v>
      </c>
      <c r="C3" s="24">
        <v>0.15</v>
      </c>
      <c r="D3" s="24">
        <v>0.1</v>
      </c>
      <c r="E3" s="24">
        <v>0.1</v>
      </c>
      <c r="F3" s="24">
        <v>0.1</v>
      </c>
      <c r="I3" s="231"/>
    </row>
    <row r="4" spans="1:9" ht="15.5">
      <c r="A4" s="23" t="s">
        <v>597</v>
      </c>
      <c r="B4" s="24">
        <v>0.01</v>
      </c>
      <c r="C4" s="24">
        <v>0.8</v>
      </c>
      <c r="D4" s="24">
        <v>0.5</v>
      </c>
      <c r="E4" s="24">
        <v>0.5</v>
      </c>
      <c r="F4" s="24">
        <v>0.5</v>
      </c>
      <c r="I4" s="231"/>
    </row>
    <row r="5" spans="1:9" ht="15.5">
      <c r="A5" s="23" t="s">
        <v>598</v>
      </c>
      <c r="B5" s="24">
        <v>0.25</v>
      </c>
      <c r="C5" s="24">
        <v>0.25</v>
      </c>
      <c r="D5" s="24">
        <v>0.25</v>
      </c>
      <c r="E5" s="24">
        <v>0.25</v>
      </c>
      <c r="F5" s="24">
        <v>0.25</v>
      </c>
      <c r="I5" s="231"/>
    </row>
    <row r="6" spans="1:9" ht="15.5">
      <c r="A6" s="1"/>
      <c r="B6" s="22"/>
      <c r="C6" s="22"/>
      <c r="I6" s="231"/>
    </row>
    <row r="7" spans="1:9" ht="78.75" customHeight="1">
      <c r="A7" s="232" t="s">
        <v>599</v>
      </c>
      <c r="B7" s="18" t="s">
        <v>592</v>
      </c>
      <c r="C7" s="583" t="s">
        <v>593</v>
      </c>
      <c r="D7" s="584" t="s">
        <v>594</v>
      </c>
      <c r="E7" s="584" t="s">
        <v>595</v>
      </c>
      <c r="F7" s="584" t="s">
        <v>167</v>
      </c>
    </row>
    <row r="8" spans="1:9" ht="27" customHeight="1">
      <c r="A8" s="23" t="s">
        <v>596</v>
      </c>
      <c r="B8" s="21">
        <v>0.3</v>
      </c>
      <c r="C8" s="21">
        <v>0.4</v>
      </c>
      <c r="D8" s="21">
        <v>0.16</v>
      </c>
      <c r="E8" s="21">
        <v>0.16</v>
      </c>
      <c r="F8" s="21">
        <v>0.16</v>
      </c>
    </row>
    <row r="9" spans="1:9" ht="13">
      <c r="A9" s="1"/>
      <c r="B9" s="22"/>
      <c r="C9" s="22"/>
    </row>
    <row r="10" spans="1:9" ht="13">
      <c r="A10" s="1"/>
      <c r="B10" s="22"/>
      <c r="C10" s="22"/>
    </row>
    <row r="11" spans="1:9" ht="13">
      <c r="A11" s="1"/>
      <c r="B11" s="22"/>
      <c r="C11" s="22"/>
    </row>
    <row r="12" spans="1:9" ht="13">
      <c r="A12" s="13"/>
      <c r="B12" s="12"/>
      <c r="C12" s="12"/>
    </row>
    <row r="13" spans="1:9" ht="87" customHeight="1">
      <c r="A13" s="20" t="s">
        <v>600</v>
      </c>
      <c r="B13" s="18" t="s">
        <v>592</v>
      </c>
      <c r="C13" s="581" t="s">
        <v>593</v>
      </c>
      <c r="D13" s="584" t="s">
        <v>594</v>
      </c>
      <c r="E13" s="584" t="s">
        <v>595</v>
      </c>
      <c r="F13" s="584" t="s">
        <v>167</v>
      </c>
    </row>
    <row r="14" spans="1:9" ht="13">
      <c r="A14" s="2">
        <v>125</v>
      </c>
      <c r="B14" s="24">
        <v>0.14000000000000001</v>
      </c>
      <c r="C14" s="24">
        <v>0.06</v>
      </c>
      <c r="D14" s="24">
        <v>0.5</v>
      </c>
      <c r="E14" s="24">
        <v>0.5</v>
      </c>
      <c r="F14" s="24">
        <v>0.5</v>
      </c>
    </row>
    <row r="15" spans="1:9" ht="13">
      <c r="A15" s="2">
        <v>250</v>
      </c>
      <c r="B15" s="24">
        <v>0.13</v>
      </c>
      <c r="C15" s="24">
        <v>0.06</v>
      </c>
      <c r="D15" s="24">
        <v>0.5</v>
      </c>
      <c r="E15" s="24">
        <v>0.5</v>
      </c>
      <c r="F15" s="24">
        <v>0.5</v>
      </c>
    </row>
    <row r="16" spans="1:9" ht="13">
      <c r="A16" s="2">
        <v>500</v>
      </c>
      <c r="B16" s="24">
        <v>0.13</v>
      </c>
      <c r="C16" s="24">
        <v>0.06</v>
      </c>
      <c r="D16" s="24">
        <v>0.5</v>
      </c>
      <c r="E16" s="24">
        <v>0.5</v>
      </c>
      <c r="F16" s="24">
        <v>0.5</v>
      </c>
    </row>
    <row r="17" spans="1:8" ht="13">
      <c r="A17" s="2">
        <v>750</v>
      </c>
      <c r="B17" s="24">
        <v>0.13</v>
      </c>
      <c r="C17" s="24">
        <v>0.1</v>
      </c>
      <c r="D17" s="24">
        <v>0.6</v>
      </c>
      <c r="E17" s="24">
        <v>0.6</v>
      </c>
      <c r="F17" s="24">
        <v>0.6</v>
      </c>
    </row>
    <row r="18" spans="1:8" ht="13">
      <c r="A18" s="2">
        <v>1000</v>
      </c>
      <c r="B18" s="24">
        <v>0.13</v>
      </c>
      <c r="C18" s="24">
        <v>0.06</v>
      </c>
      <c r="D18" s="24">
        <v>0.6</v>
      </c>
      <c r="E18" s="24">
        <v>0.6</v>
      </c>
      <c r="F18" s="24">
        <v>0.6</v>
      </c>
    </row>
    <row r="19" spans="1:8" ht="13">
      <c r="A19" s="2">
        <v>1500</v>
      </c>
      <c r="B19" s="24">
        <v>0.13</v>
      </c>
      <c r="C19" s="24">
        <v>0.12</v>
      </c>
      <c r="D19" s="24">
        <v>0.6</v>
      </c>
      <c r="E19" s="24">
        <v>0.6</v>
      </c>
      <c r="F19" s="24">
        <v>0.6</v>
      </c>
    </row>
    <row r="20" spans="1:8" ht="13">
      <c r="A20" s="2">
        <v>2000</v>
      </c>
      <c r="B20" s="24">
        <v>0.13</v>
      </c>
      <c r="C20" s="24">
        <v>0.06</v>
      </c>
      <c r="D20" s="24">
        <v>0.8</v>
      </c>
      <c r="E20" s="24">
        <v>0.8</v>
      </c>
      <c r="F20" s="24">
        <v>0.8</v>
      </c>
    </row>
    <row r="21" spans="1:8" ht="13">
      <c r="A21" s="2">
        <v>3000</v>
      </c>
      <c r="B21" s="24">
        <v>0.13</v>
      </c>
      <c r="C21" s="24">
        <v>0.16</v>
      </c>
      <c r="D21" s="24">
        <v>0.7</v>
      </c>
      <c r="E21" s="24">
        <v>0.7</v>
      </c>
      <c r="F21" s="24">
        <v>0.7</v>
      </c>
    </row>
    <row r="22" spans="1:8" ht="13">
      <c r="A22" s="2">
        <v>4000</v>
      </c>
      <c r="B22" s="24">
        <v>0.13</v>
      </c>
      <c r="C22" s="24">
        <v>0.08</v>
      </c>
      <c r="D22" s="24">
        <v>1.1000000000000001</v>
      </c>
      <c r="E22" s="24">
        <v>1.1000000000000001</v>
      </c>
      <c r="F22" s="24">
        <v>1.1000000000000001</v>
      </c>
    </row>
    <row r="23" spans="1:8" ht="13">
      <c r="A23" s="2">
        <v>6000</v>
      </c>
      <c r="B23" s="24">
        <v>0.13</v>
      </c>
      <c r="C23" s="24">
        <v>0.32</v>
      </c>
      <c r="D23" s="24">
        <v>1.3</v>
      </c>
      <c r="E23" s="24">
        <v>1.3</v>
      </c>
      <c r="F23" s="24">
        <v>1.3</v>
      </c>
    </row>
    <row r="24" spans="1:8" ht="13">
      <c r="A24" s="2">
        <v>8000</v>
      </c>
      <c r="B24" s="24">
        <v>0.13</v>
      </c>
      <c r="C24" s="24">
        <v>0.1</v>
      </c>
      <c r="D24" s="24">
        <v>1.1000000000000001</v>
      </c>
      <c r="E24" s="24">
        <v>1.1000000000000001</v>
      </c>
      <c r="F24" s="24">
        <v>1.1000000000000001</v>
      </c>
    </row>
    <row r="25" spans="1:8" ht="13">
      <c r="A25" s="13"/>
      <c r="B25" s="16"/>
      <c r="C25" s="12"/>
    </row>
    <row r="26" spans="1:8" ht="13">
      <c r="A26" s="13"/>
      <c r="B26" s="16"/>
      <c r="C26" s="12"/>
    </row>
    <row r="27" spans="1:8" ht="31.5" customHeight="1">
      <c r="A27" s="282" t="str">
        <f>'SLM DB'!I159</f>
        <v>Audiometer Analyzer, Merek : Larson Davis, Model : 831C, SN : 11418</v>
      </c>
      <c r="B27" s="283"/>
      <c r="C27" s="284"/>
      <c r="D27" s="285"/>
      <c r="E27" s="285"/>
      <c r="F27" s="285"/>
      <c r="G27" s="285"/>
      <c r="H27" s="285"/>
    </row>
    <row r="28" spans="1:8" ht="52.5" customHeight="1">
      <c r="A28" s="20" t="s">
        <v>600</v>
      </c>
      <c r="B28" s="279" t="s">
        <v>209</v>
      </c>
      <c r="C28" s="12"/>
      <c r="D28" s="1224" t="s">
        <v>591</v>
      </c>
      <c r="E28" s="1225"/>
      <c r="G28" s="1224" t="s">
        <v>599</v>
      </c>
      <c r="H28" s="1225"/>
    </row>
    <row r="29" spans="1:8" ht="13">
      <c r="A29" s="2">
        <v>125</v>
      </c>
      <c r="B29" s="286">
        <f>HLOOKUP($A$27,$A$13:$F$24,2,FALSE)</f>
        <v>0.5</v>
      </c>
      <c r="C29" s="4"/>
      <c r="D29" s="23" t="s">
        <v>596</v>
      </c>
      <c r="E29" s="280">
        <f>HLOOKUP($A$27,$A$2:$F$4,2,FALSE)</f>
        <v>0.1</v>
      </c>
      <c r="G29" s="23" t="s">
        <v>596</v>
      </c>
      <c r="H29" s="280">
        <f>HLOOKUP($A$27,$A$7:$F$8,2,FALSE)</f>
        <v>0.16</v>
      </c>
    </row>
    <row r="30" spans="1:8" ht="13">
      <c r="A30" s="2">
        <v>250</v>
      </c>
      <c r="B30" s="286">
        <f>HLOOKUP($A$27,$A$13:$F$24,3,FALSE)</f>
        <v>0.5</v>
      </c>
      <c r="D30" s="23" t="s">
        <v>597</v>
      </c>
      <c r="E30" s="281">
        <f>HLOOKUP($A$27,$A$2:$F$4,3,FALSE)</f>
        <v>0.5</v>
      </c>
    </row>
    <row r="31" spans="1:8" ht="13">
      <c r="A31" s="2">
        <v>500</v>
      </c>
      <c r="B31" s="286">
        <f>HLOOKUP($A$27,$A$13:$F$24,4,FALSE)</f>
        <v>0.5</v>
      </c>
      <c r="C31" s="15"/>
      <c r="D31" s="23" t="s">
        <v>598</v>
      </c>
      <c r="E31" s="281">
        <f>HLOOKUP($A$27,$A$2:$F$5,4,FALSE)</f>
        <v>0.25</v>
      </c>
    </row>
    <row r="32" spans="1:8" ht="13">
      <c r="A32" s="2">
        <v>750</v>
      </c>
      <c r="B32" s="286">
        <f>HLOOKUP($A$27,$A$13:$F$24,5,FALSE)</f>
        <v>0.6</v>
      </c>
      <c r="C32" s="17"/>
    </row>
    <row r="33" spans="1:3" ht="13">
      <c r="A33" s="2">
        <v>1000</v>
      </c>
      <c r="B33" s="286">
        <f>HLOOKUP($A$27,$A$13:$F$24,6,FALSE)</f>
        <v>0.6</v>
      </c>
      <c r="C33" s="17"/>
    </row>
    <row r="34" spans="1:3" ht="13">
      <c r="A34" s="2">
        <v>1500</v>
      </c>
      <c r="B34" s="286">
        <f>HLOOKUP($A$27,$A$13:$F$24,7,FALSE)</f>
        <v>0.6</v>
      </c>
      <c r="C34" s="17"/>
    </row>
    <row r="35" spans="1:3" ht="13">
      <c r="A35" s="2">
        <v>2000</v>
      </c>
      <c r="B35" s="286">
        <f>HLOOKUP($A$27,$A$13:$F$24,8,FALSE)</f>
        <v>0.8</v>
      </c>
      <c r="C35" s="17"/>
    </row>
    <row r="36" spans="1:3" ht="13">
      <c r="A36" s="2">
        <v>3000</v>
      </c>
      <c r="B36" s="286">
        <f>HLOOKUP($A$27,$A$13:$F$24,9,FALSE)</f>
        <v>0.7</v>
      </c>
      <c r="C36" s="17"/>
    </row>
    <row r="37" spans="1:3" ht="13">
      <c r="A37" s="2">
        <v>4000</v>
      </c>
      <c r="B37" s="286">
        <f>HLOOKUP($A$27,$A$13:$F$24,10,FALSE)</f>
        <v>1.1000000000000001</v>
      </c>
      <c r="C37" s="17"/>
    </row>
    <row r="38" spans="1:3" ht="13">
      <c r="A38" s="2">
        <v>6000</v>
      </c>
      <c r="B38" s="286">
        <f>HLOOKUP($A$27,$A$13:$F$24,11,FALSE)</f>
        <v>1.3</v>
      </c>
      <c r="C38" s="17"/>
    </row>
    <row r="39" spans="1:3" ht="13">
      <c r="A39" s="2">
        <v>8000</v>
      </c>
      <c r="B39" s="286">
        <f>HLOOKUP($A$27,$A$13:$F$24,12,FALSE)</f>
        <v>1.1000000000000001</v>
      </c>
      <c r="C39" s="17"/>
    </row>
    <row r="40" spans="1:3" ht="13">
      <c r="A40" s="13"/>
      <c r="B40" s="17"/>
      <c r="C40" s="17"/>
    </row>
    <row r="41" spans="1:3" ht="13">
      <c r="A41" s="13"/>
      <c r="B41" s="17"/>
      <c r="C41" s="17"/>
    </row>
    <row r="42" spans="1:3" ht="13">
      <c r="A42" s="13"/>
      <c r="B42" s="17"/>
      <c r="C42" s="17"/>
    </row>
    <row r="43" spans="1:3" ht="13">
      <c r="A43" s="13"/>
      <c r="B43" s="17"/>
      <c r="C43" s="17"/>
    </row>
    <row r="44" spans="1:3" ht="13">
      <c r="A44" s="13"/>
      <c r="B44" s="6"/>
      <c r="C44" s="6"/>
    </row>
    <row r="46" spans="1:3">
      <c r="A46" s="5"/>
      <c r="B46" s="7"/>
      <c r="C46" s="15"/>
    </row>
    <row r="47" spans="1:3" ht="13">
      <c r="A47" s="13"/>
      <c r="B47" s="16"/>
      <c r="C47" s="16"/>
    </row>
    <row r="48" spans="1:3" ht="13">
      <c r="A48" s="13"/>
      <c r="B48" s="16"/>
      <c r="C48" s="16"/>
    </row>
    <row r="49" spans="1:3" ht="13">
      <c r="A49" s="13"/>
      <c r="B49" s="16"/>
      <c r="C49" s="16"/>
    </row>
    <row r="50" spans="1:3" ht="13">
      <c r="A50" s="13"/>
      <c r="B50" s="16"/>
      <c r="C50" s="16"/>
    </row>
    <row r="51" spans="1:3" ht="13">
      <c r="A51" s="13"/>
      <c r="B51" s="16"/>
      <c r="C51" s="16"/>
    </row>
    <row r="52" spans="1:3" ht="13">
      <c r="A52" s="13"/>
      <c r="B52" s="16"/>
      <c r="C52" s="16"/>
    </row>
    <row r="53" spans="1:3" ht="13">
      <c r="A53" s="13"/>
      <c r="B53" s="16"/>
      <c r="C53" s="16"/>
    </row>
    <row r="54" spans="1:3" ht="13">
      <c r="A54" s="13"/>
      <c r="B54" s="16"/>
      <c r="C54" s="16"/>
    </row>
    <row r="55" spans="1:3" ht="13">
      <c r="A55" s="13"/>
      <c r="B55" s="16"/>
      <c r="C55" s="16"/>
    </row>
    <row r="56" spans="1:3" ht="13">
      <c r="A56" s="13"/>
      <c r="B56" s="16"/>
      <c r="C56" s="16"/>
    </row>
    <row r="57" spans="1:3" ht="13">
      <c r="A57" s="13"/>
      <c r="B57" s="16"/>
      <c r="C57" s="16"/>
    </row>
    <row r="58" spans="1:3" ht="13">
      <c r="A58" s="13"/>
      <c r="B58" s="16"/>
      <c r="C58" s="16"/>
    </row>
    <row r="59" spans="1:3" ht="13">
      <c r="A59" s="13"/>
      <c r="B59" s="4"/>
      <c r="C59" s="4"/>
    </row>
    <row r="61" spans="1:3">
      <c r="A61" s="5"/>
      <c r="B61" s="7"/>
      <c r="C61" s="15"/>
    </row>
    <row r="62" spans="1:3" ht="13">
      <c r="A62" s="13"/>
      <c r="B62" s="16"/>
      <c r="C62" s="16"/>
    </row>
    <row r="63" spans="1:3" ht="13">
      <c r="A63" s="13"/>
      <c r="B63" s="16"/>
      <c r="C63" s="16"/>
    </row>
    <row r="64" spans="1:3" ht="13">
      <c r="A64" s="13"/>
      <c r="B64" s="16"/>
      <c r="C64" s="16"/>
    </row>
    <row r="65" spans="1:3" ht="13">
      <c r="A65" s="13"/>
      <c r="B65" s="16"/>
      <c r="C65" s="16"/>
    </row>
    <row r="66" spans="1:3" ht="13">
      <c r="A66" s="13"/>
      <c r="B66" s="16"/>
      <c r="C66" s="16"/>
    </row>
    <row r="67" spans="1:3" ht="13">
      <c r="A67" s="13"/>
      <c r="B67" s="16"/>
      <c r="C67" s="16"/>
    </row>
    <row r="68" spans="1:3" ht="13">
      <c r="A68" s="13"/>
      <c r="B68" s="16"/>
      <c r="C68" s="16"/>
    </row>
    <row r="69" spans="1:3" ht="13">
      <c r="A69" s="13"/>
      <c r="B69" s="16"/>
      <c r="C69" s="16"/>
    </row>
    <row r="70" spans="1:3" ht="13">
      <c r="A70" s="13"/>
      <c r="B70" s="16"/>
      <c r="C70" s="16"/>
    </row>
    <row r="71" spans="1:3" ht="13">
      <c r="A71" s="13"/>
      <c r="B71" s="16"/>
      <c r="C71" s="16"/>
    </row>
    <row r="72" spans="1:3" ht="13">
      <c r="A72" s="13"/>
      <c r="B72" s="16"/>
      <c r="C72" s="16"/>
    </row>
    <row r="73" spans="1:3" ht="13">
      <c r="A73" s="13"/>
      <c r="B73" s="16"/>
      <c r="C73" s="16"/>
    </row>
    <row r="74" spans="1:3" ht="13">
      <c r="A74" s="13"/>
      <c r="B74" s="4"/>
      <c r="C74" s="4"/>
    </row>
    <row r="76" spans="1:3">
      <c r="A76" s="5"/>
      <c r="B76" s="7"/>
      <c r="C76" s="15"/>
    </row>
    <row r="77" spans="1:3" ht="13">
      <c r="A77" s="13"/>
      <c r="B77" s="16"/>
      <c r="C77" s="16"/>
    </row>
    <row r="78" spans="1:3" ht="13">
      <c r="A78" s="13"/>
      <c r="B78" s="16"/>
      <c r="C78" s="16"/>
    </row>
    <row r="79" spans="1:3" ht="13">
      <c r="A79" s="13"/>
      <c r="B79" s="16"/>
      <c r="C79" s="16"/>
    </row>
    <row r="80" spans="1:3" ht="13">
      <c r="A80" s="13"/>
      <c r="B80" s="16"/>
      <c r="C80" s="16"/>
    </row>
    <row r="81" spans="1:3" ht="13">
      <c r="A81" s="13"/>
      <c r="B81" s="16"/>
      <c r="C81" s="16"/>
    </row>
    <row r="82" spans="1:3" ht="13">
      <c r="A82" s="13"/>
      <c r="B82" s="16"/>
      <c r="C82" s="16"/>
    </row>
    <row r="83" spans="1:3" ht="13">
      <c r="A83" s="13"/>
      <c r="B83" s="16"/>
      <c r="C83" s="16"/>
    </row>
    <row r="84" spans="1:3" ht="13">
      <c r="A84" s="13"/>
      <c r="B84" s="16"/>
      <c r="C84" s="16"/>
    </row>
    <row r="85" spans="1:3" ht="13">
      <c r="A85" s="13"/>
      <c r="B85" s="16"/>
      <c r="C85" s="16"/>
    </row>
    <row r="86" spans="1:3" ht="13">
      <c r="A86" s="13"/>
      <c r="B86" s="16"/>
      <c r="C86" s="16"/>
    </row>
    <row r="87" spans="1:3" ht="13">
      <c r="A87" s="13"/>
      <c r="B87" s="16"/>
      <c r="C87" s="16"/>
    </row>
    <row r="88" spans="1:3" ht="13">
      <c r="A88" s="13"/>
      <c r="B88" s="16"/>
      <c r="C88" s="16"/>
    </row>
    <row r="89" spans="1:3" ht="13">
      <c r="A89" s="13"/>
      <c r="B89" s="4"/>
      <c r="C89" s="4"/>
    </row>
  </sheetData>
  <sheetProtection algorithmName="SHA-512" hashValue="nuI6jEn6Gf+HqoWIpeDIQmp9ZebKBoBo+3X28Bt0rrz++YcrliEX6K6zUhqZw+lSjPxOcTjPRSdzehtocVI1Cg==" saltValue="uq4FM4niM/dax0V3Aq2hAg==" spinCount="100000" sheet="1" objects="1" scenarios="1"/>
  <mergeCells count="2">
    <mergeCell ref="D28:E28"/>
    <mergeCell ref="G28:H28"/>
  </mergeCells>
  <pageMargins left="0.7" right="0.7" top="0.75" bottom="0.75" header="0.3" footer="0.3"/>
  <pageSetup paperSize="9" scale="83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R211"/>
  <sheetViews>
    <sheetView view="pageBreakPreview" topLeftCell="A155" zoomScale="95" zoomScaleNormal="100" zoomScaleSheetLayoutView="95" workbookViewId="0">
      <selection activeCell="B161" sqref="B161"/>
    </sheetView>
  </sheetViews>
  <sheetFormatPr defaultColWidth="9" defaultRowHeight="12.5"/>
  <cols>
    <col min="1" max="16" width="9" style="85"/>
    <col min="17" max="17" width="11.26953125" style="85" customWidth="1"/>
    <col min="18" max="16384" width="9" style="85"/>
  </cols>
  <sheetData>
    <row r="4" spans="2:18" ht="16.5" customHeight="1">
      <c r="B4" s="1226" t="s">
        <v>601</v>
      </c>
      <c r="C4" s="1227"/>
      <c r="D4" s="1227"/>
      <c r="E4" s="1227"/>
      <c r="F4" s="1228"/>
      <c r="H4" s="1226" t="s">
        <v>602</v>
      </c>
      <c r="I4" s="1227"/>
      <c r="J4" s="1227"/>
      <c r="K4" s="1227"/>
      <c r="L4" s="1228"/>
      <c r="N4" s="1226" t="s">
        <v>603</v>
      </c>
      <c r="O4" s="1227"/>
      <c r="P4" s="1227"/>
      <c r="Q4" s="1227"/>
      <c r="R4" s="1228"/>
    </row>
    <row r="5" spans="2:18" ht="13">
      <c r="B5" s="1229" t="s">
        <v>604</v>
      </c>
      <c r="C5" s="1229"/>
      <c r="D5" s="1229"/>
      <c r="E5" s="1229"/>
      <c r="F5" s="1229"/>
      <c r="H5" s="1229" t="s">
        <v>604</v>
      </c>
      <c r="I5" s="1229"/>
      <c r="J5" s="1229"/>
      <c r="K5" s="1229"/>
      <c r="L5" s="1229"/>
      <c r="N5" s="1229" t="s">
        <v>604</v>
      </c>
      <c r="O5" s="1229"/>
      <c r="P5" s="1229"/>
      <c r="Q5" s="1229"/>
      <c r="R5" s="1229"/>
    </row>
    <row r="6" spans="2:18" ht="13">
      <c r="B6" s="1230" t="s">
        <v>605</v>
      </c>
      <c r="C6" s="1231"/>
      <c r="D6" s="1232"/>
      <c r="E6" s="1233" t="s">
        <v>606</v>
      </c>
      <c r="F6" s="1233" t="s">
        <v>607</v>
      </c>
      <c r="H6" s="1230" t="s">
        <v>605</v>
      </c>
      <c r="I6" s="1231"/>
      <c r="J6" s="1232"/>
      <c r="K6" s="1233" t="s">
        <v>606</v>
      </c>
      <c r="L6" s="1233" t="s">
        <v>607</v>
      </c>
      <c r="N6" s="1230" t="s">
        <v>605</v>
      </c>
      <c r="O6" s="1231"/>
      <c r="P6" s="1232"/>
      <c r="Q6" s="1233" t="s">
        <v>606</v>
      </c>
      <c r="R6" s="1233" t="s">
        <v>607</v>
      </c>
    </row>
    <row r="7" spans="2:18">
      <c r="B7" s="233" t="s">
        <v>209</v>
      </c>
      <c r="C7" s="233">
        <v>2018</v>
      </c>
      <c r="D7" s="233">
        <v>2021</v>
      </c>
      <c r="E7" s="1234"/>
      <c r="F7" s="1234"/>
      <c r="H7" s="233" t="s">
        <v>209</v>
      </c>
      <c r="I7" s="233">
        <v>2016</v>
      </c>
      <c r="J7" s="233">
        <v>2021</v>
      </c>
      <c r="K7" s="1234"/>
      <c r="L7" s="1234"/>
      <c r="N7" s="233" t="s">
        <v>209</v>
      </c>
      <c r="O7" s="233">
        <v>2020</v>
      </c>
      <c r="P7" s="233">
        <v>2021</v>
      </c>
      <c r="Q7" s="1234"/>
      <c r="R7" s="1234"/>
    </row>
    <row r="8" spans="2:18">
      <c r="B8" s="233">
        <v>20</v>
      </c>
      <c r="C8" s="238">
        <v>0</v>
      </c>
      <c r="D8" s="235" t="s">
        <v>139</v>
      </c>
      <c r="E8" s="274">
        <f>0.5*(MAX(C8:D8)-MIN(C8:D8))</f>
        <v>0</v>
      </c>
      <c r="F8" s="238">
        <v>0.3</v>
      </c>
      <c r="H8" s="233">
        <v>20</v>
      </c>
      <c r="I8" s="238">
        <v>0</v>
      </c>
      <c r="J8" s="235" t="s">
        <v>139</v>
      </c>
      <c r="K8" s="274">
        <f>0.5*(MAX(I8:J8)-MIN(I8:J8))</f>
        <v>0</v>
      </c>
      <c r="L8" s="238">
        <v>0.4</v>
      </c>
      <c r="N8" s="233">
        <v>20</v>
      </c>
      <c r="O8" s="580">
        <v>0.28999999999999998</v>
      </c>
      <c r="P8" s="235" t="s">
        <v>139</v>
      </c>
      <c r="Q8" s="236">
        <f>0.5*(MAX(O8:P8)-MIN(O8:P8))</f>
        <v>0</v>
      </c>
      <c r="R8" s="580">
        <v>0.16</v>
      </c>
    </row>
    <row r="9" spans="2:18">
      <c r="B9" s="233">
        <v>50</v>
      </c>
      <c r="C9" s="238">
        <v>0</v>
      </c>
      <c r="D9" s="235" t="s">
        <v>139</v>
      </c>
      <c r="E9" s="274">
        <f t="shared" ref="E9:E16" si="0">0.5*(MAX(C9:D9)-MIN(C9:D9))</f>
        <v>0</v>
      </c>
      <c r="F9" s="238">
        <v>0.3</v>
      </c>
      <c r="H9" s="233">
        <v>50</v>
      </c>
      <c r="I9" s="238">
        <v>0</v>
      </c>
      <c r="J9" s="235" t="s">
        <v>139</v>
      </c>
      <c r="K9" s="274">
        <f t="shared" ref="K9:K16" si="1">0.5*(MAX(I9:J9)-MIN(I9:J9))</f>
        <v>0</v>
      </c>
      <c r="L9" s="238">
        <v>0.4</v>
      </c>
      <c r="N9" s="233">
        <v>50</v>
      </c>
      <c r="O9" s="580">
        <v>-0.02</v>
      </c>
      <c r="P9" s="235" t="s">
        <v>139</v>
      </c>
      <c r="Q9" s="236">
        <f t="shared" ref="Q9:Q16" si="2">0.5*(MAX(O9:P9)-MIN(O9:P9))</f>
        <v>0</v>
      </c>
      <c r="R9" s="580">
        <v>0.16</v>
      </c>
    </row>
    <row r="10" spans="2:18">
      <c r="B10" s="233">
        <v>60</v>
      </c>
      <c r="C10" s="238">
        <v>0</v>
      </c>
      <c r="D10" s="235" t="s">
        <v>139</v>
      </c>
      <c r="E10" s="274">
        <f t="shared" si="0"/>
        <v>0</v>
      </c>
      <c r="F10" s="238">
        <v>0.3</v>
      </c>
      <c r="H10" s="233">
        <v>60</v>
      </c>
      <c r="I10" s="238">
        <v>0.1</v>
      </c>
      <c r="J10" s="235" t="s">
        <v>139</v>
      </c>
      <c r="K10" s="274">
        <f t="shared" si="1"/>
        <v>0</v>
      </c>
      <c r="L10" s="238">
        <v>0.4</v>
      </c>
      <c r="N10" s="233">
        <v>60</v>
      </c>
      <c r="O10" s="580">
        <v>-0.02</v>
      </c>
      <c r="P10" s="235" t="s">
        <v>139</v>
      </c>
      <c r="Q10" s="236">
        <f t="shared" si="2"/>
        <v>0</v>
      </c>
      <c r="R10" s="580">
        <v>0.16</v>
      </c>
    </row>
    <row r="11" spans="2:18" ht="14.5">
      <c r="B11" s="237">
        <v>70</v>
      </c>
      <c r="C11" s="238">
        <v>0</v>
      </c>
      <c r="D11" s="235" t="s">
        <v>139</v>
      </c>
      <c r="E11" s="274">
        <f t="shared" si="0"/>
        <v>0</v>
      </c>
      <c r="F11" s="238">
        <v>0.3</v>
      </c>
      <c r="H11" s="237">
        <v>70</v>
      </c>
      <c r="I11" s="238">
        <v>0</v>
      </c>
      <c r="J11" s="235" t="s">
        <v>139</v>
      </c>
      <c r="K11" s="274">
        <f t="shared" si="1"/>
        <v>0</v>
      </c>
      <c r="L11" s="238">
        <v>0.4</v>
      </c>
      <c r="N11" s="237">
        <v>70</v>
      </c>
      <c r="O11" s="580">
        <v>-0.02</v>
      </c>
      <c r="P11" s="235" t="s">
        <v>139</v>
      </c>
      <c r="Q11" s="236">
        <f t="shared" si="2"/>
        <v>0</v>
      </c>
      <c r="R11" s="580">
        <v>0.16</v>
      </c>
    </row>
    <row r="12" spans="2:18" ht="14.5">
      <c r="B12" s="237">
        <v>75</v>
      </c>
      <c r="C12" s="238">
        <v>0</v>
      </c>
      <c r="D12" s="235" t="s">
        <v>139</v>
      </c>
      <c r="E12" s="274">
        <f t="shared" si="0"/>
        <v>0</v>
      </c>
      <c r="F12" s="238">
        <v>0.3</v>
      </c>
      <c r="H12" s="237">
        <v>75</v>
      </c>
      <c r="I12" s="238">
        <v>0.1</v>
      </c>
      <c r="J12" s="235" t="s">
        <v>139</v>
      </c>
      <c r="K12" s="274">
        <f t="shared" si="1"/>
        <v>0</v>
      </c>
      <c r="L12" s="238">
        <v>0.4</v>
      </c>
      <c r="N12" s="237">
        <v>75</v>
      </c>
      <c r="O12" s="580">
        <v>-0.04</v>
      </c>
      <c r="P12" s="235" t="s">
        <v>139</v>
      </c>
      <c r="Q12" s="236">
        <f t="shared" si="2"/>
        <v>0</v>
      </c>
      <c r="R12" s="580">
        <v>0.16</v>
      </c>
    </row>
    <row r="13" spans="2:18">
      <c r="B13" s="233">
        <v>90</v>
      </c>
      <c r="C13" s="238">
        <v>0</v>
      </c>
      <c r="D13" s="235" t="s">
        <v>139</v>
      </c>
      <c r="E13" s="274">
        <f t="shared" si="0"/>
        <v>0</v>
      </c>
      <c r="F13" s="238">
        <v>0.3</v>
      </c>
      <c r="H13" s="233">
        <v>90</v>
      </c>
      <c r="I13" s="238">
        <v>0</v>
      </c>
      <c r="J13" s="235" t="s">
        <v>139</v>
      </c>
      <c r="K13" s="274">
        <f t="shared" si="1"/>
        <v>0</v>
      </c>
      <c r="L13" s="238">
        <v>0.4</v>
      </c>
      <c r="N13" s="233">
        <v>90</v>
      </c>
      <c r="O13" s="580">
        <v>-0.02</v>
      </c>
      <c r="P13" s="235" t="s">
        <v>139</v>
      </c>
      <c r="Q13" s="236">
        <f t="shared" si="2"/>
        <v>0</v>
      </c>
      <c r="R13" s="580">
        <v>0.16</v>
      </c>
    </row>
    <row r="14" spans="2:18">
      <c r="B14" s="233">
        <v>95</v>
      </c>
      <c r="C14" s="238">
        <v>0</v>
      </c>
      <c r="D14" s="235" t="s">
        <v>139</v>
      </c>
      <c r="E14" s="274">
        <f t="shared" si="0"/>
        <v>0</v>
      </c>
      <c r="F14" s="238">
        <v>0.3</v>
      </c>
      <c r="H14" s="233">
        <v>95</v>
      </c>
      <c r="I14" s="238">
        <v>0</v>
      </c>
      <c r="J14" s="235" t="s">
        <v>139</v>
      </c>
      <c r="K14" s="274">
        <f t="shared" si="1"/>
        <v>0</v>
      </c>
      <c r="L14" s="238">
        <v>0.4</v>
      </c>
      <c r="N14" s="233">
        <v>95</v>
      </c>
      <c r="O14" s="580">
        <v>-0.02</v>
      </c>
      <c r="P14" s="235" t="s">
        <v>139</v>
      </c>
      <c r="Q14" s="236">
        <f t="shared" si="2"/>
        <v>0</v>
      </c>
      <c r="R14" s="580">
        <v>0.16</v>
      </c>
    </row>
    <row r="15" spans="2:18">
      <c r="B15" s="233">
        <v>110</v>
      </c>
      <c r="C15" s="238">
        <v>0</v>
      </c>
      <c r="D15" s="235" t="s">
        <v>139</v>
      </c>
      <c r="E15" s="274">
        <f t="shared" si="0"/>
        <v>0</v>
      </c>
      <c r="F15" s="238">
        <v>0.3</v>
      </c>
      <c r="H15" s="233">
        <v>110</v>
      </c>
      <c r="I15" s="238">
        <v>0</v>
      </c>
      <c r="J15" s="235" t="s">
        <v>139</v>
      </c>
      <c r="K15" s="274">
        <f t="shared" si="1"/>
        <v>0</v>
      </c>
      <c r="L15" s="238">
        <v>0.4</v>
      </c>
      <c r="N15" s="233">
        <v>110</v>
      </c>
      <c r="O15" s="580">
        <v>0.01</v>
      </c>
      <c r="P15" s="235" t="s">
        <v>139</v>
      </c>
      <c r="Q15" s="236">
        <f t="shared" si="2"/>
        <v>0</v>
      </c>
      <c r="R15" s="580">
        <v>0.15</v>
      </c>
    </row>
    <row r="16" spans="2:18">
      <c r="B16" s="233">
        <v>120</v>
      </c>
      <c r="C16" s="238">
        <v>0</v>
      </c>
      <c r="D16" s="235" t="s">
        <v>139</v>
      </c>
      <c r="E16" s="274">
        <f t="shared" si="0"/>
        <v>0</v>
      </c>
      <c r="F16" s="238">
        <v>0.3</v>
      </c>
      <c r="H16" s="233">
        <v>120</v>
      </c>
      <c r="I16" s="238">
        <v>0</v>
      </c>
      <c r="J16" s="235" t="s">
        <v>139</v>
      </c>
      <c r="K16" s="274">
        <f t="shared" si="1"/>
        <v>0</v>
      </c>
      <c r="L16" s="238">
        <v>0.4</v>
      </c>
      <c r="N16" s="233">
        <v>120</v>
      </c>
      <c r="O16" s="580">
        <v>0.04</v>
      </c>
      <c r="P16" s="235" t="s">
        <v>139</v>
      </c>
      <c r="Q16" s="236">
        <f t="shared" si="2"/>
        <v>0</v>
      </c>
      <c r="R16" s="580">
        <v>0.15</v>
      </c>
    </row>
    <row r="18" spans="2:18" ht="13">
      <c r="B18" s="1226" t="s">
        <v>608</v>
      </c>
      <c r="C18" s="1227"/>
      <c r="D18" s="1227"/>
      <c r="E18" s="1227"/>
      <c r="F18" s="1228"/>
      <c r="H18" s="1226" t="s">
        <v>609</v>
      </c>
      <c r="I18" s="1227"/>
      <c r="J18" s="1227"/>
      <c r="K18" s="1227"/>
      <c r="L18" s="1228"/>
      <c r="N18" s="1226" t="s">
        <v>610</v>
      </c>
      <c r="O18" s="1227"/>
      <c r="P18" s="1227"/>
      <c r="Q18" s="1227"/>
      <c r="R18" s="1228"/>
    </row>
    <row r="19" spans="2:18" ht="13">
      <c r="B19" s="1229" t="s">
        <v>604</v>
      </c>
      <c r="C19" s="1229"/>
      <c r="D19" s="1229"/>
      <c r="E19" s="1229"/>
      <c r="F19" s="1229"/>
      <c r="H19" s="1229" t="s">
        <v>604</v>
      </c>
      <c r="I19" s="1229"/>
      <c r="J19" s="1229"/>
      <c r="K19" s="1229"/>
      <c r="L19" s="1229"/>
      <c r="N19" s="1229" t="s">
        <v>604</v>
      </c>
      <c r="O19" s="1229"/>
      <c r="P19" s="1229"/>
      <c r="Q19" s="1229"/>
      <c r="R19" s="1229"/>
    </row>
    <row r="20" spans="2:18" ht="13">
      <c r="B20" s="1230" t="s">
        <v>605</v>
      </c>
      <c r="C20" s="1231"/>
      <c r="D20" s="1232"/>
      <c r="E20" s="1233" t="s">
        <v>606</v>
      </c>
      <c r="F20" s="1233" t="s">
        <v>607</v>
      </c>
      <c r="H20" s="1230" t="s">
        <v>605</v>
      </c>
      <c r="I20" s="1231"/>
      <c r="J20" s="1232"/>
      <c r="K20" s="1233" t="s">
        <v>606</v>
      </c>
      <c r="L20" s="1233" t="s">
        <v>607</v>
      </c>
      <c r="N20" s="1230" t="s">
        <v>605</v>
      </c>
      <c r="O20" s="1231"/>
      <c r="P20" s="1232"/>
      <c r="Q20" s="1233" t="s">
        <v>606</v>
      </c>
      <c r="R20" s="1233" t="s">
        <v>607</v>
      </c>
    </row>
    <row r="21" spans="2:18">
      <c r="B21" s="233" t="s">
        <v>209</v>
      </c>
      <c r="C21" s="233">
        <v>2020</v>
      </c>
      <c r="D21" s="233">
        <v>2021</v>
      </c>
      <c r="E21" s="1234"/>
      <c r="F21" s="1234"/>
      <c r="H21" s="233" t="s">
        <v>209</v>
      </c>
      <c r="I21" s="233">
        <v>2020</v>
      </c>
      <c r="J21" s="233">
        <v>2021</v>
      </c>
      <c r="K21" s="1234"/>
      <c r="L21" s="1234"/>
      <c r="N21" s="233" t="s">
        <v>209</v>
      </c>
      <c r="O21" s="233">
        <v>2018</v>
      </c>
      <c r="P21" s="233">
        <v>2020</v>
      </c>
      <c r="Q21" s="1234"/>
      <c r="R21" s="1234"/>
    </row>
    <row r="22" spans="2:18">
      <c r="B22" s="233">
        <v>20</v>
      </c>
      <c r="C22" s="580">
        <v>0.35</v>
      </c>
      <c r="D22" s="235" t="s">
        <v>139</v>
      </c>
      <c r="E22" s="274">
        <f>0.5*(MAX(C22:D22)-MIN(C22:D22))</f>
        <v>0</v>
      </c>
      <c r="F22" s="580">
        <v>0.16</v>
      </c>
      <c r="H22" s="233">
        <v>20</v>
      </c>
      <c r="I22" s="580">
        <v>0.35</v>
      </c>
      <c r="J22" s="235" t="s">
        <v>139</v>
      </c>
      <c r="K22" s="274">
        <f>0.5*(MAX(I22:J22)-MIN(I22:J22))</f>
        <v>0</v>
      </c>
      <c r="L22" s="238">
        <v>0</v>
      </c>
      <c r="N22" s="233">
        <v>20</v>
      </c>
      <c r="O22" s="238">
        <v>0</v>
      </c>
      <c r="P22" s="235" t="s">
        <v>139</v>
      </c>
      <c r="Q22" s="274">
        <f>0.5*(MAX(O22:P22)-MIN(O22:P22))</f>
        <v>0</v>
      </c>
      <c r="R22" s="238">
        <v>0</v>
      </c>
    </row>
    <row r="23" spans="2:18">
      <c r="B23" s="233">
        <v>50</v>
      </c>
      <c r="C23" s="580">
        <v>-0.02</v>
      </c>
      <c r="D23" s="235" t="s">
        <v>139</v>
      </c>
      <c r="E23" s="274">
        <f t="shared" ref="E23:E30" si="3">0.5*(MAX(C23:D23)-MIN(C23:D23))</f>
        <v>0</v>
      </c>
      <c r="F23" s="580">
        <v>0.16</v>
      </c>
      <c r="H23" s="233">
        <v>50</v>
      </c>
      <c r="I23" s="580">
        <v>-0.02</v>
      </c>
      <c r="J23" s="235" t="s">
        <v>139</v>
      </c>
      <c r="K23" s="274">
        <f t="shared" ref="K23:K30" si="4">0.5*(MAX(I23:J23)-MIN(I23:J23))</f>
        <v>0</v>
      </c>
      <c r="L23" s="238">
        <v>0</v>
      </c>
      <c r="N23" s="233">
        <v>50</v>
      </c>
      <c r="O23" s="238">
        <v>0</v>
      </c>
      <c r="P23" s="235" t="s">
        <v>139</v>
      </c>
      <c r="Q23" s="274">
        <f t="shared" ref="Q23:Q30" si="5">0.5*(MAX(O23:P23)-MIN(O23:P23))</f>
        <v>0</v>
      </c>
      <c r="R23" s="238">
        <v>0</v>
      </c>
    </row>
    <row r="24" spans="2:18">
      <c r="B24" s="233">
        <v>60</v>
      </c>
      <c r="C24" s="580">
        <v>-0.02</v>
      </c>
      <c r="D24" s="235" t="s">
        <v>139</v>
      </c>
      <c r="E24" s="274">
        <f t="shared" si="3"/>
        <v>0</v>
      </c>
      <c r="F24" s="580">
        <v>0.16</v>
      </c>
      <c r="H24" s="233">
        <v>60</v>
      </c>
      <c r="I24" s="580">
        <v>-0.02</v>
      </c>
      <c r="J24" s="235" t="s">
        <v>139</v>
      </c>
      <c r="K24" s="274">
        <f t="shared" si="4"/>
        <v>0</v>
      </c>
      <c r="L24" s="238">
        <v>0</v>
      </c>
      <c r="N24" s="233">
        <v>60</v>
      </c>
      <c r="O24" s="238">
        <v>0</v>
      </c>
      <c r="P24" s="235" t="s">
        <v>139</v>
      </c>
      <c r="Q24" s="274">
        <f t="shared" si="5"/>
        <v>0</v>
      </c>
      <c r="R24" s="238">
        <v>0</v>
      </c>
    </row>
    <row r="25" spans="2:18" ht="14.5">
      <c r="B25" s="237">
        <v>70</v>
      </c>
      <c r="C25" s="580">
        <v>-0.02</v>
      </c>
      <c r="D25" s="235" t="s">
        <v>139</v>
      </c>
      <c r="E25" s="274">
        <f t="shared" si="3"/>
        <v>0</v>
      </c>
      <c r="F25" s="580">
        <v>0.16</v>
      </c>
      <c r="H25" s="237">
        <v>70</v>
      </c>
      <c r="I25" s="580">
        <v>-0.02</v>
      </c>
      <c r="J25" s="235" t="s">
        <v>139</v>
      </c>
      <c r="K25" s="274">
        <f t="shared" si="4"/>
        <v>0</v>
      </c>
      <c r="L25" s="238">
        <v>0</v>
      </c>
      <c r="N25" s="237">
        <v>70</v>
      </c>
      <c r="O25" s="238">
        <v>0</v>
      </c>
      <c r="P25" s="235" t="s">
        <v>139</v>
      </c>
      <c r="Q25" s="274">
        <f t="shared" si="5"/>
        <v>0</v>
      </c>
      <c r="R25" s="238">
        <v>0</v>
      </c>
    </row>
    <row r="26" spans="2:18" ht="14.5">
      <c r="B26" s="237">
        <v>75</v>
      </c>
      <c r="C26" s="580">
        <v>-0.04</v>
      </c>
      <c r="D26" s="235" t="s">
        <v>139</v>
      </c>
      <c r="E26" s="274">
        <f t="shared" si="3"/>
        <v>0</v>
      </c>
      <c r="F26" s="580">
        <v>0.16</v>
      </c>
      <c r="H26" s="237">
        <v>75</v>
      </c>
      <c r="I26" s="580">
        <v>-0.04</v>
      </c>
      <c r="J26" s="235" t="s">
        <v>139</v>
      </c>
      <c r="K26" s="274">
        <f t="shared" si="4"/>
        <v>0</v>
      </c>
      <c r="L26" s="238">
        <v>0</v>
      </c>
      <c r="N26" s="237">
        <v>75</v>
      </c>
      <c r="O26" s="238">
        <v>0</v>
      </c>
      <c r="P26" s="235" t="s">
        <v>139</v>
      </c>
      <c r="Q26" s="274">
        <f t="shared" si="5"/>
        <v>0</v>
      </c>
      <c r="R26" s="238">
        <v>0</v>
      </c>
    </row>
    <row r="27" spans="2:18">
      <c r="B27" s="233">
        <v>90</v>
      </c>
      <c r="C27" s="580">
        <v>-0.02</v>
      </c>
      <c r="D27" s="235" t="s">
        <v>139</v>
      </c>
      <c r="E27" s="274">
        <f t="shared" si="3"/>
        <v>0</v>
      </c>
      <c r="F27" s="580">
        <v>0.16</v>
      </c>
      <c r="H27" s="233">
        <v>90</v>
      </c>
      <c r="I27" s="580">
        <v>-0.02</v>
      </c>
      <c r="J27" s="235" t="s">
        <v>139</v>
      </c>
      <c r="K27" s="274">
        <f t="shared" si="4"/>
        <v>0</v>
      </c>
      <c r="L27" s="238">
        <v>0</v>
      </c>
      <c r="N27" s="233">
        <v>90</v>
      </c>
      <c r="O27" s="238">
        <v>0</v>
      </c>
      <c r="P27" s="235" t="s">
        <v>139</v>
      </c>
      <c r="Q27" s="274">
        <f t="shared" si="5"/>
        <v>0</v>
      </c>
      <c r="R27" s="238">
        <v>0</v>
      </c>
    </row>
    <row r="28" spans="2:18">
      <c r="B28" s="233">
        <v>95</v>
      </c>
      <c r="C28" s="580">
        <v>-0.02</v>
      </c>
      <c r="D28" s="235" t="s">
        <v>139</v>
      </c>
      <c r="E28" s="274">
        <f t="shared" si="3"/>
        <v>0</v>
      </c>
      <c r="F28" s="580">
        <v>0.16</v>
      </c>
      <c r="H28" s="233">
        <v>95</v>
      </c>
      <c r="I28" s="580">
        <v>-0.02</v>
      </c>
      <c r="J28" s="235" t="s">
        <v>139</v>
      </c>
      <c r="K28" s="274">
        <f t="shared" si="4"/>
        <v>0</v>
      </c>
      <c r="L28" s="238">
        <v>0</v>
      </c>
      <c r="N28" s="233">
        <v>95</v>
      </c>
      <c r="O28" s="238">
        <v>0</v>
      </c>
      <c r="P28" s="235" t="s">
        <v>139</v>
      </c>
      <c r="Q28" s="274">
        <f t="shared" si="5"/>
        <v>0</v>
      </c>
      <c r="R28" s="238">
        <v>0</v>
      </c>
    </row>
    <row r="29" spans="2:18">
      <c r="B29" s="233">
        <v>110</v>
      </c>
      <c r="C29" s="580">
        <v>0.01</v>
      </c>
      <c r="D29" s="235" t="s">
        <v>139</v>
      </c>
      <c r="E29" s="274">
        <f t="shared" si="3"/>
        <v>0</v>
      </c>
      <c r="F29" s="580">
        <v>0.15</v>
      </c>
      <c r="H29" s="233">
        <v>110</v>
      </c>
      <c r="I29" s="580">
        <v>0.01</v>
      </c>
      <c r="J29" s="235" t="s">
        <v>139</v>
      </c>
      <c r="K29" s="274">
        <f t="shared" si="4"/>
        <v>0</v>
      </c>
      <c r="L29" s="238">
        <v>0</v>
      </c>
      <c r="N29" s="233">
        <v>110</v>
      </c>
      <c r="O29" s="238">
        <v>0</v>
      </c>
      <c r="P29" s="235" t="s">
        <v>139</v>
      </c>
      <c r="Q29" s="274">
        <f t="shared" si="5"/>
        <v>0</v>
      </c>
      <c r="R29" s="238">
        <v>0</v>
      </c>
    </row>
    <row r="30" spans="2:18">
      <c r="B30" s="233">
        <v>120</v>
      </c>
      <c r="C30" s="580">
        <v>0.04</v>
      </c>
      <c r="D30" s="235" t="s">
        <v>139</v>
      </c>
      <c r="E30" s="274">
        <f t="shared" si="3"/>
        <v>0</v>
      </c>
      <c r="F30" s="580">
        <v>0.15</v>
      </c>
      <c r="H30" s="233">
        <v>120</v>
      </c>
      <c r="I30" s="580">
        <v>0.04</v>
      </c>
      <c r="J30" s="235" t="s">
        <v>139</v>
      </c>
      <c r="K30" s="274">
        <f t="shared" si="4"/>
        <v>0</v>
      </c>
      <c r="L30" s="238">
        <v>0</v>
      </c>
      <c r="N30" s="233">
        <v>120</v>
      </c>
      <c r="O30" s="238">
        <v>0</v>
      </c>
      <c r="P30" s="235" t="s">
        <v>139</v>
      </c>
      <c r="Q30" s="274">
        <f t="shared" si="5"/>
        <v>0</v>
      </c>
      <c r="R30" s="238">
        <v>0</v>
      </c>
    </row>
    <row r="32" spans="2:18" ht="13">
      <c r="B32" s="1226" t="s">
        <v>610</v>
      </c>
      <c r="C32" s="1227"/>
      <c r="D32" s="1227"/>
      <c r="E32" s="1227"/>
      <c r="F32" s="1228"/>
      <c r="H32" s="1226" t="s">
        <v>610</v>
      </c>
      <c r="I32" s="1227"/>
      <c r="J32" s="1227"/>
      <c r="K32" s="1227"/>
      <c r="L32" s="1228"/>
      <c r="N32" s="1226" t="s">
        <v>610</v>
      </c>
      <c r="O32" s="1227"/>
      <c r="P32" s="1227"/>
      <c r="Q32" s="1227"/>
      <c r="R32" s="1228"/>
    </row>
    <row r="33" spans="1:18" ht="13">
      <c r="B33" s="1229" t="s">
        <v>604</v>
      </c>
      <c r="C33" s="1229"/>
      <c r="D33" s="1229"/>
      <c r="E33" s="1229"/>
      <c r="F33" s="1229"/>
      <c r="H33" s="1229" t="s">
        <v>604</v>
      </c>
      <c r="I33" s="1229"/>
      <c r="J33" s="1229"/>
      <c r="K33" s="1229"/>
      <c r="L33" s="1229"/>
      <c r="N33" s="1229" t="s">
        <v>604</v>
      </c>
      <c r="O33" s="1229"/>
      <c r="P33" s="1229"/>
      <c r="Q33" s="1229"/>
      <c r="R33" s="1229"/>
    </row>
    <row r="34" spans="1:18" ht="13">
      <c r="B34" s="1230" t="s">
        <v>605</v>
      </c>
      <c r="C34" s="1231"/>
      <c r="D34" s="1232"/>
      <c r="E34" s="1233" t="s">
        <v>606</v>
      </c>
      <c r="F34" s="1233" t="s">
        <v>607</v>
      </c>
      <c r="H34" s="1230" t="s">
        <v>605</v>
      </c>
      <c r="I34" s="1231"/>
      <c r="J34" s="1232"/>
      <c r="K34" s="1233" t="s">
        <v>606</v>
      </c>
      <c r="L34" s="1233" t="s">
        <v>607</v>
      </c>
      <c r="N34" s="1230" t="s">
        <v>605</v>
      </c>
      <c r="O34" s="1231"/>
      <c r="P34" s="1232"/>
      <c r="Q34" s="1233" t="s">
        <v>606</v>
      </c>
      <c r="R34" s="1233" t="s">
        <v>607</v>
      </c>
    </row>
    <row r="35" spans="1:18">
      <c r="B35" s="233" t="s">
        <v>209</v>
      </c>
      <c r="C35" s="233">
        <v>2018</v>
      </c>
      <c r="D35" s="233">
        <v>2020</v>
      </c>
      <c r="E35" s="1234"/>
      <c r="F35" s="1234"/>
      <c r="H35" s="233" t="s">
        <v>209</v>
      </c>
      <c r="I35" s="233">
        <v>2018</v>
      </c>
      <c r="J35" s="233">
        <v>2020</v>
      </c>
      <c r="K35" s="1234"/>
      <c r="L35" s="1234"/>
      <c r="N35" s="233" t="s">
        <v>209</v>
      </c>
      <c r="O35" s="233">
        <v>2018</v>
      </c>
      <c r="P35" s="233">
        <v>2020</v>
      </c>
      <c r="Q35" s="1234"/>
      <c r="R35" s="1234"/>
    </row>
    <row r="36" spans="1:18">
      <c r="B36" s="233">
        <v>20</v>
      </c>
      <c r="C36" s="238">
        <v>0</v>
      </c>
      <c r="D36" s="235" t="s">
        <v>139</v>
      </c>
      <c r="E36" s="274">
        <f>0.5*(MAX(C36:D36)-MIN(C36:D36))</f>
        <v>0</v>
      </c>
      <c r="F36" s="238">
        <v>0</v>
      </c>
      <c r="H36" s="233">
        <v>20</v>
      </c>
      <c r="I36" s="238">
        <v>0</v>
      </c>
      <c r="J36" s="235" t="s">
        <v>139</v>
      </c>
      <c r="K36" s="274">
        <f>0.5*(MAX(I36:J36)-MIN(I36:J36))</f>
        <v>0</v>
      </c>
      <c r="L36" s="238">
        <v>0</v>
      </c>
      <c r="N36" s="233">
        <v>20</v>
      </c>
      <c r="O36" s="238">
        <v>0</v>
      </c>
      <c r="P36" s="235" t="s">
        <v>139</v>
      </c>
      <c r="Q36" s="274">
        <f>0.5*(MAX(O36:P36)-MIN(O36:P36))</f>
        <v>0</v>
      </c>
      <c r="R36" s="238">
        <v>0</v>
      </c>
    </row>
    <row r="37" spans="1:18">
      <c r="B37" s="233">
        <v>50</v>
      </c>
      <c r="C37" s="238">
        <v>0</v>
      </c>
      <c r="D37" s="235" t="s">
        <v>139</v>
      </c>
      <c r="E37" s="274">
        <f t="shared" ref="E37:E44" si="6">0.5*(MAX(C37:D37)-MIN(C37:D37))</f>
        <v>0</v>
      </c>
      <c r="F37" s="238">
        <v>0</v>
      </c>
      <c r="H37" s="233">
        <v>50</v>
      </c>
      <c r="I37" s="238">
        <v>0</v>
      </c>
      <c r="J37" s="235" t="s">
        <v>139</v>
      </c>
      <c r="K37" s="274">
        <f t="shared" ref="K37:K44" si="7">0.5*(MAX(I37:J37)-MIN(I37:J37))</f>
        <v>0</v>
      </c>
      <c r="L37" s="238">
        <v>0</v>
      </c>
      <c r="N37" s="233">
        <v>50</v>
      </c>
      <c r="O37" s="238">
        <v>0</v>
      </c>
      <c r="P37" s="235" t="s">
        <v>139</v>
      </c>
      <c r="Q37" s="274">
        <f t="shared" ref="Q37:Q44" si="8">0.5*(MAX(O37:P37)-MIN(O37:P37))</f>
        <v>0</v>
      </c>
      <c r="R37" s="238">
        <v>0</v>
      </c>
    </row>
    <row r="38" spans="1:18">
      <c r="B38" s="233">
        <v>60</v>
      </c>
      <c r="C38" s="238">
        <v>0</v>
      </c>
      <c r="D38" s="235" t="s">
        <v>139</v>
      </c>
      <c r="E38" s="274">
        <f t="shared" si="6"/>
        <v>0</v>
      </c>
      <c r="F38" s="238">
        <v>0</v>
      </c>
      <c r="H38" s="233">
        <v>60</v>
      </c>
      <c r="I38" s="238">
        <v>0</v>
      </c>
      <c r="J38" s="235" t="s">
        <v>139</v>
      </c>
      <c r="K38" s="274">
        <f t="shared" si="7"/>
        <v>0</v>
      </c>
      <c r="L38" s="238">
        <v>0</v>
      </c>
      <c r="N38" s="233">
        <v>60</v>
      </c>
      <c r="O38" s="238">
        <v>0</v>
      </c>
      <c r="P38" s="235" t="s">
        <v>139</v>
      </c>
      <c r="Q38" s="274">
        <f t="shared" si="8"/>
        <v>0</v>
      </c>
      <c r="R38" s="238">
        <v>0</v>
      </c>
    </row>
    <row r="39" spans="1:18" ht="14.5">
      <c r="B39" s="237">
        <v>70</v>
      </c>
      <c r="C39" s="238">
        <v>0</v>
      </c>
      <c r="D39" s="235" t="s">
        <v>139</v>
      </c>
      <c r="E39" s="274">
        <f t="shared" si="6"/>
        <v>0</v>
      </c>
      <c r="F39" s="238">
        <v>0</v>
      </c>
      <c r="H39" s="237">
        <v>70</v>
      </c>
      <c r="I39" s="238">
        <v>0</v>
      </c>
      <c r="J39" s="235" t="s">
        <v>139</v>
      </c>
      <c r="K39" s="274">
        <f t="shared" si="7"/>
        <v>0</v>
      </c>
      <c r="L39" s="238">
        <v>0</v>
      </c>
      <c r="N39" s="237">
        <v>70</v>
      </c>
      <c r="O39" s="238">
        <v>0</v>
      </c>
      <c r="P39" s="235" t="s">
        <v>139</v>
      </c>
      <c r="Q39" s="274">
        <f t="shared" si="8"/>
        <v>0</v>
      </c>
      <c r="R39" s="238">
        <v>0</v>
      </c>
    </row>
    <row r="40" spans="1:18" ht="14.5">
      <c r="B40" s="237">
        <v>75</v>
      </c>
      <c r="C40" s="238">
        <v>0</v>
      </c>
      <c r="D40" s="235" t="s">
        <v>139</v>
      </c>
      <c r="E40" s="274">
        <f t="shared" si="6"/>
        <v>0</v>
      </c>
      <c r="F40" s="238">
        <v>0</v>
      </c>
      <c r="H40" s="237">
        <v>75</v>
      </c>
      <c r="I40" s="238">
        <v>0</v>
      </c>
      <c r="J40" s="235" t="s">
        <v>139</v>
      </c>
      <c r="K40" s="274">
        <f t="shared" si="7"/>
        <v>0</v>
      </c>
      <c r="L40" s="238">
        <v>0</v>
      </c>
      <c r="N40" s="237">
        <v>75</v>
      </c>
      <c r="O40" s="238">
        <v>0</v>
      </c>
      <c r="P40" s="235" t="s">
        <v>139</v>
      </c>
      <c r="Q40" s="274">
        <f t="shared" si="8"/>
        <v>0</v>
      </c>
      <c r="R40" s="238">
        <v>0</v>
      </c>
    </row>
    <row r="41" spans="1:18">
      <c r="B41" s="233">
        <v>90</v>
      </c>
      <c r="C41" s="238">
        <v>0</v>
      </c>
      <c r="D41" s="235" t="s">
        <v>139</v>
      </c>
      <c r="E41" s="274">
        <f t="shared" si="6"/>
        <v>0</v>
      </c>
      <c r="F41" s="238">
        <v>0</v>
      </c>
      <c r="H41" s="233">
        <v>90</v>
      </c>
      <c r="I41" s="238">
        <v>0</v>
      </c>
      <c r="J41" s="235" t="s">
        <v>139</v>
      </c>
      <c r="K41" s="274">
        <f t="shared" si="7"/>
        <v>0</v>
      </c>
      <c r="L41" s="238">
        <v>0</v>
      </c>
      <c r="N41" s="233">
        <v>90</v>
      </c>
      <c r="O41" s="238">
        <v>0</v>
      </c>
      <c r="P41" s="235" t="s">
        <v>139</v>
      </c>
      <c r="Q41" s="274">
        <f t="shared" si="8"/>
        <v>0</v>
      </c>
      <c r="R41" s="238">
        <v>0</v>
      </c>
    </row>
    <row r="42" spans="1:18">
      <c r="B42" s="233">
        <v>95</v>
      </c>
      <c r="C42" s="238">
        <v>0</v>
      </c>
      <c r="D42" s="235" t="s">
        <v>139</v>
      </c>
      <c r="E42" s="274">
        <f t="shared" si="6"/>
        <v>0</v>
      </c>
      <c r="F42" s="238">
        <v>0</v>
      </c>
      <c r="H42" s="233">
        <v>95</v>
      </c>
      <c r="I42" s="238">
        <v>0</v>
      </c>
      <c r="J42" s="235" t="s">
        <v>139</v>
      </c>
      <c r="K42" s="274">
        <f t="shared" si="7"/>
        <v>0</v>
      </c>
      <c r="L42" s="238">
        <v>0</v>
      </c>
      <c r="N42" s="233">
        <v>95</v>
      </c>
      <c r="O42" s="238">
        <v>0</v>
      </c>
      <c r="P42" s="235" t="s">
        <v>139</v>
      </c>
      <c r="Q42" s="274">
        <f t="shared" si="8"/>
        <v>0</v>
      </c>
      <c r="R42" s="238">
        <v>0</v>
      </c>
    </row>
    <row r="43" spans="1:18">
      <c r="B43" s="233">
        <v>110</v>
      </c>
      <c r="C43" s="238">
        <v>0</v>
      </c>
      <c r="D43" s="235" t="s">
        <v>139</v>
      </c>
      <c r="E43" s="274">
        <f t="shared" si="6"/>
        <v>0</v>
      </c>
      <c r="F43" s="238">
        <v>0</v>
      </c>
      <c r="H43" s="233">
        <v>110</v>
      </c>
      <c r="I43" s="238">
        <v>0</v>
      </c>
      <c r="J43" s="235" t="s">
        <v>139</v>
      </c>
      <c r="K43" s="274">
        <f t="shared" si="7"/>
        <v>0</v>
      </c>
      <c r="L43" s="238">
        <v>0</v>
      </c>
      <c r="N43" s="233">
        <v>110</v>
      </c>
      <c r="O43" s="238">
        <v>0</v>
      </c>
      <c r="P43" s="235" t="s">
        <v>139</v>
      </c>
      <c r="Q43" s="274">
        <f t="shared" si="8"/>
        <v>0</v>
      </c>
      <c r="R43" s="238">
        <v>0</v>
      </c>
    </row>
    <row r="44" spans="1:18">
      <c r="B44" s="233">
        <v>120</v>
      </c>
      <c r="C44" s="238">
        <v>0</v>
      </c>
      <c r="D44" s="235" t="s">
        <v>139</v>
      </c>
      <c r="E44" s="274">
        <f t="shared" si="6"/>
        <v>0</v>
      </c>
      <c r="F44" s="238">
        <v>0</v>
      </c>
      <c r="H44" s="233">
        <v>120</v>
      </c>
      <c r="I44" s="238">
        <v>0</v>
      </c>
      <c r="J44" s="235" t="s">
        <v>139</v>
      </c>
      <c r="K44" s="274">
        <f t="shared" si="7"/>
        <v>0</v>
      </c>
      <c r="L44" s="238">
        <v>0</v>
      </c>
      <c r="N44" s="233">
        <v>120</v>
      </c>
      <c r="O44" s="238">
        <v>0</v>
      </c>
      <c r="P44" s="235" t="s">
        <v>139</v>
      </c>
      <c r="Q44" s="274">
        <f t="shared" si="8"/>
        <v>0</v>
      </c>
      <c r="R44" s="238">
        <v>0</v>
      </c>
    </row>
    <row r="47" spans="1:18" ht="14">
      <c r="A47" s="1235">
        <v>50</v>
      </c>
      <c r="B47" s="1238" t="s">
        <v>25</v>
      </c>
      <c r="C47" s="1240" t="s">
        <v>611</v>
      </c>
      <c r="D47" s="1240"/>
      <c r="E47" s="1240"/>
      <c r="F47" s="1240"/>
      <c r="G47" s="1241"/>
    </row>
    <row r="48" spans="1:18" ht="13">
      <c r="A48" s="1236"/>
      <c r="B48" s="1239"/>
      <c r="C48" s="1242" t="str">
        <f>B6</f>
        <v>Setting dB</v>
      </c>
      <c r="D48" s="1242"/>
      <c r="E48" s="1242"/>
      <c r="F48" s="1243" t="s">
        <v>606</v>
      </c>
      <c r="G48" s="1245" t="s">
        <v>607</v>
      </c>
    </row>
    <row r="49" spans="1:7" ht="14">
      <c r="A49" s="1236"/>
      <c r="B49" s="1239"/>
      <c r="C49" s="240" t="s">
        <v>209</v>
      </c>
      <c r="D49" s="241">
        <v>2018</v>
      </c>
      <c r="E49" s="241">
        <v>2020</v>
      </c>
      <c r="F49" s="1244"/>
      <c r="G49" s="1246"/>
    </row>
    <row r="50" spans="1:7" ht="14" hidden="1">
      <c r="A50" s="1236"/>
      <c r="B50" s="242">
        <v>1</v>
      </c>
      <c r="C50" s="243">
        <v>30</v>
      </c>
      <c r="D50" s="244">
        <f>$C$9</f>
        <v>0</v>
      </c>
      <c r="E50" s="244" t="str">
        <f>$D$9</f>
        <v>-</v>
      </c>
      <c r="F50" s="244">
        <f>$E$9</f>
        <v>0</v>
      </c>
      <c r="G50" s="245">
        <f>$F$9</f>
        <v>0.3</v>
      </c>
    </row>
    <row r="51" spans="1:7" ht="14" hidden="1">
      <c r="A51" s="1236"/>
      <c r="B51" s="243">
        <v>2</v>
      </c>
      <c r="C51" s="246">
        <v>30</v>
      </c>
      <c r="D51" s="247">
        <f>$I$9</f>
        <v>0</v>
      </c>
      <c r="E51" s="247" t="str">
        <f>$J$9</f>
        <v>-</v>
      </c>
      <c r="F51" s="247">
        <f>$K$9</f>
        <v>0</v>
      </c>
      <c r="G51" s="248">
        <f>$L$9</f>
        <v>0.4</v>
      </c>
    </row>
    <row r="52" spans="1:7" ht="13" hidden="1">
      <c r="A52" s="1236"/>
      <c r="B52" s="249">
        <v>3</v>
      </c>
      <c r="C52" s="246">
        <v>30</v>
      </c>
      <c r="D52" s="247">
        <f>$O$9</f>
        <v>-0.02</v>
      </c>
      <c r="E52" s="247" t="str">
        <f>$P$9</f>
        <v>-</v>
      </c>
      <c r="F52" s="247">
        <f>$Q$9</f>
        <v>0</v>
      </c>
      <c r="G52" s="248">
        <f>$R$9</f>
        <v>0.16</v>
      </c>
    </row>
    <row r="53" spans="1:7" ht="13" hidden="1">
      <c r="A53" s="1236"/>
      <c r="B53" s="249">
        <v>4</v>
      </c>
      <c r="C53" s="246">
        <v>30</v>
      </c>
      <c r="D53" s="247">
        <f>$C$23</f>
        <v>-0.02</v>
      </c>
      <c r="E53" s="247" t="str">
        <f>$D$23</f>
        <v>-</v>
      </c>
      <c r="F53" s="247">
        <f>$E$23</f>
        <v>0</v>
      </c>
      <c r="G53" s="248">
        <f>$F$23</f>
        <v>0.16</v>
      </c>
    </row>
    <row r="54" spans="1:7" ht="13" hidden="1">
      <c r="A54" s="1236"/>
      <c r="B54" s="249">
        <v>5</v>
      </c>
      <c r="C54" s="246">
        <v>30</v>
      </c>
      <c r="D54" s="247">
        <f>$I$23</f>
        <v>-0.02</v>
      </c>
      <c r="E54" s="247" t="str">
        <f>$J$23</f>
        <v>-</v>
      </c>
      <c r="F54" s="247">
        <f>$K$23</f>
        <v>0</v>
      </c>
      <c r="G54" s="248">
        <f>$L$23</f>
        <v>0</v>
      </c>
    </row>
    <row r="55" spans="1:7" ht="14">
      <c r="A55" s="1236"/>
      <c r="B55" s="249">
        <v>6</v>
      </c>
      <c r="C55" s="246">
        <v>50</v>
      </c>
      <c r="D55" s="247">
        <f>$C$9</f>
        <v>0</v>
      </c>
      <c r="E55" s="244" t="str">
        <f>$D$9</f>
        <v>-</v>
      </c>
      <c r="F55" s="247">
        <f>$E$9</f>
        <v>0</v>
      </c>
      <c r="G55" s="248">
        <f>$F$9</f>
        <v>0.3</v>
      </c>
    </row>
    <row r="56" spans="1:7" ht="13">
      <c r="A56" s="1236"/>
      <c r="B56" s="249">
        <v>7</v>
      </c>
      <c r="C56" s="246">
        <v>50</v>
      </c>
      <c r="D56" s="247">
        <f>$I$9</f>
        <v>0</v>
      </c>
      <c r="E56" s="247" t="str">
        <f>$J$9</f>
        <v>-</v>
      </c>
      <c r="F56" s="247">
        <f>$K$9</f>
        <v>0</v>
      </c>
      <c r="G56" s="248">
        <f>$L$9</f>
        <v>0.4</v>
      </c>
    </row>
    <row r="57" spans="1:7" ht="13">
      <c r="A57" s="1236"/>
      <c r="B57" s="249">
        <v>8</v>
      </c>
      <c r="C57" s="246">
        <v>50</v>
      </c>
      <c r="D57" s="247">
        <f>$O$9</f>
        <v>-0.02</v>
      </c>
      <c r="E57" s="247" t="str">
        <f>$P$9</f>
        <v>-</v>
      </c>
      <c r="F57" s="247">
        <f>$Q$9</f>
        <v>0</v>
      </c>
      <c r="G57" s="248">
        <f>$R$9</f>
        <v>0.16</v>
      </c>
    </row>
    <row r="58" spans="1:7" ht="13">
      <c r="A58" s="1236"/>
      <c r="B58" s="249">
        <v>9</v>
      </c>
      <c r="C58" s="246">
        <v>50</v>
      </c>
      <c r="D58" s="247">
        <f>$C$23</f>
        <v>-0.02</v>
      </c>
      <c r="E58" s="247" t="str">
        <f>$D$23</f>
        <v>-</v>
      </c>
      <c r="F58" s="247">
        <f>$E$23</f>
        <v>0</v>
      </c>
      <c r="G58" s="248">
        <f>$F$23</f>
        <v>0.16</v>
      </c>
    </row>
    <row r="59" spans="1:7" ht="14">
      <c r="A59" s="1236"/>
      <c r="B59" s="250">
        <v>10</v>
      </c>
      <c r="C59" s="246">
        <v>50</v>
      </c>
      <c r="D59" s="252">
        <f>$I$23</f>
        <v>-0.02</v>
      </c>
      <c r="E59" s="252" t="str">
        <f>$J$23</f>
        <v>-</v>
      </c>
      <c r="F59" s="252">
        <f>$K$23</f>
        <v>0</v>
      </c>
      <c r="G59" s="253">
        <f>$L$23</f>
        <v>0</v>
      </c>
    </row>
    <row r="60" spans="1:7" ht="14">
      <c r="A60" s="1236"/>
      <c r="B60" s="242">
        <v>11</v>
      </c>
      <c r="C60" s="246">
        <v>50</v>
      </c>
      <c r="D60" s="247">
        <f>$O$23</f>
        <v>0</v>
      </c>
      <c r="E60" s="247" t="str">
        <f>$P$23</f>
        <v>-</v>
      </c>
      <c r="F60" s="247">
        <f>$Q$23</f>
        <v>0</v>
      </c>
      <c r="G60" s="247">
        <f>$R$23</f>
        <v>0</v>
      </c>
    </row>
    <row r="61" spans="1:7" ht="13.5" thickBot="1">
      <c r="A61" s="1237"/>
      <c r="B61" s="233">
        <v>12</v>
      </c>
      <c r="C61" s="246">
        <v>50</v>
      </c>
      <c r="D61" s="236">
        <f>$C$37</f>
        <v>0</v>
      </c>
      <c r="E61" s="236" t="str">
        <f>$D$37</f>
        <v>-</v>
      </c>
      <c r="F61" s="236">
        <f>$E$37</f>
        <v>0</v>
      </c>
      <c r="G61" s="236">
        <f>$F$37</f>
        <v>0</v>
      </c>
    </row>
    <row r="62" spans="1:7" ht="15" hidden="1" customHeight="1">
      <c r="A62" s="1235">
        <v>60</v>
      </c>
      <c r="B62" s="254">
        <v>1</v>
      </c>
      <c r="C62" s="255">
        <v>60</v>
      </c>
      <c r="D62" s="256">
        <f>$C$10</f>
        <v>0</v>
      </c>
      <c r="E62" s="257" t="str">
        <f>$D$10</f>
        <v>-</v>
      </c>
      <c r="F62" s="256">
        <f>$E$10</f>
        <v>0</v>
      </c>
      <c r="G62" s="258">
        <f>$F$10</f>
        <v>0.3</v>
      </c>
    </row>
    <row r="63" spans="1:7" ht="12.75" hidden="1" customHeight="1">
      <c r="A63" s="1236"/>
      <c r="B63" s="249">
        <v>2</v>
      </c>
      <c r="C63" s="249">
        <v>60</v>
      </c>
      <c r="D63" s="259">
        <f>$I$10</f>
        <v>0.1</v>
      </c>
      <c r="E63" s="260" t="str">
        <f>$J$10</f>
        <v>-</v>
      </c>
      <c r="F63" s="259">
        <f>$K$10</f>
        <v>0</v>
      </c>
      <c r="G63" s="261">
        <f>$L$10</f>
        <v>0.4</v>
      </c>
    </row>
    <row r="64" spans="1:7" ht="12.75" hidden="1" customHeight="1">
      <c r="A64" s="1236"/>
      <c r="B64" s="249">
        <v>3</v>
      </c>
      <c r="C64" s="249">
        <v>60</v>
      </c>
      <c r="D64" s="259">
        <f>$O$10</f>
        <v>-0.02</v>
      </c>
      <c r="E64" s="260" t="str">
        <f>$P$10</f>
        <v>-</v>
      </c>
      <c r="F64" s="259">
        <f>$Q$10</f>
        <v>0</v>
      </c>
      <c r="G64" s="261">
        <f>$R$10</f>
        <v>0.16</v>
      </c>
    </row>
    <row r="65" spans="1:7" ht="12.75" hidden="1" customHeight="1">
      <c r="A65" s="1236"/>
      <c r="B65" s="249">
        <v>4</v>
      </c>
      <c r="C65" s="249">
        <v>60</v>
      </c>
      <c r="D65" s="259">
        <f>$C$24</f>
        <v>-0.02</v>
      </c>
      <c r="E65" s="260" t="str">
        <f>$D$24</f>
        <v>-</v>
      </c>
      <c r="F65" s="259">
        <f>$E$24</f>
        <v>0</v>
      </c>
      <c r="G65" s="261">
        <f>$F$24</f>
        <v>0.16</v>
      </c>
    </row>
    <row r="66" spans="1:7" ht="12.75" hidden="1" customHeight="1">
      <c r="A66" s="1236"/>
      <c r="B66" s="249">
        <v>5</v>
      </c>
      <c r="C66" s="249">
        <v>60</v>
      </c>
      <c r="D66" s="259">
        <f>$I$24</f>
        <v>-0.02</v>
      </c>
      <c r="E66" s="259" t="str">
        <f>$J$24</f>
        <v>-</v>
      </c>
      <c r="F66" s="259">
        <f>$K$24</f>
        <v>0</v>
      </c>
      <c r="G66" s="261">
        <f>$L$24</f>
        <v>0</v>
      </c>
    </row>
    <row r="67" spans="1:7" ht="12.75" customHeight="1">
      <c r="A67" s="1236"/>
      <c r="B67" s="249">
        <v>6</v>
      </c>
      <c r="C67" s="249">
        <v>60</v>
      </c>
      <c r="D67" s="256">
        <f>$C$10</f>
        <v>0</v>
      </c>
      <c r="E67" s="257" t="str">
        <f>$D$10</f>
        <v>-</v>
      </c>
      <c r="F67" s="256">
        <f>$E$10</f>
        <v>0</v>
      </c>
      <c r="G67" s="258">
        <f>$F$10</f>
        <v>0.3</v>
      </c>
    </row>
    <row r="68" spans="1:7" ht="12.75" customHeight="1">
      <c r="A68" s="1236"/>
      <c r="B68" s="249">
        <v>7</v>
      </c>
      <c r="C68" s="249">
        <v>60</v>
      </c>
      <c r="D68" s="259">
        <f>$I$10</f>
        <v>0.1</v>
      </c>
      <c r="E68" s="260" t="str">
        <f>$J$10</f>
        <v>-</v>
      </c>
      <c r="F68" s="259">
        <f>$K$10</f>
        <v>0</v>
      </c>
      <c r="G68" s="261">
        <f>$L$10</f>
        <v>0.4</v>
      </c>
    </row>
    <row r="69" spans="1:7" ht="12.75" customHeight="1">
      <c r="A69" s="1236"/>
      <c r="B69" s="249">
        <v>8</v>
      </c>
      <c r="C69" s="249">
        <v>60</v>
      </c>
      <c r="D69" s="259">
        <f>$O$10</f>
        <v>-0.02</v>
      </c>
      <c r="E69" s="260" t="str">
        <f>$P$10</f>
        <v>-</v>
      </c>
      <c r="F69" s="259">
        <f>$Q$10</f>
        <v>0</v>
      </c>
      <c r="G69" s="261">
        <f>$R$10</f>
        <v>0.16</v>
      </c>
    </row>
    <row r="70" spans="1:7" ht="15" customHeight="1">
      <c r="A70" s="1236"/>
      <c r="B70" s="242">
        <v>9</v>
      </c>
      <c r="C70" s="243">
        <v>60</v>
      </c>
      <c r="D70" s="259">
        <f>$C$24</f>
        <v>-0.02</v>
      </c>
      <c r="E70" s="260" t="str">
        <f>$D$24</f>
        <v>-</v>
      </c>
      <c r="F70" s="259">
        <f>$E$24</f>
        <v>0</v>
      </c>
      <c r="G70" s="261">
        <f>$F$24</f>
        <v>0.16</v>
      </c>
    </row>
    <row r="71" spans="1:7" ht="15" customHeight="1">
      <c r="A71" s="1236"/>
      <c r="B71" s="251">
        <v>10</v>
      </c>
      <c r="C71" s="251">
        <v>60</v>
      </c>
      <c r="D71" s="262">
        <f>$I$24</f>
        <v>-0.02</v>
      </c>
      <c r="E71" s="262" t="str">
        <f>$J$24</f>
        <v>-</v>
      </c>
      <c r="F71" s="262">
        <f>$K$24</f>
        <v>0</v>
      </c>
      <c r="G71" s="263">
        <f>$L$24</f>
        <v>0</v>
      </c>
    </row>
    <row r="72" spans="1:7" ht="15" customHeight="1">
      <c r="A72" s="1236"/>
      <c r="B72" s="242">
        <v>11</v>
      </c>
      <c r="C72" s="251">
        <v>60</v>
      </c>
      <c r="D72" s="259">
        <f>$O$24</f>
        <v>0</v>
      </c>
      <c r="E72" s="259" t="str">
        <f>$P$24</f>
        <v>-</v>
      </c>
      <c r="F72" s="259">
        <f>$Q$24</f>
        <v>0</v>
      </c>
      <c r="G72" s="259">
        <f>$R$24</f>
        <v>0</v>
      </c>
    </row>
    <row r="73" spans="1:7" ht="15" customHeight="1" thickBot="1">
      <c r="A73" s="1237"/>
      <c r="B73" s="233">
        <v>12</v>
      </c>
      <c r="C73" s="251">
        <v>60</v>
      </c>
      <c r="D73" s="236">
        <f>$C$38</f>
        <v>0</v>
      </c>
      <c r="E73" s="236" t="str">
        <f>$D$38</f>
        <v>-</v>
      </c>
      <c r="F73" s="236">
        <f>$E$38</f>
        <v>0</v>
      </c>
      <c r="G73" s="236">
        <f>$F$38</f>
        <v>0</v>
      </c>
    </row>
    <row r="74" spans="1:7" ht="12.75" hidden="1" customHeight="1">
      <c r="A74" s="1235">
        <v>70</v>
      </c>
      <c r="B74" s="254">
        <v>1</v>
      </c>
      <c r="C74" s="255">
        <v>90</v>
      </c>
      <c r="D74" s="256">
        <f>$C$11</f>
        <v>0</v>
      </c>
      <c r="E74" s="257" t="str">
        <f>$D$11</f>
        <v>-</v>
      </c>
      <c r="F74" s="256">
        <f>$E$11</f>
        <v>0</v>
      </c>
      <c r="G74" s="258">
        <f>$F$11</f>
        <v>0.3</v>
      </c>
    </row>
    <row r="75" spans="1:7" ht="12.75" hidden="1" customHeight="1">
      <c r="A75" s="1236"/>
      <c r="B75" s="249">
        <v>2</v>
      </c>
      <c r="C75" s="249">
        <v>90</v>
      </c>
      <c r="D75" s="259">
        <f>$I$11</f>
        <v>0</v>
      </c>
      <c r="E75" s="260" t="str">
        <f>$J$11</f>
        <v>-</v>
      </c>
      <c r="F75" s="259">
        <f>$K$11</f>
        <v>0</v>
      </c>
      <c r="G75" s="261">
        <f>$L$11</f>
        <v>0.4</v>
      </c>
    </row>
    <row r="76" spans="1:7" ht="12.75" hidden="1" customHeight="1">
      <c r="A76" s="1236"/>
      <c r="B76" s="249">
        <v>3</v>
      </c>
      <c r="C76" s="249">
        <v>90</v>
      </c>
      <c r="D76" s="259">
        <f>$O$11</f>
        <v>-0.02</v>
      </c>
      <c r="E76" s="260" t="str">
        <f>$P$11</f>
        <v>-</v>
      </c>
      <c r="F76" s="259">
        <f>$Q$11</f>
        <v>0</v>
      </c>
      <c r="G76" s="261">
        <f>$R$11</f>
        <v>0.16</v>
      </c>
    </row>
    <row r="77" spans="1:7" hidden="1">
      <c r="A77" s="1236"/>
      <c r="B77" s="249">
        <v>4</v>
      </c>
      <c r="C77" s="249">
        <v>90</v>
      </c>
      <c r="D77" s="259">
        <f>$C$25</f>
        <v>-0.02</v>
      </c>
      <c r="E77" s="260" t="str">
        <f>$D$25</f>
        <v>-</v>
      </c>
      <c r="F77" s="259">
        <f>$E$25</f>
        <v>0</v>
      </c>
      <c r="G77" s="261">
        <f>$F$25</f>
        <v>0.16</v>
      </c>
    </row>
    <row r="78" spans="1:7" hidden="1">
      <c r="A78" s="1236"/>
      <c r="B78" s="249">
        <v>5</v>
      </c>
      <c r="C78" s="249">
        <v>90</v>
      </c>
      <c r="D78" s="259">
        <f>$I$25</f>
        <v>-0.02</v>
      </c>
      <c r="E78" s="259" t="str">
        <f>$J$25</f>
        <v>-</v>
      </c>
      <c r="F78" s="259">
        <f>$K$25</f>
        <v>0</v>
      </c>
      <c r="G78" s="261">
        <f>$L$25</f>
        <v>0</v>
      </c>
    </row>
    <row r="79" spans="1:7">
      <c r="A79" s="1236"/>
      <c r="B79" s="249">
        <v>6</v>
      </c>
      <c r="C79" s="249">
        <v>70</v>
      </c>
      <c r="D79" s="256">
        <f>$C$11</f>
        <v>0</v>
      </c>
      <c r="E79" s="257" t="str">
        <f>$D$11</f>
        <v>-</v>
      </c>
      <c r="F79" s="256">
        <f>$E$11</f>
        <v>0</v>
      </c>
      <c r="G79" s="258">
        <f>$F$11</f>
        <v>0.3</v>
      </c>
    </row>
    <row r="80" spans="1:7">
      <c r="A80" s="1236"/>
      <c r="B80" s="249">
        <v>7</v>
      </c>
      <c r="C80" s="249">
        <v>70</v>
      </c>
      <c r="D80" s="259">
        <f>$I$11</f>
        <v>0</v>
      </c>
      <c r="E80" s="260" t="str">
        <f>$J$11</f>
        <v>-</v>
      </c>
      <c r="F80" s="259">
        <f>$K$11</f>
        <v>0</v>
      </c>
      <c r="G80" s="261">
        <f>$L$11</f>
        <v>0.4</v>
      </c>
    </row>
    <row r="81" spans="1:7">
      <c r="A81" s="1236"/>
      <c r="B81" s="249">
        <v>8</v>
      </c>
      <c r="C81" s="249">
        <v>70</v>
      </c>
      <c r="D81" s="259">
        <f>$O$11</f>
        <v>-0.02</v>
      </c>
      <c r="E81" s="260" t="str">
        <f>$P$11</f>
        <v>-</v>
      </c>
      <c r="F81" s="259">
        <f>$Q$11</f>
        <v>0</v>
      </c>
      <c r="G81" s="261">
        <f>$R$11</f>
        <v>0.16</v>
      </c>
    </row>
    <row r="82" spans="1:7" ht="14">
      <c r="A82" s="1236"/>
      <c r="B82" s="242">
        <v>9</v>
      </c>
      <c r="C82" s="249">
        <v>70</v>
      </c>
      <c r="D82" s="259">
        <f>$C$25</f>
        <v>-0.02</v>
      </c>
      <c r="E82" s="260" t="str">
        <f>$D$25</f>
        <v>-</v>
      </c>
      <c r="F82" s="259">
        <f>$E$25</f>
        <v>0</v>
      </c>
      <c r="G82" s="261">
        <f>$F$25</f>
        <v>0.16</v>
      </c>
    </row>
    <row r="83" spans="1:7" ht="14">
      <c r="A83" s="1236"/>
      <c r="B83" s="251">
        <v>10</v>
      </c>
      <c r="C83" s="249">
        <v>70</v>
      </c>
      <c r="D83" s="262">
        <f>$I$25</f>
        <v>-0.02</v>
      </c>
      <c r="E83" s="262" t="str">
        <f>$J$25</f>
        <v>-</v>
      </c>
      <c r="F83" s="262">
        <f>$K$25</f>
        <v>0</v>
      </c>
      <c r="G83" s="263">
        <f>$L$25</f>
        <v>0</v>
      </c>
    </row>
    <row r="84" spans="1:7" ht="14">
      <c r="A84" s="1236"/>
      <c r="B84" s="242">
        <v>11</v>
      </c>
      <c r="C84" s="249">
        <v>70</v>
      </c>
      <c r="D84" s="259">
        <f>$O$25</f>
        <v>0</v>
      </c>
      <c r="E84" s="259" t="str">
        <f>$P$25</f>
        <v>-</v>
      </c>
      <c r="F84" s="259">
        <f>$Q$25</f>
        <v>0</v>
      </c>
      <c r="G84" s="259">
        <f>$R$25</f>
        <v>0</v>
      </c>
    </row>
    <row r="85" spans="1:7">
      <c r="A85" s="1236"/>
      <c r="B85" s="264">
        <v>12</v>
      </c>
      <c r="C85" s="249">
        <v>70</v>
      </c>
      <c r="D85" s="236">
        <f>$C$39</f>
        <v>0</v>
      </c>
      <c r="E85" s="236" t="str">
        <f>$D$39</f>
        <v>-</v>
      </c>
      <c r="F85" s="236">
        <f>$E$39</f>
        <v>0</v>
      </c>
      <c r="G85" s="236">
        <f>$F$39</f>
        <v>0</v>
      </c>
    </row>
    <row r="86" spans="1:7" ht="14" hidden="1">
      <c r="A86" s="1247">
        <v>75</v>
      </c>
      <c r="B86" s="265">
        <v>1</v>
      </c>
      <c r="C86" s="266">
        <v>120</v>
      </c>
      <c r="D86" s="256">
        <f>$C$12</f>
        <v>0</v>
      </c>
      <c r="E86" s="257" t="str">
        <f>$D$12</f>
        <v>-</v>
      </c>
      <c r="F86" s="256">
        <f>$E$12</f>
        <v>0</v>
      </c>
      <c r="G86" s="258">
        <f>$F$12</f>
        <v>0.3</v>
      </c>
    </row>
    <row r="87" spans="1:7" hidden="1">
      <c r="A87" s="1236"/>
      <c r="B87" s="267">
        <v>2</v>
      </c>
      <c r="C87" s="268">
        <v>120</v>
      </c>
      <c r="D87" s="259">
        <f>$I$12</f>
        <v>0.1</v>
      </c>
      <c r="E87" s="260" t="str">
        <f>$J$12</f>
        <v>-</v>
      </c>
      <c r="F87" s="259">
        <f>$K$12</f>
        <v>0</v>
      </c>
      <c r="G87" s="261">
        <f>$L$12</f>
        <v>0.4</v>
      </c>
    </row>
    <row r="88" spans="1:7" hidden="1">
      <c r="A88" s="1236"/>
      <c r="B88" s="267">
        <v>3</v>
      </c>
      <c r="C88" s="268">
        <v>120</v>
      </c>
      <c r="D88" s="259">
        <f>$O$12</f>
        <v>-0.04</v>
      </c>
      <c r="E88" s="260" t="str">
        <f>$P$12</f>
        <v>-</v>
      </c>
      <c r="F88" s="259">
        <f>$Q$12</f>
        <v>0</v>
      </c>
      <c r="G88" s="261">
        <f>$R$12</f>
        <v>0.16</v>
      </c>
    </row>
    <row r="89" spans="1:7" ht="11.25" hidden="1" customHeight="1">
      <c r="A89" s="1236"/>
      <c r="B89" s="267">
        <v>4</v>
      </c>
      <c r="C89" s="268">
        <v>120</v>
      </c>
      <c r="D89" s="262">
        <f>$C$26</f>
        <v>-0.04</v>
      </c>
      <c r="E89" s="260" t="str">
        <f>$D$26</f>
        <v>-</v>
      </c>
      <c r="F89" s="259">
        <f>$E$26</f>
        <v>0</v>
      </c>
      <c r="G89" s="261">
        <f>$F$26</f>
        <v>0.16</v>
      </c>
    </row>
    <row r="90" spans="1:7" ht="15" hidden="1" customHeight="1">
      <c r="A90" s="1236"/>
      <c r="B90" s="267">
        <v>5</v>
      </c>
      <c r="C90" s="268">
        <v>120</v>
      </c>
      <c r="D90" s="259">
        <f>$I$26</f>
        <v>-0.04</v>
      </c>
      <c r="E90" s="259" t="str">
        <f>$J$26</f>
        <v>-</v>
      </c>
      <c r="F90" s="259">
        <f>$K$26</f>
        <v>0</v>
      </c>
      <c r="G90" s="261">
        <f>$L$26</f>
        <v>0</v>
      </c>
    </row>
    <row r="91" spans="1:7">
      <c r="A91" s="1236"/>
      <c r="B91" s="267">
        <v>6</v>
      </c>
      <c r="C91" s="268">
        <v>75</v>
      </c>
      <c r="D91" s="256">
        <f>$C$12</f>
        <v>0</v>
      </c>
      <c r="E91" s="257" t="str">
        <f>$D$12</f>
        <v>-</v>
      </c>
      <c r="F91" s="256">
        <f>$E$12</f>
        <v>0</v>
      </c>
      <c r="G91" s="261">
        <f>$F$12</f>
        <v>0.3</v>
      </c>
    </row>
    <row r="92" spans="1:7">
      <c r="A92" s="1236"/>
      <c r="B92" s="267">
        <v>7</v>
      </c>
      <c r="C92" s="268">
        <v>75</v>
      </c>
      <c r="D92" s="259">
        <f>$I$12</f>
        <v>0.1</v>
      </c>
      <c r="E92" s="260" t="str">
        <f>$J$12</f>
        <v>-</v>
      </c>
      <c r="F92" s="259">
        <f>$K$12</f>
        <v>0</v>
      </c>
      <c r="G92" s="261">
        <f>$L$12</f>
        <v>0.4</v>
      </c>
    </row>
    <row r="93" spans="1:7">
      <c r="A93" s="1236"/>
      <c r="B93" s="267">
        <v>8</v>
      </c>
      <c r="C93" s="268">
        <v>75</v>
      </c>
      <c r="D93" s="259">
        <f>$O$12</f>
        <v>-0.04</v>
      </c>
      <c r="E93" s="260" t="str">
        <f>$P$12</f>
        <v>-</v>
      </c>
      <c r="F93" s="259">
        <f>$Q$12</f>
        <v>0</v>
      </c>
      <c r="G93" s="261">
        <f>$R$12</f>
        <v>0.16</v>
      </c>
    </row>
    <row r="94" spans="1:7" ht="14">
      <c r="A94" s="1236"/>
      <c r="B94" s="269">
        <v>9</v>
      </c>
      <c r="C94" s="268">
        <v>75</v>
      </c>
      <c r="D94" s="259">
        <f>$C$26</f>
        <v>-0.04</v>
      </c>
      <c r="E94" s="260" t="str">
        <f>$D$26</f>
        <v>-</v>
      </c>
      <c r="F94" s="259">
        <f>$E$26</f>
        <v>0</v>
      </c>
      <c r="G94" s="261">
        <f>$F$26</f>
        <v>0.16</v>
      </c>
    </row>
    <row r="95" spans="1:7" ht="14">
      <c r="A95" s="1236"/>
      <c r="B95" s="270">
        <v>10</v>
      </c>
      <c r="C95" s="268">
        <v>75</v>
      </c>
      <c r="D95" s="262">
        <f>$I$26</f>
        <v>-0.04</v>
      </c>
      <c r="E95" s="271" t="str">
        <f>$J$26</f>
        <v>-</v>
      </c>
      <c r="F95" s="262">
        <f>$K$26</f>
        <v>0</v>
      </c>
      <c r="G95" s="263">
        <f>$L$26</f>
        <v>0</v>
      </c>
    </row>
    <row r="96" spans="1:7" ht="14">
      <c r="A96" s="1236"/>
      <c r="B96" s="242">
        <v>11</v>
      </c>
      <c r="C96" s="268">
        <v>75</v>
      </c>
      <c r="D96" s="259">
        <f>$O$26</f>
        <v>0</v>
      </c>
      <c r="E96" s="259" t="str">
        <f>$P$26</f>
        <v>-</v>
      </c>
      <c r="F96" s="259">
        <f>$Q$26</f>
        <v>0</v>
      </c>
      <c r="G96" s="259">
        <f>$R$26</f>
        <v>0</v>
      </c>
    </row>
    <row r="97" spans="1:7" ht="13" thickBot="1">
      <c r="A97" s="1237"/>
      <c r="B97" s="233">
        <v>12</v>
      </c>
      <c r="C97" s="268">
        <v>75</v>
      </c>
      <c r="D97" s="236">
        <f>$C$40</f>
        <v>0</v>
      </c>
      <c r="E97" s="236" t="str">
        <f>$D$40</f>
        <v>-</v>
      </c>
      <c r="F97" s="236">
        <f>$E$40</f>
        <v>0</v>
      </c>
      <c r="G97" s="236">
        <f>$F$40</f>
        <v>0</v>
      </c>
    </row>
    <row r="98" spans="1:7" ht="14" hidden="1">
      <c r="A98" s="1236">
        <v>90</v>
      </c>
      <c r="B98" s="254">
        <v>1</v>
      </c>
      <c r="C98" s="255">
        <v>150</v>
      </c>
      <c r="D98" s="256">
        <f>$C$13</f>
        <v>0</v>
      </c>
      <c r="E98" s="257" t="str">
        <f>$D$13</f>
        <v>-</v>
      </c>
      <c r="F98" s="256">
        <f>$E$13</f>
        <v>0</v>
      </c>
      <c r="G98" s="258">
        <f>$F$13</f>
        <v>0.3</v>
      </c>
    </row>
    <row r="99" spans="1:7" hidden="1">
      <c r="A99" s="1236"/>
      <c r="B99" s="249">
        <v>2</v>
      </c>
      <c r="C99" s="249">
        <v>150</v>
      </c>
      <c r="D99" s="259">
        <f>$I$13</f>
        <v>0</v>
      </c>
      <c r="E99" s="260" t="str">
        <f>$J$13</f>
        <v>-</v>
      </c>
      <c r="F99" s="259">
        <f>$K$13</f>
        <v>0</v>
      </c>
      <c r="G99" s="261">
        <f>$L$13</f>
        <v>0.4</v>
      </c>
    </row>
    <row r="100" spans="1:7" hidden="1">
      <c r="A100" s="1236"/>
      <c r="B100" s="249">
        <v>3</v>
      </c>
      <c r="C100" s="249">
        <v>150</v>
      </c>
      <c r="D100" s="259">
        <f>$O$13</f>
        <v>-0.02</v>
      </c>
      <c r="E100" s="260" t="str">
        <f>$P$13</f>
        <v>-</v>
      </c>
      <c r="F100" s="259">
        <f>$Q$13</f>
        <v>0</v>
      </c>
      <c r="G100" s="261">
        <f>$R$13</f>
        <v>0.16</v>
      </c>
    </row>
    <row r="101" spans="1:7" hidden="1">
      <c r="A101" s="1236"/>
      <c r="B101" s="249">
        <v>4</v>
      </c>
      <c r="C101" s="249">
        <v>150</v>
      </c>
      <c r="D101" s="259">
        <f>$C$27</f>
        <v>-0.02</v>
      </c>
      <c r="E101" s="260" t="str">
        <f>$D$27</f>
        <v>-</v>
      </c>
      <c r="F101" s="259">
        <f>$E$27</f>
        <v>0</v>
      </c>
      <c r="G101" s="261">
        <f>$F$27</f>
        <v>0.16</v>
      </c>
    </row>
    <row r="102" spans="1:7" hidden="1">
      <c r="A102" s="1236"/>
      <c r="B102" s="249">
        <v>5</v>
      </c>
      <c r="C102" s="249">
        <v>150</v>
      </c>
      <c r="D102" s="259">
        <f>$I$27</f>
        <v>-0.02</v>
      </c>
      <c r="E102" s="259" t="str">
        <f>$J$27</f>
        <v>-</v>
      </c>
      <c r="F102" s="259">
        <f>$K$27</f>
        <v>0</v>
      </c>
      <c r="G102" s="261">
        <f>$L$27</f>
        <v>0</v>
      </c>
    </row>
    <row r="103" spans="1:7">
      <c r="A103" s="1236"/>
      <c r="B103" s="249">
        <v>6</v>
      </c>
      <c r="C103" s="249">
        <v>90</v>
      </c>
      <c r="D103" s="256">
        <f>$C$13</f>
        <v>0</v>
      </c>
      <c r="E103" s="257" t="str">
        <f>$D$13</f>
        <v>-</v>
      </c>
      <c r="F103" s="256">
        <f>$E$13</f>
        <v>0</v>
      </c>
      <c r="G103" s="258">
        <f>$F$13</f>
        <v>0.3</v>
      </c>
    </row>
    <row r="104" spans="1:7">
      <c r="A104" s="1236"/>
      <c r="B104" s="249">
        <v>7</v>
      </c>
      <c r="C104" s="249">
        <v>90</v>
      </c>
      <c r="D104" s="259">
        <f>$I$13</f>
        <v>0</v>
      </c>
      <c r="E104" s="260" t="str">
        <f>$J$13</f>
        <v>-</v>
      </c>
      <c r="F104" s="259">
        <f>$K$13</f>
        <v>0</v>
      </c>
      <c r="G104" s="261">
        <f>$L$13</f>
        <v>0.4</v>
      </c>
    </row>
    <row r="105" spans="1:7">
      <c r="A105" s="1236"/>
      <c r="B105" s="249">
        <v>8</v>
      </c>
      <c r="C105" s="249">
        <v>90</v>
      </c>
      <c r="D105" s="259">
        <f>$O$13</f>
        <v>-0.02</v>
      </c>
      <c r="E105" s="260" t="str">
        <f>$P$13</f>
        <v>-</v>
      </c>
      <c r="F105" s="259">
        <f>$Q$13</f>
        <v>0</v>
      </c>
      <c r="G105" s="261">
        <f>$R$13</f>
        <v>0.16</v>
      </c>
    </row>
    <row r="106" spans="1:7" ht="14">
      <c r="A106" s="1236"/>
      <c r="B106" s="242">
        <v>9</v>
      </c>
      <c r="C106" s="249">
        <v>90</v>
      </c>
      <c r="D106" s="259">
        <f>$C$27</f>
        <v>-0.02</v>
      </c>
      <c r="E106" s="260" t="str">
        <f>$D$27</f>
        <v>-</v>
      </c>
      <c r="F106" s="259">
        <f>$E$27</f>
        <v>0</v>
      </c>
      <c r="G106" s="261">
        <f>$F$27</f>
        <v>0.16</v>
      </c>
    </row>
    <row r="107" spans="1:7" ht="14">
      <c r="A107" s="1236"/>
      <c r="B107" s="251">
        <v>10</v>
      </c>
      <c r="C107" s="249">
        <v>90</v>
      </c>
      <c r="D107" s="262">
        <f>$I$27</f>
        <v>-0.02</v>
      </c>
      <c r="E107" s="262" t="str">
        <f>$J$27</f>
        <v>-</v>
      </c>
      <c r="F107" s="262">
        <f>$K$27</f>
        <v>0</v>
      </c>
      <c r="G107" s="263">
        <f>$L$27</f>
        <v>0</v>
      </c>
    </row>
    <row r="108" spans="1:7" ht="14">
      <c r="A108" s="1236"/>
      <c r="B108" s="242">
        <v>11</v>
      </c>
      <c r="C108" s="249">
        <v>90</v>
      </c>
      <c r="D108" s="259">
        <f>$O$27</f>
        <v>0</v>
      </c>
      <c r="E108" s="259" t="str">
        <f>$P$27</f>
        <v>-</v>
      </c>
      <c r="F108" s="259">
        <f>$Q$27</f>
        <v>0</v>
      </c>
      <c r="G108" s="259">
        <f>$R$27</f>
        <v>0</v>
      </c>
    </row>
    <row r="109" spans="1:7" ht="13" thickBot="1">
      <c r="A109" s="1237"/>
      <c r="B109" s="233">
        <v>12</v>
      </c>
      <c r="C109" s="249">
        <v>90</v>
      </c>
      <c r="D109" s="236">
        <f>$C$41</f>
        <v>0</v>
      </c>
      <c r="E109" s="236" t="str">
        <f>$D$41</f>
        <v>-</v>
      </c>
      <c r="F109" s="236">
        <f>$E$41</f>
        <v>0</v>
      </c>
      <c r="G109" s="236">
        <f>$F$41</f>
        <v>0</v>
      </c>
    </row>
    <row r="110" spans="1:7" ht="14" hidden="1">
      <c r="A110" s="1235">
        <v>95</v>
      </c>
      <c r="B110" s="254">
        <v>1</v>
      </c>
      <c r="C110" s="255">
        <v>180</v>
      </c>
      <c r="D110" s="256">
        <f>$C$14</f>
        <v>0</v>
      </c>
      <c r="E110" s="257" t="str">
        <f>$D$14</f>
        <v>-</v>
      </c>
      <c r="F110" s="256">
        <f>$E$14</f>
        <v>0</v>
      </c>
      <c r="G110" s="258">
        <f>$F$14</f>
        <v>0.3</v>
      </c>
    </row>
    <row r="111" spans="1:7" hidden="1">
      <c r="A111" s="1236"/>
      <c r="B111" s="249">
        <v>2</v>
      </c>
      <c r="C111" s="249">
        <v>180</v>
      </c>
      <c r="D111" s="259">
        <f>$I$14</f>
        <v>0</v>
      </c>
      <c r="E111" s="260" t="str">
        <f>$J$14</f>
        <v>-</v>
      </c>
      <c r="F111" s="259">
        <f>$K$14</f>
        <v>0</v>
      </c>
      <c r="G111" s="261">
        <f>$L$14</f>
        <v>0.4</v>
      </c>
    </row>
    <row r="112" spans="1:7" hidden="1">
      <c r="A112" s="1236"/>
      <c r="B112" s="249">
        <v>3</v>
      </c>
      <c r="C112" s="249">
        <v>180</v>
      </c>
      <c r="D112" s="259">
        <f>$O$14</f>
        <v>-0.02</v>
      </c>
      <c r="E112" s="260" t="str">
        <f>$P$14</f>
        <v>-</v>
      </c>
      <c r="F112" s="259">
        <f>$Q$14</f>
        <v>0</v>
      </c>
      <c r="G112" s="261">
        <f>$R$14</f>
        <v>0.16</v>
      </c>
    </row>
    <row r="113" spans="1:7" hidden="1">
      <c r="A113" s="1236"/>
      <c r="B113" s="249">
        <v>4</v>
      </c>
      <c r="C113" s="249">
        <v>180</v>
      </c>
      <c r="D113" s="259">
        <f>$C$28</f>
        <v>-0.02</v>
      </c>
      <c r="E113" s="260" t="str">
        <f>$D$28</f>
        <v>-</v>
      </c>
      <c r="F113" s="259">
        <f>$E$28</f>
        <v>0</v>
      </c>
      <c r="G113" s="261">
        <f>$F$28</f>
        <v>0.16</v>
      </c>
    </row>
    <row r="114" spans="1:7" hidden="1">
      <c r="A114" s="1236"/>
      <c r="B114" s="249">
        <v>5</v>
      </c>
      <c r="C114" s="249">
        <v>180</v>
      </c>
      <c r="D114" s="259">
        <f>$I$28</f>
        <v>-0.02</v>
      </c>
      <c r="E114" s="259" t="str">
        <f>$J$28</f>
        <v>-</v>
      </c>
      <c r="F114" s="259">
        <f>$K$42</f>
        <v>0</v>
      </c>
      <c r="G114" s="261">
        <f>$L$28</f>
        <v>0</v>
      </c>
    </row>
    <row r="115" spans="1:7">
      <c r="A115" s="1236"/>
      <c r="B115" s="249">
        <v>6</v>
      </c>
      <c r="C115" s="249">
        <v>95</v>
      </c>
      <c r="D115" s="256">
        <f>$C$14</f>
        <v>0</v>
      </c>
      <c r="E115" s="257" t="str">
        <f>$D$14</f>
        <v>-</v>
      </c>
      <c r="F115" s="256">
        <f>$E$14</f>
        <v>0</v>
      </c>
      <c r="G115" s="258">
        <f>$F$14</f>
        <v>0.3</v>
      </c>
    </row>
    <row r="116" spans="1:7">
      <c r="A116" s="1236"/>
      <c r="B116" s="249">
        <v>7</v>
      </c>
      <c r="C116" s="249">
        <v>95</v>
      </c>
      <c r="D116" s="259">
        <f>$I$14</f>
        <v>0</v>
      </c>
      <c r="E116" s="260" t="str">
        <f>$J$14</f>
        <v>-</v>
      </c>
      <c r="F116" s="259">
        <f>$K$14</f>
        <v>0</v>
      </c>
      <c r="G116" s="261">
        <f>$L$14</f>
        <v>0.4</v>
      </c>
    </row>
    <row r="117" spans="1:7">
      <c r="A117" s="1236"/>
      <c r="B117" s="249">
        <v>8</v>
      </c>
      <c r="C117" s="249">
        <v>95</v>
      </c>
      <c r="D117" s="259">
        <f>$O$14</f>
        <v>-0.02</v>
      </c>
      <c r="E117" s="260" t="str">
        <f>$P$14</f>
        <v>-</v>
      </c>
      <c r="F117" s="259">
        <f>$Q$14</f>
        <v>0</v>
      </c>
      <c r="G117" s="261">
        <f>$R$14</f>
        <v>0.16</v>
      </c>
    </row>
    <row r="118" spans="1:7" ht="14">
      <c r="A118" s="1236"/>
      <c r="B118" s="242">
        <v>9</v>
      </c>
      <c r="C118" s="249">
        <v>95</v>
      </c>
      <c r="D118" s="259">
        <f>$C$28</f>
        <v>-0.02</v>
      </c>
      <c r="E118" s="260" t="str">
        <f>$D$28</f>
        <v>-</v>
      </c>
      <c r="F118" s="259">
        <f>$E$28</f>
        <v>0</v>
      </c>
      <c r="G118" s="261">
        <f>$F$28</f>
        <v>0.16</v>
      </c>
    </row>
    <row r="119" spans="1:7" ht="14">
      <c r="A119" s="1236"/>
      <c r="B119" s="251">
        <v>10</v>
      </c>
      <c r="C119" s="249">
        <v>95</v>
      </c>
      <c r="D119" s="262">
        <f>$I$28</f>
        <v>-0.02</v>
      </c>
      <c r="E119" s="262" t="str">
        <f>$J$28</f>
        <v>-</v>
      </c>
      <c r="F119" s="262">
        <f>$K$42</f>
        <v>0</v>
      </c>
      <c r="G119" s="263">
        <f>$L$28</f>
        <v>0</v>
      </c>
    </row>
    <row r="120" spans="1:7" ht="14">
      <c r="A120" s="1236"/>
      <c r="B120" s="242">
        <v>11</v>
      </c>
      <c r="C120" s="249">
        <v>95</v>
      </c>
      <c r="D120" s="259">
        <f>$O$28</f>
        <v>0</v>
      </c>
      <c r="E120" s="259" t="str">
        <f>$P$28</f>
        <v>-</v>
      </c>
      <c r="F120" s="259">
        <f>$Q$28</f>
        <v>0</v>
      </c>
      <c r="G120" s="259">
        <f>$R$28</f>
        <v>0</v>
      </c>
    </row>
    <row r="121" spans="1:7" ht="13" thickBot="1">
      <c r="A121" s="1237"/>
      <c r="B121" s="233">
        <v>12</v>
      </c>
      <c r="C121" s="249">
        <v>95</v>
      </c>
      <c r="D121" s="236">
        <f>$C$42</f>
        <v>0</v>
      </c>
      <c r="E121" s="236" t="str">
        <f>$D$42</f>
        <v>-</v>
      </c>
      <c r="F121" s="236">
        <f>$E$42</f>
        <v>0</v>
      </c>
      <c r="G121" s="236">
        <f>$F$42</f>
        <v>0</v>
      </c>
    </row>
    <row r="122" spans="1:7" ht="14" hidden="1">
      <c r="A122" s="1235">
        <v>110</v>
      </c>
      <c r="B122" s="254">
        <v>1</v>
      </c>
      <c r="C122" s="255">
        <v>210</v>
      </c>
      <c r="D122" s="256">
        <f>$C$15</f>
        <v>0</v>
      </c>
      <c r="E122" s="257" t="str">
        <f>$D$15</f>
        <v>-</v>
      </c>
      <c r="F122" s="256">
        <f>$E$15</f>
        <v>0</v>
      </c>
      <c r="G122" s="258">
        <f>$F$15</f>
        <v>0.3</v>
      </c>
    </row>
    <row r="123" spans="1:7" hidden="1">
      <c r="A123" s="1236"/>
      <c r="B123" s="249">
        <v>2</v>
      </c>
      <c r="C123" s="249">
        <v>210</v>
      </c>
      <c r="D123" s="259">
        <f>$I$15</f>
        <v>0</v>
      </c>
      <c r="E123" s="260" t="str">
        <f>$J$15</f>
        <v>-</v>
      </c>
      <c r="F123" s="259">
        <f>$K$15</f>
        <v>0</v>
      </c>
      <c r="G123" s="261">
        <f>$L$15</f>
        <v>0.4</v>
      </c>
    </row>
    <row r="124" spans="1:7" hidden="1">
      <c r="A124" s="1236"/>
      <c r="B124" s="249">
        <v>3</v>
      </c>
      <c r="C124" s="249">
        <v>210</v>
      </c>
      <c r="D124" s="259">
        <f>$O$15</f>
        <v>0.01</v>
      </c>
      <c r="E124" s="260" t="str">
        <f>$P$15</f>
        <v>-</v>
      </c>
      <c r="F124" s="259">
        <f>$Q$15</f>
        <v>0</v>
      </c>
      <c r="G124" s="261">
        <f>$R$15</f>
        <v>0.15</v>
      </c>
    </row>
    <row r="125" spans="1:7" hidden="1">
      <c r="A125" s="1236"/>
      <c r="B125" s="249">
        <v>4</v>
      </c>
      <c r="C125" s="249">
        <v>210</v>
      </c>
      <c r="D125" s="259">
        <f>$C$29</f>
        <v>0.01</v>
      </c>
      <c r="E125" s="260" t="str">
        <f>$D$29</f>
        <v>-</v>
      </c>
      <c r="F125" s="259">
        <f>$E$29</f>
        <v>0</v>
      </c>
      <c r="G125" s="261">
        <f>$F$29</f>
        <v>0.15</v>
      </c>
    </row>
    <row r="126" spans="1:7" hidden="1">
      <c r="A126" s="1236"/>
      <c r="B126" s="249">
        <v>5</v>
      </c>
      <c r="C126" s="249">
        <v>210</v>
      </c>
      <c r="D126" s="259">
        <f>$I$29</f>
        <v>0.01</v>
      </c>
      <c r="E126" s="259" t="str">
        <f>$J$29</f>
        <v>-</v>
      </c>
      <c r="F126" s="259">
        <f>$K$29</f>
        <v>0</v>
      </c>
      <c r="G126" s="261">
        <f>$L$29</f>
        <v>0</v>
      </c>
    </row>
    <row r="127" spans="1:7">
      <c r="A127" s="1236"/>
      <c r="B127" s="249">
        <v>6</v>
      </c>
      <c r="C127" s="249">
        <v>110</v>
      </c>
      <c r="D127" s="256">
        <f>$C$15</f>
        <v>0</v>
      </c>
      <c r="E127" s="257" t="str">
        <f>$D$15</f>
        <v>-</v>
      </c>
      <c r="F127" s="256">
        <f>$E$15</f>
        <v>0</v>
      </c>
      <c r="G127" s="258">
        <f>$F$15</f>
        <v>0.3</v>
      </c>
    </row>
    <row r="128" spans="1:7">
      <c r="A128" s="1236"/>
      <c r="B128" s="249">
        <v>7</v>
      </c>
      <c r="C128" s="249">
        <v>110</v>
      </c>
      <c r="D128" s="259">
        <f>$I$15</f>
        <v>0</v>
      </c>
      <c r="E128" s="260" t="str">
        <f>$J$15</f>
        <v>-</v>
      </c>
      <c r="F128" s="259">
        <f>$K$15</f>
        <v>0</v>
      </c>
      <c r="G128" s="261">
        <f>$L$15</f>
        <v>0.4</v>
      </c>
    </row>
    <row r="129" spans="1:7">
      <c r="A129" s="1236"/>
      <c r="B129" s="249">
        <v>8</v>
      </c>
      <c r="C129" s="249">
        <v>110</v>
      </c>
      <c r="D129" s="259">
        <f>$O$15</f>
        <v>0.01</v>
      </c>
      <c r="E129" s="260" t="str">
        <f>$P$15</f>
        <v>-</v>
      </c>
      <c r="F129" s="259">
        <f>$Q$15</f>
        <v>0</v>
      </c>
      <c r="G129" s="261">
        <f>$R$15</f>
        <v>0.15</v>
      </c>
    </row>
    <row r="130" spans="1:7" ht="14">
      <c r="A130" s="1236"/>
      <c r="B130" s="242">
        <v>9</v>
      </c>
      <c r="C130" s="249">
        <v>110</v>
      </c>
      <c r="D130" s="259">
        <f>$C$29</f>
        <v>0.01</v>
      </c>
      <c r="E130" s="260" t="str">
        <f>$D$29</f>
        <v>-</v>
      </c>
      <c r="F130" s="259">
        <f>$E$29</f>
        <v>0</v>
      </c>
      <c r="G130" s="261">
        <f>$F$29</f>
        <v>0.15</v>
      </c>
    </row>
    <row r="131" spans="1:7" ht="14">
      <c r="A131" s="1236"/>
      <c r="B131" s="251">
        <v>10</v>
      </c>
      <c r="C131" s="249">
        <v>110</v>
      </c>
      <c r="D131" s="262">
        <f>$I$29</f>
        <v>0.01</v>
      </c>
      <c r="E131" s="262" t="str">
        <f>$J$29</f>
        <v>-</v>
      </c>
      <c r="F131" s="262">
        <f>$K$29</f>
        <v>0</v>
      </c>
      <c r="G131" s="263">
        <f>$L$29</f>
        <v>0</v>
      </c>
    </row>
    <row r="132" spans="1:7" ht="14">
      <c r="A132" s="1236"/>
      <c r="B132" s="242">
        <v>11</v>
      </c>
      <c r="C132" s="249">
        <v>110</v>
      </c>
      <c r="D132" s="259">
        <f>$O$29</f>
        <v>0</v>
      </c>
      <c r="E132" s="259" t="str">
        <f>$P$29</f>
        <v>-</v>
      </c>
      <c r="F132" s="259">
        <f>$Q$29</f>
        <v>0</v>
      </c>
      <c r="G132" s="259">
        <f>$R$29</f>
        <v>0</v>
      </c>
    </row>
    <row r="133" spans="1:7" ht="13" thickBot="1">
      <c r="A133" s="1237"/>
      <c r="B133" s="233">
        <v>12</v>
      </c>
      <c r="C133" s="249">
        <v>110</v>
      </c>
      <c r="D133" s="236">
        <f>$C$43</f>
        <v>0</v>
      </c>
      <c r="E133" s="236" t="str">
        <f>$D$43</f>
        <v>-</v>
      </c>
      <c r="F133" s="236">
        <f>$E$43</f>
        <v>0</v>
      </c>
      <c r="G133" s="236">
        <f>$F$43</f>
        <v>0</v>
      </c>
    </row>
    <row r="134" spans="1:7" ht="14" hidden="1">
      <c r="A134" s="1235">
        <v>120</v>
      </c>
      <c r="B134" s="254">
        <v>1</v>
      </c>
      <c r="C134" s="255">
        <v>240</v>
      </c>
      <c r="D134" s="256">
        <f>$C$16</f>
        <v>0</v>
      </c>
      <c r="E134" s="257" t="str">
        <f>$D$16</f>
        <v>-</v>
      </c>
      <c r="F134" s="256">
        <f>$E$16</f>
        <v>0</v>
      </c>
      <c r="G134" s="258">
        <f>$F$16</f>
        <v>0.3</v>
      </c>
    </row>
    <row r="135" spans="1:7" hidden="1">
      <c r="A135" s="1236"/>
      <c r="B135" s="249">
        <v>2</v>
      </c>
      <c r="C135" s="249">
        <v>240</v>
      </c>
      <c r="D135" s="259">
        <f>$I$16</f>
        <v>0</v>
      </c>
      <c r="E135" s="260" t="str">
        <f>$J$16</f>
        <v>-</v>
      </c>
      <c r="F135" s="259">
        <f>$K$16</f>
        <v>0</v>
      </c>
      <c r="G135" s="261">
        <f>$L$16</f>
        <v>0.4</v>
      </c>
    </row>
    <row r="136" spans="1:7" hidden="1">
      <c r="A136" s="1236"/>
      <c r="B136" s="249">
        <v>3</v>
      </c>
      <c r="C136" s="249">
        <v>240</v>
      </c>
      <c r="D136" s="259">
        <f>$O$16</f>
        <v>0.04</v>
      </c>
      <c r="E136" s="260" t="str">
        <f>$P$16</f>
        <v>-</v>
      </c>
      <c r="F136" s="259">
        <f>$Q$16</f>
        <v>0</v>
      </c>
      <c r="G136" s="261">
        <f>$R$16</f>
        <v>0.15</v>
      </c>
    </row>
    <row r="137" spans="1:7" hidden="1">
      <c r="A137" s="1236"/>
      <c r="B137" s="249">
        <v>4</v>
      </c>
      <c r="C137" s="249">
        <v>240</v>
      </c>
      <c r="D137" s="259">
        <f>$C$30</f>
        <v>0.04</v>
      </c>
      <c r="E137" s="260" t="str">
        <f>$D$30</f>
        <v>-</v>
      </c>
      <c r="F137" s="259">
        <f>$E$30</f>
        <v>0</v>
      </c>
      <c r="G137" s="261">
        <f>$F$30</f>
        <v>0.15</v>
      </c>
    </row>
    <row r="138" spans="1:7" hidden="1">
      <c r="A138" s="1236"/>
      <c r="B138" s="249">
        <v>5</v>
      </c>
      <c r="C138" s="249">
        <v>240</v>
      </c>
      <c r="D138" s="259">
        <f>$I$30</f>
        <v>0.04</v>
      </c>
      <c r="E138" s="259" t="str">
        <f>$J$30</f>
        <v>-</v>
      </c>
      <c r="F138" s="259">
        <f>$K$30</f>
        <v>0</v>
      </c>
      <c r="G138" s="261">
        <f>$L$30</f>
        <v>0</v>
      </c>
    </row>
    <row r="139" spans="1:7">
      <c r="A139" s="1236"/>
      <c r="B139" s="249">
        <v>6</v>
      </c>
      <c r="C139" s="249">
        <v>120</v>
      </c>
      <c r="D139" s="256">
        <f>$C$16</f>
        <v>0</v>
      </c>
      <c r="E139" s="257" t="str">
        <f>$D$16</f>
        <v>-</v>
      </c>
      <c r="F139" s="256">
        <f>$E$16</f>
        <v>0</v>
      </c>
      <c r="G139" s="258">
        <f>$F$16</f>
        <v>0.3</v>
      </c>
    </row>
    <row r="140" spans="1:7">
      <c r="A140" s="1236"/>
      <c r="B140" s="249">
        <v>7</v>
      </c>
      <c r="C140" s="249">
        <v>120</v>
      </c>
      <c r="D140" s="259">
        <f>$I$16</f>
        <v>0</v>
      </c>
      <c r="E140" s="260" t="str">
        <f>$J$16</f>
        <v>-</v>
      </c>
      <c r="F140" s="259">
        <f>$K$16</f>
        <v>0</v>
      </c>
      <c r="G140" s="261">
        <f>$L$16</f>
        <v>0.4</v>
      </c>
    </row>
    <row r="141" spans="1:7">
      <c r="A141" s="1236"/>
      <c r="B141" s="249">
        <v>8</v>
      </c>
      <c r="C141" s="249">
        <v>120</v>
      </c>
      <c r="D141" s="259">
        <f>$O$16</f>
        <v>0.04</v>
      </c>
      <c r="E141" s="260" t="str">
        <f>$P$16</f>
        <v>-</v>
      </c>
      <c r="F141" s="259">
        <f>$Q$16</f>
        <v>0</v>
      </c>
      <c r="G141" s="261">
        <f>$R$16</f>
        <v>0.15</v>
      </c>
    </row>
    <row r="142" spans="1:7" ht="14">
      <c r="A142" s="1236"/>
      <c r="B142" s="242">
        <v>9</v>
      </c>
      <c r="C142" s="249">
        <v>120</v>
      </c>
      <c r="D142" s="259">
        <f>$C$30</f>
        <v>0.04</v>
      </c>
      <c r="E142" s="260" t="str">
        <f>$D$30</f>
        <v>-</v>
      </c>
      <c r="F142" s="259">
        <f>$E$30</f>
        <v>0</v>
      </c>
      <c r="G142" s="261">
        <f>$F$30</f>
        <v>0.15</v>
      </c>
    </row>
    <row r="143" spans="1:7" ht="14">
      <c r="A143" s="1236"/>
      <c r="B143" s="251">
        <v>10</v>
      </c>
      <c r="C143" s="249">
        <v>120</v>
      </c>
      <c r="D143" s="262">
        <f>$I$30</f>
        <v>0.04</v>
      </c>
      <c r="E143" s="262" t="str">
        <f>$J$30</f>
        <v>-</v>
      </c>
      <c r="F143" s="262">
        <f>$K$30</f>
        <v>0</v>
      </c>
      <c r="G143" s="263">
        <f>$L$30</f>
        <v>0</v>
      </c>
    </row>
    <row r="144" spans="1:7" ht="14">
      <c r="A144" s="1236"/>
      <c r="B144" s="242">
        <v>11</v>
      </c>
      <c r="C144" s="249">
        <v>120</v>
      </c>
      <c r="D144" s="259">
        <f>$O$30</f>
        <v>0</v>
      </c>
      <c r="E144" s="259" t="str">
        <f>$P$30</f>
        <v>-</v>
      </c>
      <c r="F144" s="259">
        <f>$Q$30</f>
        <v>0</v>
      </c>
      <c r="G144" s="259">
        <f>$R$30</f>
        <v>0</v>
      </c>
    </row>
    <row r="145" spans="1:17" ht="13" thickBot="1">
      <c r="A145" s="1237"/>
      <c r="B145" s="233">
        <v>12</v>
      </c>
      <c r="C145" s="249">
        <v>120</v>
      </c>
      <c r="D145" s="236">
        <f>$C$44</f>
        <v>0</v>
      </c>
      <c r="E145" s="236" t="str">
        <f>$D$44</f>
        <v>-</v>
      </c>
      <c r="F145" s="236">
        <f>$E$44</f>
        <v>0</v>
      </c>
      <c r="G145" s="236">
        <f>$F$44</f>
        <v>0</v>
      </c>
    </row>
    <row r="146" spans="1:17" ht="14.25" customHeight="1">
      <c r="A146" s="1252">
        <v>20</v>
      </c>
      <c r="B146" s="249">
        <v>6</v>
      </c>
      <c r="C146" s="249">
        <v>120</v>
      </c>
      <c r="D146" s="236">
        <f>C8</f>
        <v>0</v>
      </c>
      <c r="E146" s="236" t="str">
        <f>D8</f>
        <v>-</v>
      </c>
      <c r="F146" s="236">
        <f>E8</f>
        <v>0</v>
      </c>
      <c r="G146" s="236">
        <f>F8</f>
        <v>0.3</v>
      </c>
    </row>
    <row r="147" spans="1:17" ht="14.25" customHeight="1">
      <c r="A147" s="1253"/>
      <c r="B147" s="249">
        <v>7</v>
      </c>
      <c r="C147" s="249">
        <v>120</v>
      </c>
      <c r="D147" s="236">
        <f>I8</f>
        <v>0</v>
      </c>
      <c r="E147" s="236" t="str">
        <f>J8</f>
        <v>-</v>
      </c>
      <c r="F147" s="236">
        <f>K8</f>
        <v>0</v>
      </c>
      <c r="G147" s="236">
        <f>L8</f>
        <v>0.4</v>
      </c>
    </row>
    <row r="148" spans="1:17" ht="14.25" customHeight="1">
      <c r="A148" s="1253"/>
      <c r="B148" s="249">
        <v>8</v>
      </c>
      <c r="C148" s="249">
        <v>120</v>
      </c>
      <c r="D148" s="236">
        <f>O8</f>
        <v>0.28999999999999998</v>
      </c>
      <c r="E148" s="236" t="str">
        <f>P8</f>
        <v>-</v>
      </c>
      <c r="F148" s="236">
        <f>Q8</f>
        <v>0</v>
      </c>
      <c r="G148" s="236">
        <f>R8</f>
        <v>0.16</v>
      </c>
    </row>
    <row r="149" spans="1:17" ht="14.25" customHeight="1">
      <c r="A149" s="1253"/>
      <c r="B149" s="242">
        <v>9</v>
      </c>
      <c r="C149" s="249">
        <v>120</v>
      </c>
      <c r="D149" s="236">
        <f>C22</f>
        <v>0.35</v>
      </c>
      <c r="E149" s="236" t="str">
        <f>D22</f>
        <v>-</v>
      </c>
      <c r="F149" s="236">
        <f>E22</f>
        <v>0</v>
      </c>
      <c r="G149" s="236">
        <f>F22</f>
        <v>0.16</v>
      </c>
    </row>
    <row r="150" spans="1:17" ht="14.25" customHeight="1">
      <c r="A150" s="1253"/>
      <c r="B150" s="243">
        <v>10</v>
      </c>
      <c r="C150" s="249">
        <v>120</v>
      </c>
      <c r="D150" s="236">
        <f>I22</f>
        <v>0.35</v>
      </c>
      <c r="E150" s="236" t="str">
        <f>J22</f>
        <v>-</v>
      </c>
      <c r="F150" s="236">
        <f>K22</f>
        <v>0</v>
      </c>
      <c r="G150" s="236">
        <f>L22</f>
        <v>0</v>
      </c>
    </row>
    <row r="151" spans="1:17" ht="14.25" customHeight="1">
      <c r="A151" s="1253"/>
      <c r="B151" s="242">
        <v>11</v>
      </c>
      <c r="C151" s="249">
        <v>120</v>
      </c>
      <c r="D151" s="236">
        <f>O22</f>
        <v>0</v>
      </c>
      <c r="E151" s="236" t="str">
        <f>P22</f>
        <v>-</v>
      </c>
      <c r="F151" s="236">
        <f>Q22</f>
        <v>0</v>
      </c>
      <c r="G151" s="236">
        <f>R22</f>
        <v>0</v>
      </c>
    </row>
    <row r="152" spans="1:17" ht="14.25" customHeight="1">
      <c r="A152" s="1254"/>
      <c r="B152" s="233">
        <v>12</v>
      </c>
      <c r="C152" s="249">
        <v>120</v>
      </c>
      <c r="D152" s="236">
        <f>C36</f>
        <v>0</v>
      </c>
      <c r="E152" s="236" t="str">
        <f>D22</f>
        <v>-</v>
      </c>
      <c r="F152" s="236">
        <f>E36</f>
        <v>0</v>
      </c>
      <c r="G152" s="236">
        <f>F36</f>
        <v>0</v>
      </c>
    </row>
    <row r="153" spans="1:17" ht="22.5">
      <c r="A153" s="275"/>
      <c r="B153" s="276"/>
      <c r="C153" s="277"/>
      <c r="D153" s="278"/>
      <c r="E153" s="278"/>
      <c r="F153" s="278"/>
      <c r="G153" s="278"/>
    </row>
    <row r="157" spans="1:17" s="273" customFormat="1" ht="42" customHeight="1">
      <c r="A157" s="272">
        <f>I170</f>
        <v>10</v>
      </c>
      <c r="B157" s="1249" t="str">
        <f>I159</f>
        <v>Audiometer Analyzer, Merek : Larson Davis, Model : 831C, SN : 11418</v>
      </c>
      <c r="C157" s="1250"/>
      <c r="D157" s="1250"/>
      <c r="E157" s="1251"/>
    </row>
    <row r="158" spans="1:17" ht="13">
      <c r="A158" s="1229" t="s">
        <v>604</v>
      </c>
      <c r="B158" s="1229"/>
      <c r="C158" s="1229"/>
      <c r="D158" s="1229"/>
      <c r="E158" s="1229"/>
    </row>
    <row r="159" spans="1:17" ht="13">
      <c r="A159" s="1230" t="s">
        <v>605</v>
      </c>
      <c r="B159" s="1231"/>
      <c r="C159" s="1232"/>
      <c r="D159" s="1233" t="s">
        <v>606</v>
      </c>
      <c r="E159" s="1233" t="s">
        <v>607</v>
      </c>
      <c r="I159" s="1248" t="str">
        <f>ID!A151</f>
        <v>Audiometer Analyzer, Merek : Larson Davis, Model : 831C, SN : 11418</v>
      </c>
      <c r="J159" s="1248"/>
      <c r="K159" s="1248"/>
      <c r="L159" s="1248"/>
      <c r="M159" s="1248"/>
      <c r="N159" s="1248"/>
      <c r="O159" s="1248"/>
      <c r="P159" s="1248"/>
    </row>
    <row r="160" spans="1:17">
      <c r="A160" s="233" t="s">
        <v>209</v>
      </c>
      <c r="B160" s="233">
        <v>2020</v>
      </c>
      <c r="C160" s="233">
        <v>2021</v>
      </c>
      <c r="D160" s="1234"/>
      <c r="E160" s="1234"/>
      <c r="I160" s="239" t="s">
        <v>612</v>
      </c>
      <c r="J160" s="239"/>
      <c r="K160" s="239"/>
      <c r="L160" s="239"/>
      <c r="M160" s="239"/>
      <c r="N160" s="239"/>
      <c r="O160" s="239"/>
      <c r="P160" s="239"/>
      <c r="Q160" s="234">
        <v>1</v>
      </c>
    </row>
    <row r="161" spans="1:17">
      <c r="A161" s="233">
        <v>20</v>
      </c>
      <c r="B161" s="238">
        <f>VLOOKUP($A$157,$B$146:$G$152,3,FALSE)</f>
        <v>0.35</v>
      </c>
      <c r="C161" s="234" t="str">
        <f>VLOOKUP($A$157,B146:G152,4,FALSE)</f>
        <v>-</v>
      </c>
      <c r="D161" s="274">
        <f>1/3*E161</f>
        <v>0</v>
      </c>
      <c r="E161" s="238">
        <f>VLOOKUP($A$157,B146:G152,6,(FALSE))</f>
        <v>0</v>
      </c>
      <c r="I161" s="239" t="s">
        <v>612</v>
      </c>
      <c r="J161" s="239"/>
      <c r="K161" s="239"/>
      <c r="L161" s="239"/>
      <c r="M161" s="239"/>
      <c r="N161" s="239"/>
      <c r="O161" s="239"/>
      <c r="P161" s="239"/>
      <c r="Q161" s="234">
        <v>2</v>
      </c>
    </row>
    <row r="162" spans="1:17">
      <c r="A162" s="233">
        <v>50</v>
      </c>
      <c r="B162" s="238">
        <f>VLOOKUP($A$157,B54:G64,3,FALSE)</f>
        <v>-0.02</v>
      </c>
      <c r="C162" s="235" t="str">
        <f>VLOOKUP($A$157,B54:G64,4,FALSE)</f>
        <v>-</v>
      </c>
      <c r="D162" s="274">
        <f t="shared" ref="D162:D169" si="9">1/3*E162</f>
        <v>0</v>
      </c>
      <c r="E162" s="238">
        <f>VLOOKUP($A$157,B53:G63,6,(FALSE))</f>
        <v>0</v>
      </c>
      <c r="I162" s="239" t="s">
        <v>612</v>
      </c>
      <c r="J162" s="239"/>
      <c r="K162" s="239"/>
      <c r="L162" s="239"/>
      <c r="M162" s="239"/>
      <c r="N162" s="239"/>
      <c r="O162" s="239"/>
      <c r="P162" s="239"/>
      <c r="Q162" s="234">
        <v>3</v>
      </c>
    </row>
    <row r="163" spans="1:17">
      <c r="A163" s="233">
        <v>60</v>
      </c>
      <c r="B163" s="238">
        <f>VLOOKUP($A$157,B67:G77,3,FALSE)</f>
        <v>-0.02</v>
      </c>
      <c r="C163" s="235" t="str">
        <f>VLOOKUP($A$157,B67:G77,4,FALSE)</f>
        <v>-</v>
      </c>
      <c r="D163" s="274">
        <f t="shared" si="9"/>
        <v>0</v>
      </c>
      <c r="E163" s="238">
        <f>VLOOKUP($A$157,B67:G77,6,(FALSE))</f>
        <v>0</v>
      </c>
      <c r="I163" s="239" t="s">
        <v>612</v>
      </c>
      <c r="J163" s="239"/>
      <c r="K163" s="239"/>
      <c r="L163" s="239"/>
      <c r="M163" s="239"/>
      <c r="N163" s="239"/>
      <c r="O163" s="239"/>
      <c r="P163" s="239"/>
      <c r="Q163" s="234">
        <v>4</v>
      </c>
    </row>
    <row r="164" spans="1:17" ht="14.5">
      <c r="A164" s="237">
        <v>70</v>
      </c>
      <c r="B164" s="238">
        <f>VLOOKUP($A$157,B78:G88,3,FALSE)</f>
        <v>-0.02</v>
      </c>
      <c r="C164" s="235" t="str">
        <f>VLOOKUP($A$157,B78:G88,4,FALSE)</f>
        <v>-</v>
      </c>
      <c r="D164" s="274">
        <f t="shared" si="9"/>
        <v>0</v>
      </c>
      <c r="E164" s="238">
        <f>VLOOKUP($A$157,B76:G86,6,(FALSE))</f>
        <v>0</v>
      </c>
      <c r="I164" s="239" t="s">
        <v>612</v>
      </c>
      <c r="J164" s="239"/>
      <c r="K164" s="239"/>
      <c r="L164" s="239"/>
      <c r="M164" s="239"/>
      <c r="N164" s="239"/>
      <c r="O164" s="239"/>
      <c r="P164" s="239"/>
      <c r="Q164" s="234">
        <v>5</v>
      </c>
    </row>
    <row r="165" spans="1:17" ht="14.5">
      <c r="A165" s="237">
        <v>75</v>
      </c>
      <c r="B165" s="238">
        <f>VLOOKUP($A$157,B91:G101,3,FALSE)</f>
        <v>-0.04</v>
      </c>
      <c r="C165" s="235" t="str">
        <f>VLOOKUP($A$157,B91:G101,4,FALSE)</f>
        <v>-</v>
      </c>
      <c r="D165" s="274">
        <f t="shared" si="9"/>
        <v>0</v>
      </c>
      <c r="E165" s="238">
        <f>VLOOKUP($A$157,B89:G99,6,(FALSE))</f>
        <v>0</v>
      </c>
      <c r="I165" s="239" t="s">
        <v>592</v>
      </c>
      <c r="J165" s="239"/>
      <c r="K165" s="239"/>
      <c r="L165" s="239"/>
      <c r="M165" s="239"/>
      <c r="N165" s="239"/>
      <c r="O165" s="239"/>
      <c r="P165" s="239"/>
      <c r="Q165" s="234">
        <v>6</v>
      </c>
    </row>
    <row r="166" spans="1:17">
      <c r="A166" s="233">
        <v>90</v>
      </c>
      <c r="B166" s="238">
        <f>VLOOKUP($A$157,B103:G113,3,FALSE)</f>
        <v>-0.02</v>
      </c>
      <c r="C166" s="235" t="str">
        <f>VLOOKUP($A$157,B103:G113,4,FALSE)</f>
        <v>-</v>
      </c>
      <c r="D166" s="274">
        <f t="shared" si="9"/>
        <v>0</v>
      </c>
      <c r="E166" s="238">
        <f>VLOOKUP($A$157,B103:G113,6,(FALSE))</f>
        <v>0</v>
      </c>
      <c r="I166" s="239" t="s">
        <v>593</v>
      </c>
      <c r="J166" s="239"/>
      <c r="K166" s="239"/>
      <c r="L166" s="239"/>
      <c r="M166" s="239"/>
      <c r="N166" s="239"/>
      <c r="O166" s="239"/>
      <c r="P166" s="239"/>
      <c r="Q166" s="234">
        <v>7</v>
      </c>
    </row>
    <row r="167" spans="1:17">
      <c r="A167" s="233">
        <v>95</v>
      </c>
      <c r="B167" s="238">
        <f>VLOOKUP($A$157,B113:G123,3,FALSE)</f>
        <v>-0.02</v>
      </c>
      <c r="C167" s="235" t="str">
        <f>VLOOKUP($A$157,B115:G125,4,FALSE)</f>
        <v>-</v>
      </c>
      <c r="D167" s="274">
        <f t="shared" si="9"/>
        <v>0</v>
      </c>
      <c r="E167" s="238">
        <f>VLOOKUP($A$157,B114:G124,6,(FALSE))</f>
        <v>0</v>
      </c>
      <c r="I167" s="239" t="s">
        <v>594</v>
      </c>
      <c r="J167" s="239"/>
      <c r="K167" s="239"/>
      <c r="L167" s="239"/>
      <c r="M167" s="239"/>
      <c r="N167" s="239"/>
      <c r="O167" s="239"/>
      <c r="P167" s="239"/>
      <c r="Q167" s="234">
        <v>8</v>
      </c>
    </row>
    <row r="168" spans="1:17">
      <c r="A168" s="233">
        <v>110</v>
      </c>
      <c r="B168" s="238">
        <f>VLOOKUP($A$157,B126:G136,3,FALSE)</f>
        <v>0.01</v>
      </c>
      <c r="C168" s="235" t="str">
        <f>VLOOKUP($A$157,B127:G137,4,FALSE)</f>
        <v>-</v>
      </c>
      <c r="D168" s="274">
        <f t="shared" si="9"/>
        <v>0</v>
      </c>
      <c r="E168" s="238">
        <f>VLOOKUP($A$157,B126:G136,6,(FALSE))</f>
        <v>0</v>
      </c>
      <c r="I168" s="239" t="s">
        <v>595</v>
      </c>
      <c r="J168" s="239"/>
      <c r="K168" s="239"/>
      <c r="L168" s="239"/>
      <c r="M168" s="239"/>
      <c r="N168" s="239"/>
      <c r="O168" s="239"/>
      <c r="P168" s="239"/>
      <c r="Q168" s="234">
        <v>9</v>
      </c>
    </row>
    <row r="169" spans="1:17">
      <c r="A169" s="233">
        <v>120</v>
      </c>
      <c r="B169" s="238">
        <f>VLOOKUP($A$157,B139:G145,3,FALSE)</f>
        <v>0.04</v>
      </c>
      <c r="C169" s="235" t="str">
        <f>VLOOKUP($A$157,B139:G145,4,FALSE)</f>
        <v>-</v>
      </c>
      <c r="D169" s="274">
        <f t="shared" si="9"/>
        <v>0</v>
      </c>
      <c r="E169" s="238">
        <f>VLOOKUP($A$157,B139:G145,6,(FALSE))</f>
        <v>0</v>
      </c>
      <c r="I169" s="239" t="s">
        <v>167</v>
      </c>
      <c r="J169" s="239"/>
      <c r="K169" s="239"/>
      <c r="L169" s="239"/>
      <c r="M169" s="239"/>
      <c r="N169" s="239"/>
      <c r="O169" s="239"/>
      <c r="P169" s="239"/>
      <c r="Q169" s="234">
        <v>10</v>
      </c>
    </row>
    <row r="170" spans="1:17">
      <c r="I170" s="1248">
        <f>VLOOKUP(I159,I160:Q169,9,(FALSE))</f>
        <v>10</v>
      </c>
      <c r="J170" s="1248"/>
      <c r="K170" s="1248"/>
      <c r="L170" s="1248"/>
      <c r="M170" s="1248"/>
      <c r="N170" s="1248"/>
      <c r="O170" s="1248"/>
      <c r="P170" s="1248"/>
    </row>
    <row r="172" spans="1:17">
      <c r="I172" s="85">
        <f>I170</f>
        <v>10</v>
      </c>
    </row>
    <row r="173" spans="1:17">
      <c r="H173" s="85">
        <v>1</v>
      </c>
      <c r="I173" s="85" t="s">
        <v>613</v>
      </c>
    </row>
    <row r="174" spans="1:17">
      <c r="H174" s="85">
        <v>2</v>
      </c>
      <c r="I174" s="85" t="s">
        <v>613</v>
      </c>
    </row>
    <row r="175" spans="1:17">
      <c r="H175" s="85">
        <v>3</v>
      </c>
      <c r="I175" s="85" t="s">
        <v>613</v>
      </c>
    </row>
    <row r="176" spans="1:17">
      <c r="H176" s="85">
        <v>4</v>
      </c>
      <c r="I176" s="85" t="s">
        <v>613</v>
      </c>
    </row>
    <row r="177" spans="8:9">
      <c r="H177" s="85">
        <v>5</v>
      </c>
      <c r="I177" s="85" t="s">
        <v>613</v>
      </c>
    </row>
    <row r="178" spans="8:9">
      <c r="H178" s="85">
        <v>6</v>
      </c>
      <c r="I178" s="85" t="s">
        <v>613</v>
      </c>
    </row>
    <row r="179" spans="8:9">
      <c r="H179" s="85">
        <v>7</v>
      </c>
      <c r="I179" s="85" t="s">
        <v>613</v>
      </c>
    </row>
    <row r="180" spans="8:9">
      <c r="H180" s="85">
        <v>8</v>
      </c>
      <c r="I180" s="85" t="s">
        <v>614</v>
      </c>
    </row>
    <row r="181" spans="8:9">
      <c r="H181" s="85">
        <v>9</v>
      </c>
      <c r="I181" s="85" t="s">
        <v>614</v>
      </c>
    </row>
    <row r="182" spans="8:9">
      <c r="H182" s="85">
        <v>10</v>
      </c>
      <c r="I182" s="85" t="s">
        <v>613</v>
      </c>
    </row>
    <row r="183" spans="8:9">
      <c r="I183" s="85" t="str">
        <f>VLOOKUP(I172,H173:R182,2,1)</f>
        <v>Hasil Kalibrasi Hearing tertelusur ke Satuan Internasional ( SI ) melalui Puslit Metrologi - LIPI</v>
      </c>
    </row>
    <row r="186" spans="8:9">
      <c r="I186" s="85">
        <f>I170</f>
        <v>10</v>
      </c>
    </row>
    <row r="187" spans="8:9">
      <c r="H187" s="85">
        <v>1</v>
      </c>
      <c r="I187" s="85" t="s">
        <v>615</v>
      </c>
    </row>
    <row r="188" spans="8:9">
      <c r="H188" s="85">
        <v>2</v>
      </c>
      <c r="I188" s="85" t="s">
        <v>615</v>
      </c>
    </row>
    <row r="189" spans="8:9">
      <c r="H189" s="85">
        <v>3</v>
      </c>
      <c r="I189" s="85" t="s">
        <v>615</v>
      </c>
    </row>
    <row r="190" spans="8:9">
      <c r="H190" s="85">
        <v>4</v>
      </c>
      <c r="I190" s="85" t="s">
        <v>615</v>
      </c>
    </row>
    <row r="191" spans="8:9">
      <c r="H191" s="85">
        <v>5</v>
      </c>
      <c r="I191" s="85" t="s">
        <v>615</v>
      </c>
    </row>
    <row r="192" spans="8:9">
      <c r="H192" s="85">
        <v>6</v>
      </c>
      <c r="I192" s="85" t="s">
        <v>615</v>
      </c>
    </row>
    <row r="193" spans="8:9">
      <c r="H193" s="85">
        <v>7</v>
      </c>
      <c r="I193" s="85" t="s">
        <v>615</v>
      </c>
    </row>
    <row r="194" spans="8:9">
      <c r="H194" s="85">
        <v>8</v>
      </c>
      <c r="I194" s="85" t="s">
        <v>616</v>
      </c>
    </row>
    <row r="195" spans="8:9">
      <c r="H195" s="85">
        <v>9</v>
      </c>
      <c r="I195" s="85" t="s">
        <v>616</v>
      </c>
    </row>
    <row r="196" spans="8:9">
      <c r="H196" s="85">
        <v>10</v>
      </c>
      <c r="I196" s="85" t="s">
        <v>615</v>
      </c>
    </row>
    <row r="197" spans="8:9">
      <c r="I197" s="85" t="str">
        <f>VLOOKUP(I186,H187:R196,2,1)</f>
        <v>Hasil Kalibrasi Frekuensi tertelusur ke Satuan Internasional ( SI ) melalui Puslit Metrologi - LIPI</v>
      </c>
    </row>
    <row r="200" spans="8:9">
      <c r="I200" s="85">
        <f>I170</f>
        <v>10</v>
      </c>
    </row>
    <row r="201" spans="8:9">
      <c r="H201" s="85">
        <v>1</v>
      </c>
      <c r="I201" s="85" t="s">
        <v>617</v>
      </c>
    </row>
    <row r="202" spans="8:9">
      <c r="H202" s="85">
        <v>2</v>
      </c>
      <c r="I202" s="85" t="s">
        <v>617</v>
      </c>
    </row>
    <row r="203" spans="8:9">
      <c r="H203" s="85">
        <v>3</v>
      </c>
      <c r="I203" s="85" t="s">
        <v>617</v>
      </c>
    </row>
    <row r="204" spans="8:9">
      <c r="H204" s="85">
        <v>4</v>
      </c>
      <c r="I204" s="85" t="s">
        <v>617</v>
      </c>
    </row>
    <row r="205" spans="8:9">
      <c r="H205" s="85">
        <v>5</v>
      </c>
      <c r="I205" s="85" t="s">
        <v>617</v>
      </c>
    </row>
    <row r="206" spans="8:9">
      <c r="H206" s="85">
        <v>6</v>
      </c>
      <c r="I206" s="85" t="s">
        <v>617</v>
      </c>
    </row>
    <row r="207" spans="8:9">
      <c r="H207" s="85">
        <v>7</v>
      </c>
      <c r="I207" s="85" t="s">
        <v>617</v>
      </c>
    </row>
    <row r="208" spans="8:9">
      <c r="H208" s="85">
        <v>8</v>
      </c>
      <c r="I208" s="85" t="s">
        <v>618</v>
      </c>
    </row>
    <row r="209" spans="8:9">
      <c r="H209" s="85">
        <v>9</v>
      </c>
      <c r="I209" s="85" t="s">
        <v>618</v>
      </c>
    </row>
    <row r="210" spans="8:9">
      <c r="H210" s="85">
        <v>10</v>
      </c>
      <c r="I210" s="85" t="s">
        <v>617</v>
      </c>
    </row>
    <row r="211" spans="8:9">
      <c r="I211" s="85" t="str">
        <f>VLOOKUP(I200,H201:R210,2,1)</f>
        <v>Hasil Kalibrasi Total Harmonic Distortion tertelusur ke Satuan Internasional ( SI ) melalui Puslit Metrologi - LIPI</v>
      </c>
    </row>
  </sheetData>
  <sheetProtection algorithmName="SHA-512" hashValue="o4OycOyVvmglbj4ak9gYDnmL9OlCQ1gNIIhoIPIDFreBwz4BE22zG+dafA0WkNaUqpy68mEqZn40VZzyJ4VGxw==" saltValue="avZwhpZhDPiT4Q5zC6+uNg==" spinCount="100000" sheet="1" objects="1" scenarios="1"/>
  <mergeCells count="66">
    <mergeCell ref="A98:A109"/>
    <mergeCell ref="A110:A121"/>
    <mergeCell ref="I170:P170"/>
    <mergeCell ref="I159:P159"/>
    <mergeCell ref="A134:A145"/>
    <mergeCell ref="B157:E157"/>
    <mergeCell ref="A158:E158"/>
    <mergeCell ref="A159:C159"/>
    <mergeCell ref="D159:D160"/>
    <mergeCell ref="E159:E160"/>
    <mergeCell ref="A146:A152"/>
    <mergeCell ref="K34:K35"/>
    <mergeCell ref="L34:L35"/>
    <mergeCell ref="A62:A73"/>
    <mergeCell ref="A74:A85"/>
    <mergeCell ref="A86:A97"/>
    <mergeCell ref="H32:L32"/>
    <mergeCell ref="N32:R32"/>
    <mergeCell ref="A122:A133"/>
    <mergeCell ref="N34:P34"/>
    <mergeCell ref="Q34:Q35"/>
    <mergeCell ref="R34:R35"/>
    <mergeCell ref="A47:A61"/>
    <mergeCell ref="B47:B49"/>
    <mergeCell ref="C47:G47"/>
    <mergeCell ref="C48:E48"/>
    <mergeCell ref="F48:F49"/>
    <mergeCell ref="G48:G49"/>
    <mergeCell ref="B34:D34"/>
    <mergeCell ref="E34:E35"/>
    <mergeCell ref="F34:F35"/>
    <mergeCell ref="H34:J34"/>
    <mergeCell ref="B33:F33"/>
    <mergeCell ref="H33:L33"/>
    <mergeCell ref="N33:R33"/>
    <mergeCell ref="B19:F19"/>
    <mergeCell ref="H19:L19"/>
    <mergeCell ref="N19:R19"/>
    <mergeCell ref="B20:D20"/>
    <mergeCell ref="E20:E21"/>
    <mergeCell ref="F20:F21"/>
    <mergeCell ref="H20:J20"/>
    <mergeCell ref="K20:K21"/>
    <mergeCell ref="L20:L21"/>
    <mergeCell ref="N20:P20"/>
    <mergeCell ref="Q20:Q21"/>
    <mergeCell ref="R20:R21"/>
    <mergeCell ref="B32:F32"/>
    <mergeCell ref="N6:P6"/>
    <mergeCell ref="Q6:Q7"/>
    <mergeCell ref="R6:R7"/>
    <mergeCell ref="B18:F18"/>
    <mergeCell ref="H18:L18"/>
    <mergeCell ref="N18:R18"/>
    <mergeCell ref="B6:D6"/>
    <mergeCell ref="E6:E7"/>
    <mergeCell ref="F6:F7"/>
    <mergeCell ref="H6:J6"/>
    <mergeCell ref="K6:K7"/>
    <mergeCell ref="L6:L7"/>
    <mergeCell ref="B4:F4"/>
    <mergeCell ref="H4:L4"/>
    <mergeCell ref="N4:R4"/>
    <mergeCell ref="B5:F5"/>
    <mergeCell ref="H5:L5"/>
    <mergeCell ref="N5:R5"/>
  </mergeCells>
  <phoneticPr fontId="1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2"/>
  <sheetViews>
    <sheetView zoomScaleNormal="100" workbookViewId="0">
      <selection activeCell="H12" sqref="H12"/>
    </sheetView>
  </sheetViews>
  <sheetFormatPr defaultRowHeight="12.5"/>
  <cols>
    <col min="7" max="7" width="31.81640625" customWidth="1"/>
    <col min="8" max="8" width="71.26953125" customWidth="1"/>
  </cols>
  <sheetData>
    <row r="1" spans="1:8">
      <c r="A1" t="s">
        <v>711</v>
      </c>
    </row>
    <row r="10" spans="1:8" ht="13">
      <c r="G10" s="8" t="s">
        <v>712</v>
      </c>
      <c r="H10" s="8" t="s">
        <v>713</v>
      </c>
    </row>
    <row r="11" spans="1:8" ht="64.5" customHeight="1">
      <c r="G11" s="9" t="s">
        <v>714</v>
      </c>
      <c r="H11" s="10" t="s">
        <v>715</v>
      </c>
    </row>
    <row r="12" spans="1:8" ht="54" customHeight="1">
      <c r="G12" s="11" t="s">
        <v>716</v>
      </c>
      <c r="H12" s="10" t="s">
        <v>717</v>
      </c>
    </row>
  </sheetData>
  <sheetProtection algorithmName="SHA-512" hashValue="NxYUtWXal11iQovAVCgqS2Sxd1r+9d/LJSqpqP0iIgRD1HGJFd9UUP1tJRh3iHbK0rRhS5sYlygjHfiaYKrPDg==" saltValue="WYJykH0RrX/U92MS+dRx7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2:E100"/>
  <sheetViews>
    <sheetView workbookViewId="0">
      <selection activeCell="C18" sqref="C18"/>
    </sheetView>
  </sheetViews>
  <sheetFormatPr defaultRowHeight="12.5"/>
  <cols>
    <col min="2" max="2" width="21.26953125" customWidth="1"/>
    <col min="3" max="3" width="44.1796875" customWidth="1"/>
    <col min="4" max="4" width="75.81640625" customWidth="1"/>
  </cols>
  <sheetData>
    <row r="2" spans="1:5">
      <c r="A2" s="969" t="s">
        <v>89</v>
      </c>
      <c r="B2" s="969" t="s">
        <v>90</v>
      </c>
      <c r="C2" s="969" t="s">
        <v>91</v>
      </c>
      <c r="D2" s="969"/>
      <c r="E2" s="970" t="s">
        <v>92</v>
      </c>
    </row>
    <row r="3" spans="1:5">
      <c r="A3" s="969"/>
      <c r="B3" s="969"/>
      <c r="C3" s="602" t="s">
        <v>11</v>
      </c>
      <c r="D3" s="602" t="s">
        <v>12</v>
      </c>
      <c r="E3" s="970"/>
    </row>
    <row r="4" spans="1:5" ht="14">
      <c r="A4" s="602">
        <v>1</v>
      </c>
      <c r="B4" s="603">
        <v>44225</v>
      </c>
      <c r="C4" s="605" t="s">
        <v>93</v>
      </c>
      <c r="D4" s="605" t="s">
        <v>94</v>
      </c>
      <c r="E4" s="757"/>
    </row>
    <row r="5" spans="1:5">
      <c r="A5" s="602"/>
      <c r="B5" s="604"/>
      <c r="C5" s="367" t="s">
        <v>95</v>
      </c>
      <c r="D5" s="606" t="s">
        <v>96</v>
      </c>
      <c r="E5" s="757"/>
    </row>
    <row r="6" spans="1:5">
      <c r="A6" s="602"/>
      <c r="B6" s="604"/>
      <c r="C6" s="607" t="s">
        <v>97</v>
      </c>
      <c r="D6" s="607" t="s">
        <v>98</v>
      </c>
      <c r="E6" s="757"/>
    </row>
    <row r="7" spans="1:5" ht="14">
      <c r="A7" s="602">
        <v>2</v>
      </c>
      <c r="B7" s="604">
        <v>44301</v>
      </c>
      <c r="C7" s="608" t="s">
        <v>99</v>
      </c>
      <c r="D7" s="608" t="s">
        <v>100</v>
      </c>
      <c r="E7" s="757" t="s">
        <v>101</v>
      </c>
    </row>
    <row r="8" spans="1:5">
      <c r="A8" s="602"/>
      <c r="B8" s="604"/>
      <c r="C8" s="602" t="s">
        <v>102</v>
      </c>
      <c r="D8" s="602" t="s">
        <v>100</v>
      </c>
      <c r="E8" s="757" t="s">
        <v>101</v>
      </c>
    </row>
    <row r="9" spans="1:5">
      <c r="A9" s="602"/>
      <c r="B9" s="604"/>
      <c r="C9" s="602" t="s">
        <v>103</v>
      </c>
      <c r="D9" s="602" t="s">
        <v>100</v>
      </c>
      <c r="E9" s="757" t="s">
        <v>101</v>
      </c>
    </row>
    <row r="10" spans="1:5">
      <c r="A10" s="602">
        <v>3</v>
      </c>
      <c r="B10" s="760" t="s">
        <v>104</v>
      </c>
      <c r="C10" s="602" t="s">
        <v>105</v>
      </c>
      <c r="D10" s="602" t="s">
        <v>100</v>
      </c>
      <c r="E10" s="757" t="s">
        <v>101</v>
      </c>
    </row>
    <row r="11" spans="1:5">
      <c r="A11" s="602">
        <v>4</v>
      </c>
      <c r="B11" s="604" t="s">
        <v>106</v>
      </c>
      <c r="C11" s="602" t="s">
        <v>107</v>
      </c>
      <c r="D11" s="602" t="s">
        <v>100</v>
      </c>
      <c r="E11" s="814" t="s">
        <v>108</v>
      </c>
    </row>
    <row r="12" spans="1:5">
      <c r="A12" s="602">
        <v>5</v>
      </c>
      <c r="B12" s="604" t="s">
        <v>109</v>
      </c>
      <c r="C12" s="602" t="s">
        <v>110</v>
      </c>
      <c r="D12" s="602" t="s">
        <v>100</v>
      </c>
      <c r="E12" s="757" t="s">
        <v>111</v>
      </c>
    </row>
    <row r="13" spans="1:5">
      <c r="A13" s="602">
        <v>6</v>
      </c>
      <c r="B13" s="971" t="s">
        <v>112</v>
      </c>
      <c r="C13" s="602" t="s">
        <v>113</v>
      </c>
      <c r="D13" s="602" t="s">
        <v>114</v>
      </c>
      <c r="E13" s="814" t="s">
        <v>101</v>
      </c>
    </row>
    <row r="14" spans="1:5">
      <c r="A14" s="602">
        <v>7</v>
      </c>
      <c r="B14" s="972"/>
      <c r="C14" s="602" t="s">
        <v>115</v>
      </c>
      <c r="D14" s="602" t="s">
        <v>114</v>
      </c>
      <c r="E14" s="814" t="s">
        <v>116</v>
      </c>
    </row>
    <row r="15" spans="1:5">
      <c r="A15" s="602"/>
      <c r="B15" s="604"/>
      <c r="C15" s="602"/>
      <c r="D15" s="602"/>
      <c r="E15" s="757"/>
    </row>
    <row r="16" spans="1:5">
      <c r="A16" s="602"/>
      <c r="B16" s="604"/>
      <c r="C16" s="602"/>
      <c r="D16" s="602"/>
      <c r="E16" s="757"/>
    </row>
    <row r="17" spans="1:5">
      <c r="A17" s="602"/>
      <c r="B17" s="604"/>
      <c r="C17" s="602"/>
      <c r="D17" s="602"/>
      <c r="E17" s="757"/>
    </row>
    <row r="18" spans="1:5">
      <c r="A18" s="602"/>
      <c r="B18" s="604"/>
      <c r="C18" s="602"/>
      <c r="D18" s="602"/>
      <c r="E18" s="757"/>
    </row>
    <row r="19" spans="1:5">
      <c r="A19" s="602"/>
      <c r="B19" s="604"/>
      <c r="C19" s="602"/>
      <c r="D19" s="602"/>
      <c r="E19" s="757"/>
    </row>
    <row r="20" spans="1:5">
      <c r="A20" s="602"/>
      <c r="B20" s="604"/>
      <c r="C20" s="602"/>
      <c r="D20" s="602"/>
      <c r="E20" s="757"/>
    </row>
    <row r="21" spans="1:5">
      <c r="A21" s="602"/>
      <c r="B21" s="604"/>
      <c r="C21" s="602"/>
      <c r="D21" s="602"/>
      <c r="E21" s="757"/>
    </row>
    <row r="22" spans="1:5">
      <c r="A22" s="602"/>
      <c r="B22" s="604"/>
      <c r="C22" s="602"/>
      <c r="D22" s="602"/>
      <c r="E22" s="757"/>
    </row>
    <row r="23" spans="1:5">
      <c r="A23" s="602"/>
      <c r="B23" s="604"/>
      <c r="C23" s="602"/>
      <c r="D23" s="602"/>
      <c r="E23" s="757"/>
    </row>
    <row r="24" spans="1:5">
      <c r="A24" s="602"/>
      <c r="B24" s="604"/>
      <c r="C24" s="602"/>
      <c r="D24" s="602"/>
      <c r="E24" s="757"/>
    </row>
    <row r="25" spans="1:5">
      <c r="A25" s="602"/>
      <c r="B25" s="604"/>
      <c r="C25" s="602"/>
      <c r="D25" s="602"/>
      <c r="E25" s="757"/>
    </row>
    <row r="26" spans="1:5">
      <c r="A26" s="602"/>
      <c r="B26" s="604"/>
      <c r="C26" s="602"/>
      <c r="D26" s="602"/>
      <c r="E26" s="757"/>
    </row>
    <row r="27" spans="1:5">
      <c r="A27" s="602"/>
      <c r="B27" s="604"/>
      <c r="C27" s="602"/>
      <c r="D27" s="602"/>
      <c r="E27" s="757"/>
    </row>
    <row r="28" spans="1:5">
      <c r="A28" s="602"/>
      <c r="B28" s="604"/>
      <c r="C28" s="602"/>
      <c r="D28" s="602"/>
      <c r="E28" s="757"/>
    </row>
    <row r="29" spans="1:5">
      <c r="A29" s="602"/>
      <c r="B29" s="604"/>
      <c r="C29" s="602"/>
      <c r="D29" s="602"/>
      <c r="E29" s="757"/>
    </row>
    <row r="30" spans="1:5">
      <c r="A30" s="602"/>
      <c r="B30" s="604"/>
      <c r="C30" s="602"/>
      <c r="D30" s="602"/>
      <c r="E30" s="757"/>
    </row>
    <row r="31" spans="1:5">
      <c r="A31" s="602"/>
      <c r="B31" s="604"/>
      <c r="C31" s="602"/>
      <c r="D31" s="602"/>
      <c r="E31" s="757"/>
    </row>
    <row r="100" spans="1:1">
      <c r="A100" s="815" t="s">
        <v>117</v>
      </c>
    </row>
  </sheetData>
  <sheetProtection algorithmName="SHA-512" hashValue="XphGdYLhx+fV1/vDdDZhmPrxUzBmdzbfVhtI7gSBr/x3rDvoneXBENhXG51wD30BYpsGF0LQLAlP/axthvcI+A==" saltValue="w9v4hqX5cpTwdoWNJ1Fg4Q==" spinCount="100000" sheet="1" objects="1" scenarios="1"/>
  <mergeCells count="5">
    <mergeCell ref="A2:A3"/>
    <mergeCell ref="B2:B3"/>
    <mergeCell ref="C2:D2"/>
    <mergeCell ref="E2:E3"/>
    <mergeCell ref="B13:B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AO227"/>
  <sheetViews>
    <sheetView showGridLines="0" view="pageBreakPreview" topLeftCell="A98" zoomScale="60" zoomScaleNormal="100" workbookViewId="0">
      <selection activeCell="A148" sqref="A148"/>
    </sheetView>
  </sheetViews>
  <sheetFormatPr defaultColWidth="9.1796875" defaultRowHeight="15.5"/>
  <cols>
    <col min="1" max="1" width="6.81640625" style="360" customWidth="1"/>
    <col min="2" max="2" width="19" style="360" customWidth="1"/>
    <col min="3" max="3" width="10.453125" style="360" customWidth="1"/>
    <col min="4" max="4" width="10.7265625" style="360" customWidth="1"/>
    <col min="5" max="5" width="9.81640625" style="360" customWidth="1"/>
    <col min="6" max="6" width="11.1796875" style="360" customWidth="1"/>
    <col min="7" max="7" width="10.26953125" style="360" customWidth="1"/>
    <col min="8" max="8" width="10.1796875" style="360" customWidth="1"/>
    <col min="9" max="10" width="13.26953125" style="365" customWidth="1"/>
    <col min="11" max="11" width="15.453125" style="360" customWidth="1"/>
    <col min="12" max="12" width="52.54296875" style="360" customWidth="1"/>
    <col min="13" max="13" width="11.1796875" style="360" bestFit="1" customWidth="1"/>
    <col min="14" max="14" width="12.7265625" style="360" customWidth="1"/>
    <col min="15" max="16384" width="9.1796875" style="360"/>
  </cols>
  <sheetData>
    <row r="1" spans="1:14" ht="19.5" customHeight="1">
      <c r="A1" s="949" t="s">
        <v>118</v>
      </c>
      <c r="B1" s="949"/>
      <c r="C1" s="949"/>
      <c r="D1" s="949"/>
      <c r="E1" s="949"/>
      <c r="F1" s="949"/>
      <c r="G1" s="949"/>
      <c r="H1" s="949"/>
      <c r="I1" s="949"/>
      <c r="J1" s="574"/>
      <c r="K1" s="359"/>
    </row>
    <row r="2" spans="1:14" ht="18.75" customHeight="1">
      <c r="A2" s="844"/>
      <c r="B2" s="844"/>
      <c r="C2" s="844"/>
      <c r="D2" s="845" t="str">
        <f>IF('Lembar Penyelia'!H184&gt;=70,KESIMPULAN!G11,KESIMPULAN!G12)</f>
        <v>Nomor Sertifikat : 4 /</v>
      </c>
      <c r="F2" s="756"/>
      <c r="G2" s="756"/>
      <c r="H2" s="844"/>
      <c r="I2" s="917" t="s">
        <v>119</v>
      </c>
      <c r="J2" s="575"/>
      <c r="K2" s="361"/>
    </row>
    <row r="3" spans="1:14" ht="18.75" customHeight="1">
      <c r="A3" s="846"/>
      <c r="B3" s="846"/>
      <c r="C3" s="846"/>
      <c r="D3" s="846"/>
      <c r="E3" s="846"/>
      <c r="F3" s="846"/>
      <c r="G3" s="846"/>
      <c r="H3" s="846"/>
      <c r="I3" s="846"/>
      <c r="J3" s="362"/>
      <c r="L3" s="3" t="s">
        <v>120</v>
      </c>
      <c r="M3" s="3" t="s">
        <v>121</v>
      </c>
      <c r="N3" s="360">
        <v>500</v>
      </c>
    </row>
    <row r="4" spans="1:14" ht="15.75" customHeight="1">
      <c r="A4" s="322" t="s">
        <v>122</v>
      </c>
      <c r="B4" s="320"/>
      <c r="C4" s="323" t="s">
        <v>3</v>
      </c>
      <c r="D4" s="819" t="s">
        <v>123</v>
      </c>
      <c r="E4" s="848"/>
      <c r="F4" s="848"/>
      <c r="G4" s="848"/>
      <c r="H4" s="320"/>
      <c r="I4" s="346"/>
      <c r="L4" s="3" t="s">
        <v>124</v>
      </c>
      <c r="M4" s="3" t="s">
        <v>125</v>
      </c>
      <c r="N4" s="360">
        <v>100</v>
      </c>
    </row>
    <row r="5" spans="1:14" s="366" customFormat="1" ht="15.75" customHeight="1">
      <c r="A5" s="322" t="s">
        <v>126</v>
      </c>
      <c r="B5" s="494"/>
      <c r="C5" s="323" t="s">
        <v>3</v>
      </c>
      <c r="D5" s="819" t="s">
        <v>127</v>
      </c>
      <c r="E5" s="847"/>
      <c r="F5" s="847"/>
      <c r="G5" s="847"/>
      <c r="H5" s="494"/>
      <c r="I5" s="346"/>
      <c r="J5" s="365"/>
      <c r="L5" s="360"/>
    </row>
    <row r="6" spans="1:14" ht="15.75" customHeight="1">
      <c r="A6" s="322" t="s">
        <v>128</v>
      </c>
      <c r="B6" s="320"/>
      <c r="C6" s="323" t="s">
        <v>3</v>
      </c>
      <c r="D6" s="820" t="s">
        <v>129</v>
      </c>
      <c r="E6" s="848"/>
      <c r="F6" s="848"/>
      <c r="G6" s="848"/>
      <c r="H6" s="320"/>
      <c r="I6" s="346"/>
      <c r="L6" s="340" t="s">
        <v>130</v>
      </c>
      <c r="M6" s="360" t="s">
        <v>131</v>
      </c>
    </row>
    <row r="7" spans="1:14" ht="15.75" customHeight="1">
      <c r="A7" s="322" t="s">
        <v>6</v>
      </c>
      <c r="B7" s="320"/>
      <c r="C7" s="323" t="s">
        <v>3</v>
      </c>
      <c r="D7" s="820" t="s">
        <v>132</v>
      </c>
      <c r="E7" s="848"/>
      <c r="F7" s="848"/>
      <c r="G7" s="848"/>
      <c r="H7" s="320"/>
      <c r="I7" s="346"/>
      <c r="L7" s="320"/>
    </row>
    <row r="8" spans="1:14" ht="15.75" customHeight="1">
      <c r="A8" s="322" t="s">
        <v>133</v>
      </c>
      <c r="B8" s="320"/>
      <c r="C8" s="323" t="s">
        <v>3</v>
      </c>
      <c r="D8" s="820" t="str">
        <f>D7</f>
        <v>12 Mei 2022</v>
      </c>
      <c r="E8" s="848"/>
      <c r="F8" s="848"/>
      <c r="G8" s="850"/>
      <c r="H8" s="320"/>
      <c r="I8" s="346"/>
      <c r="L8" s="360" t="s">
        <v>134</v>
      </c>
      <c r="M8" s="360" t="s">
        <v>135</v>
      </c>
    </row>
    <row r="9" spans="1:14" ht="15.75" customHeight="1">
      <c r="A9" s="322" t="s">
        <v>136</v>
      </c>
      <c r="B9" s="320"/>
      <c r="C9" s="323" t="s">
        <v>3</v>
      </c>
      <c r="D9" s="819" t="s">
        <v>137</v>
      </c>
      <c r="E9" s="848"/>
      <c r="F9" s="848"/>
      <c r="G9" s="850"/>
      <c r="H9" s="320"/>
      <c r="I9" s="346"/>
    </row>
    <row r="10" spans="1:14" ht="15.75" customHeight="1">
      <c r="A10" s="322" t="s">
        <v>138</v>
      </c>
      <c r="B10" s="320"/>
      <c r="C10" s="323" t="s">
        <v>3</v>
      </c>
      <c r="D10" s="820" t="s">
        <v>139</v>
      </c>
      <c r="E10" s="848"/>
      <c r="F10" s="848"/>
      <c r="G10" s="850"/>
      <c r="H10" s="320"/>
      <c r="I10" s="346"/>
      <c r="L10" s="326">
        <f>VLOOKUP(B27,L3:N4,3,FALSE)</f>
        <v>500</v>
      </c>
    </row>
    <row r="11" spans="1:14" ht="15.75" customHeight="1">
      <c r="A11" s="322" t="s">
        <v>140</v>
      </c>
      <c r="B11" s="320"/>
      <c r="C11" s="323" t="s">
        <v>3</v>
      </c>
      <c r="D11" s="320" t="s">
        <v>94</v>
      </c>
      <c r="E11" s="322"/>
      <c r="F11" s="322"/>
      <c r="G11" s="322"/>
      <c r="H11" s="320"/>
      <c r="I11" s="346"/>
      <c r="J11" s="346"/>
    </row>
    <row r="12" spans="1:14" ht="10.5" customHeight="1">
      <c r="A12" s="322"/>
      <c r="B12" s="322"/>
      <c r="C12" s="322"/>
      <c r="D12" s="322"/>
      <c r="E12" s="322"/>
      <c r="F12" s="322"/>
      <c r="G12" s="322"/>
      <c r="H12" s="322"/>
      <c r="I12" s="346"/>
    </row>
    <row r="13" spans="1:14" ht="15.75" customHeight="1">
      <c r="A13" s="324" t="s">
        <v>141</v>
      </c>
      <c r="B13" s="324"/>
      <c r="C13" s="320"/>
      <c r="D13" s="320"/>
      <c r="E13" s="320"/>
      <c r="F13" s="320"/>
      <c r="G13" s="1001"/>
      <c r="H13" s="1001"/>
      <c r="I13" s="1001"/>
      <c r="J13" s="368"/>
    </row>
    <row r="14" spans="1:14" ht="24" customHeight="1">
      <c r="A14" s="324"/>
      <c r="B14" s="320"/>
      <c r="C14" s="324"/>
      <c r="D14" s="298" t="s">
        <v>11</v>
      </c>
      <c r="E14" s="606" t="s">
        <v>12</v>
      </c>
      <c r="F14" s="367"/>
      <c r="G14" s="851"/>
      <c r="H14" s="851"/>
      <c r="I14" s="851"/>
      <c r="J14" s="368"/>
    </row>
    <row r="15" spans="1:14" ht="18" customHeight="1">
      <c r="A15" s="328" t="s">
        <v>13</v>
      </c>
      <c r="B15" s="320"/>
      <c r="C15" s="325" t="s">
        <v>3</v>
      </c>
      <c r="D15" s="918">
        <v>22.8</v>
      </c>
      <c r="E15" s="918">
        <v>22.8</v>
      </c>
      <c r="F15" s="331" t="s">
        <v>14</v>
      </c>
      <c r="G15" s="320"/>
      <c r="H15" s="355"/>
      <c r="I15" s="346"/>
    </row>
    <row r="16" spans="1:14" ht="16.5" customHeight="1">
      <c r="A16" s="328" t="s">
        <v>15</v>
      </c>
      <c r="B16" s="320"/>
      <c r="C16" s="325" t="s">
        <v>3</v>
      </c>
      <c r="D16" s="918">
        <v>60.4</v>
      </c>
      <c r="E16" s="918">
        <v>58.7</v>
      </c>
      <c r="F16" s="322" t="s">
        <v>16</v>
      </c>
      <c r="G16" s="320"/>
      <c r="H16" s="355"/>
      <c r="I16" s="346"/>
    </row>
    <row r="17" spans="1:41" ht="16.5" customHeight="1">
      <c r="A17" s="328" t="s">
        <v>142</v>
      </c>
      <c r="B17" s="323"/>
      <c r="C17" s="325" t="s">
        <v>3</v>
      </c>
      <c r="D17" s="919">
        <v>224.13</v>
      </c>
      <c r="E17" s="372" t="s">
        <v>18</v>
      </c>
      <c r="F17" s="322"/>
      <c r="G17" s="852"/>
      <c r="H17" s="852"/>
      <c r="I17" s="852"/>
      <c r="J17" s="373"/>
    </row>
    <row r="18" spans="1:41" ht="10.5" customHeight="1">
      <c r="A18" s="335"/>
      <c r="B18" s="335"/>
      <c r="C18" s="335"/>
      <c r="D18" s="322"/>
      <c r="E18" s="320"/>
      <c r="F18" s="320"/>
      <c r="G18" s="320"/>
      <c r="H18" s="320"/>
      <c r="I18" s="853"/>
      <c r="J18" s="375"/>
    </row>
    <row r="19" spans="1:41" ht="19.5" customHeight="1">
      <c r="A19" s="335" t="s">
        <v>19</v>
      </c>
      <c r="B19" s="320"/>
      <c r="C19" s="320"/>
      <c r="D19" s="320"/>
      <c r="E19" s="320"/>
      <c r="F19" s="336"/>
      <c r="G19" s="320"/>
      <c r="H19" s="337"/>
      <c r="I19" s="346"/>
    </row>
    <row r="20" spans="1:41" ht="21" customHeight="1">
      <c r="A20" s="320" t="s">
        <v>143</v>
      </c>
      <c r="B20" s="320"/>
      <c r="C20" s="325" t="s">
        <v>3</v>
      </c>
      <c r="D20" s="926" t="s">
        <v>144</v>
      </c>
      <c r="E20" s="320"/>
      <c r="F20" s="854"/>
      <c r="G20" s="854"/>
      <c r="H20" s="854"/>
      <c r="I20" s="338"/>
      <c r="J20" s="376"/>
    </row>
    <row r="21" spans="1:41" ht="15.75" customHeight="1">
      <c r="A21" s="320" t="s">
        <v>145</v>
      </c>
      <c r="B21" s="320"/>
      <c r="C21" s="325" t="s">
        <v>3</v>
      </c>
      <c r="D21" s="926" t="s">
        <v>144</v>
      </c>
      <c r="E21" s="854"/>
      <c r="F21" s="854"/>
      <c r="G21" s="854"/>
      <c r="H21" s="854"/>
      <c r="I21" s="338"/>
      <c r="J21" s="376"/>
    </row>
    <row r="22" spans="1:41" ht="10.5" customHeight="1">
      <c r="A22" s="320"/>
      <c r="B22" s="320"/>
      <c r="C22" s="325"/>
      <c r="D22" s="848"/>
      <c r="E22" s="854"/>
      <c r="F22" s="854"/>
      <c r="G22" s="854"/>
      <c r="H22" s="854"/>
      <c r="I22" s="338"/>
      <c r="J22" s="376"/>
    </row>
    <row r="23" spans="1:41" ht="18.75" customHeight="1">
      <c r="A23" s="335" t="s">
        <v>24</v>
      </c>
      <c r="B23" s="320"/>
      <c r="C23" s="320"/>
      <c r="D23" s="322"/>
      <c r="E23" s="320"/>
      <c r="F23" s="320"/>
      <c r="G23" s="320"/>
      <c r="H23" s="320"/>
      <c r="I23" s="853"/>
      <c r="J23" s="375"/>
    </row>
    <row r="24" spans="1:41" ht="49.5" customHeight="1">
      <c r="A24" s="855" t="s">
        <v>25</v>
      </c>
      <c r="B24" s="994" t="s">
        <v>26</v>
      </c>
      <c r="C24" s="995"/>
      <c r="D24" s="995"/>
      <c r="E24" s="995"/>
      <c r="F24" s="996"/>
      <c r="G24" s="994" t="s">
        <v>27</v>
      </c>
      <c r="H24" s="996"/>
      <c r="I24" s="855" t="s">
        <v>28</v>
      </c>
      <c r="J24" s="576"/>
      <c r="K24" s="377"/>
      <c r="L24" s="559"/>
    </row>
    <row r="25" spans="1:41" ht="18" customHeight="1">
      <c r="A25" s="326">
        <v>1</v>
      </c>
      <c r="B25" s="899" t="str">
        <f>'Lembar Kerja'!B24</f>
        <v xml:space="preserve">Resistansi isolasi </v>
      </c>
      <c r="C25" s="829"/>
      <c r="D25" s="829"/>
      <c r="E25" s="829"/>
      <c r="F25" s="900"/>
      <c r="G25" s="920" t="s">
        <v>146</v>
      </c>
      <c r="H25" s="856" t="s">
        <v>147</v>
      </c>
      <c r="I25" s="326" t="s">
        <v>148</v>
      </c>
      <c r="J25" s="346"/>
      <c r="K25" s="378"/>
    </row>
    <row r="26" spans="1:41" ht="18" customHeight="1">
      <c r="A26" s="326">
        <v>2</v>
      </c>
      <c r="B26" s="998" t="s">
        <v>33</v>
      </c>
      <c r="C26" s="999"/>
      <c r="D26" s="999"/>
      <c r="E26" s="999"/>
      <c r="F26" s="1000"/>
      <c r="G26" s="920">
        <v>0.1</v>
      </c>
      <c r="H26" s="856" t="s">
        <v>149</v>
      </c>
      <c r="I26" s="326" t="s">
        <v>131</v>
      </c>
      <c r="J26" s="346"/>
      <c r="K26" s="378"/>
    </row>
    <row r="27" spans="1:41" ht="18" customHeight="1">
      <c r="A27" s="326">
        <v>3</v>
      </c>
      <c r="B27" s="998" t="s">
        <v>120</v>
      </c>
      <c r="C27" s="999"/>
      <c r="D27" s="999"/>
      <c r="E27" s="999"/>
      <c r="F27" s="1000"/>
      <c r="G27" s="921" t="s">
        <v>139</v>
      </c>
      <c r="H27" s="856" t="s">
        <v>37</v>
      </c>
      <c r="I27" s="326" t="str">
        <f>VLOOKUP(B27,L3:M4,2,FALSE)</f>
        <v>≤ 500 µA</v>
      </c>
      <c r="J27" s="577" t="s">
        <v>150</v>
      </c>
      <c r="K27" s="578">
        <v>20</v>
      </c>
    </row>
    <row r="28" spans="1:41" ht="10.5" customHeight="1">
      <c r="A28" s="345"/>
      <c r="B28" s="320"/>
      <c r="C28" s="320"/>
      <c r="D28" s="320"/>
      <c r="E28" s="320"/>
      <c r="F28" s="346"/>
      <c r="G28" s="320"/>
      <c r="H28" s="325"/>
      <c r="I28" s="346"/>
      <c r="K28" s="378"/>
    </row>
    <row r="29" spans="1:41" ht="20.149999999999999" customHeight="1">
      <c r="A29" s="335" t="s">
        <v>151</v>
      </c>
      <c r="B29" s="320"/>
      <c r="C29" s="320"/>
      <c r="D29" s="320"/>
      <c r="E29" s="320"/>
      <c r="F29" s="320"/>
      <c r="G29" s="320"/>
      <c r="H29" s="320"/>
      <c r="I29" s="346"/>
      <c r="K29" s="379"/>
    </row>
    <row r="30" spans="1:41" ht="20.149999999999999" customHeight="1">
      <c r="A30" s="857" t="s">
        <v>152</v>
      </c>
      <c r="B30" s="320"/>
      <c r="C30" s="849" t="s">
        <v>139</v>
      </c>
      <c r="D30" s="320"/>
      <c r="E30" s="320"/>
      <c r="F30" s="320"/>
      <c r="G30" s="320"/>
      <c r="H30" s="320"/>
      <c r="I30" s="346"/>
      <c r="K30" s="379"/>
      <c r="L30" s="360" t="str">
        <f>A148</f>
        <v>Tidak terdapat grounding di ruangan</v>
      </c>
    </row>
    <row r="31" spans="1:41" ht="17.25" customHeight="1" thickBot="1">
      <c r="A31" s="320"/>
      <c r="B31" s="320" t="s">
        <v>41</v>
      </c>
      <c r="C31" s="320"/>
      <c r="D31" s="320"/>
      <c r="E31" s="320"/>
      <c r="F31" s="320"/>
      <c r="G31" s="320"/>
      <c r="H31" s="320"/>
      <c r="I31" s="346"/>
      <c r="K31" s="379"/>
      <c r="L31" s="360" t="str">
        <f>A156</f>
        <v>Alat yang dikalibrasi dalam batas toleransi dan dinyatakan LAIK PAKAI, dimana hasil atau skor akhir sama dengan atau melampaui 70 % berdasarkan Keputusan Direktur Jenderal Pelayanan Kesehatan No : HK.02.02/V/0412/2020</v>
      </c>
    </row>
    <row r="32" spans="1:41" ht="18.75" customHeight="1">
      <c r="A32" s="984"/>
      <c r="B32" s="974" t="s">
        <v>42</v>
      </c>
      <c r="C32" s="974" t="s">
        <v>43</v>
      </c>
      <c r="D32" s="974"/>
      <c r="E32" s="974" t="s">
        <v>44</v>
      </c>
      <c r="F32" s="974"/>
      <c r="G32" s="974"/>
      <c r="H32" s="975" t="s">
        <v>153</v>
      </c>
      <c r="I32" s="978" t="s">
        <v>154</v>
      </c>
      <c r="J32" s="351"/>
      <c r="K32" s="379"/>
      <c r="L32" s="366">
        <f>'Lembar Penyelia'!H184</f>
        <v>75</v>
      </c>
      <c r="AO32" s="365"/>
    </row>
    <row r="33" spans="1:41" ht="29.25" customHeight="1">
      <c r="A33" s="986"/>
      <c r="B33" s="941"/>
      <c r="C33" s="493" t="s">
        <v>47</v>
      </c>
      <c r="D33" s="493" t="s">
        <v>48</v>
      </c>
      <c r="E33" s="326" t="s">
        <v>49</v>
      </c>
      <c r="F33" s="326" t="s">
        <v>50</v>
      </c>
      <c r="G33" s="326" t="s">
        <v>51</v>
      </c>
      <c r="H33" s="942"/>
      <c r="I33" s="979"/>
      <c r="J33" s="351"/>
      <c r="K33" s="379"/>
      <c r="L33" s="840" t="str">
        <f>LH!B164</f>
        <v>Tidak terdapat grounding di ruangan</v>
      </c>
      <c r="N33" s="382"/>
      <c r="O33" s="382"/>
      <c r="P33" s="383"/>
      <c r="AO33" s="381"/>
    </row>
    <row r="34" spans="1:41" ht="18" customHeight="1">
      <c r="A34" s="984"/>
      <c r="B34" s="942" t="s">
        <v>52</v>
      </c>
      <c r="C34" s="380">
        <v>125</v>
      </c>
      <c r="D34" s="380">
        <v>70</v>
      </c>
      <c r="E34" s="922">
        <v>70</v>
      </c>
      <c r="F34" s="922">
        <v>70</v>
      </c>
      <c r="G34" s="922">
        <v>70</v>
      </c>
      <c r="H34" s="859">
        <f>AVERAGE(E34:G34)</f>
        <v>70</v>
      </c>
      <c r="I34" s="860">
        <f>STDEV(E34:G34)</f>
        <v>0</v>
      </c>
      <c r="J34" s="407"/>
      <c r="K34" s="379"/>
      <c r="L34" s="381"/>
      <c r="M34" s="990"/>
      <c r="N34" s="990"/>
      <c r="O34" s="990"/>
      <c r="P34" s="990"/>
      <c r="Q34" s="990"/>
      <c r="R34" s="990"/>
      <c r="AO34" s="381"/>
    </row>
    <row r="35" spans="1:41" ht="18" customHeight="1">
      <c r="A35" s="985"/>
      <c r="B35" s="942"/>
      <c r="C35" s="380">
        <v>250</v>
      </c>
      <c r="D35" s="380">
        <v>90</v>
      </c>
      <c r="E35" s="922">
        <v>90</v>
      </c>
      <c r="F35" s="922">
        <v>90</v>
      </c>
      <c r="G35" s="922">
        <v>90</v>
      </c>
      <c r="H35" s="859">
        <f t="shared" ref="H35:H58" si="0">AVERAGE(E35:G35)</f>
        <v>90</v>
      </c>
      <c r="I35" s="860">
        <f t="shared" ref="I35:I58" si="1">STDEV(E35:G35)</f>
        <v>0</v>
      </c>
      <c r="J35" s="407"/>
      <c r="K35" s="379"/>
      <c r="L35" s="384"/>
      <c r="M35" s="385"/>
      <c r="N35" s="386"/>
      <c r="O35" s="382"/>
      <c r="P35" s="382"/>
      <c r="Q35" s="365"/>
      <c r="R35" s="365"/>
    </row>
    <row r="36" spans="1:41" ht="18" customHeight="1">
      <c r="A36" s="985"/>
      <c r="B36" s="942"/>
      <c r="C36" s="380">
        <v>500</v>
      </c>
      <c r="D36" s="380">
        <v>120</v>
      </c>
      <c r="E36" s="922">
        <v>120</v>
      </c>
      <c r="F36" s="922">
        <v>120</v>
      </c>
      <c r="G36" s="922">
        <v>120</v>
      </c>
      <c r="H36" s="859">
        <f>AVERAGE(E36:G36)</f>
        <v>120</v>
      </c>
      <c r="I36" s="860">
        <f t="shared" si="1"/>
        <v>0</v>
      </c>
      <c r="J36" s="407"/>
      <c r="L36" s="384"/>
      <c r="M36" s="387"/>
      <c r="N36" s="373"/>
      <c r="O36" s="373"/>
      <c r="P36" s="365"/>
      <c r="Q36" s="387"/>
      <c r="R36" s="387"/>
    </row>
    <row r="37" spans="1:41" ht="18" customHeight="1">
      <c r="A37" s="985"/>
      <c r="B37" s="942"/>
      <c r="C37" s="380">
        <v>750</v>
      </c>
      <c r="D37" s="380">
        <v>120</v>
      </c>
      <c r="E37" s="922">
        <v>120</v>
      </c>
      <c r="F37" s="922">
        <v>120</v>
      </c>
      <c r="G37" s="922">
        <v>120</v>
      </c>
      <c r="H37" s="859">
        <f t="shared" si="0"/>
        <v>120</v>
      </c>
      <c r="I37" s="860">
        <f t="shared" si="1"/>
        <v>0</v>
      </c>
      <c r="J37" s="407"/>
      <c r="K37" s="379"/>
      <c r="L37" s="384"/>
      <c r="M37" s="387"/>
      <c r="N37" s="373"/>
      <c r="O37" s="373"/>
      <c r="P37" s="365"/>
      <c r="Q37" s="387"/>
      <c r="R37" s="387"/>
    </row>
    <row r="38" spans="1:41" ht="18" customHeight="1">
      <c r="A38" s="985"/>
      <c r="B38" s="942"/>
      <c r="C38" s="380">
        <v>1000</v>
      </c>
      <c r="D38" s="380">
        <v>120</v>
      </c>
      <c r="E38" s="922">
        <v>120</v>
      </c>
      <c r="F38" s="922">
        <v>120</v>
      </c>
      <c r="G38" s="922">
        <v>120</v>
      </c>
      <c r="H38" s="859">
        <f t="shared" si="0"/>
        <v>120</v>
      </c>
      <c r="I38" s="860">
        <f t="shared" si="1"/>
        <v>0</v>
      </c>
      <c r="J38" s="407"/>
      <c r="K38" s="388"/>
      <c r="L38" s="384"/>
      <c r="M38" s="387"/>
      <c r="N38" s="365"/>
      <c r="O38" s="365"/>
      <c r="P38" s="365"/>
      <c r="Q38" s="387"/>
      <c r="R38" s="387"/>
    </row>
    <row r="39" spans="1:41" ht="18" customHeight="1">
      <c r="A39" s="985"/>
      <c r="B39" s="942"/>
      <c r="C39" s="380">
        <v>1500</v>
      </c>
      <c r="D39" s="380">
        <v>120</v>
      </c>
      <c r="E39" s="922">
        <v>120</v>
      </c>
      <c r="F39" s="922">
        <v>120</v>
      </c>
      <c r="G39" s="922">
        <v>120</v>
      </c>
      <c r="H39" s="859">
        <f t="shared" si="0"/>
        <v>120</v>
      </c>
      <c r="I39" s="860">
        <f t="shared" si="1"/>
        <v>0</v>
      </c>
      <c r="J39" s="407"/>
      <c r="L39" s="384"/>
      <c r="M39" s="387"/>
      <c r="N39" s="365"/>
      <c r="O39" s="365"/>
      <c r="P39" s="365"/>
      <c r="Q39" s="387"/>
      <c r="R39" s="387"/>
    </row>
    <row r="40" spans="1:41" ht="18" customHeight="1">
      <c r="A40" s="985"/>
      <c r="B40" s="942"/>
      <c r="C40" s="380">
        <v>2000</v>
      </c>
      <c r="D40" s="380">
        <v>120</v>
      </c>
      <c r="E40" s="922">
        <v>120</v>
      </c>
      <c r="F40" s="922">
        <v>120</v>
      </c>
      <c r="G40" s="922">
        <v>120</v>
      </c>
      <c r="H40" s="859">
        <f t="shared" si="0"/>
        <v>120</v>
      </c>
      <c r="I40" s="860">
        <f t="shared" si="1"/>
        <v>0</v>
      </c>
      <c r="J40" s="407"/>
      <c r="K40" s="379"/>
      <c r="L40" s="384"/>
      <c r="M40" s="387"/>
      <c r="N40" s="365"/>
      <c r="O40" s="365"/>
      <c r="P40" s="365"/>
      <c r="Q40" s="387"/>
      <c r="R40" s="387"/>
    </row>
    <row r="41" spans="1:41" ht="18" customHeight="1">
      <c r="A41" s="985"/>
      <c r="B41" s="942"/>
      <c r="C41" s="380">
        <v>3000</v>
      </c>
      <c r="D41" s="380">
        <v>120</v>
      </c>
      <c r="E41" s="922">
        <v>120.6</v>
      </c>
      <c r="F41" s="922">
        <v>120.6</v>
      </c>
      <c r="G41" s="922">
        <v>120.6</v>
      </c>
      <c r="H41" s="859">
        <f t="shared" si="0"/>
        <v>120.59999999999998</v>
      </c>
      <c r="I41" s="860">
        <f t="shared" si="1"/>
        <v>1.7404671430534633E-14</v>
      </c>
      <c r="J41" s="407"/>
      <c r="K41" s="379"/>
      <c r="L41" s="384"/>
      <c r="M41" s="387"/>
      <c r="N41" s="365"/>
      <c r="O41" s="365"/>
      <c r="P41" s="365"/>
      <c r="Q41" s="373"/>
      <c r="R41" s="387"/>
    </row>
    <row r="42" spans="1:41" ht="18" customHeight="1">
      <c r="A42" s="985"/>
      <c r="B42" s="942"/>
      <c r="C42" s="380">
        <v>4000</v>
      </c>
      <c r="D42" s="380">
        <v>120</v>
      </c>
      <c r="E42" s="922">
        <v>120.6</v>
      </c>
      <c r="F42" s="922">
        <v>120.6</v>
      </c>
      <c r="G42" s="922">
        <v>120.6</v>
      </c>
      <c r="H42" s="859">
        <f t="shared" si="0"/>
        <v>120.59999999999998</v>
      </c>
      <c r="I42" s="860">
        <f t="shared" si="1"/>
        <v>1.7404671430534633E-14</v>
      </c>
      <c r="J42" s="407"/>
      <c r="L42" s="384"/>
      <c r="M42" s="387"/>
      <c r="N42" s="365"/>
      <c r="O42" s="365"/>
      <c r="P42" s="365"/>
      <c r="Q42" s="373"/>
      <c r="R42" s="387"/>
    </row>
    <row r="43" spans="1:41" ht="18" customHeight="1">
      <c r="A43" s="985"/>
      <c r="B43" s="942"/>
      <c r="C43" s="380">
        <v>6000</v>
      </c>
      <c r="D43" s="380">
        <v>110</v>
      </c>
      <c r="E43" s="922">
        <v>110.2</v>
      </c>
      <c r="F43" s="922">
        <v>110.2</v>
      </c>
      <c r="G43" s="922">
        <v>110.2</v>
      </c>
      <c r="H43" s="859">
        <f t="shared" si="0"/>
        <v>110.2</v>
      </c>
      <c r="I43" s="860">
        <f t="shared" si="1"/>
        <v>0</v>
      </c>
      <c r="J43" s="407"/>
      <c r="L43" s="384"/>
      <c r="M43" s="387"/>
      <c r="N43" s="365"/>
      <c r="O43" s="365"/>
      <c r="P43" s="365"/>
      <c r="Q43" s="373"/>
      <c r="R43" s="387"/>
    </row>
    <row r="44" spans="1:41" ht="18" customHeight="1" thickBot="1">
      <c r="A44" s="986"/>
      <c r="B44" s="989"/>
      <c r="C44" s="389">
        <v>8000</v>
      </c>
      <c r="D44" s="389">
        <v>100</v>
      </c>
      <c r="E44" s="923">
        <v>100</v>
      </c>
      <c r="F44" s="923">
        <v>100</v>
      </c>
      <c r="G44" s="923">
        <v>100</v>
      </c>
      <c r="H44" s="862">
        <f t="shared" si="0"/>
        <v>100</v>
      </c>
      <c r="I44" s="863">
        <f t="shared" si="1"/>
        <v>0</v>
      </c>
      <c r="J44" s="407"/>
      <c r="L44" s="384"/>
      <c r="M44" s="387"/>
      <c r="N44" s="365"/>
      <c r="O44" s="365"/>
      <c r="P44" s="365"/>
      <c r="Q44" s="373"/>
      <c r="R44" s="373"/>
    </row>
    <row r="45" spans="1:41" ht="18" customHeight="1" thickBot="1">
      <c r="A45" s="864"/>
      <c r="B45" s="865" t="s">
        <v>56</v>
      </c>
      <c r="C45" s="346"/>
      <c r="D45" s="346"/>
      <c r="E45" s="866"/>
      <c r="F45" s="866"/>
      <c r="G45" s="866"/>
      <c r="H45" s="852"/>
      <c r="I45" s="407"/>
      <c r="J45" s="407"/>
      <c r="L45" s="384"/>
      <c r="M45" s="387"/>
      <c r="N45" s="365"/>
      <c r="O45" s="365"/>
      <c r="P45" s="365"/>
      <c r="Q45" s="373"/>
      <c r="R45" s="373"/>
    </row>
    <row r="46" spans="1:41" ht="18" customHeight="1">
      <c r="A46" s="864"/>
      <c r="B46" s="974" t="s">
        <v>42</v>
      </c>
      <c r="C46" s="974" t="s">
        <v>43</v>
      </c>
      <c r="D46" s="974"/>
      <c r="E46" s="974" t="s">
        <v>44</v>
      </c>
      <c r="F46" s="974"/>
      <c r="G46" s="974"/>
      <c r="H46" s="975" t="s">
        <v>153</v>
      </c>
      <c r="I46" s="978" t="s">
        <v>154</v>
      </c>
      <c r="J46" s="351"/>
      <c r="L46" s="384"/>
      <c r="M46" s="387"/>
      <c r="N46" s="365"/>
      <c r="O46" s="365"/>
      <c r="P46" s="365"/>
      <c r="Q46" s="373"/>
      <c r="R46" s="373"/>
    </row>
    <row r="47" spans="1:41" ht="22.5" customHeight="1">
      <c r="A47" s="864"/>
      <c r="B47" s="941"/>
      <c r="C47" s="493" t="s">
        <v>47</v>
      </c>
      <c r="D47" s="493" t="s">
        <v>48</v>
      </c>
      <c r="E47" s="326" t="s">
        <v>49</v>
      </c>
      <c r="F47" s="326" t="s">
        <v>50</v>
      </c>
      <c r="G47" s="326" t="s">
        <v>51</v>
      </c>
      <c r="H47" s="942"/>
      <c r="I47" s="979"/>
      <c r="J47" s="351"/>
      <c r="L47" s="384"/>
      <c r="M47" s="387"/>
      <c r="N47" s="365"/>
      <c r="O47" s="365"/>
      <c r="P47" s="365"/>
      <c r="Q47" s="373"/>
      <c r="R47" s="373"/>
    </row>
    <row r="48" spans="1:41" ht="18" customHeight="1">
      <c r="A48" s="984"/>
      <c r="B48" s="942" t="s">
        <v>47</v>
      </c>
      <c r="C48" s="380">
        <v>125</v>
      </c>
      <c r="D48" s="380" t="s">
        <v>155</v>
      </c>
      <c r="E48" s="922">
        <v>125</v>
      </c>
      <c r="F48" s="922">
        <v>125</v>
      </c>
      <c r="G48" s="922">
        <v>125</v>
      </c>
      <c r="H48" s="859">
        <f t="shared" si="0"/>
        <v>125</v>
      </c>
      <c r="I48" s="860">
        <f t="shared" si="1"/>
        <v>0</v>
      </c>
      <c r="J48" s="407"/>
      <c r="L48" s="390"/>
      <c r="M48" s="391"/>
      <c r="N48" s="365"/>
      <c r="O48" s="365"/>
      <c r="P48" s="365"/>
      <c r="Q48" s="373"/>
      <c r="R48" s="373"/>
    </row>
    <row r="49" spans="1:18" ht="18" customHeight="1">
      <c r="A49" s="985"/>
      <c r="B49" s="942"/>
      <c r="C49" s="380">
        <v>250</v>
      </c>
      <c r="D49" s="380" t="s">
        <v>155</v>
      </c>
      <c r="E49" s="922">
        <v>250</v>
      </c>
      <c r="F49" s="922">
        <v>250</v>
      </c>
      <c r="G49" s="922">
        <v>250</v>
      </c>
      <c r="H49" s="859">
        <f t="shared" si="0"/>
        <v>250</v>
      </c>
      <c r="I49" s="860">
        <f t="shared" si="1"/>
        <v>0</v>
      </c>
      <c r="J49" s="407"/>
      <c r="L49" s="392"/>
      <c r="M49" s="393"/>
      <c r="N49" s="394"/>
      <c r="O49" s="365"/>
      <c r="P49" s="365"/>
      <c r="Q49" s="373"/>
      <c r="R49" s="373"/>
    </row>
    <row r="50" spans="1:18" ht="18" customHeight="1">
      <c r="A50" s="985"/>
      <c r="B50" s="942"/>
      <c r="C50" s="380">
        <v>500</v>
      </c>
      <c r="D50" s="380" t="s">
        <v>155</v>
      </c>
      <c r="E50" s="922">
        <v>500</v>
      </c>
      <c r="F50" s="922">
        <v>500</v>
      </c>
      <c r="G50" s="922">
        <v>500</v>
      </c>
      <c r="H50" s="859">
        <f t="shared" si="0"/>
        <v>500</v>
      </c>
      <c r="I50" s="860">
        <f t="shared" si="1"/>
        <v>0</v>
      </c>
      <c r="J50" s="407"/>
      <c r="L50" s="395"/>
      <c r="M50" s="396"/>
      <c r="N50" s="397"/>
      <c r="O50" s="365"/>
      <c r="P50" s="365"/>
      <c r="Q50" s="373"/>
      <c r="R50" s="373"/>
    </row>
    <row r="51" spans="1:18" ht="18" customHeight="1">
      <c r="A51" s="985"/>
      <c r="B51" s="942"/>
      <c r="C51" s="380">
        <v>750</v>
      </c>
      <c r="D51" s="380" t="s">
        <v>155</v>
      </c>
      <c r="E51" s="922">
        <v>750</v>
      </c>
      <c r="F51" s="922">
        <v>750</v>
      </c>
      <c r="G51" s="922">
        <v>750</v>
      </c>
      <c r="H51" s="859">
        <f t="shared" si="0"/>
        <v>750</v>
      </c>
      <c r="I51" s="860">
        <f t="shared" si="1"/>
        <v>0</v>
      </c>
      <c r="J51" s="407"/>
      <c r="L51" s="398"/>
      <c r="M51" s="399"/>
      <c r="N51" s="400"/>
      <c r="O51" s="365"/>
      <c r="P51" s="365"/>
      <c r="Q51" s="401"/>
      <c r="R51" s="373"/>
    </row>
    <row r="52" spans="1:18" ht="18" customHeight="1">
      <c r="A52" s="985"/>
      <c r="B52" s="942"/>
      <c r="C52" s="380">
        <v>1000</v>
      </c>
      <c r="D52" s="380" t="s">
        <v>155</v>
      </c>
      <c r="E52" s="922">
        <v>1000</v>
      </c>
      <c r="F52" s="922">
        <v>1000</v>
      </c>
      <c r="G52" s="922">
        <v>1000</v>
      </c>
      <c r="H52" s="859">
        <f t="shared" si="0"/>
        <v>1000</v>
      </c>
      <c r="I52" s="860">
        <f t="shared" si="1"/>
        <v>0</v>
      </c>
      <c r="J52" s="407"/>
      <c r="L52" s="402"/>
      <c r="M52" s="403"/>
      <c r="N52" s="404"/>
      <c r="O52" s="365"/>
      <c r="P52" s="365"/>
      <c r="Q52" s="401"/>
      <c r="R52" s="373"/>
    </row>
    <row r="53" spans="1:18" ht="18" customHeight="1">
      <c r="A53" s="985"/>
      <c r="B53" s="942"/>
      <c r="C53" s="380">
        <v>1500</v>
      </c>
      <c r="D53" s="380" t="s">
        <v>155</v>
      </c>
      <c r="E53" s="922">
        <v>1500</v>
      </c>
      <c r="F53" s="922">
        <v>1500</v>
      </c>
      <c r="G53" s="922">
        <v>1500</v>
      </c>
      <c r="H53" s="859">
        <f t="shared" si="0"/>
        <v>1500</v>
      </c>
      <c r="I53" s="860">
        <f t="shared" si="1"/>
        <v>0</v>
      </c>
      <c r="J53" s="407"/>
    </row>
    <row r="54" spans="1:18" ht="18" customHeight="1">
      <c r="A54" s="985"/>
      <c r="B54" s="942"/>
      <c r="C54" s="380">
        <v>2000</v>
      </c>
      <c r="D54" s="380" t="s">
        <v>155</v>
      </c>
      <c r="E54" s="922">
        <v>2000</v>
      </c>
      <c r="F54" s="922">
        <v>2000</v>
      </c>
      <c r="G54" s="922">
        <v>2000</v>
      </c>
      <c r="H54" s="859">
        <f t="shared" si="0"/>
        <v>2000</v>
      </c>
      <c r="I54" s="860">
        <f t="shared" si="1"/>
        <v>0</v>
      </c>
      <c r="J54" s="407"/>
    </row>
    <row r="55" spans="1:18" ht="18" customHeight="1">
      <c r="A55" s="985"/>
      <c r="B55" s="942"/>
      <c r="C55" s="380">
        <v>3000</v>
      </c>
      <c r="D55" s="380" t="s">
        <v>155</v>
      </c>
      <c r="E55" s="922">
        <v>3000</v>
      </c>
      <c r="F55" s="922">
        <v>3000</v>
      </c>
      <c r="G55" s="922">
        <v>3000</v>
      </c>
      <c r="H55" s="859">
        <f t="shared" si="0"/>
        <v>3000</v>
      </c>
      <c r="I55" s="860">
        <f t="shared" si="1"/>
        <v>0</v>
      </c>
      <c r="J55" s="407"/>
    </row>
    <row r="56" spans="1:18" ht="18" customHeight="1">
      <c r="A56" s="985"/>
      <c r="B56" s="942"/>
      <c r="C56" s="380">
        <v>4000</v>
      </c>
      <c r="D56" s="380" t="s">
        <v>155</v>
      </c>
      <c r="E56" s="922">
        <v>4000</v>
      </c>
      <c r="F56" s="922">
        <v>4000</v>
      </c>
      <c r="G56" s="922">
        <v>4000</v>
      </c>
      <c r="H56" s="859">
        <f t="shared" si="0"/>
        <v>4000</v>
      </c>
      <c r="I56" s="860">
        <f t="shared" si="1"/>
        <v>0</v>
      </c>
      <c r="J56" s="407"/>
    </row>
    <row r="57" spans="1:18" ht="18" customHeight="1">
      <c r="A57" s="985"/>
      <c r="B57" s="942"/>
      <c r="C57" s="380">
        <v>6000</v>
      </c>
      <c r="D57" s="380" t="s">
        <v>155</v>
      </c>
      <c r="E57" s="922">
        <v>6000</v>
      </c>
      <c r="F57" s="922">
        <v>6000</v>
      </c>
      <c r="G57" s="922">
        <v>6000</v>
      </c>
      <c r="H57" s="859">
        <f t="shared" si="0"/>
        <v>6000</v>
      </c>
      <c r="I57" s="860">
        <f t="shared" si="1"/>
        <v>0</v>
      </c>
      <c r="J57" s="407"/>
    </row>
    <row r="58" spans="1:18" s="406" customFormat="1" ht="18" customHeight="1" thickBot="1">
      <c r="A58" s="986"/>
      <c r="B58" s="942"/>
      <c r="C58" s="389">
        <v>8000</v>
      </c>
      <c r="D58" s="389" t="s">
        <v>155</v>
      </c>
      <c r="E58" s="923">
        <v>8000</v>
      </c>
      <c r="F58" s="923">
        <v>8000</v>
      </c>
      <c r="G58" s="923">
        <v>8000</v>
      </c>
      <c r="H58" s="862">
        <f t="shared" si="0"/>
        <v>8000</v>
      </c>
      <c r="I58" s="863">
        <f t="shared" si="1"/>
        <v>0</v>
      </c>
      <c r="J58" s="407"/>
    </row>
    <row r="59" spans="1:18" s="406" customFormat="1" ht="18" customHeight="1">
      <c r="A59" s="346"/>
      <c r="B59" s="351"/>
      <c r="C59" s="346"/>
      <c r="D59" s="346"/>
      <c r="E59" s="346"/>
      <c r="F59" s="346"/>
      <c r="G59" s="346"/>
      <c r="H59" s="852"/>
      <c r="I59" s="407"/>
      <c r="J59" s="407"/>
    </row>
    <row r="60" spans="1:18" s="406" customFormat="1" ht="18" hidden="1" customHeight="1" thickBot="1">
      <c r="A60" s="346"/>
      <c r="B60" s="494" t="s">
        <v>59</v>
      </c>
      <c r="C60" s="346"/>
      <c r="D60" s="346"/>
      <c r="E60" s="346"/>
      <c r="F60" s="346"/>
      <c r="G60" s="346"/>
      <c r="H60" s="852"/>
      <c r="I60" s="407"/>
      <c r="J60" s="407"/>
    </row>
    <row r="61" spans="1:18" s="406" customFormat="1" ht="15.75" hidden="1" customHeight="1">
      <c r="A61" s="984"/>
      <c r="B61" s="974" t="s">
        <v>42</v>
      </c>
      <c r="C61" s="974" t="s">
        <v>43</v>
      </c>
      <c r="D61" s="974"/>
      <c r="E61" s="974" t="s">
        <v>44</v>
      </c>
      <c r="F61" s="974"/>
      <c r="G61" s="974"/>
      <c r="H61" s="980" t="s">
        <v>156</v>
      </c>
      <c r="I61" s="982" t="s">
        <v>154</v>
      </c>
      <c r="J61" s="401"/>
    </row>
    <row r="62" spans="1:18" s="406" customFormat="1" ht="39" hidden="1" customHeight="1" thickBot="1">
      <c r="A62" s="986"/>
      <c r="B62" s="939"/>
      <c r="C62" s="408" t="s">
        <v>47</v>
      </c>
      <c r="D62" s="408" t="s">
        <v>48</v>
      </c>
      <c r="E62" s="350" t="s">
        <v>49</v>
      </c>
      <c r="F62" s="350" t="s">
        <v>50</v>
      </c>
      <c r="G62" s="350" t="s">
        <v>51</v>
      </c>
      <c r="H62" s="981"/>
      <c r="I62" s="983"/>
      <c r="J62" s="401"/>
    </row>
    <row r="63" spans="1:18" s="406" customFormat="1" ht="15.75" hidden="1" customHeight="1">
      <c r="A63" s="1017"/>
      <c r="B63" s="1004" t="s">
        <v>157</v>
      </c>
      <c r="C63" s="868">
        <v>125</v>
      </c>
      <c r="D63" s="858">
        <v>75</v>
      </c>
      <c r="E63" s="869" t="s">
        <v>139</v>
      </c>
      <c r="F63" s="869" t="s">
        <v>139</v>
      </c>
      <c r="G63" s="869" t="s">
        <v>139</v>
      </c>
      <c r="H63" s="870" t="e">
        <f>AVERAGE(E63:G63)</f>
        <v>#DIV/0!</v>
      </c>
      <c r="I63" s="867" t="e">
        <f>STDEV(E63:G63)</f>
        <v>#DIV/0!</v>
      </c>
      <c r="J63" s="401"/>
    </row>
    <row r="64" spans="1:18" s="406" customFormat="1" ht="15.75" hidden="1" customHeight="1">
      <c r="A64" s="1018"/>
      <c r="B64" s="1005"/>
      <c r="C64" s="871">
        <v>250</v>
      </c>
      <c r="D64" s="326">
        <v>90</v>
      </c>
      <c r="E64" s="872" t="s">
        <v>139</v>
      </c>
      <c r="F64" s="872" t="s">
        <v>139</v>
      </c>
      <c r="G64" s="872" t="s">
        <v>139</v>
      </c>
      <c r="H64" s="859" t="e">
        <f t="shared" ref="H64:H73" si="2">AVERAGE(E64:G64)</f>
        <v>#DIV/0!</v>
      </c>
      <c r="I64" s="860" t="e">
        <f t="shared" ref="I64:I73" si="3">STDEV(E64:G64)</f>
        <v>#DIV/0!</v>
      </c>
      <c r="J64" s="401"/>
    </row>
    <row r="65" spans="1:10" s="406" customFormat="1" ht="15.75" hidden="1" customHeight="1">
      <c r="A65" s="1018"/>
      <c r="B65" s="1005"/>
      <c r="C65" s="871">
        <v>500</v>
      </c>
      <c r="D65" s="326">
        <v>110</v>
      </c>
      <c r="E65" s="872" t="s">
        <v>139</v>
      </c>
      <c r="F65" s="872" t="s">
        <v>139</v>
      </c>
      <c r="G65" s="872" t="s">
        <v>139</v>
      </c>
      <c r="H65" s="859" t="e">
        <f t="shared" si="2"/>
        <v>#DIV/0!</v>
      </c>
      <c r="I65" s="860" t="e">
        <f t="shared" si="3"/>
        <v>#DIV/0!</v>
      </c>
      <c r="J65" s="401"/>
    </row>
    <row r="66" spans="1:10" s="406" customFormat="1" ht="15.75" hidden="1" customHeight="1">
      <c r="A66" s="1018"/>
      <c r="B66" s="1005"/>
      <c r="C66" s="871">
        <v>750</v>
      </c>
      <c r="D66" s="326">
        <v>110</v>
      </c>
      <c r="E66" s="872" t="s">
        <v>139</v>
      </c>
      <c r="F66" s="872" t="s">
        <v>139</v>
      </c>
      <c r="G66" s="872" t="s">
        <v>139</v>
      </c>
      <c r="H66" s="859" t="e">
        <f t="shared" si="2"/>
        <v>#DIV/0!</v>
      </c>
      <c r="I66" s="860" t="e">
        <f t="shared" si="3"/>
        <v>#DIV/0!</v>
      </c>
      <c r="J66" s="401"/>
    </row>
    <row r="67" spans="1:10" s="406" customFormat="1" ht="15.75" hidden="1" customHeight="1">
      <c r="A67" s="1018"/>
      <c r="B67" s="1005"/>
      <c r="C67" s="871">
        <v>1000</v>
      </c>
      <c r="D67" s="326">
        <v>110</v>
      </c>
      <c r="E67" s="872" t="s">
        <v>139</v>
      </c>
      <c r="F67" s="872" t="s">
        <v>139</v>
      </c>
      <c r="G67" s="872" t="s">
        <v>139</v>
      </c>
      <c r="H67" s="859" t="e">
        <f t="shared" si="2"/>
        <v>#DIV/0!</v>
      </c>
      <c r="I67" s="860" t="e">
        <f t="shared" si="3"/>
        <v>#DIV/0!</v>
      </c>
      <c r="J67" s="401"/>
    </row>
    <row r="68" spans="1:10" s="406" customFormat="1" ht="15.75" hidden="1" customHeight="1">
      <c r="A68" s="1018"/>
      <c r="B68" s="991" t="s">
        <v>158</v>
      </c>
      <c r="C68" s="298">
        <v>1500</v>
      </c>
      <c r="D68" s="326">
        <v>110</v>
      </c>
      <c r="E68" s="872" t="s">
        <v>139</v>
      </c>
      <c r="F68" s="872" t="s">
        <v>139</v>
      </c>
      <c r="G68" s="872" t="s">
        <v>139</v>
      </c>
      <c r="H68" s="859" t="e">
        <f t="shared" si="2"/>
        <v>#DIV/0!</v>
      </c>
      <c r="I68" s="860" t="e">
        <f t="shared" si="3"/>
        <v>#DIV/0!</v>
      </c>
      <c r="J68" s="401"/>
    </row>
    <row r="69" spans="1:10" s="406" customFormat="1" ht="15.75" hidden="1" customHeight="1">
      <c r="A69" s="1018"/>
      <c r="B69" s="992"/>
      <c r="C69" s="298">
        <v>2000</v>
      </c>
      <c r="D69" s="326">
        <v>110</v>
      </c>
      <c r="E69" s="872" t="s">
        <v>139</v>
      </c>
      <c r="F69" s="872" t="s">
        <v>139</v>
      </c>
      <c r="G69" s="872" t="s">
        <v>139</v>
      </c>
      <c r="H69" s="859" t="e">
        <f t="shared" si="2"/>
        <v>#DIV/0!</v>
      </c>
      <c r="I69" s="860" t="e">
        <f t="shared" si="3"/>
        <v>#DIV/0!</v>
      </c>
      <c r="J69" s="401"/>
    </row>
    <row r="70" spans="1:10" s="406" customFormat="1" ht="15.75" hidden="1" customHeight="1">
      <c r="A70" s="1018"/>
      <c r="B70" s="992"/>
      <c r="C70" s="298">
        <v>3000</v>
      </c>
      <c r="D70" s="326">
        <v>110</v>
      </c>
      <c r="E70" s="872" t="s">
        <v>139</v>
      </c>
      <c r="F70" s="872" t="s">
        <v>139</v>
      </c>
      <c r="G70" s="872" t="s">
        <v>139</v>
      </c>
      <c r="H70" s="859" t="e">
        <f t="shared" si="2"/>
        <v>#DIV/0!</v>
      </c>
      <c r="I70" s="860" t="e">
        <f t="shared" si="3"/>
        <v>#DIV/0!</v>
      </c>
      <c r="J70" s="401"/>
    </row>
    <row r="71" spans="1:10" s="406" customFormat="1" ht="15.75" hidden="1" customHeight="1">
      <c r="A71" s="1018"/>
      <c r="B71" s="992"/>
      <c r="C71" s="298">
        <v>4000</v>
      </c>
      <c r="D71" s="326">
        <v>110</v>
      </c>
      <c r="E71" s="872" t="s">
        <v>139</v>
      </c>
      <c r="F71" s="872" t="s">
        <v>139</v>
      </c>
      <c r="G71" s="872" t="s">
        <v>139</v>
      </c>
      <c r="H71" s="859" t="e">
        <f t="shared" si="2"/>
        <v>#DIV/0!</v>
      </c>
      <c r="I71" s="860" t="e">
        <f t="shared" si="3"/>
        <v>#DIV/0!</v>
      </c>
      <c r="J71" s="401"/>
    </row>
    <row r="72" spans="1:10" s="406" customFormat="1" ht="15.75" hidden="1" customHeight="1">
      <c r="A72" s="1018"/>
      <c r="B72" s="992"/>
      <c r="C72" s="298">
        <v>6000</v>
      </c>
      <c r="D72" s="326">
        <v>110</v>
      </c>
      <c r="E72" s="872" t="s">
        <v>139</v>
      </c>
      <c r="F72" s="872" t="s">
        <v>139</v>
      </c>
      <c r="G72" s="872" t="s">
        <v>139</v>
      </c>
      <c r="H72" s="859" t="e">
        <f t="shared" si="2"/>
        <v>#DIV/0!</v>
      </c>
      <c r="I72" s="860" t="e">
        <f t="shared" si="3"/>
        <v>#DIV/0!</v>
      </c>
      <c r="J72" s="401"/>
    </row>
    <row r="73" spans="1:10" s="406" customFormat="1" ht="15.75" hidden="1" customHeight="1" thickBot="1">
      <c r="A73" s="1019"/>
      <c r="B73" s="993"/>
      <c r="C73" s="873">
        <v>8000</v>
      </c>
      <c r="D73" s="861">
        <v>110</v>
      </c>
      <c r="E73" s="874" t="s">
        <v>139</v>
      </c>
      <c r="F73" s="874" t="s">
        <v>139</v>
      </c>
      <c r="G73" s="874" t="s">
        <v>139</v>
      </c>
      <c r="H73" s="862" t="e">
        <f t="shared" si="2"/>
        <v>#DIV/0!</v>
      </c>
      <c r="I73" s="863" t="e">
        <f t="shared" si="3"/>
        <v>#DIV/0!</v>
      </c>
      <c r="J73" s="401"/>
    </row>
    <row r="74" spans="1:10" s="406" customFormat="1" ht="15.75" customHeight="1">
      <c r="A74" s="346"/>
      <c r="B74" s="351"/>
      <c r="C74" s="5"/>
      <c r="D74" s="346"/>
      <c r="E74" s="320"/>
      <c r="F74" s="320"/>
      <c r="G74" s="320"/>
      <c r="H74" s="875"/>
      <c r="I74" s="407"/>
      <c r="J74" s="401"/>
    </row>
    <row r="75" spans="1:10" s="406" customFormat="1" ht="15.75" customHeight="1">
      <c r="A75" s="857" t="s">
        <v>159</v>
      </c>
      <c r="B75" s="351"/>
      <c r="C75" s="849" t="s">
        <v>139</v>
      </c>
      <c r="D75" s="346"/>
      <c r="E75" s="320"/>
      <c r="F75" s="320"/>
      <c r="G75" s="320"/>
      <c r="H75" s="875"/>
      <c r="I75" s="407"/>
      <c r="J75" s="401"/>
    </row>
    <row r="76" spans="1:10" s="406" customFormat="1" ht="15.75" customHeight="1" thickBot="1">
      <c r="A76" s="875"/>
      <c r="B76" s="875" t="s">
        <v>41</v>
      </c>
      <c r="C76" s="875"/>
      <c r="D76" s="876"/>
      <c r="E76" s="320"/>
      <c r="F76" s="320"/>
      <c r="G76" s="320"/>
      <c r="H76" s="320"/>
      <c r="I76" s="346"/>
      <c r="J76" s="365"/>
    </row>
    <row r="77" spans="1:10" s="406" customFormat="1" ht="15.75" customHeight="1">
      <c r="A77" s="984"/>
      <c r="B77" s="974" t="s">
        <v>42</v>
      </c>
      <c r="C77" s="974" t="s">
        <v>43</v>
      </c>
      <c r="D77" s="974"/>
      <c r="E77" s="974" t="s">
        <v>44</v>
      </c>
      <c r="F77" s="974"/>
      <c r="G77" s="974"/>
      <c r="H77" s="975" t="s">
        <v>153</v>
      </c>
      <c r="I77" s="976" t="s">
        <v>154</v>
      </c>
      <c r="J77" s="346"/>
    </row>
    <row r="78" spans="1:10" s="406" customFormat="1" ht="27" customHeight="1">
      <c r="A78" s="986"/>
      <c r="B78" s="941"/>
      <c r="C78" s="493" t="s">
        <v>47</v>
      </c>
      <c r="D78" s="493" t="s">
        <v>48</v>
      </c>
      <c r="E78" s="326" t="s">
        <v>49</v>
      </c>
      <c r="F78" s="326" t="s">
        <v>50</v>
      </c>
      <c r="G78" s="326" t="s">
        <v>51</v>
      </c>
      <c r="H78" s="942"/>
      <c r="I78" s="977"/>
      <c r="J78" s="346"/>
    </row>
    <row r="79" spans="1:10" s="406" customFormat="1" ht="15.75" customHeight="1">
      <c r="A79" s="984"/>
      <c r="B79" s="942" t="s">
        <v>52</v>
      </c>
      <c r="C79" s="380">
        <v>125</v>
      </c>
      <c r="D79" s="380">
        <v>70</v>
      </c>
      <c r="E79" s="922">
        <v>70</v>
      </c>
      <c r="F79" s="922">
        <v>70</v>
      </c>
      <c r="G79" s="922">
        <v>70</v>
      </c>
      <c r="H79" s="859">
        <f>AVERAGE(E79:G79)</f>
        <v>70</v>
      </c>
      <c r="I79" s="860">
        <f>STDEV(E79:G79)</f>
        <v>0</v>
      </c>
      <c r="J79" s="407"/>
    </row>
    <row r="80" spans="1:10" s="406" customFormat="1" ht="15.75" customHeight="1">
      <c r="A80" s="985"/>
      <c r="B80" s="942"/>
      <c r="C80" s="380">
        <v>250</v>
      </c>
      <c r="D80" s="380">
        <v>90</v>
      </c>
      <c r="E80" s="922">
        <v>90</v>
      </c>
      <c r="F80" s="922">
        <v>90</v>
      </c>
      <c r="G80" s="922">
        <v>90</v>
      </c>
      <c r="H80" s="859">
        <f t="shared" ref="H80:H103" si="4">AVERAGE(E80:G80)</f>
        <v>90</v>
      </c>
      <c r="I80" s="860">
        <f t="shared" ref="I80:I104" si="5">STDEV(E80:G80)</f>
        <v>0</v>
      </c>
      <c r="J80" s="407"/>
    </row>
    <row r="81" spans="1:10" s="406" customFormat="1" ht="15.75" customHeight="1">
      <c r="A81" s="985"/>
      <c r="B81" s="942"/>
      <c r="C81" s="380">
        <v>500</v>
      </c>
      <c r="D81" s="380">
        <v>120</v>
      </c>
      <c r="E81" s="922">
        <v>120</v>
      </c>
      <c r="F81" s="922">
        <v>120</v>
      </c>
      <c r="G81" s="922">
        <v>120</v>
      </c>
      <c r="H81" s="859">
        <f t="shared" si="4"/>
        <v>120</v>
      </c>
      <c r="I81" s="860">
        <f t="shared" si="5"/>
        <v>0</v>
      </c>
      <c r="J81" s="407"/>
    </row>
    <row r="82" spans="1:10" s="406" customFormat="1" ht="15.75" customHeight="1">
      <c r="A82" s="985"/>
      <c r="B82" s="942"/>
      <c r="C82" s="380">
        <v>750</v>
      </c>
      <c r="D82" s="380">
        <v>120</v>
      </c>
      <c r="E82" s="922">
        <v>120</v>
      </c>
      <c r="F82" s="922">
        <v>120</v>
      </c>
      <c r="G82" s="922">
        <v>120</v>
      </c>
      <c r="H82" s="859">
        <f t="shared" si="4"/>
        <v>120</v>
      </c>
      <c r="I82" s="860">
        <f t="shared" si="5"/>
        <v>0</v>
      </c>
      <c r="J82" s="407"/>
    </row>
    <row r="83" spans="1:10" s="406" customFormat="1" ht="15.75" customHeight="1">
      <c r="A83" s="985"/>
      <c r="B83" s="942"/>
      <c r="C83" s="380">
        <v>1000</v>
      </c>
      <c r="D83" s="380">
        <v>120</v>
      </c>
      <c r="E83" s="922">
        <v>120</v>
      </c>
      <c r="F83" s="922">
        <v>120</v>
      </c>
      <c r="G83" s="922">
        <v>120</v>
      </c>
      <c r="H83" s="859">
        <f t="shared" si="4"/>
        <v>120</v>
      </c>
      <c r="I83" s="860">
        <f t="shared" si="5"/>
        <v>0</v>
      </c>
      <c r="J83" s="407"/>
    </row>
    <row r="84" spans="1:10" s="406" customFormat="1" ht="15.75" customHeight="1">
      <c r="A84" s="985"/>
      <c r="B84" s="942"/>
      <c r="C84" s="380">
        <v>1500</v>
      </c>
      <c r="D84" s="380">
        <v>120</v>
      </c>
      <c r="E84" s="922">
        <v>120</v>
      </c>
      <c r="F84" s="922">
        <v>120</v>
      </c>
      <c r="G84" s="922">
        <v>120</v>
      </c>
      <c r="H84" s="859">
        <f t="shared" si="4"/>
        <v>120</v>
      </c>
      <c r="I84" s="860">
        <f t="shared" si="5"/>
        <v>0</v>
      </c>
      <c r="J84" s="407"/>
    </row>
    <row r="85" spans="1:10" s="406" customFormat="1" ht="15.75" customHeight="1">
      <c r="A85" s="985"/>
      <c r="B85" s="942"/>
      <c r="C85" s="380">
        <v>2000</v>
      </c>
      <c r="D85" s="380">
        <v>120</v>
      </c>
      <c r="E85" s="922">
        <v>120</v>
      </c>
      <c r="F85" s="922">
        <v>120</v>
      </c>
      <c r="G85" s="922">
        <v>120</v>
      </c>
      <c r="H85" s="859">
        <f t="shared" si="4"/>
        <v>120</v>
      </c>
      <c r="I85" s="860">
        <f t="shared" si="5"/>
        <v>0</v>
      </c>
      <c r="J85" s="407"/>
    </row>
    <row r="86" spans="1:10" s="406" customFormat="1" ht="15.75" customHeight="1">
      <c r="A86" s="985"/>
      <c r="B86" s="942"/>
      <c r="C86" s="380">
        <v>3000</v>
      </c>
      <c r="D86" s="380">
        <v>120</v>
      </c>
      <c r="E86" s="922">
        <v>120</v>
      </c>
      <c r="F86" s="922">
        <v>120</v>
      </c>
      <c r="G86" s="922">
        <v>120</v>
      </c>
      <c r="H86" s="859">
        <f t="shared" si="4"/>
        <v>120</v>
      </c>
      <c r="I86" s="860">
        <f t="shared" si="5"/>
        <v>0</v>
      </c>
      <c r="J86" s="407"/>
    </row>
    <row r="87" spans="1:10" s="406" customFormat="1" ht="15.75" customHeight="1">
      <c r="A87" s="985"/>
      <c r="B87" s="942"/>
      <c r="C87" s="380">
        <v>4000</v>
      </c>
      <c r="D87" s="380">
        <v>120</v>
      </c>
      <c r="E87" s="922">
        <v>120</v>
      </c>
      <c r="F87" s="922">
        <v>120</v>
      </c>
      <c r="G87" s="922">
        <v>120</v>
      </c>
      <c r="H87" s="859">
        <f t="shared" si="4"/>
        <v>120</v>
      </c>
      <c r="I87" s="860">
        <f t="shared" si="5"/>
        <v>0</v>
      </c>
      <c r="J87" s="407"/>
    </row>
    <row r="88" spans="1:10" s="406" customFormat="1" ht="15.75" customHeight="1">
      <c r="A88" s="985"/>
      <c r="B88" s="942"/>
      <c r="C88" s="380">
        <v>6000</v>
      </c>
      <c r="D88" s="380">
        <v>110</v>
      </c>
      <c r="E88" s="922">
        <v>110</v>
      </c>
      <c r="F88" s="922">
        <v>110</v>
      </c>
      <c r="G88" s="922">
        <v>109.8</v>
      </c>
      <c r="H88" s="859">
        <f t="shared" si="4"/>
        <v>109.93333333333334</v>
      </c>
      <c r="I88" s="860">
        <f t="shared" si="5"/>
        <v>0.1154700538379268</v>
      </c>
      <c r="J88" s="407"/>
    </row>
    <row r="89" spans="1:10" s="406" customFormat="1" ht="15.75" customHeight="1" thickBot="1">
      <c r="A89" s="986"/>
      <c r="B89" s="942"/>
      <c r="C89" s="380">
        <v>8000</v>
      </c>
      <c r="D89" s="389">
        <v>100</v>
      </c>
      <c r="E89" s="922">
        <v>100</v>
      </c>
      <c r="F89" s="922">
        <v>100</v>
      </c>
      <c r="G89" s="922">
        <v>100</v>
      </c>
      <c r="H89" s="859">
        <f t="shared" si="4"/>
        <v>100</v>
      </c>
      <c r="I89" s="860">
        <f t="shared" si="5"/>
        <v>0</v>
      </c>
      <c r="J89" s="407"/>
    </row>
    <row r="90" spans="1:10" s="406" customFormat="1" ht="15.75" customHeight="1">
      <c r="A90" s="864"/>
      <c r="B90" s="484"/>
      <c r="C90" s="485"/>
      <c r="D90" s="346"/>
      <c r="E90" s="485"/>
      <c r="F90" s="485"/>
      <c r="G90" s="485"/>
      <c r="H90" s="877"/>
      <c r="I90" s="878"/>
      <c r="J90" s="407"/>
    </row>
    <row r="91" spans="1:10" s="406" customFormat="1" ht="15.75" customHeight="1" thickBot="1">
      <c r="A91" s="864"/>
      <c r="B91" s="879" t="s">
        <v>56</v>
      </c>
      <c r="C91" s="880"/>
      <c r="D91" s="880"/>
      <c r="E91" s="880"/>
      <c r="F91" s="880"/>
      <c r="G91" s="346"/>
      <c r="H91" s="881"/>
      <c r="I91" s="882"/>
      <c r="J91" s="407"/>
    </row>
    <row r="92" spans="1:10" s="406" customFormat="1" ht="15.75" customHeight="1">
      <c r="A92" s="864"/>
      <c r="B92" s="974" t="s">
        <v>42</v>
      </c>
      <c r="C92" s="974" t="s">
        <v>43</v>
      </c>
      <c r="D92" s="974"/>
      <c r="E92" s="974" t="s">
        <v>44</v>
      </c>
      <c r="F92" s="974"/>
      <c r="G92" s="974"/>
      <c r="H92" s="975" t="s">
        <v>153</v>
      </c>
      <c r="I92" s="976" t="s">
        <v>154</v>
      </c>
      <c r="J92" s="346"/>
    </row>
    <row r="93" spans="1:10" s="406" customFormat="1" ht="26.25" customHeight="1">
      <c r="A93" s="864"/>
      <c r="B93" s="941"/>
      <c r="C93" s="493" t="s">
        <v>47</v>
      </c>
      <c r="D93" s="493" t="s">
        <v>48</v>
      </c>
      <c r="E93" s="326" t="s">
        <v>49</v>
      </c>
      <c r="F93" s="326" t="s">
        <v>50</v>
      </c>
      <c r="G93" s="326" t="s">
        <v>51</v>
      </c>
      <c r="H93" s="942"/>
      <c r="I93" s="977"/>
      <c r="J93" s="346"/>
    </row>
    <row r="94" spans="1:10" s="406" customFormat="1" ht="15.75" customHeight="1">
      <c r="A94" s="984"/>
      <c r="B94" s="942" t="s">
        <v>47</v>
      </c>
      <c r="C94" s="380">
        <v>125</v>
      </c>
      <c r="D94" s="380" t="s">
        <v>155</v>
      </c>
      <c r="E94" s="922">
        <v>125</v>
      </c>
      <c r="F94" s="922">
        <v>125</v>
      </c>
      <c r="G94" s="922">
        <v>125</v>
      </c>
      <c r="H94" s="859">
        <f t="shared" si="4"/>
        <v>125</v>
      </c>
      <c r="I94" s="860">
        <f t="shared" si="5"/>
        <v>0</v>
      </c>
      <c r="J94" s="407"/>
    </row>
    <row r="95" spans="1:10" s="406" customFormat="1" ht="15.75" customHeight="1">
      <c r="A95" s="985"/>
      <c r="B95" s="942"/>
      <c r="C95" s="380">
        <v>250</v>
      </c>
      <c r="D95" s="380" t="s">
        <v>155</v>
      </c>
      <c r="E95" s="922">
        <v>250</v>
      </c>
      <c r="F95" s="922">
        <v>250</v>
      </c>
      <c r="G95" s="922">
        <v>250</v>
      </c>
      <c r="H95" s="859">
        <f t="shared" si="4"/>
        <v>250</v>
      </c>
      <c r="I95" s="860">
        <f t="shared" si="5"/>
        <v>0</v>
      </c>
      <c r="J95" s="407"/>
    </row>
    <row r="96" spans="1:10" s="406" customFormat="1" ht="15.75" customHeight="1">
      <c r="A96" s="985"/>
      <c r="B96" s="942"/>
      <c r="C96" s="380">
        <v>500</v>
      </c>
      <c r="D96" s="380" t="s">
        <v>155</v>
      </c>
      <c r="E96" s="922">
        <v>500</v>
      </c>
      <c r="F96" s="922">
        <v>500</v>
      </c>
      <c r="G96" s="922">
        <v>500</v>
      </c>
      <c r="H96" s="859">
        <f t="shared" si="4"/>
        <v>500</v>
      </c>
      <c r="I96" s="860">
        <f t="shared" si="5"/>
        <v>0</v>
      </c>
      <c r="J96" s="407"/>
    </row>
    <row r="97" spans="1:10" s="406" customFormat="1" ht="15.75" customHeight="1">
      <c r="A97" s="985"/>
      <c r="B97" s="942"/>
      <c r="C97" s="380">
        <v>750</v>
      </c>
      <c r="D97" s="380" t="s">
        <v>155</v>
      </c>
      <c r="E97" s="922">
        <v>750</v>
      </c>
      <c r="F97" s="922">
        <v>750</v>
      </c>
      <c r="G97" s="922">
        <v>750</v>
      </c>
      <c r="H97" s="859">
        <f t="shared" si="4"/>
        <v>750</v>
      </c>
      <c r="I97" s="860">
        <f t="shared" si="5"/>
        <v>0</v>
      </c>
      <c r="J97" s="407"/>
    </row>
    <row r="98" spans="1:10" s="406" customFormat="1" ht="15.75" customHeight="1">
      <c r="A98" s="985"/>
      <c r="B98" s="942"/>
      <c r="C98" s="380">
        <v>1000</v>
      </c>
      <c r="D98" s="380" t="s">
        <v>155</v>
      </c>
      <c r="E98" s="922">
        <v>1000</v>
      </c>
      <c r="F98" s="922">
        <v>1000</v>
      </c>
      <c r="G98" s="922">
        <v>1000</v>
      </c>
      <c r="H98" s="859">
        <f t="shared" si="4"/>
        <v>1000</v>
      </c>
      <c r="I98" s="860">
        <f t="shared" si="5"/>
        <v>0</v>
      </c>
      <c r="J98" s="407"/>
    </row>
    <row r="99" spans="1:10" s="406" customFormat="1" ht="15.75" customHeight="1">
      <c r="A99" s="985"/>
      <c r="B99" s="942"/>
      <c r="C99" s="380">
        <v>1500</v>
      </c>
      <c r="D99" s="380" t="s">
        <v>155</v>
      </c>
      <c r="E99" s="922">
        <v>1500</v>
      </c>
      <c r="F99" s="922">
        <v>1500</v>
      </c>
      <c r="G99" s="922">
        <v>1500</v>
      </c>
      <c r="H99" s="859">
        <f t="shared" si="4"/>
        <v>1500</v>
      </c>
      <c r="I99" s="860">
        <f t="shared" si="5"/>
        <v>0</v>
      </c>
      <c r="J99" s="407"/>
    </row>
    <row r="100" spans="1:10" s="406" customFormat="1" ht="15.75" customHeight="1">
      <c r="A100" s="985"/>
      <c r="B100" s="942"/>
      <c r="C100" s="380">
        <v>2000</v>
      </c>
      <c r="D100" s="380" t="s">
        <v>155</v>
      </c>
      <c r="E100" s="922">
        <v>2000</v>
      </c>
      <c r="F100" s="922">
        <v>2000</v>
      </c>
      <c r="G100" s="922">
        <v>2000</v>
      </c>
      <c r="H100" s="859">
        <f t="shared" si="4"/>
        <v>2000</v>
      </c>
      <c r="I100" s="860">
        <f t="shared" si="5"/>
        <v>0</v>
      </c>
      <c r="J100" s="407"/>
    </row>
    <row r="101" spans="1:10" s="406" customFormat="1" ht="15.75" customHeight="1">
      <c r="A101" s="985"/>
      <c r="B101" s="942"/>
      <c r="C101" s="380">
        <v>3000</v>
      </c>
      <c r="D101" s="380" t="s">
        <v>155</v>
      </c>
      <c r="E101" s="922">
        <v>3000</v>
      </c>
      <c r="F101" s="922">
        <v>3000</v>
      </c>
      <c r="G101" s="922">
        <v>3000</v>
      </c>
      <c r="H101" s="859">
        <f t="shared" si="4"/>
        <v>3000</v>
      </c>
      <c r="I101" s="860">
        <f t="shared" si="5"/>
        <v>0</v>
      </c>
      <c r="J101" s="407"/>
    </row>
    <row r="102" spans="1:10" s="406" customFormat="1" ht="15.75" customHeight="1">
      <c r="A102" s="985"/>
      <c r="B102" s="942"/>
      <c r="C102" s="380">
        <v>4000</v>
      </c>
      <c r="D102" s="380" t="s">
        <v>155</v>
      </c>
      <c r="E102" s="922">
        <v>3999</v>
      </c>
      <c r="F102" s="922">
        <v>3999</v>
      </c>
      <c r="G102" s="922">
        <v>3999</v>
      </c>
      <c r="H102" s="859">
        <f t="shared" si="4"/>
        <v>3999</v>
      </c>
      <c r="I102" s="860">
        <f t="shared" si="5"/>
        <v>0</v>
      </c>
      <c r="J102" s="407"/>
    </row>
    <row r="103" spans="1:10" s="406" customFormat="1" ht="15.75" customHeight="1">
      <c r="A103" s="985"/>
      <c r="B103" s="942"/>
      <c r="C103" s="380">
        <v>6000</v>
      </c>
      <c r="D103" s="380" t="s">
        <v>155</v>
      </c>
      <c r="E103" s="922">
        <v>6000</v>
      </c>
      <c r="F103" s="922">
        <v>6000</v>
      </c>
      <c r="G103" s="922">
        <v>6000</v>
      </c>
      <c r="H103" s="859">
        <f t="shared" si="4"/>
        <v>6000</v>
      </c>
      <c r="I103" s="860">
        <f t="shared" si="5"/>
        <v>0</v>
      </c>
      <c r="J103" s="407"/>
    </row>
    <row r="104" spans="1:10" s="406" customFormat="1" ht="15.75" customHeight="1" thickBot="1">
      <c r="A104" s="986"/>
      <c r="B104" s="989"/>
      <c r="C104" s="389">
        <v>8000</v>
      </c>
      <c r="D104" s="389" t="s">
        <v>155</v>
      </c>
      <c r="E104" s="923">
        <v>8000</v>
      </c>
      <c r="F104" s="923">
        <v>8000</v>
      </c>
      <c r="G104" s="923">
        <v>8000</v>
      </c>
      <c r="H104" s="862">
        <f>AVERAGE(E104:G104)</f>
        <v>8000</v>
      </c>
      <c r="I104" s="863">
        <f t="shared" si="5"/>
        <v>0</v>
      </c>
      <c r="J104" s="407"/>
    </row>
    <row r="105" spans="1:10" s="406" customFormat="1" ht="15.75" hidden="1" customHeight="1">
      <c r="A105" s="346"/>
      <c r="B105" s="351"/>
      <c r="C105" s="346"/>
      <c r="D105" s="346"/>
      <c r="E105" s="346"/>
      <c r="F105" s="346"/>
      <c r="G105" s="346"/>
      <c r="H105" s="852"/>
      <c r="I105" s="407"/>
      <c r="J105" s="407"/>
    </row>
    <row r="106" spans="1:10" s="406" customFormat="1" ht="15.75" hidden="1" customHeight="1">
      <c r="A106" s="346"/>
      <c r="B106" s="351"/>
      <c r="C106" s="346"/>
      <c r="D106" s="346"/>
      <c r="E106" s="346"/>
      <c r="F106" s="346"/>
      <c r="G106" s="346"/>
      <c r="H106" s="852"/>
      <c r="I106" s="407"/>
      <c r="J106" s="407"/>
    </row>
    <row r="107" spans="1:10" s="406" customFormat="1" ht="15.75" hidden="1" customHeight="1">
      <c r="A107" s="346"/>
      <c r="B107" s="351"/>
      <c r="C107" s="346"/>
      <c r="D107" s="346"/>
      <c r="E107" s="346"/>
      <c r="F107" s="346"/>
      <c r="G107" s="346"/>
      <c r="H107" s="852"/>
      <c r="I107" s="407"/>
      <c r="J107" s="407"/>
    </row>
    <row r="108" spans="1:10" s="406" customFormat="1" ht="15.75" hidden="1" customHeight="1">
      <c r="A108" s="346"/>
      <c r="B108" s="351"/>
      <c r="C108" s="346"/>
      <c r="D108" s="346"/>
      <c r="E108" s="346"/>
      <c r="F108" s="346"/>
      <c r="G108" s="346"/>
      <c r="H108" s="852"/>
      <c r="I108" s="407"/>
      <c r="J108" s="407"/>
    </row>
    <row r="109" spans="1:10" s="406" customFormat="1" ht="15.75" hidden="1" customHeight="1">
      <c r="A109" s="346"/>
      <c r="B109" s="351"/>
      <c r="C109" s="346"/>
      <c r="D109" s="346"/>
      <c r="E109" s="346"/>
      <c r="F109" s="346"/>
      <c r="G109" s="346"/>
      <c r="H109" s="852"/>
      <c r="I109" s="407"/>
      <c r="J109" s="407"/>
    </row>
    <row r="110" spans="1:10" s="406" customFormat="1" ht="15.75" hidden="1" customHeight="1">
      <c r="A110" s="346"/>
      <c r="B110" s="351"/>
      <c r="C110" s="346"/>
      <c r="D110" s="346"/>
      <c r="E110" s="346"/>
      <c r="F110" s="346"/>
      <c r="G110" s="346"/>
      <c r="H110" s="852"/>
      <c r="I110" s="407"/>
      <c r="J110" s="407"/>
    </row>
    <row r="111" spans="1:10" s="406" customFormat="1" ht="15.75" hidden="1" customHeight="1">
      <c r="A111" s="346"/>
      <c r="B111" s="351"/>
      <c r="C111" s="346"/>
      <c r="D111" s="346"/>
      <c r="E111" s="346"/>
      <c r="F111" s="346"/>
      <c r="G111" s="346"/>
      <c r="H111" s="852"/>
      <c r="I111" s="407"/>
      <c r="J111" s="407"/>
    </row>
    <row r="112" spans="1:10" s="406" customFormat="1" ht="15.75" hidden="1" customHeight="1">
      <c r="A112" s="346"/>
      <c r="B112" s="351"/>
      <c r="C112" s="346"/>
      <c r="D112" s="346"/>
      <c r="E112" s="346"/>
      <c r="F112" s="346"/>
      <c r="G112" s="346"/>
      <c r="H112" s="852"/>
      <c r="I112" s="407"/>
      <c r="J112" s="407"/>
    </row>
    <row r="113" spans="1:10" s="406" customFormat="1" ht="15.75" hidden="1" customHeight="1" thickBot="1">
      <c r="A113" s="346"/>
      <c r="B113" s="494" t="s">
        <v>59</v>
      </c>
      <c r="C113" s="5"/>
      <c r="D113" s="346"/>
      <c r="E113" s="320"/>
      <c r="F113" s="320"/>
      <c r="G113" s="320"/>
      <c r="H113" s="875"/>
      <c r="I113" s="407"/>
      <c r="J113" s="401"/>
    </row>
    <row r="114" spans="1:10" s="406" customFormat="1" ht="15.75" hidden="1" customHeight="1">
      <c r="A114" s="1015"/>
      <c r="B114" s="1007" t="s">
        <v>42</v>
      </c>
      <c r="C114" s="1009" t="s">
        <v>43</v>
      </c>
      <c r="D114" s="1010"/>
      <c r="E114" s="1009" t="s">
        <v>44</v>
      </c>
      <c r="F114" s="1011"/>
      <c r="G114" s="1010"/>
      <c r="H114" s="1012" t="s">
        <v>156</v>
      </c>
      <c r="I114" s="987" t="s">
        <v>154</v>
      </c>
      <c r="J114" s="401"/>
    </row>
    <row r="115" spans="1:10" s="406" customFormat="1" ht="29.25" hidden="1" customHeight="1" thickBot="1">
      <c r="A115" s="1015"/>
      <c r="B115" s="1008"/>
      <c r="C115" s="883" t="s">
        <v>47</v>
      </c>
      <c r="D115" s="883" t="s">
        <v>48</v>
      </c>
      <c r="E115" s="350" t="s">
        <v>49</v>
      </c>
      <c r="F115" s="350" t="s">
        <v>50</v>
      </c>
      <c r="G115" s="350" t="s">
        <v>51</v>
      </c>
      <c r="H115" s="1013"/>
      <c r="I115" s="988"/>
      <c r="J115" s="401"/>
    </row>
    <row r="116" spans="1:10" s="406" customFormat="1" ht="15.75" hidden="1" customHeight="1">
      <c r="A116" s="539"/>
      <c r="B116" s="1004" t="s">
        <v>160</v>
      </c>
      <c r="C116" s="868">
        <v>125</v>
      </c>
      <c r="D116" s="858">
        <v>75</v>
      </c>
      <c r="E116" s="869" t="s">
        <v>139</v>
      </c>
      <c r="F116" s="869" t="s">
        <v>139</v>
      </c>
      <c r="G116" s="869" t="s">
        <v>139</v>
      </c>
      <c r="H116" s="884" t="e">
        <f>AVERAGE(E116:G116)</f>
        <v>#DIV/0!</v>
      </c>
      <c r="I116" s="867" t="e">
        <f>STDEV(E116:G116)</f>
        <v>#DIV/0!</v>
      </c>
      <c r="J116" s="401"/>
    </row>
    <row r="117" spans="1:10" s="406" customFormat="1" ht="15.75" hidden="1" customHeight="1">
      <c r="A117" s="539"/>
      <c r="B117" s="1005"/>
      <c r="C117" s="871">
        <v>250</v>
      </c>
      <c r="D117" s="326">
        <v>90</v>
      </c>
      <c r="E117" s="872" t="s">
        <v>139</v>
      </c>
      <c r="F117" s="872" t="s">
        <v>139</v>
      </c>
      <c r="G117" s="872" t="s">
        <v>139</v>
      </c>
      <c r="H117" s="885" t="e">
        <f t="shared" ref="H117:H138" si="6">AVERAGE(E117:G117)</f>
        <v>#DIV/0!</v>
      </c>
      <c r="I117" s="860" t="e">
        <f t="shared" ref="I117:I138" si="7">STDEV(E117:G117)</f>
        <v>#DIV/0!</v>
      </c>
      <c r="J117" s="401"/>
    </row>
    <row r="118" spans="1:10" s="406" customFormat="1" ht="15.75" hidden="1" customHeight="1">
      <c r="A118" s="539"/>
      <c r="B118" s="1005"/>
      <c r="C118" s="871">
        <v>500</v>
      </c>
      <c r="D118" s="326">
        <v>110</v>
      </c>
      <c r="E118" s="872" t="s">
        <v>139</v>
      </c>
      <c r="F118" s="872" t="s">
        <v>139</v>
      </c>
      <c r="G118" s="872" t="s">
        <v>139</v>
      </c>
      <c r="H118" s="885" t="e">
        <f t="shared" si="6"/>
        <v>#DIV/0!</v>
      </c>
      <c r="I118" s="860" t="e">
        <f t="shared" si="7"/>
        <v>#DIV/0!</v>
      </c>
      <c r="J118" s="401"/>
    </row>
    <row r="119" spans="1:10" s="406" customFormat="1" ht="14.25" hidden="1" customHeight="1">
      <c r="A119" s="539"/>
      <c r="B119" s="1005"/>
      <c r="C119" s="871">
        <v>750</v>
      </c>
      <c r="D119" s="326">
        <v>110</v>
      </c>
      <c r="E119" s="872" t="s">
        <v>139</v>
      </c>
      <c r="F119" s="872" t="s">
        <v>139</v>
      </c>
      <c r="G119" s="872" t="s">
        <v>139</v>
      </c>
      <c r="H119" s="885" t="e">
        <f t="shared" si="6"/>
        <v>#DIV/0!</v>
      </c>
      <c r="I119" s="860" t="e">
        <f t="shared" si="7"/>
        <v>#DIV/0!</v>
      </c>
      <c r="J119" s="401"/>
    </row>
    <row r="120" spans="1:10" s="406" customFormat="1" ht="15.75" hidden="1" customHeight="1">
      <c r="A120" s="539"/>
      <c r="B120" s="1005"/>
      <c r="C120" s="871">
        <v>1000</v>
      </c>
      <c r="D120" s="326">
        <v>110</v>
      </c>
      <c r="E120" s="872" t="s">
        <v>139</v>
      </c>
      <c r="F120" s="872" t="s">
        <v>139</v>
      </c>
      <c r="G120" s="872" t="s">
        <v>139</v>
      </c>
      <c r="H120" s="885" t="e">
        <f t="shared" si="6"/>
        <v>#DIV/0!</v>
      </c>
      <c r="I120" s="860" t="e">
        <f t="shared" si="7"/>
        <v>#DIV/0!</v>
      </c>
      <c r="J120" s="401"/>
    </row>
    <row r="121" spans="1:10" s="406" customFormat="1" ht="15.75" hidden="1" customHeight="1">
      <c r="A121" s="539"/>
      <c r="B121" s="886"/>
      <c r="C121" s="298">
        <v>1500</v>
      </c>
      <c r="D121" s="326">
        <v>110</v>
      </c>
      <c r="E121" s="872" t="s">
        <v>139</v>
      </c>
      <c r="F121" s="872" t="s">
        <v>139</v>
      </c>
      <c r="G121" s="872" t="s">
        <v>139</v>
      </c>
      <c r="H121" s="885" t="e">
        <f t="shared" si="6"/>
        <v>#DIV/0!</v>
      </c>
      <c r="I121" s="860" t="e">
        <f t="shared" si="7"/>
        <v>#DIV/0!</v>
      </c>
      <c r="J121" s="401"/>
    </row>
    <row r="122" spans="1:10" s="406" customFormat="1" ht="15.75" hidden="1" customHeight="1">
      <c r="A122" s="539"/>
      <c r="B122" s="1005" t="s">
        <v>158</v>
      </c>
      <c r="C122" s="298">
        <v>2000</v>
      </c>
      <c r="D122" s="326">
        <v>110</v>
      </c>
      <c r="E122" s="872" t="s">
        <v>139</v>
      </c>
      <c r="F122" s="872" t="s">
        <v>139</v>
      </c>
      <c r="G122" s="872" t="s">
        <v>139</v>
      </c>
      <c r="H122" s="885" t="e">
        <f t="shared" si="6"/>
        <v>#DIV/0!</v>
      </c>
      <c r="I122" s="860" t="e">
        <f t="shared" si="7"/>
        <v>#DIV/0!</v>
      </c>
      <c r="J122" s="401"/>
    </row>
    <row r="123" spans="1:10" s="406" customFormat="1" ht="15.75" hidden="1" customHeight="1">
      <c r="A123" s="539"/>
      <c r="B123" s="1005"/>
      <c r="C123" s="298">
        <v>3000</v>
      </c>
      <c r="D123" s="326">
        <v>110</v>
      </c>
      <c r="E123" s="872" t="s">
        <v>139</v>
      </c>
      <c r="F123" s="872" t="s">
        <v>139</v>
      </c>
      <c r="G123" s="872" t="s">
        <v>139</v>
      </c>
      <c r="H123" s="885" t="e">
        <f t="shared" si="6"/>
        <v>#DIV/0!</v>
      </c>
      <c r="I123" s="860" t="e">
        <f t="shared" si="7"/>
        <v>#DIV/0!</v>
      </c>
      <c r="J123" s="401"/>
    </row>
    <row r="124" spans="1:10" s="406" customFormat="1" ht="15.75" hidden="1" customHeight="1">
      <c r="A124" s="539"/>
      <c r="B124" s="1005"/>
      <c r="C124" s="298">
        <v>4000</v>
      </c>
      <c r="D124" s="326">
        <v>110</v>
      </c>
      <c r="E124" s="872" t="s">
        <v>139</v>
      </c>
      <c r="F124" s="872" t="s">
        <v>139</v>
      </c>
      <c r="G124" s="872" t="s">
        <v>139</v>
      </c>
      <c r="H124" s="885" t="e">
        <f t="shared" si="6"/>
        <v>#DIV/0!</v>
      </c>
      <c r="I124" s="860" t="e">
        <f t="shared" si="7"/>
        <v>#DIV/0!</v>
      </c>
      <c r="J124" s="401"/>
    </row>
    <row r="125" spans="1:10" s="406" customFormat="1" ht="15.75" hidden="1" customHeight="1">
      <c r="A125" s="539"/>
      <c r="B125" s="1005"/>
      <c r="C125" s="298">
        <v>6000</v>
      </c>
      <c r="D125" s="326">
        <v>110</v>
      </c>
      <c r="E125" s="872" t="s">
        <v>139</v>
      </c>
      <c r="F125" s="872" t="s">
        <v>139</v>
      </c>
      <c r="G125" s="872" t="s">
        <v>139</v>
      </c>
      <c r="H125" s="885" t="e">
        <f t="shared" si="6"/>
        <v>#DIV/0!</v>
      </c>
      <c r="I125" s="860" t="e">
        <f t="shared" si="7"/>
        <v>#DIV/0!</v>
      </c>
      <c r="J125" s="401"/>
    </row>
    <row r="126" spans="1:10" s="406" customFormat="1" ht="15.75" hidden="1" customHeight="1" thickBot="1">
      <c r="A126" s="539"/>
      <c r="B126" s="1006"/>
      <c r="C126" s="873">
        <v>8000</v>
      </c>
      <c r="D126" s="861">
        <v>110</v>
      </c>
      <c r="E126" s="874" t="s">
        <v>139</v>
      </c>
      <c r="F126" s="874" t="s">
        <v>139</v>
      </c>
      <c r="G126" s="874" t="s">
        <v>139</v>
      </c>
      <c r="H126" s="887" t="e">
        <f t="shared" si="6"/>
        <v>#DIV/0!</v>
      </c>
      <c r="I126" s="863" t="e">
        <f t="shared" si="7"/>
        <v>#DIV/0!</v>
      </c>
      <c r="J126" s="401"/>
    </row>
    <row r="127" spans="1:10" s="406" customFormat="1" ht="15.75" hidden="1" customHeight="1">
      <c r="A127" s="888"/>
      <c r="B127" s="889"/>
      <c r="C127" s="890"/>
      <c r="D127" s="346"/>
      <c r="E127" s="891"/>
      <c r="F127" s="892"/>
      <c r="G127" s="891"/>
      <c r="H127" s="893"/>
      <c r="I127" s="894"/>
      <c r="J127" s="401"/>
    </row>
    <row r="128" spans="1:10" s="406" customFormat="1" ht="15.75" hidden="1" customHeight="1" thickBot="1">
      <c r="A128" s="857" t="s">
        <v>161</v>
      </c>
      <c r="B128" s="351"/>
      <c r="C128" s="5"/>
      <c r="D128" s="346"/>
      <c r="E128" s="892"/>
      <c r="F128" s="892"/>
      <c r="G128" s="892"/>
      <c r="H128" s="407"/>
      <c r="I128" s="895"/>
      <c r="J128" s="401"/>
    </row>
    <row r="129" spans="1:10" s="406" customFormat="1" ht="15.75" hidden="1" customHeight="1">
      <c r="A129" s="888"/>
      <c r="B129" s="1007" t="s">
        <v>42</v>
      </c>
      <c r="C129" s="1009" t="s">
        <v>43</v>
      </c>
      <c r="D129" s="1010"/>
      <c r="E129" s="1009" t="s">
        <v>44</v>
      </c>
      <c r="F129" s="1011"/>
      <c r="G129" s="1010"/>
      <c r="H129" s="1012" t="s">
        <v>156</v>
      </c>
      <c r="I129" s="987" t="s">
        <v>154</v>
      </c>
      <c r="J129" s="401"/>
    </row>
    <row r="130" spans="1:10" s="406" customFormat="1" ht="33" hidden="1" customHeight="1" thickBot="1">
      <c r="A130" s="888"/>
      <c r="B130" s="1008"/>
      <c r="C130" s="883" t="s">
        <v>47</v>
      </c>
      <c r="D130" s="883" t="s">
        <v>48</v>
      </c>
      <c r="E130" s="350" t="s">
        <v>49</v>
      </c>
      <c r="F130" s="350" t="s">
        <v>50</v>
      </c>
      <c r="G130" s="350" t="s">
        <v>51</v>
      </c>
      <c r="H130" s="1013"/>
      <c r="I130" s="988"/>
      <c r="J130" s="401"/>
    </row>
    <row r="131" spans="1:10" s="406" customFormat="1" ht="20.149999999999999" hidden="1" customHeight="1">
      <c r="A131" s="539"/>
      <c r="B131" s="1004" t="s">
        <v>160</v>
      </c>
      <c r="C131" s="868">
        <v>250</v>
      </c>
      <c r="D131" s="858">
        <v>20</v>
      </c>
      <c r="E131" s="896" t="s">
        <v>139</v>
      </c>
      <c r="F131" s="896" t="s">
        <v>139</v>
      </c>
      <c r="G131" s="896" t="s">
        <v>139</v>
      </c>
      <c r="H131" s="884" t="e">
        <f t="shared" si="6"/>
        <v>#DIV/0!</v>
      </c>
      <c r="I131" s="867" t="e">
        <f t="shared" si="7"/>
        <v>#DIV/0!</v>
      </c>
      <c r="J131" s="401"/>
    </row>
    <row r="132" spans="1:10" s="406" customFormat="1" ht="17.25" hidden="1" customHeight="1">
      <c r="A132" s="539"/>
      <c r="B132" s="1005"/>
      <c r="C132" s="871">
        <v>500</v>
      </c>
      <c r="D132" s="326">
        <v>50</v>
      </c>
      <c r="E132" s="897" t="s">
        <v>139</v>
      </c>
      <c r="F132" s="897" t="s">
        <v>139</v>
      </c>
      <c r="G132" s="897" t="s">
        <v>139</v>
      </c>
      <c r="H132" s="885" t="e">
        <f t="shared" si="6"/>
        <v>#DIV/0!</v>
      </c>
      <c r="I132" s="860" t="e">
        <f t="shared" si="7"/>
        <v>#DIV/0!</v>
      </c>
      <c r="J132" s="401"/>
    </row>
    <row r="133" spans="1:10" s="406" customFormat="1" ht="18.75" hidden="1" customHeight="1">
      <c r="A133" s="539"/>
      <c r="B133" s="1005"/>
      <c r="C133" s="871">
        <v>750</v>
      </c>
      <c r="D133" s="326">
        <v>50</v>
      </c>
      <c r="E133" s="897" t="s">
        <v>139</v>
      </c>
      <c r="F133" s="897" t="s">
        <v>139</v>
      </c>
      <c r="G133" s="897" t="s">
        <v>139</v>
      </c>
      <c r="H133" s="885" t="e">
        <f t="shared" si="6"/>
        <v>#DIV/0!</v>
      </c>
      <c r="I133" s="860" t="e">
        <f t="shared" si="7"/>
        <v>#DIV/0!</v>
      </c>
      <c r="J133" s="401"/>
    </row>
    <row r="134" spans="1:10" s="406" customFormat="1" ht="18" hidden="1" customHeight="1">
      <c r="A134" s="539"/>
      <c r="B134" s="1005"/>
      <c r="C134" s="871">
        <v>1000</v>
      </c>
      <c r="D134" s="326">
        <v>60</v>
      </c>
      <c r="E134" s="897" t="s">
        <v>139</v>
      </c>
      <c r="F134" s="897" t="s">
        <v>139</v>
      </c>
      <c r="G134" s="897" t="s">
        <v>139</v>
      </c>
      <c r="H134" s="885" t="e">
        <f t="shared" si="6"/>
        <v>#DIV/0!</v>
      </c>
      <c r="I134" s="860" t="e">
        <f t="shared" si="7"/>
        <v>#DIV/0!</v>
      </c>
      <c r="J134" s="401"/>
    </row>
    <row r="135" spans="1:10" s="406" customFormat="1" ht="18" hidden="1" customHeight="1">
      <c r="A135" s="539"/>
      <c r="B135" s="1005" t="s">
        <v>69</v>
      </c>
      <c r="C135" s="298">
        <v>1500</v>
      </c>
      <c r="D135" s="326">
        <v>60</v>
      </c>
      <c r="E135" s="897" t="s">
        <v>139</v>
      </c>
      <c r="F135" s="897" t="s">
        <v>139</v>
      </c>
      <c r="G135" s="897" t="s">
        <v>139</v>
      </c>
      <c r="H135" s="885" t="e">
        <f t="shared" si="6"/>
        <v>#DIV/0!</v>
      </c>
      <c r="I135" s="860" t="e">
        <f t="shared" si="7"/>
        <v>#DIV/0!</v>
      </c>
      <c r="J135" s="401"/>
    </row>
    <row r="136" spans="1:10" s="406" customFormat="1" ht="18" hidden="1" customHeight="1">
      <c r="A136" s="539"/>
      <c r="B136" s="1005"/>
      <c r="C136" s="298">
        <v>2000</v>
      </c>
      <c r="D136" s="326">
        <v>60</v>
      </c>
      <c r="E136" s="897" t="s">
        <v>139</v>
      </c>
      <c r="F136" s="897" t="s">
        <v>139</v>
      </c>
      <c r="G136" s="897" t="s">
        <v>139</v>
      </c>
      <c r="H136" s="885" t="e">
        <f t="shared" si="6"/>
        <v>#DIV/0!</v>
      </c>
      <c r="I136" s="860" t="e">
        <f t="shared" si="7"/>
        <v>#DIV/0!</v>
      </c>
      <c r="J136" s="401"/>
    </row>
    <row r="137" spans="1:10" s="406" customFormat="1" ht="18" hidden="1" customHeight="1">
      <c r="A137" s="539"/>
      <c r="B137" s="1005"/>
      <c r="C137" s="298">
        <v>3000</v>
      </c>
      <c r="D137" s="326">
        <v>60</v>
      </c>
      <c r="E137" s="897" t="s">
        <v>139</v>
      </c>
      <c r="F137" s="897" t="s">
        <v>139</v>
      </c>
      <c r="G137" s="897" t="s">
        <v>139</v>
      </c>
      <c r="H137" s="885" t="e">
        <f t="shared" si="6"/>
        <v>#DIV/0!</v>
      </c>
      <c r="I137" s="860" t="e">
        <f t="shared" si="7"/>
        <v>#DIV/0!</v>
      </c>
      <c r="J137" s="401"/>
    </row>
    <row r="138" spans="1:10" s="406" customFormat="1" ht="33" hidden="1" customHeight="1" thickBot="1">
      <c r="A138" s="539"/>
      <c r="B138" s="1006"/>
      <c r="C138" s="873">
        <v>4000</v>
      </c>
      <c r="D138" s="861">
        <v>60</v>
      </c>
      <c r="E138" s="898" t="s">
        <v>139</v>
      </c>
      <c r="F138" s="898" t="s">
        <v>139</v>
      </c>
      <c r="G138" s="898" t="s">
        <v>139</v>
      </c>
      <c r="H138" s="887" t="e">
        <f t="shared" si="6"/>
        <v>#DIV/0!</v>
      </c>
      <c r="I138" s="863" t="e">
        <f t="shared" si="7"/>
        <v>#DIV/0!</v>
      </c>
      <c r="J138" s="401"/>
    </row>
    <row r="139" spans="1:10" s="406" customFormat="1" ht="18" customHeight="1">
      <c r="A139" s="875"/>
      <c r="B139" s="875"/>
      <c r="C139" s="875"/>
      <c r="D139" s="875"/>
      <c r="E139" s="875"/>
      <c r="F139" s="875"/>
      <c r="G139" s="875"/>
      <c r="H139" s="875"/>
      <c r="I139" s="407"/>
      <c r="J139" s="401"/>
    </row>
    <row r="140" spans="1:10" s="406" customFormat="1" ht="18" customHeight="1">
      <c r="A140" s="410" t="s">
        <v>70</v>
      </c>
      <c r="B140" s="360"/>
      <c r="C140" s="360"/>
      <c r="D140" s="360"/>
      <c r="E140" s="374"/>
      <c r="F140" s="374"/>
      <c r="G140" s="374"/>
      <c r="H140" s="360"/>
      <c r="I140" s="365"/>
      <c r="J140" s="365"/>
    </row>
    <row r="141" spans="1:10" s="406" customFormat="1" ht="18" customHeight="1">
      <c r="A141" s="369" t="s">
        <v>162</v>
      </c>
      <c r="B141" s="360"/>
      <c r="C141" s="360"/>
      <c r="D141" s="360"/>
      <c r="E141" s="374"/>
      <c r="F141" s="374"/>
      <c r="G141" s="374"/>
      <c r="H141" s="360"/>
      <c r="I141" s="365"/>
      <c r="J141" s="365"/>
    </row>
    <row r="142" spans="1:10" s="406" customFormat="1" ht="18" customHeight="1">
      <c r="A142" s="360" t="str">
        <f>'DB ESA'!M244</f>
        <v>Hasil pengujian Keselamatan Listrik tertelusur ke Satuan Internasional ( SI ) melalui PT. Kaliman (LK-032-IDN)</v>
      </c>
      <c r="B142" s="360"/>
      <c r="C142" s="360"/>
      <c r="D142" s="360"/>
      <c r="E142" s="374"/>
      <c r="F142" s="374"/>
      <c r="G142" s="374"/>
      <c r="H142" s="360"/>
      <c r="I142" s="365"/>
      <c r="J142" s="365"/>
    </row>
    <row r="143" spans="1:10" s="406" customFormat="1" ht="18" customHeight="1">
      <c r="A143" s="360" t="str">
        <f>'SLM DB'!I183</f>
        <v>Hasil Kalibrasi Hearing tertelusur ke Satuan Internasional ( SI ) melalui Puslit Metrologi - LIPI</v>
      </c>
      <c r="B143" s="360"/>
      <c r="C143" s="360"/>
      <c r="D143" s="360"/>
      <c r="E143" s="374"/>
      <c r="F143" s="374"/>
      <c r="G143" s="374"/>
      <c r="H143" s="360"/>
      <c r="I143" s="365"/>
      <c r="J143" s="365"/>
    </row>
    <row r="144" spans="1:10" s="406" customFormat="1" ht="18" customHeight="1">
      <c r="A144" s="360" t="str">
        <f>'SLM DB'!I197</f>
        <v>Hasil Kalibrasi Frekuensi tertelusur ke Satuan Internasional ( SI ) melalui Puslit Metrologi - LIPI</v>
      </c>
      <c r="B144" s="360"/>
      <c r="C144" s="360"/>
      <c r="D144" s="360"/>
      <c r="E144" s="374"/>
      <c r="F144" s="374"/>
      <c r="G144" s="374"/>
      <c r="H144" s="360"/>
      <c r="I144" s="365"/>
      <c r="J144" s="365"/>
    </row>
    <row r="145" spans="1:14" s="406" customFormat="1" ht="18" customHeight="1">
      <c r="A145" s="360" t="str">
        <f>'SLM DB'!I211</f>
        <v>Hasil Kalibrasi Total Harmonic Distortion tertelusur ke Satuan Internasional ( SI ) melalui Puslit Metrologi - LIPI</v>
      </c>
      <c r="B145" s="360"/>
      <c r="C145" s="360"/>
      <c r="D145" s="360"/>
      <c r="E145" s="374"/>
      <c r="F145" s="374"/>
      <c r="G145" s="374"/>
      <c r="H145" s="360"/>
      <c r="I145" s="365"/>
      <c r="J145" s="365"/>
    </row>
    <row r="146" spans="1:14" s="406" customFormat="1" ht="18" customHeight="1">
      <c r="A146" s="1016" t="s">
        <v>163</v>
      </c>
      <c r="B146" s="1016"/>
      <c r="C146" s="758"/>
      <c r="D146" s="360"/>
      <c r="E146" s="374"/>
      <c r="F146" s="374"/>
      <c r="G146" s="374"/>
      <c r="H146" s="360"/>
      <c r="I146" s="365"/>
      <c r="J146" s="365"/>
      <c r="N146" s="460" t="s">
        <v>164</v>
      </c>
    </row>
    <row r="147" spans="1:14" s="406" customFormat="1" ht="18" hidden="1" customHeight="1">
      <c r="A147" s="973" t="s">
        <v>139</v>
      </c>
      <c r="B147" s="973"/>
      <c r="C147" s="360"/>
      <c r="D147" s="360"/>
      <c r="E147" s="374"/>
      <c r="F147" s="374"/>
      <c r="G147" s="374"/>
      <c r="H147" s="360"/>
      <c r="I147" s="365"/>
      <c r="J147" s="365"/>
      <c r="L147" s="560" t="s">
        <v>165</v>
      </c>
      <c r="M147" s="562">
        <f>IF(K151="-",40,IF(K151&lt;=K152,K158,IF(K151&gt;K152,0)))</f>
        <v>15</v>
      </c>
      <c r="N147" s="939">
        <f>VLOOKUP(A147,L147:M148,2,FALSE)</f>
        <v>15</v>
      </c>
    </row>
    <row r="148" spans="1:14" s="406" customFormat="1" ht="18" customHeight="1">
      <c r="A148" s="360" t="str">
        <f>J165</f>
        <v>Tidak terdapat grounding di ruangan</v>
      </c>
      <c r="B148" s="360"/>
      <c r="C148" s="360"/>
      <c r="D148" s="360"/>
      <c r="E148" s="374"/>
      <c r="F148" s="374"/>
      <c r="G148" s="374"/>
      <c r="H148" s="360"/>
      <c r="I148" s="365"/>
      <c r="J148" s="365"/>
      <c r="L148" s="561" t="s">
        <v>139</v>
      </c>
      <c r="M148" s="562">
        <f>K159</f>
        <v>15</v>
      </c>
      <c r="N148" s="940"/>
    </row>
    <row r="149" spans="1:14" s="406" customFormat="1" ht="18" customHeight="1">
      <c r="A149" s="360"/>
      <c r="B149" s="360"/>
      <c r="C149" s="360"/>
      <c r="D149" s="360"/>
      <c r="E149" s="374"/>
      <c r="F149" s="374"/>
      <c r="G149" s="374"/>
      <c r="H149" s="360"/>
      <c r="I149" s="365"/>
      <c r="J149" s="365"/>
      <c r="L149" s="579"/>
      <c r="N149" s="346"/>
    </row>
    <row r="150" spans="1:14" s="406" customFormat="1" ht="18" customHeight="1">
      <c r="A150" s="361" t="s">
        <v>166</v>
      </c>
      <c r="B150" s="360"/>
      <c r="C150" s="360"/>
      <c r="D150" s="360"/>
      <c r="E150" s="374"/>
      <c r="F150" s="374"/>
      <c r="G150" s="374"/>
      <c r="H150" s="360"/>
      <c r="I150" s="365"/>
      <c r="J150" s="365"/>
    </row>
    <row r="151" spans="1:14" s="406" customFormat="1" ht="18" customHeight="1">
      <c r="A151" s="1002" t="s">
        <v>167</v>
      </c>
      <c r="B151" s="1002"/>
      <c r="C151" s="1002"/>
      <c r="D151" s="1002"/>
      <c r="E151" s="1002"/>
      <c r="F151" s="1002"/>
      <c r="G151" s="1002"/>
      <c r="H151" s="1002"/>
      <c r="I151" s="365"/>
      <c r="J151" s="365" t="s">
        <v>168</v>
      </c>
      <c r="K151" s="406">
        <f>'DB ESA'!N202</f>
        <v>20.68</v>
      </c>
    </row>
    <row r="152" spans="1:14" s="406" customFormat="1" ht="18" customHeight="1">
      <c r="A152" s="1002" t="s">
        <v>169</v>
      </c>
      <c r="B152" s="1002"/>
      <c r="C152" s="1002"/>
      <c r="D152" s="1002"/>
      <c r="E152" s="1002"/>
      <c r="F152" s="1002"/>
      <c r="G152" s="1002"/>
      <c r="H152" s="1002"/>
      <c r="I152" s="365"/>
      <c r="J152" s="365" t="s">
        <v>45</v>
      </c>
      <c r="K152" s="558">
        <f>L10</f>
        <v>500</v>
      </c>
    </row>
    <row r="153" spans="1:14" s="406" customFormat="1" ht="18" customHeight="1">
      <c r="A153" s="1002" t="s">
        <v>170</v>
      </c>
      <c r="B153" s="1002"/>
      <c r="C153" s="1002"/>
      <c r="D153" s="1002"/>
      <c r="E153" s="1002"/>
      <c r="F153" s="1002"/>
      <c r="G153" s="924"/>
      <c r="H153" s="925"/>
      <c r="I153" s="365"/>
      <c r="J153" s="365" t="s">
        <v>150</v>
      </c>
      <c r="K153" s="406" t="str">
        <f>'DB ESA'!N201</f>
        <v>-</v>
      </c>
    </row>
    <row r="154" spans="1:14" s="406" customFormat="1" ht="18" customHeight="1">
      <c r="A154" s="360"/>
      <c r="B154" s="360"/>
      <c r="C154" s="360"/>
      <c r="D154" s="360"/>
      <c r="E154" s="374"/>
      <c r="F154" s="374"/>
      <c r="G154" s="374"/>
      <c r="H154" s="360"/>
      <c r="I154" s="365"/>
      <c r="J154" s="365"/>
      <c r="K154" s="556">
        <f>IF(K151&gt;K152,K153,IF(K151&lt;=K152,K151))</f>
        <v>20.68</v>
      </c>
    </row>
    <row r="155" spans="1:14" ht="15.75" customHeight="1">
      <c r="A155" s="411" t="s">
        <v>85</v>
      </c>
      <c r="E155" s="374"/>
      <c r="F155" s="374"/>
      <c r="G155" s="374"/>
      <c r="K155" s="556"/>
      <c r="L155" s="369"/>
    </row>
    <row r="156" spans="1:14" ht="15.75" customHeight="1">
      <c r="A156" s="1003" t="str">
        <f>IF('Lembar Penyelia'!H184&gt;=70,KESIMPULAN!H11,IF('Lembar Penyelia'!H184&lt;70,KESIMPULAN!H12))</f>
        <v>Alat yang dikalibrasi dalam batas toleransi dan dinyatakan LAIK PAKAI, dimana hasil atau skor akhir sama dengan atau melampaui 70 % berdasarkan Keputusan Direktur Jenderal Pelayanan Kesehatan No : HK.02.02/V/0412/2020</v>
      </c>
      <c r="B156" s="1003"/>
      <c r="C156" s="1003"/>
      <c r="D156" s="1003"/>
      <c r="E156" s="1003"/>
      <c r="F156" s="1003"/>
      <c r="G156" s="1003"/>
      <c r="H156" s="1003"/>
      <c r="I156" s="1003"/>
      <c r="J156" s="573" t="s">
        <v>20</v>
      </c>
      <c r="K156" s="556">
        <f>IF(K153&lt;=K152,K158,IF(K151&lt;=100,K158,0))</f>
        <v>15</v>
      </c>
    </row>
    <row r="157" spans="1:14" ht="15.75" customHeight="1">
      <c r="A157" s="1003"/>
      <c r="B157" s="1003"/>
      <c r="C157" s="1003"/>
      <c r="D157" s="1003"/>
      <c r="E157" s="1003"/>
      <c r="F157" s="1003"/>
      <c r="G157" s="1003"/>
      <c r="H157" s="1003"/>
      <c r="I157" s="1003"/>
      <c r="J157" s="573"/>
      <c r="L157" s="559"/>
    </row>
    <row r="158" spans="1:14" ht="15.75" customHeight="1">
      <c r="E158" s="374"/>
      <c r="F158" s="374"/>
      <c r="G158" s="374"/>
      <c r="K158" s="360">
        <f>'Lembar Penyelia'!M156</f>
        <v>15</v>
      </c>
    </row>
    <row r="159" spans="1:14" ht="15.75" customHeight="1" thickBot="1">
      <c r="A159" s="412" t="s">
        <v>87</v>
      </c>
      <c r="E159" s="374"/>
      <c r="F159" s="374"/>
      <c r="G159" s="374"/>
      <c r="K159" s="557">
        <f>K156</f>
        <v>15</v>
      </c>
    </row>
    <row r="160" spans="1:14" ht="15.75" customHeight="1" thickTop="1">
      <c r="A160" s="1014" t="s">
        <v>171</v>
      </c>
      <c r="B160" s="1014"/>
      <c r="C160" s="1014"/>
      <c r="E160" s="374"/>
      <c r="F160" s="374"/>
      <c r="G160" s="374"/>
      <c r="J160" s="823"/>
      <c r="K160" s="837">
        <v>0</v>
      </c>
      <c r="L160" s="841" t="s">
        <v>139</v>
      </c>
      <c r="M160" s="827"/>
      <c r="N160" s="828"/>
    </row>
    <row r="161" spans="1:14" ht="15.75" customHeight="1">
      <c r="A161" s="369"/>
      <c r="E161" s="374"/>
      <c r="F161" s="374"/>
      <c r="G161" s="374"/>
      <c r="J161" s="824"/>
      <c r="K161" s="380">
        <v>15</v>
      </c>
      <c r="L161" s="838" t="s">
        <v>165</v>
      </c>
      <c r="M161" s="829"/>
      <c r="N161" s="830"/>
    </row>
    <row r="162" spans="1:14" ht="15.75" customHeight="1">
      <c r="A162" s="374" t="s">
        <v>172</v>
      </c>
      <c r="D162" s="382"/>
      <c r="E162" s="382"/>
      <c r="F162" s="382"/>
      <c r="G162" s="382"/>
      <c r="H162" s="382"/>
      <c r="I162" s="382"/>
      <c r="J162" s="825">
        <f>K156</f>
        <v>15</v>
      </c>
      <c r="K162" s="380">
        <v>20</v>
      </c>
      <c r="L162" s="460" t="s">
        <v>173</v>
      </c>
      <c r="M162" s="460"/>
      <c r="N162" s="821"/>
    </row>
    <row r="163" spans="1:14" ht="15.75" customHeight="1">
      <c r="A163" s="997" t="s">
        <v>109</v>
      </c>
      <c r="B163" s="997"/>
      <c r="D163" s="382"/>
      <c r="E163" s="382"/>
      <c r="F163" s="382"/>
      <c r="G163" s="382"/>
      <c r="H163" s="382"/>
      <c r="I163" s="382"/>
      <c r="J163" s="825"/>
      <c r="K163" s="834">
        <v>30</v>
      </c>
      <c r="L163" s="839" t="s">
        <v>139</v>
      </c>
      <c r="M163" s="835"/>
      <c r="N163" s="836"/>
    </row>
    <row r="164" spans="1:14" ht="15.75" customHeight="1" thickBot="1">
      <c r="A164" s="997"/>
      <c r="B164" s="997"/>
      <c r="J164" s="826"/>
      <c r="K164" s="822">
        <v>40</v>
      </c>
      <c r="L164" s="831" t="s">
        <v>139</v>
      </c>
      <c r="M164" s="832"/>
      <c r="N164" s="833"/>
    </row>
    <row r="165" spans="1:14" ht="15.75" customHeight="1" thickTop="1">
      <c r="J165" s="973" t="str">
        <f>VLOOKUP(J162,K160:N164,2,0)</f>
        <v>Tidak terdapat grounding di ruangan</v>
      </c>
      <c r="K165" s="973"/>
      <c r="L165" s="973"/>
      <c r="M165" s="973"/>
      <c r="N165" s="973"/>
    </row>
    <row r="166" spans="1:14" ht="15.75" customHeight="1"/>
    <row r="167" spans="1:14" ht="15.75" customHeight="1"/>
    <row r="168" spans="1:14" ht="15.75" customHeight="1">
      <c r="K168" s="369"/>
    </row>
    <row r="169" spans="1:14" ht="10.5" customHeight="1">
      <c r="K169" s="369"/>
    </row>
    <row r="170" spans="1:14" ht="15.75" customHeight="1"/>
    <row r="171" spans="1:14" ht="15.75" customHeight="1"/>
    <row r="172" spans="1:14" ht="9.75" customHeight="1"/>
    <row r="173" spans="1:14" ht="15.75" customHeight="1">
      <c r="K173" s="371"/>
    </row>
    <row r="174" spans="1:14" ht="15.75" customHeight="1">
      <c r="K174" s="372"/>
    </row>
    <row r="175" spans="1:14" ht="10.5" customHeight="1"/>
    <row r="176" spans="1:14" ht="15.75" customHeight="1"/>
    <row r="177" spans="2:38" ht="15.75" customHeight="1">
      <c r="K177" s="363"/>
      <c r="L177" s="413"/>
      <c r="M177" s="414"/>
      <c r="O177" s="371"/>
      <c r="P177" s="1020"/>
      <c r="Q177" s="1020"/>
    </row>
    <row r="179" spans="2:38">
      <c r="Z179" s="363"/>
      <c r="AA179" s="363"/>
      <c r="AB179" s="363"/>
      <c r="AC179" s="363"/>
      <c r="AD179" s="363"/>
      <c r="AE179" s="363"/>
      <c r="AF179" s="363"/>
      <c r="AG179" s="363"/>
      <c r="AH179" s="363"/>
      <c r="AI179" s="363"/>
      <c r="AJ179" s="363"/>
      <c r="AK179" s="363"/>
      <c r="AL179" s="363"/>
    </row>
    <row r="180" spans="2:38">
      <c r="Z180" s="363"/>
      <c r="AA180" s="363"/>
      <c r="AB180" s="363"/>
      <c r="AC180" s="363"/>
      <c r="AD180" s="363"/>
      <c r="AE180" s="363"/>
      <c r="AF180" s="363"/>
      <c r="AG180" s="363"/>
      <c r="AH180" s="363"/>
      <c r="AI180" s="363"/>
      <c r="AJ180" s="363"/>
      <c r="AK180" s="363"/>
      <c r="AL180" s="363"/>
    </row>
    <row r="181" spans="2:38">
      <c r="Z181" s="363"/>
      <c r="AA181" s="1021"/>
      <c r="AB181" s="1021"/>
      <c r="AC181" s="1021"/>
      <c r="AD181" s="1021"/>
      <c r="AE181" s="1021"/>
      <c r="AF181" s="1021"/>
      <c r="AG181" s="1021"/>
      <c r="AH181" s="1021"/>
      <c r="AI181" s="1021"/>
      <c r="AJ181" s="1021"/>
      <c r="AK181" s="1021"/>
      <c r="AL181" s="1021"/>
    </row>
    <row r="182" spans="2:38">
      <c r="Z182" s="363"/>
      <c r="AA182" s="1021"/>
      <c r="AB182" s="1021"/>
      <c r="AC182" s="1021"/>
      <c r="AD182" s="1021"/>
      <c r="AE182" s="1021"/>
      <c r="AF182" s="1021"/>
      <c r="AG182" s="1021"/>
      <c r="AH182" s="1021"/>
      <c r="AI182" s="415"/>
      <c r="AJ182" s="415"/>
      <c r="AK182" s="409"/>
      <c r="AL182" s="409"/>
    </row>
    <row r="183" spans="2:38">
      <c r="Z183" s="363"/>
      <c r="AA183" s="1021"/>
      <c r="AB183" s="1021"/>
      <c r="AC183" s="1021"/>
      <c r="AD183" s="1021"/>
      <c r="AE183" s="1021"/>
      <c r="AF183" s="1021"/>
      <c r="AG183" s="1021"/>
      <c r="AH183" s="1021"/>
      <c r="AI183" s="416"/>
      <c r="AJ183" s="415"/>
      <c r="AK183" s="409"/>
      <c r="AL183" s="409"/>
    </row>
    <row r="184" spans="2:38">
      <c r="Z184" s="363"/>
      <c r="AA184" s="363"/>
      <c r="AB184" s="363"/>
      <c r="AC184" s="363"/>
      <c r="AD184" s="363"/>
      <c r="AE184" s="417"/>
      <c r="AF184" s="417"/>
      <c r="AG184" s="417"/>
      <c r="AH184" s="363"/>
      <c r="AI184" s="363"/>
      <c r="AJ184" s="363"/>
      <c r="AK184" s="363"/>
      <c r="AL184" s="363"/>
    </row>
    <row r="185" spans="2:38" ht="18.5">
      <c r="AA185" s="990"/>
      <c r="AB185" s="990"/>
      <c r="AC185" s="990"/>
      <c r="AD185" s="371"/>
      <c r="AE185" s="379"/>
      <c r="AF185" s="379"/>
      <c r="AG185" s="379"/>
      <c r="AJ185" s="405"/>
      <c r="AK185" s="1020"/>
      <c r="AL185" s="1020"/>
    </row>
    <row r="186" spans="2:38" ht="18.5">
      <c r="AA186" s="990"/>
      <c r="AB186" s="990"/>
      <c r="AC186" s="990"/>
      <c r="AD186" s="371"/>
      <c r="AE186" s="379"/>
      <c r="AF186" s="379"/>
      <c r="AG186" s="379"/>
      <c r="AJ186" s="405"/>
      <c r="AK186" s="1020"/>
      <c r="AL186" s="1020"/>
    </row>
    <row r="187" spans="2:38" ht="18.5">
      <c r="B187" s="365"/>
      <c r="AA187" s="990"/>
      <c r="AB187" s="990"/>
      <c r="AC187" s="990"/>
      <c r="AD187" s="372"/>
      <c r="AJ187" s="381"/>
      <c r="AK187" s="1020"/>
      <c r="AL187" s="1020"/>
    </row>
    <row r="188" spans="2:38" ht="18.5">
      <c r="G188" s="360" t="s">
        <v>174</v>
      </c>
      <c r="AA188" s="990"/>
      <c r="AB188" s="990"/>
      <c r="AC188" s="990"/>
      <c r="AD188" s="366"/>
      <c r="AE188" s="363"/>
      <c r="AF188" s="363"/>
      <c r="AG188" s="413"/>
      <c r="AH188" s="414"/>
      <c r="AJ188" s="381"/>
      <c r="AK188" s="1020"/>
      <c r="AL188" s="1020"/>
    </row>
    <row r="189" spans="2:38" ht="18.5">
      <c r="AA189" s="990"/>
      <c r="AB189" s="990"/>
      <c r="AC189" s="990"/>
      <c r="AD189" s="366"/>
      <c r="AE189" s="363"/>
      <c r="AF189" s="363"/>
      <c r="AG189" s="413"/>
      <c r="AH189" s="414"/>
      <c r="AJ189" s="418"/>
      <c r="AK189" s="1020"/>
      <c r="AL189" s="1020"/>
    </row>
    <row r="190" spans="2:38">
      <c r="H190" s="363"/>
      <c r="AA190" s="990"/>
      <c r="AB190" s="990"/>
      <c r="AC190" s="990"/>
      <c r="AD190" s="371"/>
      <c r="AE190" s="363"/>
    </row>
    <row r="191" spans="2:38">
      <c r="AA191" s="990"/>
      <c r="AB191" s="990"/>
      <c r="AC191" s="990"/>
      <c r="AD191" s="371"/>
      <c r="AE191" s="363"/>
    </row>
    <row r="192" spans="2:38">
      <c r="C192" s="419"/>
      <c r="AA192" s="990"/>
      <c r="AB192" s="990"/>
      <c r="AC192" s="990"/>
      <c r="AD192" s="371"/>
      <c r="AE192" s="363"/>
    </row>
    <row r="193" spans="2:23">
      <c r="B193" s="365"/>
      <c r="C193" s="419"/>
    </row>
    <row r="194" spans="2:23">
      <c r="B194" s="365"/>
      <c r="C194" s="419"/>
    </row>
    <row r="195" spans="2:23">
      <c r="B195" s="365"/>
      <c r="C195" s="419"/>
    </row>
    <row r="196" spans="2:23">
      <c r="B196" s="365"/>
      <c r="C196" s="419"/>
    </row>
    <row r="197" spans="2:23">
      <c r="B197" s="365"/>
      <c r="C197" s="419"/>
    </row>
    <row r="198" spans="2:23">
      <c r="B198" s="365"/>
      <c r="C198" s="419"/>
    </row>
    <row r="199" spans="2:23">
      <c r="B199" s="372"/>
    </row>
    <row r="200" spans="2:23">
      <c r="B200" s="372"/>
    </row>
    <row r="206" spans="2:23" ht="18.5">
      <c r="L206" s="990"/>
      <c r="M206" s="990"/>
      <c r="N206" s="990"/>
      <c r="O206" s="371"/>
      <c r="P206" s="379"/>
      <c r="Q206" s="379"/>
      <c r="R206" s="379"/>
      <c r="U206" s="405"/>
      <c r="V206" s="1020"/>
      <c r="W206" s="1020"/>
    </row>
    <row r="207" spans="2:23" ht="18.5">
      <c r="L207" s="990"/>
      <c r="M207" s="990"/>
      <c r="N207" s="990"/>
      <c r="O207" s="371"/>
      <c r="P207" s="379"/>
      <c r="Q207" s="379"/>
      <c r="R207" s="379"/>
      <c r="U207" s="405"/>
      <c r="V207" s="1020"/>
      <c r="W207" s="1020"/>
    </row>
    <row r="208" spans="2:23" ht="18.5">
      <c r="L208" s="990"/>
      <c r="M208" s="990"/>
      <c r="N208" s="990"/>
      <c r="O208" s="372"/>
      <c r="U208" s="381"/>
      <c r="V208" s="1020"/>
      <c r="W208" s="1020"/>
    </row>
    <row r="209" spans="1:23" ht="18.5">
      <c r="A209" s="421" t="s">
        <v>175</v>
      </c>
      <c r="D209" s="360" t="s">
        <v>144</v>
      </c>
      <c r="L209" s="990"/>
      <c r="M209" s="990"/>
      <c r="N209" s="990"/>
      <c r="O209" s="366"/>
      <c r="P209" s="363"/>
      <c r="Q209" s="363"/>
      <c r="R209" s="413"/>
      <c r="S209" s="414"/>
      <c r="U209" s="381"/>
      <c r="V209" s="1020"/>
      <c r="W209" s="1020"/>
    </row>
    <row r="210" spans="1:23" ht="18.5">
      <c r="A210" s="421" t="s">
        <v>176</v>
      </c>
      <c r="D210" s="360" t="s">
        <v>177</v>
      </c>
      <c r="L210" s="990"/>
      <c r="M210" s="990"/>
      <c r="N210" s="990"/>
      <c r="O210" s="366"/>
      <c r="P210" s="363"/>
      <c r="Q210" s="363"/>
      <c r="R210" s="413"/>
      <c r="S210" s="414"/>
      <c r="U210" s="418"/>
      <c r="V210" s="1020"/>
      <c r="W210" s="1020"/>
    </row>
    <row r="211" spans="1:23" ht="18.5">
      <c r="A211" s="421" t="s">
        <v>178</v>
      </c>
      <c r="L211" s="990"/>
      <c r="M211" s="990"/>
      <c r="N211" s="990"/>
      <c r="O211" s="371"/>
      <c r="P211" s="363"/>
      <c r="Q211" s="363"/>
      <c r="R211" s="413"/>
      <c r="S211" s="414"/>
      <c r="U211" s="371"/>
      <c r="V211" s="1020"/>
      <c r="W211" s="1020"/>
    </row>
    <row r="212" spans="1:23" ht="18.5">
      <c r="A212" s="421" t="s">
        <v>179</v>
      </c>
      <c r="L212" s="990"/>
      <c r="M212" s="990"/>
      <c r="N212" s="990"/>
      <c r="O212" s="371"/>
      <c r="P212" s="363"/>
      <c r="Q212" s="363"/>
      <c r="R212" s="413"/>
      <c r="S212" s="414"/>
      <c r="U212" s="405"/>
      <c r="V212" s="1020"/>
      <c r="W212" s="1020"/>
    </row>
    <row r="213" spans="1:23" ht="18.5">
      <c r="A213" s="421" t="s">
        <v>180</v>
      </c>
      <c r="L213" s="990"/>
      <c r="M213" s="990"/>
      <c r="N213" s="990"/>
      <c r="O213" s="371"/>
      <c r="P213" s="363"/>
      <c r="Q213" s="363"/>
      <c r="R213" s="413"/>
      <c r="S213" s="414"/>
      <c r="U213" s="405"/>
      <c r="V213" s="1020"/>
      <c r="W213" s="1020"/>
    </row>
    <row r="214" spans="1:23">
      <c r="A214" s="421" t="s">
        <v>171</v>
      </c>
    </row>
    <row r="215" spans="1:23">
      <c r="A215" s="421" t="s">
        <v>181</v>
      </c>
    </row>
    <row r="216" spans="1:23">
      <c r="A216" s="421" t="s">
        <v>182</v>
      </c>
    </row>
    <row r="217" spans="1:23">
      <c r="A217" s="421" t="s">
        <v>183</v>
      </c>
    </row>
    <row r="218" spans="1:23">
      <c r="A218" s="421" t="s">
        <v>184</v>
      </c>
    </row>
    <row r="219" spans="1:23">
      <c r="A219" s="421" t="s">
        <v>185</v>
      </c>
    </row>
    <row r="220" spans="1:23">
      <c r="A220" s="421" t="s">
        <v>186</v>
      </c>
    </row>
    <row r="221" spans="1:23">
      <c r="A221" s="421" t="s">
        <v>187</v>
      </c>
    </row>
    <row r="222" spans="1:23">
      <c r="A222" s="421" t="s">
        <v>188</v>
      </c>
    </row>
    <row r="223" spans="1:23">
      <c r="A223" s="421" t="s">
        <v>189</v>
      </c>
    </row>
    <row r="224" spans="1:23">
      <c r="A224" s="421" t="s">
        <v>190</v>
      </c>
    </row>
    <row r="225" spans="1:1">
      <c r="A225" s="421" t="s">
        <v>191</v>
      </c>
    </row>
    <row r="226" spans="1:1">
      <c r="A226" s="421" t="s">
        <v>192</v>
      </c>
    </row>
    <row r="227" spans="1:1">
      <c r="A227" s="421" t="s">
        <v>193</v>
      </c>
    </row>
  </sheetData>
  <sheetProtection formatCells="0" formatColumns="0" formatRows="0" insertColumns="0" insertRows="0" deleteColumns="0" deleteRows="0"/>
  <mergeCells count="105">
    <mergeCell ref="A164:B164"/>
    <mergeCell ref="J165:N165"/>
    <mergeCell ref="AA192:AC192"/>
    <mergeCell ref="L206:N206"/>
    <mergeCell ref="V206:W206"/>
    <mergeCell ref="L207:N207"/>
    <mergeCell ref="V207:W207"/>
    <mergeCell ref="L212:N212"/>
    <mergeCell ref="V212:W212"/>
    <mergeCell ref="AA191:AC191"/>
    <mergeCell ref="AA185:AC185"/>
    <mergeCell ref="AA190:AC190"/>
    <mergeCell ref="AA182:AH182"/>
    <mergeCell ref="AA183:AH183"/>
    <mergeCell ref="P177:Q177"/>
    <mergeCell ref="AA181:AL181"/>
    <mergeCell ref="L213:N213"/>
    <mergeCell ref="V213:W213"/>
    <mergeCell ref="L209:N209"/>
    <mergeCell ref="V209:W209"/>
    <mergeCell ref="L210:N210"/>
    <mergeCell ref="V210:W210"/>
    <mergeCell ref="L211:N211"/>
    <mergeCell ref="V211:W211"/>
    <mergeCell ref="L208:N208"/>
    <mergeCell ref="V208:W208"/>
    <mergeCell ref="AK185:AL185"/>
    <mergeCell ref="AA186:AC186"/>
    <mergeCell ref="AK186:AL186"/>
    <mergeCell ref="AA187:AC187"/>
    <mergeCell ref="AK187:AL187"/>
    <mergeCell ref="AA188:AC188"/>
    <mergeCell ref="AK188:AL188"/>
    <mergeCell ref="AA189:AC189"/>
    <mergeCell ref="AK189:AL189"/>
    <mergeCell ref="G13:I13"/>
    <mergeCell ref="A151:H151"/>
    <mergeCell ref="A152:H152"/>
    <mergeCell ref="A156:I157"/>
    <mergeCell ref="B116:B120"/>
    <mergeCell ref="B122:B126"/>
    <mergeCell ref="B131:B134"/>
    <mergeCell ref="B135:B138"/>
    <mergeCell ref="B129:B130"/>
    <mergeCell ref="C129:D129"/>
    <mergeCell ref="E129:G129"/>
    <mergeCell ref="H129:H130"/>
    <mergeCell ref="I129:I130"/>
    <mergeCell ref="A153:F153"/>
    <mergeCell ref="A114:A115"/>
    <mergeCell ref="B114:B115"/>
    <mergeCell ref="C114:D114"/>
    <mergeCell ref="E114:G114"/>
    <mergeCell ref="A79:A89"/>
    <mergeCell ref="A146:B146"/>
    <mergeCell ref="E77:G77"/>
    <mergeCell ref="A61:A62"/>
    <mergeCell ref="H114:H115"/>
    <mergeCell ref="B26:F26"/>
    <mergeCell ref="M34:R34"/>
    <mergeCell ref="B34:B44"/>
    <mergeCell ref="B68:B73"/>
    <mergeCell ref="H32:H33"/>
    <mergeCell ref="I32:I33"/>
    <mergeCell ref="B24:F24"/>
    <mergeCell ref="A163:B163"/>
    <mergeCell ref="B27:F27"/>
    <mergeCell ref="G24:H24"/>
    <mergeCell ref="A94:A104"/>
    <mergeCell ref="A160:C160"/>
    <mergeCell ref="A63:A73"/>
    <mergeCell ref="B63:B67"/>
    <mergeCell ref="I77:I78"/>
    <mergeCell ref="A32:A33"/>
    <mergeCell ref="B32:B33"/>
    <mergeCell ref="C32:D32"/>
    <mergeCell ref="E32:G32"/>
    <mergeCell ref="A34:A44"/>
    <mergeCell ref="B61:B62"/>
    <mergeCell ref="C61:D61"/>
    <mergeCell ref="E61:G61"/>
    <mergeCell ref="A1:I1"/>
    <mergeCell ref="N147:N148"/>
    <mergeCell ref="A147:B147"/>
    <mergeCell ref="C92:D92"/>
    <mergeCell ref="E92:G92"/>
    <mergeCell ref="H92:H93"/>
    <mergeCell ref="I92:I93"/>
    <mergeCell ref="B46:B47"/>
    <mergeCell ref="C46:D46"/>
    <mergeCell ref="E46:G46"/>
    <mergeCell ref="H46:H47"/>
    <mergeCell ref="I46:I47"/>
    <mergeCell ref="H61:H62"/>
    <mergeCell ref="I61:I62"/>
    <mergeCell ref="A48:A58"/>
    <mergeCell ref="B48:B58"/>
    <mergeCell ref="A77:A78"/>
    <mergeCell ref="B77:B78"/>
    <mergeCell ref="C77:D77"/>
    <mergeCell ref="I114:I115"/>
    <mergeCell ref="B92:B93"/>
    <mergeCell ref="B94:B104"/>
    <mergeCell ref="B79:B89"/>
    <mergeCell ref="H77:H78"/>
  </mergeCells>
  <dataValidations count="13">
    <dataValidation type="list" allowBlank="1" showInputMessage="1" showErrorMessage="1" sqref="E193" xr:uid="{00000000-0002-0000-0200-000000000000}">
      <formula1>$L$187:$L$191</formula1>
    </dataValidation>
    <dataValidation type="list" allowBlank="1" showInputMessage="1" showErrorMessage="1" sqref="E194 K170 K172" xr:uid="{00000000-0002-0000-0200-000001000000}">
      <formula1>#REF!</formula1>
    </dataValidation>
    <dataValidation type="list" allowBlank="1" showInputMessage="1" showErrorMessage="1" sqref="K175" xr:uid="{00000000-0002-0000-0200-000002000000}">
      <formula1>$G$188:$G$189</formula1>
    </dataValidation>
    <dataValidation type="list" allowBlank="1" showInputMessage="1" showErrorMessage="1" sqref="K174" xr:uid="{00000000-0002-0000-0200-000003000000}">
      <formula1>$H$192</formula1>
    </dataValidation>
    <dataValidation type="list" allowBlank="1" showInputMessage="1" showErrorMessage="1" sqref="K171" xr:uid="{00000000-0002-0000-0200-000004000000}">
      <formula1>$L$154:$L$154</formula1>
    </dataValidation>
    <dataValidation type="list" allowBlank="1" showInputMessage="1" showErrorMessage="1" sqref="K173" xr:uid="{00000000-0002-0000-0200-000005000000}">
      <formula1>$O$132:$O$133</formula1>
    </dataValidation>
    <dataValidation type="list" allowBlank="1" showInputMessage="1" showErrorMessage="1" sqref="K168:K169" xr:uid="{00000000-0002-0000-0200-000006000000}">
      <formula1>$L$155:$L$156</formula1>
    </dataValidation>
    <dataValidation type="list" allowBlank="1" showInputMessage="1" sqref="K167" xr:uid="{00000000-0002-0000-0200-000007000000}">
      <formula1>$A$20:$A$23</formula1>
    </dataValidation>
    <dataValidation type="list" allowBlank="1" showInputMessage="1" showErrorMessage="1" sqref="D20:D21" xr:uid="{00000000-0002-0000-0200-000008000000}">
      <formula1>$D$209:$D$210</formula1>
    </dataValidation>
    <dataValidation allowBlank="1" showInputMessage="1" sqref="A148:A149 A2:D2 F2:I2" xr:uid="{00000000-0002-0000-0200-000009000000}"/>
    <dataValidation type="list" allowBlank="1" showInputMessage="1" showErrorMessage="1" sqref="B27" xr:uid="{00000000-0002-0000-0200-00000A000000}">
      <formula1>$L$3:$L$4</formula1>
    </dataValidation>
    <dataValidation type="list" allowBlank="1" showInputMessage="1" sqref="A160:C160" xr:uid="{00000000-0002-0000-0200-00000B000000}">
      <formula1>$A$209:$A$227</formula1>
    </dataValidation>
    <dataValidation type="list" allowBlank="1" showInputMessage="1" sqref="A147" xr:uid="{00000000-0002-0000-0200-00000C000000}">
      <formula1>$L$147:$L$148</formula1>
    </dataValidation>
  </dataValidations>
  <printOptions horizontalCentered="1"/>
  <pageMargins left="0.51181102362204722" right="0.51181102362204722" top="0.51181102362204722" bottom="0.51181102362204722" header="0.23622047244094491" footer="0.23622047244094491"/>
  <pageSetup paperSize="9" scale="50" orientation="portrait" horizontalDpi="4294967294" verticalDpi="300" r:id="rId1"/>
  <headerFooter>
    <oddHeader>&amp;R&amp;"-,Regular"&amp;8OA.LHK - 024 -18 / REV : 0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rowBreaks count="1" manualBreakCount="1">
    <brk id="89" max="8" man="1"/>
  </rowBreaks>
  <ignoredErrors>
    <ignoredError sqref="H34:H36 H37 I34 I35:I44 H38:H44 H64:I73 I63 H79:I89" formulaRange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D000000}">
          <x14:formula1>
            <xm:f>'DB Suhu'!$A$354:$A$371</xm:f>
          </x14:formula1>
          <xm:sqref>A153:F153</xm:sqref>
        </x14:dataValidation>
        <x14:dataValidation type="list" allowBlank="1" showInputMessage="1" showErrorMessage="1" xr:uid="{00000000-0002-0000-0200-00000E000000}">
          <x14:formula1>
            <xm:f>'SLM DB'!$I$160:$I$169</xm:f>
          </x14:formula1>
          <xm:sqref>A151:H151</xm:sqref>
        </x14:dataValidation>
        <x14:dataValidation type="list" allowBlank="1" showInputMessage="1" showErrorMessage="1" xr:uid="{00000000-0002-0000-0200-00000F000000}">
          <x14:formula1>
            <xm:f>'DB ESA'!$A$235:$A$243</xm:f>
          </x14:formula1>
          <xm:sqref>A152:H152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7"/>
  <sheetViews>
    <sheetView showGridLines="0" view="pageBreakPreview" topLeftCell="A22" zoomScaleNormal="100" zoomScaleSheetLayoutView="100" workbookViewId="0">
      <selection activeCell="B176" sqref="B176"/>
    </sheetView>
  </sheetViews>
  <sheetFormatPr defaultColWidth="9.1796875" defaultRowHeight="15.5"/>
  <cols>
    <col min="1" max="1" width="5.54296875" style="422" customWidth="1"/>
    <col min="2" max="2" width="4.453125" style="422" customWidth="1"/>
    <col min="3" max="3" width="24.54296875" style="422" customWidth="1"/>
    <col min="4" max="4" width="11" style="422" customWidth="1"/>
    <col min="5" max="5" width="11.453125" style="422" bestFit="1" customWidth="1"/>
    <col min="6" max="6" width="13.1796875" style="422" customWidth="1"/>
    <col min="7" max="7" width="9.26953125" style="422" bestFit="1" customWidth="1"/>
    <col min="8" max="8" width="10.26953125" style="422" customWidth="1"/>
    <col min="9" max="9" width="7.81640625" style="422" customWidth="1"/>
    <col min="10" max="10" width="7.6328125" style="422" customWidth="1"/>
    <col min="11" max="11" width="12" style="422" customWidth="1"/>
    <col min="12" max="16384" width="9.1796875" style="422"/>
  </cols>
  <sheetData>
    <row r="1" spans="1:11" ht="18">
      <c r="A1" s="1035" t="str">
        <f>'Lembar Penyelia'!A1:K1</f>
        <v>HASIL KALIBRASI AUDIOMETER</v>
      </c>
      <c r="B1" s="1035"/>
      <c r="C1" s="1035"/>
      <c r="D1" s="1035"/>
      <c r="E1" s="1035"/>
      <c r="F1" s="1035"/>
      <c r="G1" s="1035"/>
      <c r="H1" s="1035"/>
      <c r="I1" s="1035"/>
      <c r="J1" s="1035"/>
      <c r="K1" s="1035"/>
    </row>
    <row r="2" spans="1:11" ht="16.5">
      <c r="A2" s="1036" t="str">
        <f>'Lembar Penyelia'!A2:K2</f>
        <v>Nomor Sertifikat : 4 / 1 / V - 21 / E - 061 Dt</v>
      </c>
      <c r="B2" s="1036"/>
      <c r="C2" s="1036"/>
      <c r="D2" s="1036"/>
      <c r="E2" s="1036"/>
      <c r="F2" s="1036"/>
      <c r="G2" s="1036"/>
      <c r="H2" s="1036"/>
      <c r="I2" s="1036"/>
      <c r="J2" s="1036"/>
      <c r="K2" s="1036"/>
    </row>
    <row r="3" spans="1:11">
      <c r="A3" s="360"/>
      <c r="B3" s="413"/>
      <c r="C3" s="413"/>
      <c r="D3" s="413"/>
      <c r="E3" s="413"/>
      <c r="F3" s="413"/>
      <c r="G3" s="413"/>
      <c r="H3" s="413"/>
      <c r="I3" s="413"/>
      <c r="J3" s="413"/>
      <c r="K3" s="413"/>
    </row>
    <row r="4" spans="1:11">
      <c r="A4" s="363" t="str">
        <f>'Lembar Penyelia'!A4</f>
        <v xml:space="preserve">Merek                                 </v>
      </c>
      <c r="B4" s="360"/>
      <c r="C4" s="360"/>
      <c r="D4" s="364" t="s">
        <v>3</v>
      </c>
      <c r="E4" s="931" t="str">
        <f>'Lembar Penyelia'!E4</f>
        <v>gsi</v>
      </c>
      <c r="F4" s="360"/>
      <c r="G4" s="360"/>
      <c r="H4" s="360"/>
      <c r="I4" s="360"/>
      <c r="J4" s="364"/>
      <c r="K4" s="360"/>
    </row>
    <row r="5" spans="1:11">
      <c r="A5" s="363" t="str">
        <f>'Lembar Penyelia'!A5</f>
        <v xml:space="preserve">Model/Tipe                        </v>
      </c>
      <c r="B5" s="360"/>
      <c r="C5" s="360"/>
      <c r="D5" s="364" t="s">
        <v>3</v>
      </c>
      <c r="E5" s="931" t="str">
        <f>'Lembar Penyelia'!E5</f>
        <v>GSI 18</v>
      </c>
      <c r="F5" s="360"/>
      <c r="G5" s="360"/>
      <c r="H5" s="360"/>
      <c r="I5" s="360"/>
      <c r="J5" s="364"/>
      <c r="K5" s="360"/>
    </row>
    <row r="6" spans="1:11">
      <c r="A6" s="363" t="str">
        <f>'Lembar Penyelia'!A6</f>
        <v xml:space="preserve">No. Seri                               </v>
      </c>
      <c r="B6" s="360"/>
      <c r="C6" s="360"/>
      <c r="D6" s="364" t="s">
        <v>3</v>
      </c>
      <c r="E6" s="931" t="str">
        <f>'Lembar Penyelia'!E6</f>
        <v>650051202</v>
      </c>
      <c r="F6" s="360"/>
      <c r="G6" s="360"/>
      <c r="H6" s="360"/>
      <c r="I6" s="360"/>
      <c r="J6" s="364"/>
      <c r="K6" s="360"/>
    </row>
    <row r="7" spans="1:11">
      <c r="A7" s="363" t="s">
        <v>6</v>
      </c>
      <c r="B7" s="360"/>
      <c r="C7" s="360"/>
      <c r="D7" s="364" t="s">
        <v>3</v>
      </c>
      <c r="E7" s="931" t="str">
        <f>E8</f>
        <v>12 Mei 2022</v>
      </c>
      <c r="F7" s="360"/>
      <c r="G7" s="360"/>
      <c r="H7" s="360"/>
      <c r="I7" s="360"/>
      <c r="J7" s="364"/>
      <c r="K7" s="360"/>
    </row>
    <row r="8" spans="1:11">
      <c r="A8" s="363" t="str">
        <f>'Lembar Penyelia'!A8</f>
        <v xml:space="preserve">Tanggal Kalibrasi                  </v>
      </c>
      <c r="B8" s="360"/>
      <c r="C8" s="360"/>
      <c r="D8" s="364" t="s">
        <v>3</v>
      </c>
      <c r="E8" s="931" t="str">
        <f>'Lembar Penyelia'!E8</f>
        <v>12 Mei 2022</v>
      </c>
      <c r="F8" s="360"/>
      <c r="G8" s="363"/>
      <c r="H8" s="364"/>
      <c r="I8" s="364"/>
      <c r="J8" s="360"/>
      <c r="K8" s="360"/>
    </row>
    <row r="9" spans="1:11">
      <c r="A9" s="363" t="str">
        <f>'Lembar Penyelia'!A9</f>
        <v xml:space="preserve">Tempat Kalibrasi                    </v>
      </c>
      <c r="B9" s="360"/>
      <c r="C9" s="360"/>
      <c r="D9" s="364" t="s">
        <v>3</v>
      </c>
      <c r="E9" s="931" t="str">
        <f>'Lembar Penyelia'!E9</f>
        <v>Laboratorium Kalibrasi LPFK Banjarbaru</v>
      </c>
      <c r="F9" s="360"/>
      <c r="G9" s="363"/>
      <c r="H9" s="364"/>
      <c r="I9" s="364"/>
      <c r="J9" s="360"/>
      <c r="K9" s="360"/>
    </row>
    <row r="10" spans="1:11">
      <c r="A10" s="363" t="str">
        <f>'Lembar Penyelia'!A10</f>
        <v xml:space="preserve">Nama Ruang                                   </v>
      </c>
      <c r="B10" s="360"/>
      <c r="C10" s="360"/>
      <c r="D10" s="364" t="s">
        <v>3</v>
      </c>
      <c r="E10" s="931" t="str">
        <f>'Lembar Penyelia'!E10</f>
        <v>-</v>
      </c>
      <c r="F10" s="360"/>
      <c r="G10" s="363"/>
      <c r="H10" s="364"/>
      <c r="I10" s="364"/>
      <c r="J10" s="360"/>
      <c r="K10" s="360"/>
    </row>
    <row r="11" spans="1:11">
      <c r="A11" s="363" t="str">
        <f>'Lembar Penyelia'!A11</f>
        <v xml:space="preserve">Metode Kerja                    </v>
      </c>
      <c r="B11" s="360"/>
      <c r="C11" s="360"/>
      <c r="D11" s="364" t="s">
        <v>3</v>
      </c>
      <c r="E11" s="366" t="str">
        <f>'Lembar Penyelia'!E11</f>
        <v>MK 007 - 18</v>
      </c>
      <c r="F11" s="360"/>
      <c r="G11" s="363"/>
      <c r="H11" s="364"/>
      <c r="I11" s="364"/>
      <c r="J11" s="360"/>
      <c r="K11" s="360"/>
    </row>
    <row r="12" spans="1:11">
      <c r="A12" s="360"/>
      <c r="B12" s="363"/>
      <c r="C12" s="363"/>
      <c r="D12" s="363"/>
      <c r="E12" s="363"/>
      <c r="F12" s="363"/>
      <c r="G12" s="363"/>
      <c r="H12" s="363"/>
      <c r="I12" s="363"/>
      <c r="J12" s="363"/>
      <c r="K12" s="366"/>
    </row>
    <row r="13" spans="1:11">
      <c r="A13" s="420" t="s">
        <v>277</v>
      </c>
      <c r="B13" s="424" t="s">
        <v>278</v>
      </c>
      <c r="C13" s="424"/>
      <c r="D13" s="425"/>
      <c r="E13" s="426"/>
      <c r="F13" s="427"/>
      <c r="G13" s="428"/>
      <c r="H13" s="428"/>
      <c r="I13" s="428"/>
      <c r="J13" s="428"/>
      <c r="K13" s="428"/>
    </row>
    <row r="14" spans="1:11">
      <c r="A14" s="360"/>
      <c r="B14" s="501" t="s">
        <v>279</v>
      </c>
      <c r="C14" s="429" t="s">
        <v>280</v>
      </c>
      <c r="D14" s="430" t="s">
        <v>3</v>
      </c>
      <c r="E14" s="927">
        <f>'DB Suhu'!M338</f>
        <v>22.943999999999999</v>
      </c>
      <c r="F14" s="908" t="s">
        <v>719</v>
      </c>
      <c r="G14" s="927">
        <f>'DB Suhu'!O338</f>
        <v>0.3</v>
      </c>
      <c r="H14" s="425" t="s">
        <v>720</v>
      </c>
      <c r="I14" s="425"/>
      <c r="J14" s="425"/>
      <c r="K14" s="425"/>
    </row>
    <row r="15" spans="1:11">
      <c r="A15" s="360"/>
      <c r="B15" s="501" t="s">
        <v>281</v>
      </c>
      <c r="C15" s="429" t="s">
        <v>282</v>
      </c>
      <c r="D15" s="430" t="s">
        <v>3</v>
      </c>
      <c r="E15" s="927">
        <f>'DB Suhu'!M339</f>
        <v>57.404999999999994</v>
      </c>
      <c r="F15" s="908" t="s">
        <v>719</v>
      </c>
      <c r="G15" s="927">
        <f>'DB Suhu'!O339</f>
        <v>1.5</v>
      </c>
      <c r="H15" s="425" t="s">
        <v>16</v>
      </c>
      <c r="I15" s="425"/>
      <c r="J15" s="425"/>
      <c r="K15" s="425"/>
    </row>
    <row r="16" spans="1:11">
      <c r="A16" s="360"/>
      <c r="B16" s="501" t="s">
        <v>283</v>
      </c>
      <c r="C16" s="429" t="s">
        <v>334</v>
      </c>
      <c r="D16" s="430" t="s">
        <v>3</v>
      </c>
      <c r="E16" s="927">
        <f>'DB ESA'!N198</f>
        <v>224.54130000000001</v>
      </c>
      <c r="F16" s="436" t="str">
        <f>IF(E16="-"," ","Volt")</f>
        <v>Volt</v>
      </c>
      <c r="G16" s="428"/>
      <c r="H16" s="425"/>
      <c r="I16" s="425"/>
      <c r="J16" s="425"/>
      <c r="K16" s="425"/>
    </row>
    <row r="17" spans="1:11" ht="18.5">
      <c r="A17" s="360"/>
      <c r="B17" s="437"/>
      <c r="C17" s="437"/>
      <c r="D17" s="437"/>
      <c r="E17" s="428"/>
      <c r="F17" s="425"/>
      <c r="G17" s="425"/>
      <c r="H17" s="425"/>
      <c r="I17" s="425"/>
      <c r="J17" s="425"/>
      <c r="K17" s="438"/>
    </row>
    <row r="18" spans="1:11" ht="18.5">
      <c r="A18" s="420" t="s">
        <v>285</v>
      </c>
      <c r="B18" s="437" t="s">
        <v>95</v>
      </c>
      <c r="C18" s="425"/>
      <c r="D18" s="425"/>
      <c r="E18" s="425"/>
      <c r="F18" s="425"/>
      <c r="G18" s="438"/>
      <c r="H18" s="425"/>
      <c r="I18" s="425"/>
      <c r="J18" s="439"/>
      <c r="K18" s="500"/>
    </row>
    <row r="19" spans="1:11">
      <c r="A19" s="360"/>
      <c r="B19" s="501" t="s">
        <v>279</v>
      </c>
      <c r="C19" s="440" t="s">
        <v>287</v>
      </c>
      <c r="D19" s="430" t="s">
        <v>3</v>
      </c>
      <c r="E19" s="425" t="str">
        <f>'Lembar Penyelia'!E19</f>
        <v>Baik</v>
      </c>
      <c r="F19" s="473"/>
      <c r="G19" s="473"/>
      <c r="H19" s="473"/>
      <c r="I19" s="473"/>
      <c r="J19" s="473"/>
      <c r="K19" s="500"/>
    </row>
    <row r="20" spans="1:11">
      <c r="A20" s="360"/>
      <c r="B20" s="501" t="s">
        <v>281</v>
      </c>
      <c r="C20" s="440" t="s">
        <v>288</v>
      </c>
      <c r="D20" s="430" t="s">
        <v>3</v>
      </c>
      <c r="E20" s="425" t="str">
        <f>'Lembar Penyelia'!E20</f>
        <v>Baik</v>
      </c>
      <c r="F20" s="473"/>
      <c r="G20" s="473"/>
      <c r="H20" s="473"/>
      <c r="I20" s="473"/>
      <c r="J20" s="473"/>
      <c r="K20" s="500"/>
    </row>
    <row r="21" spans="1:11">
      <c r="A21" s="360"/>
      <c r="B21" s="440"/>
      <c r="C21" s="430"/>
      <c r="D21" s="425"/>
      <c r="E21" s="425"/>
      <c r="F21" s="441"/>
      <c r="G21" s="441"/>
      <c r="H21" s="441"/>
      <c r="I21" s="441"/>
      <c r="J21" s="441"/>
      <c r="K21" s="441"/>
    </row>
    <row r="22" spans="1:11" ht="18.5">
      <c r="A22" s="420" t="s">
        <v>289</v>
      </c>
      <c r="B22" s="437" t="s">
        <v>290</v>
      </c>
      <c r="C22" s="425"/>
      <c r="D22" s="425"/>
      <c r="E22" s="428"/>
      <c r="F22" s="425"/>
      <c r="G22" s="425"/>
      <c r="H22" s="425"/>
      <c r="I22" s="425"/>
      <c r="J22" s="425"/>
      <c r="K22" s="438"/>
    </row>
    <row r="23" spans="1:11" ht="36.75" customHeight="1">
      <c r="A23" s="360"/>
      <c r="B23" s="442" t="s">
        <v>25</v>
      </c>
      <c r="C23" s="1037" t="s">
        <v>26</v>
      </c>
      <c r="D23" s="1038"/>
      <c r="E23" s="1038"/>
      <c r="F23" s="1038"/>
      <c r="G23" s="1039"/>
      <c r="H23" s="1040" t="s">
        <v>27</v>
      </c>
      <c r="I23" s="1041"/>
      <c r="J23" s="1040" t="s">
        <v>28</v>
      </c>
      <c r="K23" s="1041"/>
    </row>
    <row r="24" spans="1:11">
      <c r="A24" s="360"/>
      <c r="B24" s="443">
        <v>1</v>
      </c>
      <c r="C24" s="444" t="str">
        <f>ID!B25</f>
        <v xml:space="preserve">Resistansi isolasi </v>
      </c>
      <c r="D24" s="445"/>
      <c r="E24" s="445"/>
      <c r="F24" s="445"/>
      <c r="G24" s="446"/>
      <c r="H24" s="928" t="str">
        <f>'Lembar Penyelia'!H24</f>
        <v>OL</v>
      </c>
      <c r="I24" s="912" t="s">
        <v>147</v>
      </c>
      <c r="J24" s="1024" t="str">
        <f>ID!I25</f>
        <v>&gt; 2 MΩ</v>
      </c>
      <c r="K24" s="1025"/>
    </row>
    <row r="25" spans="1:11">
      <c r="A25" s="360"/>
      <c r="B25" s="443">
        <v>2</v>
      </c>
      <c r="C25" s="444" t="str">
        <f>ID!B26</f>
        <v>Resistansi pembumian protektif</v>
      </c>
      <c r="D25" s="445"/>
      <c r="E25" s="445"/>
      <c r="F25" s="445"/>
      <c r="G25" s="446"/>
      <c r="H25" s="929">
        <f>'Lembar Penyelia'!H25</f>
        <v>0.1</v>
      </c>
      <c r="I25" s="913" t="s">
        <v>149</v>
      </c>
      <c r="J25" s="1024" t="str">
        <f>ID!I26</f>
        <v>≤ 0.2 Ω</v>
      </c>
      <c r="K25" s="1025"/>
    </row>
    <row r="26" spans="1:11">
      <c r="A26" s="360"/>
      <c r="B26" s="443">
        <v>3</v>
      </c>
      <c r="C26" s="444" t="str">
        <f>ID!B27</f>
        <v xml:space="preserve">Arus bocor peralatan untuk peralatan elektromedik kelas I </v>
      </c>
      <c r="D26" s="445"/>
      <c r="E26" s="445"/>
      <c r="F26" s="445"/>
      <c r="G26" s="446"/>
      <c r="H26" s="930" t="str">
        <f>'Lembar Penyelia'!H26</f>
        <v>-</v>
      </c>
      <c r="I26" s="914" t="s">
        <v>37</v>
      </c>
      <c r="J26" s="1024" t="str">
        <f>ID!I27</f>
        <v>≤ 500 µA</v>
      </c>
      <c r="K26" s="1025"/>
    </row>
    <row r="27" spans="1:11">
      <c r="A27" s="360"/>
      <c r="B27" s="447"/>
      <c r="C27" s="425"/>
      <c r="D27" s="425"/>
      <c r="E27" s="425"/>
      <c r="F27" s="425"/>
      <c r="G27" s="426"/>
      <c r="H27" s="448"/>
      <c r="I27" s="448"/>
      <c r="J27" s="440"/>
      <c r="K27" s="449"/>
    </row>
    <row r="28" spans="1:11">
      <c r="A28" s="420" t="s">
        <v>291</v>
      </c>
      <c r="B28" s="437" t="s">
        <v>292</v>
      </c>
      <c r="C28" s="425"/>
      <c r="D28" s="425"/>
      <c r="E28" s="425"/>
      <c r="F28" s="425"/>
      <c r="G28" s="425"/>
      <c r="H28" s="425"/>
      <c r="I28" s="425"/>
      <c r="J28" s="425"/>
      <c r="K28" s="425"/>
    </row>
    <row r="29" spans="1:11">
      <c r="A29" s="420"/>
      <c r="B29" s="495" t="str">
        <f>ID!A30</f>
        <v xml:space="preserve">     A. Earphone Kanan, SN : </v>
      </c>
      <c r="D29" s="440" t="str">
        <f>ID!C30</f>
        <v>-</v>
      </c>
      <c r="E29" s="425"/>
      <c r="F29" s="425"/>
      <c r="G29" s="425"/>
      <c r="H29" s="425"/>
      <c r="I29" s="425"/>
      <c r="J29" s="425"/>
      <c r="K29" s="425"/>
    </row>
    <row r="30" spans="1:11">
      <c r="A30" s="425"/>
      <c r="C30" s="422" t="s">
        <v>41</v>
      </c>
      <c r="E30" s="425"/>
      <c r="F30" s="425"/>
      <c r="G30" s="425"/>
      <c r="H30" s="425"/>
      <c r="I30" s="425"/>
      <c r="J30" s="425"/>
      <c r="K30" s="425"/>
    </row>
    <row r="31" spans="1:11" ht="15.75" customHeight="1">
      <c r="A31" s="360"/>
      <c r="B31" s="1031"/>
      <c r="C31" s="1034" t="s">
        <v>42</v>
      </c>
      <c r="D31" s="1034" t="s">
        <v>43</v>
      </c>
      <c r="E31" s="1034"/>
      <c r="F31" s="1033" t="s">
        <v>44</v>
      </c>
      <c r="G31" s="1034" t="s">
        <v>293</v>
      </c>
      <c r="H31" s="1059" t="s">
        <v>45</v>
      </c>
      <c r="I31" s="1032"/>
      <c r="J31" s="1042" t="s">
        <v>294</v>
      </c>
      <c r="K31" s="1043"/>
    </row>
    <row r="32" spans="1:11" ht="31">
      <c r="A32" s="360"/>
      <c r="B32" s="1032"/>
      <c r="C32" s="1034"/>
      <c r="D32" s="450" t="s">
        <v>47</v>
      </c>
      <c r="E32" s="450" t="s">
        <v>48</v>
      </c>
      <c r="F32" s="1033"/>
      <c r="G32" s="1034"/>
      <c r="H32" s="1060" t="s">
        <v>722</v>
      </c>
      <c r="I32" s="1031"/>
      <c r="J32" s="1044"/>
      <c r="K32" s="1045"/>
    </row>
    <row r="33" spans="1:11">
      <c r="A33" s="360"/>
      <c r="B33" s="1031"/>
      <c r="C33" s="1033" t="s">
        <v>52</v>
      </c>
      <c r="D33" s="443">
        <f>'Lembar Penyelia'!D33</f>
        <v>125</v>
      </c>
      <c r="E33" s="443">
        <f>'Lembar Penyelia'!E33</f>
        <v>70</v>
      </c>
      <c r="F33" s="932">
        <f>'Lembar Penyelia'!F33</f>
        <v>69.98</v>
      </c>
      <c r="G33" s="932">
        <f>'Lembar Penyelia'!G33</f>
        <v>-1.9999999999996021E-2</v>
      </c>
      <c r="H33" s="1057" t="s">
        <v>719</v>
      </c>
      <c r="I33" s="1068">
        <v>5</v>
      </c>
      <c r="J33" s="915" t="s">
        <v>719</v>
      </c>
      <c r="K33" s="933">
        <f>'Lembar Penyelia'!I33</f>
        <v>0.53380891459609159</v>
      </c>
    </row>
    <row r="34" spans="1:11">
      <c r="A34" s="360"/>
      <c r="B34" s="1025"/>
      <c r="C34" s="1033"/>
      <c r="D34" s="443">
        <f>'Lembar Penyelia'!D34</f>
        <v>250</v>
      </c>
      <c r="E34" s="443">
        <f>'Lembar Penyelia'!E34</f>
        <v>90</v>
      </c>
      <c r="F34" s="932">
        <f>'Lembar Penyelia'!F34</f>
        <v>90.04</v>
      </c>
      <c r="G34" s="932">
        <f>'Lembar Penyelia'!G34</f>
        <v>4.0000000000006253E-2</v>
      </c>
      <c r="H34" s="1064"/>
      <c r="I34" s="1069"/>
      <c r="J34" s="915" t="s">
        <v>719</v>
      </c>
      <c r="K34" s="933">
        <f>'Lembar Penyelia'!I34</f>
        <v>0.53380891459609159</v>
      </c>
    </row>
    <row r="35" spans="1:11">
      <c r="A35" s="360"/>
      <c r="B35" s="1025"/>
      <c r="C35" s="1033"/>
      <c r="D35" s="443">
        <f>'Lembar Penyelia'!D35</f>
        <v>500</v>
      </c>
      <c r="E35" s="443">
        <f>'Lembar Penyelia'!E35</f>
        <v>120</v>
      </c>
      <c r="F35" s="932">
        <f>'Lembar Penyelia'!F35</f>
        <v>120.0376</v>
      </c>
      <c r="G35" s="932">
        <f>'Lembar Penyelia'!G35</f>
        <v>3.7599999999997635E-2</v>
      </c>
      <c r="H35" s="1064"/>
      <c r="I35" s="1069"/>
      <c r="J35" s="915" t="s">
        <v>719</v>
      </c>
      <c r="K35" s="933">
        <f>'Lembar Penyelia'!I35</f>
        <v>0.53380891459609159</v>
      </c>
    </row>
    <row r="36" spans="1:11">
      <c r="A36" s="360"/>
      <c r="B36" s="1025"/>
      <c r="C36" s="1033"/>
      <c r="D36" s="443">
        <f>'Lembar Penyelia'!D36</f>
        <v>750</v>
      </c>
      <c r="E36" s="443">
        <f>'Lembar Penyelia'!E36</f>
        <v>120</v>
      </c>
      <c r="F36" s="932">
        <f>'Lembar Penyelia'!F36</f>
        <v>120.04</v>
      </c>
      <c r="G36" s="932">
        <f>'Lembar Penyelia'!G36</f>
        <v>4.0000000000006253E-2</v>
      </c>
      <c r="H36" s="1064"/>
      <c r="I36" s="1069"/>
      <c r="J36" s="915" t="s">
        <v>719</v>
      </c>
      <c r="K36" s="933">
        <f>'Lembar Penyelia'!I36</f>
        <v>0.62906106791079441</v>
      </c>
    </row>
    <row r="37" spans="1:11">
      <c r="A37" s="360"/>
      <c r="B37" s="1025"/>
      <c r="C37" s="1033"/>
      <c r="D37" s="443">
        <f>'Lembar Penyelia'!D37</f>
        <v>1000</v>
      </c>
      <c r="E37" s="443">
        <f>'Lembar Penyelia'!E37</f>
        <v>120</v>
      </c>
      <c r="F37" s="932">
        <f>'Lembar Penyelia'!F37</f>
        <v>120.04</v>
      </c>
      <c r="G37" s="932">
        <f>'Lembar Penyelia'!G37</f>
        <v>4.0000000000006253E-2</v>
      </c>
      <c r="H37" s="1064"/>
      <c r="I37" s="1069"/>
      <c r="J37" s="915" t="s">
        <v>719</v>
      </c>
      <c r="K37" s="933">
        <f>'Lembar Penyelia'!I37</f>
        <v>0.62906106791079441</v>
      </c>
    </row>
    <row r="38" spans="1:11">
      <c r="A38" s="360"/>
      <c r="B38" s="1025"/>
      <c r="C38" s="1033"/>
      <c r="D38" s="443">
        <f>'Lembar Penyelia'!D38</f>
        <v>1500</v>
      </c>
      <c r="E38" s="443">
        <f>'Lembar Penyelia'!E38</f>
        <v>120</v>
      </c>
      <c r="F38" s="932">
        <f>'Lembar Penyelia'!F38</f>
        <v>120.04</v>
      </c>
      <c r="G38" s="932">
        <f>'Lembar Penyelia'!G38</f>
        <v>4.0000000000006253E-2</v>
      </c>
      <c r="H38" s="1064"/>
      <c r="I38" s="1069"/>
      <c r="J38" s="915" t="s">
        <v>719</v>
      </c>
      <c r="K38" s="933">
        <f>'Lembar Penyelia'!I38</f>
        <v>0.21138092612805931</v>
      </c>
    </row>
    <row r="39" spans="1:11">
      <c r="A39" s="360"/>
      <c r="B39" s="1025"/>
      <c r="C39" s="1033"/>
      <c r="D39" s="443">
        <f>'Lembar Penyelia'!D39</f>
        <v>2000</v>
      </c>
      <c r="E39" s="443">
        <f>'Lembar Penyelia'!E39</f>
        <v>120</v>
      </c>
      <c r="F39" s="932">
        <f>'Lembar Penyelia'!F39</f>
        <v>120.04</v>
      </c>
      <c r="G39" s="932">
        <f>'Lembar Penyelia'!G39</f>
        <v>4.0000000000006253E-2</v>
      </c>
      <c r="H39" s="1064"/>
      <c r="I39" s="1069"/>
      <c r="J39" s="915" t="s">
        <v>719</v>
      </c>
      <c r="K39" s="933">
        <f>'Lembar Penyelia'!I39</f>
        <v>0.82361120611612804</v>
      </c>
    </row>
    <row r="40" spans="1:11">
      <c r="A40" s="360"/>
      <c r="B40" s="1025"/>
      <c r="C40" s="1033"/>
      <c r="D40" s="443">
        <f>'Lembar Penyelia'!D40</f>
        <v>3000</v>
      </c>
      <c r="E40" s="443">
        <f>'Lembar Penyelia'!E40</f>
        <v>120</v>
      </c>
      <c r="F40" s="932">
        <f>'Lembar Penyelia'!F40</f>
        <v>120.63759999999998</v>
      </c>
      <c r="G40" s="932">
        <f>'Lembar Penyelia'!G40</f>
        <v>0.63759999999997774</v>
      </c>
      <c r="H40" s="1064"/>
      <c r="I40" s="1069"/>
      <c r="J40" s="915" t="s">
        <v>719</v>
      </c>
      <c r="K40" s="933">
        <f>'Lembar Penyelia'!I40</f>
        <v>0.725876466154452</v>
      </c>
    </row>
    <row r="41" spans="1:11">
      <c r="A41" s="360"/>
      <c r="B41" s="1025"/>
      <c r="C41" s="1033"/>
      <c r="D41" s="443">
        <f>'Lembar Penyelia'!D41</f>
        <v>4000</v>
      </c>
      <c r="E41" s="443">
        <f>'Lembar Penyelia'!E41</f>
        <v>120</v>
      </c>
      <c r="F41" s="932">
        <f>'Lembar Penyelia'!F41</f>
        <v>120.63759999999998</v>
      </c>
      <c r="G41" s="932">
        <f>'Lembar Penyelia'!G41</f>
        <v>0.63759999999997774</v>
      </c>
      <c r="H41" s="1058"/>
      <c r="I41" s="1070"/>
      <c r="J41" s="915" t="s">
        <v>719</v>
      </c>
      <c r="K41" s="933">
        <f>'Lembar Penyelia'!I41</f>
        <v>1.1197736458955867</v>
      </c>
    </row>
    <row r="42" spans="1:11">
      <c r="A42" s="360"/>
      <c r="B42" s="1025"/>
      <c r="C42" s="1033"/>
      <c r="D42" s="443">
        <f>'Lembar Penyelia'!D42</f>
        <v>6000</v>
      </c>
      <c r="E42" s="443">
        <f>'Lembar Penyelia'!E42</f>
        <v>110</v>
      </c>
      <c r="F42" s="932">
        <f>'Lembar Penyelia'!F42</f>
        <v>110.2106</v>
      </c>
      <c r="G42" s="932">
        <f>'Lembar Penyelia'!G42</f>
        <v>0.21059999999999945</v>
      </c>
      <c r="H42" s="1057" t="s">
        <v>719</v>
      </c>
      <c r="I42" s="1068">
        <v>8</v>
      </c>
      <c r="J42" s="915" t="s">
        <v>719</v>
      </c>
      <c r="K42" s="933">
        <f>'Lembar Penyelia'!I42</f>
        <v>1.3179866410832879</v>
      </c>
    </row>
    <row r="43" spans="1:11">
      <c r="A43" s="360"/>
      <c r="B43" s="1032"/>
      <c r="C43" s="1033"/>
      <c r="D43" s="443">
        <f>'Lembar Penyelia'!D43</f>
        <v>8000</v>
      </c>
      <c r="E43" s="443">
        <f>'Lembar Penyelia'!E43</f>
        <v>100</v>
      </c>
      <c r="F43" s="932">
        <f>'Lembar Penyelia'!F43</f>
        <v>99.99</v>
      </c>
      <c r="G43" s="932">
        <f>'Lembar Penyelia'!G43</f>
        <v>-1.0000000000005116E-2</v>
      </c>
      <c r="H43" s="1058"/>
      <c r="I43" s="1070"/>
      <c r="J43" s="915" t="s">
        <v>719</v>
      </c>
      <c r="K43" s="933">
        <f>'Lembar Penyelia'!I43</f>
        <v>1.1197736458955867</v>
      </c>
    </row>
    <row r="44" spans="1:11">
      <c r="A44" s="360"/>
      <c r="B44" s="426"/>
      <c r="C44" s="452"/>
      <c r="D44" s="426"/>
      <c r="E44" s="426"/>
      <c r="F44" s="426"/>
      <c r="G44" s="426"/>
      <c r="H44" s="426"/>
      <c r="I44" s="426"/>
      <c r="J44" s="455"/>
      <c r="K44" s="500"/>
    </row>
    <row r="45" spans="1:11">
      <c r="A45" s="360"/>
      <c r="B45" s="426"/>
      <c r="C45" s="440" t="s">
        <v>56</v>
      </c>
      <c r="D45" s="426"/>
      <c r="E45" s="426"/>
      <c r="F45" s="425"/>
      <c r="G45" s="425"/>
      <c r="H45" s="425"/>
      <c r="I45" s="425"/>
      <c r="J45" s="453"/>
      <c r="K45" s="425"/>
    </row>
    <row r="46" spans="1:11" ht="15.75" customHeight="1">
      <c r="A46" s="360"/>
      <c r="B46" s="1031"/>
      <c r="C46" s="1034" t="s">
        <v>42</v>
      </c>
      <c r="D46" s="1034" t="s">
        <v>43</v>
      </c>
      <c r="E46" s="1034"/>
      <c r="F46" s="1033" t="s">
        <v>44</v>
      </c>
      <c r="G46" s="1034" t="s">
        <v>293</v>
      </c>
      <c r="H46" s="1059" t="s">
        <v>45</v>
      </c>
      <c r="I46" s="1032"/>
      <c r="J46" s="1042" t="s">
        <v>294</v>
      </c>
      <c r="K46" s="1043"/>
    </row>
    <row r="47" spans="1:11" ht="31">
      <c r="A47" s="360"/>
      <c r="B47" s="1032"/>
      <c r="C47" s="1034"/>
      <c r="D47" s="450" t="s">
        <v>47</v>
      </c>
      <c r="E47" s="450" t="s">
        <v>48</v>
      </c>
      <c r="F47" s="1033"/>
      <c r="G47" s="1034"/>
      <c r="H47" s="1060" t="s">
        <v>721</v>
      </c>
      <c r="I47" s="1031"/>
      <c r="J47" s="1044"/>
      <c r="K47" s="1045"/>
    </row>
    <row r="48" spans="1:11">
      <c r="A48" s="360"/>
      <c r="B48" s="1031"/>
      <c r="C48" s="1033" t="s">
        <v>47</v>
      </c>
      <c r="D48" s="443">
        <f>'Lembar Penyelia'!D48</f>
        <v>125</v>
      </c>
      <c r="E48" s="443" t="str">
        <f>'Lembar Penyelia'!E48</f>
        <v>MAX</v>
      </c>
      <c r="F48" s="932">
        <f>'Lembar Penyelia'!F48</f>
        <v>125</v>
      </c>
      <c r="G48" s="934">
        <f>'Lembar Penyelia'!G48</f>
        <v>0</v>
      </c>
      <c r="H48" s="915" t="s">
        <v>719</v>
      </c>
      <c r="I48" s="933">
        <v>1.9</v>
      </c>
      <c r="J48" s="915" t="s">
        <v>719</v>
      </c>
      <c r="K48" s="933">
        <f>'Lembar Penyelia'!I48</f>
        <v>0.50213977802519028</v>
      </c>
    </row>
    <row r="49" spans="1:11">
      <c r="A49" s="360"/>
      <c r="B49" s="1025"/>
      <c r="C49" s="1033"/>
      <c r="D49" s="443">
        <f>'Lembar Penyelia'!D49</f>
        <v>250</v>
      </c>
      <c r="E49" s="443" t="str">
        <f>'Lembar Penyelia'!E49</f>
        <v>MAX</v>
      </c>
      <c r="F49" s="932">
        <f>'Lembar Penyelia'!F49</f>
        <v>250</v>
      </c>
      <c r="G49" s="934">
        <f>'Lembar Penyelia'!G49</f>
        <v>0</v>
      </c>
      <c r="H49" s="915" t="s">
        <v>719</v>
      </c>
      <c r="I49" s="935">
        <v>4</v>
      </c>
      <c r="J49" s="915" t="s">
        <v>719</v>
      </c>
      <c r="K49" s="933">
        <f>'Lembar Penyelia'!I49</f>
        <v>0.50213977802519028</v>
      </c>
    </row>
    <row r="50" spans="1:11">
      <c r="A50" s="360"/>
      <c r="B50" s="1025"/>
      <c r="C50" s="1033"/>
      <c r="D50" s="443">
        <f>'Lembar Penyelia'!D50</f>
        <v>500</v>
      </c>
      <c r="E50" s="443" t="str">
        <f>'Lembar Penyelia'!E50</f>
        <v>MAX</v>
      </c>
      <c r="F50" s="932">
        <f>'Lembar Penyelia'!F50</f>
        <v>500</v>
      </c>
      <c r="G50" s="934">
        <f>'Lembar Penyelia'!G50</f>
        <v>0</v>
      </c>
      <c r="H50" s="915" t="s">
        <v>719</v>
      </c>
      <c r="I50" s="935">
        <v>8</v>
      </c>
      <c r="J50" s="915" t="s">
        <v>719</v>
      </c>
      <c r="K50" s="933">
        <f>'Lembar Penyelia'!I50</f>
        <v>0.50213977802519028</v>
      </c>
    </row>
    <row r="51" spans="1:11">
      <c r="A51" s="360"/>
      <c r="B51" s="1025"/>
      <c r="C51" s="1033"/>
      <c r="D51" s="443">
        <f>'Lembar Penyelia'!D51</f>
        <v>750</v>
      </c>
      <c r="E51" s="443" t="str">
        <f>'Lembar Penyelia'!E51</f>
        <v>MAX</v>
      </c>
      <c r="F51" s="932">
        <f>'Lembar Penyelia'!F51</f>
        <v>750</v>
      </c>
      <c r="G51" s="934">
        <f>'Lembar Penyelia'!G51</f>
        <v>0</v>
      </c>
      <c r="H51" s="915" t="s">
        <v>719</v>
      </c>
      <c r="I51" s="935">
        <v>11</v>
      </c>
      <c r="J51" s="915" t="s">
        <v>719</v>
      </c>
      <c r="K51" s="933">
        <f>'Lembar Penyelia'!I51</f>
        <v>0.50213977802519028</v>
      </c>
    </row>
    <row r="52" spans="1:11">
      <c r="A52" s="360"/>
      <c r="B52" s="1025"/>
      <c r="C52" s="1033"/>
      <c r="D52" s="443">
        <f>'Lembar Penyelia'!D52</f>
        <v>1000</v>
      </c>
      <c r="E52" s="443" t="str">
        <f>'Lembar Penyelia'!E52</f>
        <v>MAX</v>
      </c>
      <c r="F52" s="932">
        <f>'Lembar Penyelia'!F52</f>
        <v>1000</v>
      </c>
      <c r="G52" s="934">
        <f>'Lembar Penyelia'!G52</f>
        <v>0</v>
      </c>
      <c r="H52" s="915" t="s">
        <v>719</v>
      </c>
      <c r="I52" s="935">
        <v>15</v>
      </c>
      <c r="J52" s="915" t="s">
        <v>719</v>
      </c>
      <c r="K52" s="933">
        <f>'Lembar Penyelia'!I52</f>
        <v>0.50213977802519028</v>
      </c>
    </row>
    <row r="53" spans="1:11">
      <c r="A53" s="360"/>
      <c r="B53" s="1025"/>
      <c r="C53" s="1033"/>
      <c r="D53" s="443">
        <f>'Lembar Penyelia'!D53</f>
        <v>1500</v>
      </c>
      <c r="E53" s="443" t="str">
        <f>'Lembar Penyelia'!E53</f>
        <v>MAX</v>
      </c>
      <c r="F53" s="932">
        <f>'Lembar Penyelia'!F53</f>
        <v>1500</v>
      </c>
      <c r="G53" s="934">
        <f>'Lembar Penyelia'!G53</f>
        <v>0</v>
      </c>
      <c r="H53" s="915" t="s">
        <v>719</v>
      </c>
      <c r="I53" s="935">
        <v>23</v>
      </c>
      <c r="J53" s="915" t="s">
        <v>719</v>
      </c>
      <c r="K53" s="933">
        <f>'Lembar Penyelia'!I53</f>
        <v>0.50213977802519028</v>
      </c>
    </row>
    <row r="54" spans="1:11">
      <c r="A54" s="360"/>
      <c r="B54" s="1025"/>
      <c r="C54" s="1033"/>
      <c r="D54" s="443">
        <f>'Lembar Penyelia'!D54</f>
        <v>2000</v>
      </c>
      <c r="E54" s="443" t="str">
        <f>'Lembar Penyelia'!E54</f>
        <v>MAX</v>
      </c>
      <c r="F54" s="932">
        <f>'Lembar Penyelia'!F54</f>
        <v>2000</v>
      </c>
      <c r="G54" s="934">
        <f>'Lembar Penyelia'!G54</f>
        <v>0</v>
      </c>
      <c r="H54" s="915" t="s">
        <v>719</v>
      </c>
      <c r="I54" s="935">
        <v>30</v>
      </c>
      <c r="J54" s="915" t="s">
        <v>719</v>
      </c>
      <c r="K54" s="933">
        <f>'Lembar Penyelia'!I54</f>
        <v>0.50213977802519028</v>
      </c>
    </row>
    <row r="55" spans="1:11">
      <c r="A55" s="360"/>
      <c r="B55" s="1025"/>
      <c r="C55" s="1033"/>
      <c r="D55" s="443">
        <f>'Lembar Penyelia'!D55</f>
        <v>3000</v>
      </c>
      <c r="E55" s="443" t="str">
        <f>'Lembar Penyelia'!E55</f>
        <v>MAX</v>
      </c>
      <c r="F55" s="932">
        <f>'Lembar Penyelia'!F55</f>
        <v>3000</v>
      </c>
      <c r="G55" s="934">
        <f>'Lembar Penyelia'!G55</f>
        <v>0</v>
      </c>
      <c r="H55" s="915" t="s">
        <v>719</v>
      </c>
      <c r="I55" s="935">
        <v>45</v>
      </c>
      <c r="J55" s="915" t="s">
        <v>719</v>
      </c>
      <c r="K55" s="933">
        <f>'Lembar Penyelia'!I55</f>
        <v>0.50213977802519028</v>
      </c>
    </row>
    <row r="56" spans="1:11">
      <c r="A56" s="360"/>
      <c r="B56" s="1025"/>
      <c r="C56" s="1033"/>
      <c r="D56" s="443">
        <f>'Lembar Penyelia'!D56</f>
        <v>4000</v>
      </c>
      <c r="E56" s="443" t="str">
        <f>'Lembar Penyelia'!E56</f>
        <v>MAX</v>
      </c>
      <c r="F56" s="932">
        <f>'Lembar Penyelia'!F56</f>
        <v>4000</v>
      </c>
      <c r="G56" s="934">
        <f>'Lembar Penyelia'!G56</f>
        <v>0</v>
      </c>
      <c r="H56" s="916" t="s">
        <v>719</v>
      </c>
      <c r="I56" s="936">
        <v>60</v>
      </c>
      <c r="J56" s="915" t="s">
        <v>719</v>
      </c>
      <c r="K56" s="933">
        <f>'Lembar Penyelia'!I56</f>
        <v>0.50213977802519028</v>
      </c>
    </row>
    <row r="57" spans="1:11">
      <c r="A57" s="360"/>
      <c r="B57" s="1025"/>
      <c r="C57" s="1033"/>
      <c r="D57" s="443">
        <f>'Lembar Penyelia'!D57</f>
        <v>6000</v>
      </c>
      <c r="E57" s="443" t="str">
        <f>'Lembar Penyelia'!E57</f>
        <v>MAX</v>
      </c>
      <c r="F57" s="932">
        <f>'Lembar Penyelia'!F57</f>
        <v>6000</v>
      </c>
      <c r="G57" s="934">
        <f>'Lembar Penyelia'!G57</f>
        <v>0</v>
      </c>
      <c r="H57" s="915" t="s">
        <v>719</v>
      </c>
      <c r="I57" s="935">
        <v>90</v>
      </c>
      <c r="J57" s="915" t="s">
        <v>719</v>
      </c>
      <c r="K57" s="933">
        <f>'Lembar Penyelia'!I57</f>
        <v>0.50213977802519028</v>
      </c>
    </row>
    <row r="58" spans="1:11">
      <c r="A58" s="360"/>
      <c r="B58" s="1032"/>
      <c r="C58" s="1033"/>
      <c r="D58" s="443">
        <f>'Lembar Penyelia'!D58</f>
        <v>8000</v>
      </c>
      <c r="E58" s="443" t="str">
        <f>'Lembar Penyelia'!E58</f>
        <v>MAX</v>
      </c>
      <c r="F58" s="932">
        <f>'Lembar Penyelia'!F58</f>
        <v>8000</v>
      </c>
      <c r="G58" s="934">
        <f>'Lembar Penyelia'!G58</f>
        <v>0</v>
      </c>
      <c r="H58" s="915" t="s">
        <v>719</v>
      </c>
      <c r="I58" s="935">
        <v>120</v>
      </c>
      <c r="J58" s="915" t="s">
        <v>719</v>
      </c>
      <c r="K58" s="933">
        <f>'Lembar Penyelia'!I58</f>
        <v>0.50213977802519028</v>
      </c>
    </row>
    <row r="59" spans="1:11">
      <c r="A59" s="360"/>
      <c r="B59" s="426"/>
      <c r="C59" s="452"/>
      <c r="D59" s="426"/>
      <c r="E59" s="426"/>
      <c r="F59" s="454"/>
      <c r="G59" s="454"/>
      <c r="H59" s="471"/>
      <c r="I59" s="471"/>
      <c r="J59" s="586"/>
      <c r="K59" s="360"/>
    </row>
    <row r="60" spans="1:11">
      <c r="A60" s="360"/>
      <c r="B60" s="426"/>
      <c r="C60" s="452"/>
      <c r="D60" s="426"/>
      <c r="E60" s="426"/>
      <c r="F60" s="454"/>
      <c r="G60" s="454"/>
      <c r="H60" s="471"/>
      <c r="I60" s="471"/>
      <c r="J60" s="586"/>
      <c r="K60" s="360"/>
    </row>
    <row r="61" spans="1:11">
      <c r="A61" s="360"/>
      <c r="B61" s="426"/>
      <c r="C61" s="452"/>
      <c r="D61" s="426"/>
      <c r="E61" s="426"/>
      <c r="F61" s="454"/>
      <c r="G61" s="454"/>
      <c r="H61" s="471"/>
      <c r="I61" s="471"/>
      <c r="J61" s="586"/>
      <c r="K61" s="360"/>
    </row>
    <row r="62" spans="1:11">
      <c r="A62" s="360"/>
      <c r="B62" s="426"/>
      <c r="C62" s="452"/>
      <c r="D62" s="426"/>
      <c r="E62" s="426"/>
      <c r="F62" s="454"/>
      <c r="G62" s="454"/>
      <c r="H62" s="471"/>
      <c r="I62" s="471"/>
      <c r="J62" s="586"/>
      <c r="K62" s="360"/>
    </row>
    <row r="63" spans="1:11">
      <c r="A63" s="360"/>
      <c r="B63" s="426"/>
      <c r="C63" s="452"/>
      <c r="D63" s="426"/>
      <c r="E63" s="426"/>
      <c r="F63" s="454"/>
      <c r="G63" s="454"/>
      <c r="H63" s="471"/>
      <c r="I63" s="471"/>
      <c r="J63" s="586"/>
      <c r="K63" s="360"/>
    </row>
    <row r="64" spans="1:11">
      <c r="A64" s="360"/>
      <c r="B64" s="426"/>
      <c r="C64" s="452"/>
      <c r="D64" s="426"/>
      <c r="E64" s="426"/>
      <c r="F64" s="454"/>
      <c r="G64" s="454"/>
      <c r="H64" s="471"/>
      <c r="I64" s="471"/>
      <c r="J64" s="586"/>
      <c r="K64" s="360"/>
    </row>
    <row r="65" spans="1:11">
      <c r="A65" s="360"/>
      <c r="B65" s="426"/>
      <c r="C65" s="452"/>
      <c r="D65" s="426"/>
      <c r="E65" s="426"/>
      <c r="F65" s="454"/>
      <c r="G65" s="454"/>
      <c r="H65" s="471"/>
      <c r="I65" s="471"/>
      <c r="J65" s="586"/>
      <c r="K65" s="360"/>
    </row>
    <row r="66" spans="1:11" ht="19.5" customHeight="1">
      <c r="A66" s="360"/>
      <c r="B66" s="426"/>
      <c r="C66" s="452"/>
      <c r="D66" s="426"/>
      <c r="E66" s="426"/>
      <c r="F66" s="454"/>
      <c r="G66" s="454"/>
      <c r="H66" s="471"/>
      <c r="I66" s="471"/>
      <c r="J66" s="586"/>
      <c r="K66" s="759" t="s">
        <v>335</v>
      </c>
    </row>
    <row r="67" spans="1:11">
      <c r="A67" s="360"/>
      <c r="B67" s="426"/>
      <c r="C67" s="452"/>
      <c r="D67" s="426"/>
      <c r="E67" s="426"/>
      <c r="F67" s="454"/>
      <c r="G67" s="454"/>
      <c r="H67" s="471"/>
      <c r="I67" s="471"/>
      <c r="J67" s="586"/>
    </row>
    <row r="68" spans="1:11">
      <c r="A68" s="360"/>
      <c r="B68" s="426"/>
      <c r="C68" s="452"/>
      <c r="D68" s="426"/>
      <c r="E68" s="426"/>
      <c r="F68" s="454"/>
      <c r="G68" s="454"/>
      <c r="H68" s="471"/>
      <c r="I68" s="471"/>
      <c r="J68" s="586"/>
    </row>
    <row r="69" spans="1:11" hidden="1">
      <c r="A69" s="360"/>
      <c r="B69" s="426"/>
      <c r="C69" s="452"/>
      <c r="D69" s="426"/>
      <c r="E69" s="426"/>
      <c r="F69" s="454"/>
      <c r="G69" s="454"/>
      <c r="H69" s="471"/>
      <c r="I69" s="471"/>
      <c r="J69" s="586"/>
      <c r="K69" s="360"/>
    </row>
    <row r="70" spans="1:11" hidden="1">
      <c r="A70" s="360"/>
      <c r="B70" s="426"/>
      <c r="C70" s="452"/>
      <c r="D70" s="426"/>
      <c r="E70" s="426"/>
      <c r="F70" s="454"/>
      <c r="G70" s="454"/>
      <c r="H70" s="471"/>
      <c r="I70" s="471"/>
      <c r="J70" s="586"/>
      <c r="K70" s="360"/>
    </row>
    <row r="71" spans="1:11" hidden="1">
      <c r="A71" s="360"/>
      <c r="B71" s="426"/>
      <c r="C71" s="452"/>
      <c r="D71" s="426"/>
      <c r="E71" s="426"/>
      <c r="F71" s="454"/>
      <c r="G71" s="454"/>
      <c r="H71" s="471"/>
      <c r="I71" s="471"/>
      <c r="J71" s="586"/>
      <c r="K71" s="360"/>
    </row>
    <row r="72" spans="1:11" hidden="1">
      <c r="A72" s="360"/>
      <c r="B72" s="426"/>
      <c r="C72" s="452"/>
      <c r="D72" s="426"/>
      <c r="E72" s="426"/>
      <c r="F72" s="454"/>
      <c r="G72" s="454"/>
      <c r="H72" s="471"/>
      <c r="I72" s="471"/>
      <c r="J72" s="586"/>
    </row>
    <row r="73" spans="1:11" hidden="1">
      <c r="A73" s="360"/>
      <c r="B73" s="426"/>
      <c r="C73" s="452"/>
      <c r="D73" s="426"/>
      <c r="E73" s="426"/>
      <c r="F73" s="454"/>
      <c r="G73" s="454"/>
      <c r="H73" s="471"/>
      <c r="I73" s="471"/>
      <c r="J73" s="586"/>
    </row>
    <row r="74" spans="1:11" hidden="1">
      <c r="A74" s="360"/>
      <c r="B74" s="426"/>
      <c r="C74" s="452"/>
      <c r="D74" s="426"/>
      <c r="E74" s="426"/>
      <c r="F74" s="454"/>
      <c r="G74" s="454"/>
      <c r="H74" s="471"/>
      <c r="I74" s="471"/>
      <c r="J74" s="586"/>
    </row>
    <row r="75" spans="1:11" hidden="1">
      <c r="A75" s="360"/>
      <c r="B75" s="426"/>
      <c r="C75" s="452"/>
      <c r="D75" s="426"/>
      <c r="E75" s="426"/>
      <c r="F75" s="454"/>
      <c r="G75" s="454"/>
      <c r="H75" s="471"/>
      <c r="I75" s="471"/>
      <c r="J75" s="586"/>
      <c r="K75" s="360"/>
    </row>
    <row r="76" spans="1:11" hidden="1">
      <c r="A76" s="360"/>
      <c r="B76" s="426"/>
      <c r="C76" s="452"/>
      <c r="D76" s="426"/>
      <c r="E76" s="426"/>
      <c r="F76" s="454"/>
      <c r="G76" s="454"/>
      <c r="H76" s="471"/>
      <c r="I76" s="471"/>
      <c r="J76" s="586"/>
    </row>
    <row r="77" spans="1:11" hidden="1">
      <c r="A77" s="360"/>
      <c r="B77" s="426"/>
      <c r="C77" s="440" t="s">
        <v>59</v>
      </c>
      <c r="D77" s="426"/>
      <c r="E77" s="426"/>
      <c r="F77" s="454"/>
      <c r="G77" s="454"/>
      <c r="H77" s="454"/>
      <c r="I77" s="454"/>
      <c r="J77" s="426"/>
    </row>
    <row r="78" spans="1:11" ht="15" hidden="1" customHeight="1">
      <c r="A78" s="360"/>
      <c r="B78" s="1046"/>
      <c r="C78" s="941" t="s">
        <v>42</v>
      </c>
      <c r="D78" s="941" t="s">
        <v>43</v>
      </c>
      <c r="E78" s="941"/>
      <c r="F78" s="1022" t="s">
        <v>44</v>
      </c>
      <c r="G78" s="1023" t="s">
        <v>293</v>
      </c>
      <c r="H78" s="1028" t="str">
        <f>'Lembar Penyelia'!H73</f>
        <v>Kesalahan Relatif (%)</v>
      </c>
      <c r="I78" s="901"/>
      <c r="J78" s="1023" t="s">
        <v>45</v>
      </c>
      <c r="K78" s="1026" t="s">
        <v>294</v>
      </c>
    </row>
    <row r="79" spans="1:11" ht="31" hidden="1">
      <c r="A79" s="360"/>
      <c r="B79" s="1048"/>
      <c r="C79" s="939"/>
      <c r="D79" s="349" t="s">
        <v>47</v>
      </c>
      <c r="E79" s="349" t="s">
        <v>48</v>
      </c>
      <c r="F79" s="1022"/>
      <c r="G79" s="1023"/>
      <c r="H79" s="1028"/>
      <c r="I79" s="901"/>
      <c r="J79" s="1023"/>
      <c r="K79" s="1027"/>
    </row>
    <row r="80" spans="1:11" hidden="1">
      <c r="A80" s="360"/>
      <c r="B80" s="1046"/>
      <c r="C80" s="943" t="s">
        <v>160</v>
      </c>
      <c r="D80" s="464">
        <f>'Lembar Penyelia'!D75</f>
        <v>125</v>
      </c>
      <c r="E80" s="464">
        <f>'Lembar Penyelia'!E75</f>
        <v>75</v>
      </c>
      <c r="F80" s="475" t="str">
        <f>'Lembar Penyelia'!F75</f>
        <v>-</v>
      </c>
      <c r="G80" s="475" t="str">
        <f>'Lembar Penyelia'!G75</f>
        <v>-</v>
      </c>
      <c r="H80" s="515" t="e">
        <f>'Lembar Penyelia'!H75</f>
        <v>#DIV/0!</v>
      </c>
      <c r="I80" s="909"/>
      <c r="J80" s="1050">
        <f>'Lembar Kerja'!H64</f>
        <v>3</v>
      </c>
      <c r="K80" s="572" t="str">
        <f>'Lembar Penyelia'!J75</f>
        <v>-</v>
      </c>
    </row>
    <row r="81" spans="1:11" hidden="1">
      <c r="A81" s="360"/>
      <c r="B81" s="1047"/>
      <c r="C81" s="1049"/>
      <c r="D81" s="464">
        <f>'Lembar Penyelia'!D76</f>
        <v>250</v>
      </c>
      <c r="E81" s="464">
        <f>'Lembar Penyelia'!E76</f>
        <v>90</v>
      </c>
      <c r="F81" s="475" t="str">
        <f>'Lembar Penyelia'!F76</f>
        <v>-</v>
      </c>
      <c r="G81" s="475" t="str">
        <f>'Lembar Penyelia'!G76</f>
        <v>-</v>
      </c>
      <c r="H81" s="515" t="e">
        <f>'Lembar Penyelia'!H76</f>
        <v>#DIV/0!</v>
      </c>
      <c r="I81" s="910"/>
      <c r="J81" s="1051"/>
      <c r="K81" s="572" t="str">
        <f>'Lembar Penyelia'!J76</f>
        <v>-</v>
      </c>
    </row>
    <row r="82" spans="1:11" hidden="1">
      <c r="A82" s="360"/>
      <c r="B82" s="1047"/>
      <c r="C82" s="1049"/>
      <c r="D82" s="464">
        <f>'Lembar Penyelia'!D77</f>
        <v>500</v>
      </c>
      <c r="E82" s="464">
        <f>'Lembar Penyelia'!E77</f>
        <v>110</v>
      </c>
      <c r="F82" s="475" t="str">
        <f>'Lembar Penyelia'!F77</f>
        <v>-</v>
      </c>
      <c r="G82" s="475" t="str">
        <f>'Lembar Penyelia'!G77</f>
        <v>-</v>
      </c>
      <c r="H82" s="515" t="e">
        <f>'Lembar Penyelia'!H77</f>
        <v>#DIV/0!</v>
      </c>
      <c r="I82" s="910"/>
      <c r="J82" s="1051"/>
      <c r="K82" s="572" t="str">
        <f>'Lembar Penyelia'!J77</f>
        <v>-</v>
      </c>
    </row>
    <row r="83" spans="1:11" hidden="1">
      <c r="A83" s="360"/>
      <c r="B83" s="1047"/>
      <c r="C83" s="1049"/>
      <c r="D83" s="464">
        <f>'Lembar Penyelia'!D78</f>
        <v>750</v>
      </c>
      <c r="E83" s="464">
        <f>'Lembar Penyelia'!E78</f>
        <v>110</v>
      </c>
      <c r="F83" s="475" t="str">
        <f>'Lembar Penyelia'!F78</f>
        <v>-</v>
      </c>
      <c r="G83" s="475" t="str">
        <f>'Lembar Penyelia'!G78</f>
        <v>-</v>
      </c>
      <c r="H83" s="515" t="e">
        <f>'Lembar Penyelia'!H78</f>
        <v>#DIV/0!</v>
      </c>
      <c r="I83" s="910"/>
      <c r="J83" s="1051"/>
      <c r="K83" s="572" t="str">
        <f>'Lembar Penyelia'!J78</f>
        <v>-</v>
      </c>
    </row>
    <row r="84" spans="1:11" hidden="1">
      <c r="A84" s="360"/>
      <c r="B84" s="1047"/>
      <c r="C84" s="1049"/>
      <c r="D84" s="464">
        <f>'Lembar Penyelia'!D79</f>
        <v>1000</v>
      </c>
      <c r="E84" s="464">
        <f>'Lembar Penyelia'!E79</f>
        <v>110</v>
      </c>
      <c r="F84" s="475" t="str">
        <f>'Lembar Penyelia'!F79</f>
        <v>-</v>
      </c>
      <c r="G84" s="475" t="str">
        <f>'Lembar Penyelia'!G79</f>
        <v>-</v>
      </c>
      <c r="H84" s="515" t="e">
        <f>'Lembar Penyelia'!H79</f>
        <v>#DIV/0!</v>
      </c>
      <c r="I84" s="910"/>
      <c r="J84" s="1051"/>
      <c r="K84" s="572" t="str">
        <f>'Lembar Penyelia'!J79</f>
        <v>-</v>
      </c>
    </row>
    <row r="85" spans="1:11" hidden="1">
      <c r="A85" s="360"/>
      <c r="B85" s="1047"/>
      <c r="C85" s="944" t="s">
        <v>158</v>
      </c>
      <c r="D85" s="464">
        <f>'Lembar Penyelia'!D80</f>
        <v>1500</v>
      </c>
      <c r="E85" s="464">
        <f>'Lembar Penyelia'!E80</f>
        <v>110</v>
      </c>
      <c r="F85" s="475" t="str">
        <f>'Lembar Penyelia'!F80</f>
        <v>-</v>
      </c>
      <c r="G85" s="475" t="str">
        <f>'Lembar Penyelia'!G80</f>
        <v>-</v>
      </c>
      <c r="H85" s="515" t="e">
        <f>'Lembar Penyelia'!H80</f>
        <v>#DIV/0!</v>
      </c>
      <c r="I85" s="910"/>
      <c r="J85" s="1051"/>
      <c r="K85" s="572" t="str">
        <f>'Lembar Penyelia'!J80</f>
        <v>-</v>
      </c>
    </row>
    <row r="86" spans="1:11" hidden="1">
      <c r="A86" s="360"/>
      <c r="B86" s="1047"/>
      <c r="C86" s="942"/>
      <c r="D86" s="464">
        <f>'Lembar Penyelia'!D81</f>
        <v>2000</v>
      </c>
      <c r="E86" s="464">
        <f>'Lembar Penyelia'!E81</f>
        <v>110</v>
      </c>
      <c r="F86" s="475" t="str">
        <f>'Lembar Penyelia'!F81</f>
        <v>-</v>
      </c>
      <c r="G86" s="475" t="str">
        <f>'Lembar Penyelia'!G81</f>
        <v>-</v>
      </c>
      <c r="H86" s="515" t="e">
        <f>'Lembar Penyelia'!H81</f>
        <v>#DIV/0!</v>
      </c>
      <c r="I86" s="910"/>
      <c r="J86" s="1051"/>
      <c r="K86" s="572" t="str">
        <f>'Lembar Penyelia'!J81</f>
        <v>-</v>
      </c>
    </row>
    <row r="87" spans="1:11" hidden="1">
      <c r="A87" s="360"/>
      <c r="B87" s="1047"/>
      <c r="C87" s="942"/>
      <c r="D87" s="464">
        <f>'Lembar Penyelia'!D82</f>
        <v>3000</v>
      </c>
      <c r="E87" s="464">
        <f>'Lembar Penyelia'!E82</f>
        <v>110</v>
      </c>
      <c r="F87" s="475" t="str">
        <f>'Lembar Penyelia'!F82</f>
        <v>-</v>
      </c>
      <c r="G87" s="475" t="str">
        <f>'Lembar Penyelia'!G82</f>
        <v>-</v>
      </c>
      <c r="H87" s="515" t="e">
        <f>'Lembar Penyelia'!H82</f>
        <v>#DIV/0!</v>
      </c>
      <c r="I87" s="910"/>
      <c r="J87" s="1051"/>
      <c r="K87" s="572" t="str">
        <f>'Lembar Penyelia'!J82</f>
        <v>-</v>
      </c>
    </row>
    <row r="88" spans="1:11" hidden="1">
      <c r="A88" s="360"/>
      <c r="B88" s="1047"/>
      <c r="C88" s="942"/>
      <c r="D88" s="464">
        <f>'Lembar Penyelia'!D83</f>
        <v>4000</v>
      </c>
      <c r="E88" s="464">
        <f>'Lembar Penyelia'!E83</f>
        <v>110</v>
      </c>
      <c r="F88" s="475" t="str">
        <f>'Lembar Penyelia'!F83</f>
        <v>-</v>
      </c>
      <c r="G88" s="475" t="str">
        <f>'Lembar Penyelia'!G83</f>
        <v>-</v>
      </c>
      <c r="H88" s="515" t="e">
        <f>'Lembar Penyelia'!H83</f>
        <v>#DIV/0!</v>
      </c>
      <c r="I88" s="910"/>
      <c r="J88" s="1051"/>
      <c r="K88" s="572" t="str">
        <f>'Lembar Penyelia'!J83</f>
        <v>-</v>
      </c>
    </row>
    <row r="89" spans="1:11" hidden="1">
      <c r="A89" s="360"/>
      <c r="B89" s="1047"/>
      <c r="C89" s="942"/>
      <c r="D89" s="464">
        <f>'Lembar Penyelia'!D84</f>
        <v>6000</v>
      </c>
      <c r="E89" s="464">
        <f>'Lembar Penyelia'!E84</f>
        <v>110</v>
      </c>
      <c r="F89" s="475" t="str">
        <f>'Lembar Penyelia'!F84</f>
        <v>-</v>
      </c>
      <c r="G89" s="475" t="str">
        <f>'Lembar Penyelia'!G84</f>
        <v>-</v>
      </c>
      <c r="H89" s="515" t="e">
        <f>'Lembar Penyelia'!H84</f>
        <v>#DIV/0!</v>
      </c>
      <c r="I89" s="910"/>
      <c r="J89" s="1051"/>
      <c r="K89" s="572" t="str">
        <f>'Lembar Penyelia'!J84</f>
        <v>-</v>
      </c>
    </row>
    <row r="90" spans="1:11" hidden="1">
      <c r="A90" s="360"/>
      <c r="B90" s="1048"/>
      <c r="C90" s="942"/>
      <c r="D90" s="464">
        <f>'Lembar Penyelia'!D85</f>
        <v>8000</v>
      </c>
      <c r="E90" s="464">
        <f>'Lembar Penyelia'!E85</f>
        <v>110</v>
      </c>
      <c r="F90" s="475" t="str">
        <f>'Lembar Penyelia'!F85</f>
        <v>-</v>
      </c>
      <c r="G90" s="475" t="str">
        <f>'Lembar Penyelia'!G85</f>
        <v>-</v>
      </c>
      <c r="H90" s="515" t="e">
        <f>'Lembar Penyelia'!H85</f>
        <v>#DIV/0!</v>
      </c>
      <c r="I90" s="911"/>
      <c r="J90" s="1052"/>
      <c r="K90" s="572" t="str">
        <f>'Lembar Penyelia'!J85</f>
        <v>-</v>
      </c>
    </row>
    <row r="91" spans="1:11" hidden="1">
      <c r="A91" s="360"/>
      <c r="B91" s="426"/>
      <c r="C91" s="452"/>
      <c r="D91" s="426"/>
      <c r="E91" s="426"/>
      <c r="F91" s="454"/>
      <c r="G91" s="454"/>
      <c r="H91" s="454"/>
      <c r="I91" s="454"/>
      <c r="J91" s="426"/>
      <c r="K91" s="455"/>
    </row>
    <row r="92" spans="1:11">
      <c r="A92" s="360"/>
      <c r="B92" s="497" t="str">
        <f>ID!A75</f>
        <v xml:space="preserve">      B. Earphone Kiri, SN : </v>
      </c>
      <c r="C92" s="360"/>
      <c r="D92" s="440" t="str">
        <f>ID!C75</f>
        <v>-</v>
      </c>
      <c r="E92" s="426"/>
      <c r="F92" s="454"/>
      <c r="G92" s="454"/>
      <c r="H92" s="454"/>
      <c r="I92" s="454"/>
      <c r="J92" s="426"/>
      <c r="K92" s="455"/>
    </row>
    <row r="93" spans="1:11">
      <c r="A93" s="360"/>
      <c r="B93" s="425"/>
      <c r="C93" s="422" t="s">
        <v>41</v>
      </c>
      <c r="E93" s="425"/>
      <c r="F93" s="425"/>
      <c r="G93" s="425"/>
      <c r="H93" s="425"/>
      <c r="I93" s="425"/>
      <c r="J93" s="425"/>
      <c r="K93" s="425"/>
    </row>
    <row r="94" spans="1:11" ht="15.75" customHeight="1">
      <c r="A94" s="360"/>
      <c r="B94" s="1031"/>
      <c r="C94" s="1034" t="s">
        <v>42</v>
      </c>
      <c r="D94" s="1034" t="s">
        <v>43</v>
      </c>
      <c r="E94" s="1034"/>
      <c r="F94" s="1033" t="s">
        <v>44</v>
      </c>
      <c r="G94" s="1034" t="s">
        <v>293</v>
      </c>
      <c r="H94" s="1059" t="s">
        <v>45</v>
      </c>
      <c r="I94" s="1032"/>
      <c r="J94" s="1042" t="s">
        <v>294</v>
      </c>
      <c r="K94" s="1043"/>
    </row>
    <row r="95" spans="1:11" ht="31">
      <c r="A95" s="360"/>
      <c r="B95" s="1032"/>
      <c r="C95" s="1034"/>
      <c r="D95" s="450" t="s">
        <v>47</v>
      </c>
      <c r="E95" s="450" t="s">
        <v>48</v>
      </c>
      <c r="F95" s="1033"/>
      <c r="G95" s="1034"/>
      <c r="H95" s="1060" t="s">
        <v>722</v>
      </c>
      <c r="I95" s="1031"/>
      <c r="J95" s="1061"/>
      <c r="K95" s="1062"/>
    </row>
    <row r="96" spans="1:11">
      <c r="A96" s="360"/>
      <c r="B96" s="1031"/>
      <c r="C96" s="1033" t="s">
        <v>52</v>
      </c>
      <c r="D96" s="443">
        <f>'Lembar Penyelia'!D91</f>
        <v>125</v>
      </c>
      <c r="E96" s="443">
        <f>'Lembar Penyelia'!E91</f>
        <v>70</v>
      </c>
      <c r="F96" s="932">
        <f>'Lembar Penyelia'!F91</f>
        <v>69.98</v>
      </c>
      <c r="G96" s="932">
        <f>'Lembar Penyelia'!G91</f>
        <v>-1.9999999999996021E-2</v>
      </c>
      <c r="H96" s="1057" t="s">
        <v>719</v>
      </c>
      <c r="I96" s="1055">
        <v>5</v>
      </c>
      <c r="J96" s="915" t="s">
        <v>719</v>
      </c>
      <c r="K96" s="933">
        <f>'Lembar Penyelia'!I91</f>
        <v>0.53380891459609159</v>
      </c>
    </row>
    <row r="97" spans="1:11">
      <c r="A97" s="360"/>
      <c r="B97" s="1025"/>
      <c r="C97" s="1033"/>
      <c r="D97" s="443">
        <f>'Lembar Penyelia'!D92</f>
        <v>250</v>
      </c>
      <c r="E97" s="443">
        <f>'Lembar Penyelia'!E92</f>
        <v>90</v>
      </c>
      <c r="F97" s="932">
        <f>'Lembar Penyelia'!F92</f>
        <v>89.98</v>
      </c>
      <c r="G97" s="932">
        <f>'Lembar Penyelia'!G92</f>
        <v>-1.9999999999996021E-2</v>
      </c>
      <c r="H97" s="1064"/>
      <c r="I97" s="1063"/>
      <c r="J97" s="915" t="s">
        <v>719</v>
      </c>
      <c r="K97" s="933">
        <f>'Lembar Penyelia'!I92</f>
        <v>0.53380891459609159</v>
      </c>
    </row>
    <row r="98" spans="1:11">
      <c r="A98" s="360"/>
      <c r="B98" s="1025"/>
      <c r="C98" s="1033"/>
      <c r="D98" s="443">
        <f>'Lembar Penyelia'!D93</f>
        <v>500</v>
      </c>
      <c r="E98" s="443">
        <f>'Lembar Penyelia'!E93</f>
        <v>120</v>
      </c>
      <c r="F98" s="932">
        <f>'Lembar Penyelia'!F93</f>
        <v>120.04</v>
      </c>
      <c r="G98" s="932">
        <f>'Lembar Penyelia'!G93</f>
        <v>4.0000000000006253E-2</v>
      </c>
      <c r="H98" s="1064"/>
      <c r="I98" s="1063"/>
      <c r="J98" s="915" t="s">
        <v>719</v>
      </c>
      <c r="K98" s="933">
        <f>'Lembar Penyelia'!I93</f>
        <v>0.53380891459609159</v>
      </c>
    </row>
    <row r="99" spans="1:11">
      <c r="A99" s="360"/>
      <c r="B99" s="1025"/>
      <c r="C99" s="1033"/>
      <c r="D99" s="443">
        <f>'Lembar Penyelia'!D94</f>
        <v>750</v>
      </c>
      <c r="E99" s="443">
        <f>'Lembar Penyelia'!E94</f>
        <v>120</v>
      </c>
      <c r="F99" s="932">
        <f>'Lembar Penyelia'!F94</f>
        <v>120.04</v>
      </c>
      <c r="G99" s="932">
        <f>'Lembar Penyelia'!G94</f>
        <v>4.0000000000006253E-2</v>
      </c>
      <c r="H99" s="1064"/>
      <c r="I99" s="1063"/>
      <c r="J99" s="915" t="s">
        <v>719</v>
      </c>
      <c r="K99" s="933">
        <f>'Lembar Penyelia'!I94</f>
        <v>0.62906106791079441</v>
      </c>
    </row>
    <row r="100" spans="1:11">
      <c r="A100" s="360"/>
      <c r="B100" s="1025"/>
      <c r="C100" s="1033"/>
      <c r="D100" s="443">
        <f>'Lembar Penyelia'!D95</f>
        <v>1000</v>
      </c>
      <c r="E100" s="443">
        <f>'Lembar Penyelia'!E95</f>
        <v>120</v>
      </c>
      <c r="F100" s="932">
        <f>'Lembar Penyelia'!F95</f>
        <v>120.04</v>
      </c>
      <c r="G100" s="932">
        <f>'Lembar Penyelia'!G95</f>
        <v>4.0000000000006253E-2</v>
      </c>
      <c r="H100" s="1064"/>
      <c r="I100" s="1063"/>
      <c r="J100" s="915" t="s">
        <v>719</v>
      </c>
      <c r="K100" s="933">
        <f>'Lembar Penyelia'!I95</f>
        <v>0.62906106791079441</v>
      </c>
    </row>
    <row r="101" spans="1:11">
      <c r="A101" s="360"/>
      <c r="B101" s="1025"/>
      <c r="C101" s="1033"/>
      <c r="D101" s="443">
        <f>'Lembar Penyelia'!D96</f>
        <v>1500</v>
      </c>
      <c r="E101" s="443">
        <f>'Lembar Penyelia'!E96</f>
        <v>120</v>
      </c>
      <c r="F101" s="932">
        <f>'Lembar Penyelia'!F96</f>
        <v>120.04</v>
      </c>
      <c r="G101" s="932">
        <f>'Lembar Penyelia'!G96</f>
        <v>4.0000000000006253E-2</v>
      </c>
      <c r="H101" s="1064"/>
      <c r="I101" s="1063"/>
      <c r="J101" s="915" t="s">
        <v>719</v>
      </c>
      <c r="K101" s="933">
        <f>'Lembar Penyelia'!I96</f>
        <v>0.21138092612805931</v>
      </c>
    </row>
    <row r="102" spans="1:11">
      <c r="A102" s="360"/>
      <c r="B102" s="1025"/>
      <c r="C102" s="1033"/>
      <c r="D102" s="443">
        <f>'Lembar Penyelia'!D97</f>
        <v>2000</v>
      </c>
      <c r="E102" s="443">
        <f>'Lembar Penyelia'!E97</f>
        <v>120</v>
      </c>
      <c r="F102" s="932">
        <f>'Lembar Penyelia'!F97</f>
        <v>120.04</v>
      </c>
      <c r="G102" s="932">
        <f>'Lembar Penyelia'!G97</f>
        <v>4.0000000000006253E-2</v>
      </c>
      <c r="H102" s="1064"/>
      <c r="I102" s="1063"/>
      <c r="J102" s="915" t="s">
        <v>719</v>
      </c>
      <c r="K102" s="933">
        <f>'Lembar Penyelia'!I97</f>
        <v>0.82361120611612804</v>
      </c>
    </row>
    <row r="103" spans="1:11">
      <c r="A103" s="360"/>
      <c r="B103" s="1025"/>
      <c r="C103" s="1033"/>
      <c r="D103" s="443">
        <f>'Lembar Penyelia'!D98</f>
        <v>3000</v>
      </c>
      <c r="E103" s="443">
        <f>'Lembar Penyelia'!E98</f>
        <v>120</v>
      </c>
      <c r="F103" s="932">
        <f>'Lembar Penyelia'!F98</f>
        <v>120.04</v>
      </c>
      <c r="G103" s="932">
        <f>'Lembar Penyelia'!G98</f>
        <v>4.0000000000006253E-2</v>
      </c>
      <c r="H103" s="1064"/>
      <c r="I103" s="1063"/>
      <c r="J103" s="915" t="s">
        <v>719</v>
      </c>
      <c r="K103" s="933">
        <f>'Lembar Penyelia'!I98</f>
        <v>0.725876466154452</v>
      </c>
    </row>
    <row r="104" spans="1:11">
      <c r="A104" s="360"/>
      <c r="B104" s="1025"/>
      <c r="C104" s="1033"/>
      <c r="D104" s="443">
        <f>'Lembar Penyelia'!D99</f>
        <v>4000</v>
      </c>
      <c r="E104" s="443">
        <f>'Lembar Penyelia'!E99</f>
        <v>120</v>
      </c>
      <c r="F104" s="932">
        <f>'Lembar Penyelia'!F99</f>
        <v>120.04</v>
      </c>
      <c r="G104" s="932">
        <f>'Lembar Penyelia'!G99</f>
        <v>4.0000000000006253E-2</v>
      </c>
      <c r="H104" s="1058"/>
      <c r="I104" s="1056"/>
      <c r="J104" s="915" t="s">
        <v>719</v>
      </c>
      <c r="K104" s="933">
        <f>'Lembar Penyelia'!I99</f>
        <v>1.1197736458955867</v>
      </c>
    </row>
    <row r="105" spans="1:11">
      <c r="A105" s="360"/>
      <c r="B105" s="1025"/>
      <c r="C105" s="1033"/>
      <c r="D105" s="443">
        <f>'Lembar Penyelia'!D100</f>
        <v>6000</v>
      </c>
      <c r="E105" s="443">
        <f>'Lembar Penyelia'!E100</f>
        <v>110</v>
      </c>
      <c r="F105" s="932">
        <f>'Lembar Penyelia'!F100</f>
        <v>109.9432</v>
      </c>
      <c r="G105" s="932">
        <f>'Lembar Penyelia'!G100</f>
        <v>-5.6799999999995521E-2</v>
      </c>
      <c r="H105" s="1057" t="s">
        <v>719</v>
      </c>
      <c r="I105" s="1055">
        <v>8</v>
      </c>
      <c r="J105" s="915" t="s">
        <v>719</v>
      </c>
      <c r="K105" s="933">
        <f>'Lembar Penyelia'!I100</f>
        <v>1.3241637392587782</v>
      </c>
    </row>
    <row r="106" spans="1:11">
      <c r="A106" s="360"/>
      <c r="B106" s="1032"/>
      <c r="C106" s="1033"/>
      <c r="D106" s="443">
        <f>'Lembar Penyelia'!D101</f>
        <v>8000</v>
      </c>
      <c r="E106" s="443">
        <f>'Lembar Penyelia'!E101</f>
        <v>100</v>
      </c>
      <c r="F106" s="932">
        <f>'Lembar Penyelia'!F101</f>
        <v>99.99</v>
      </c>
      <c r="G106" s="932">
        <f>'Lembar Penyelia'!G101</f>
        <v>-1.0000000000005116E-2</v>
      </c>
      <c r="H106" s="1058"/>
      <c r="I106" s="1056"/>
      <c r="J106" s="915" t="s">
        <v>719</v>
      </c>
      <c r="K106" s="933">
        <f>'Lembar Penyelia'!I101</f>
        <v>1.1197736458955867</v>
      </c>
    </row>
    <row r="107" spans="1:11">
      <c r="A107" s="360"/>
      <c r="B107" s="426"/>
      <c r="C107" s="452"/>
      <c r="D107" s="426"/>
      <c r="E107" s="426"/>
      <c r="F107" s="426"/>
      <c r="G107" s="454"/>
      <c r="H107" s="426"/>
      <c r="I107" s="426"/>
      <c r="J107" s="455"/>
      <c r="K107" s="453"/>
    </row>
    <row r="108" spans="1:11">
      <c r="A108" s="360"/>
      <c r="B108" s="426"/>
      <c r="C108" s="440" t="s">
        <v>56</v>
      </c>
      <c r="D108" s="426"/>
      <c r="E108" s="426"/>
      <c r="F108" s="425"/>
      <c r="G108" s="425"/>
      <c r="H108" s="425"/>
      <c r="I108" s="425"/>
      <c r="J108" s="453"/>
      <c r="K108" s="425"/>
    </row>
    <row r="109" spans="1:11" ht="15.75" customHeight="1">
      <c r="A109" s="360"/>
      <c r="B109" s="1031"/>
      <c r="C109" s="1034" t="s">
        <v>42</v>
      </c>
      <c r="D109" s="1034" t="s">
        <v>43</v>
      </c>
      <c r="E109" s="1034"/>
      <c r="F109" s="1033" t="s">
        <v>44</v>
      </c>
      <c r="G109" s="1034" t="s">
        <v>293</v>
      </c>
      <c r="H109" s="1059" t="s">
        <v>45</v>
      </c>
      <c r="I109" s="1032"/>
      <c r="J109" s="1042" t="s">
        <v>294</v>
      </c>
      <c r="K109" s="1043"/>
    </row>
    <row r="110" spans="1:11" ht="31">
      <c r="A110" s="360"/>
      <c r="B110" s="1032"/>
      <c r="C110" s="1034"/>
      <c r="D110" s="450" t="s">
        <v>47</v>
      </c>
      <c r="E110" s="450" t="s">
        <v>48</v>
      </c>
      <c r="F110" s="1033"/>
      <c r="G110" s="1034"/>
      <c r="H110" s="1060" t="s">
        <v>721</v>
      </c>
      <c r="I110" s="1031"/>
      <c r="J110" s="1044"/>
      <c r="K110" s="1045"/>
    </row>
    <row r="111" spans="1:11">
      <c r="A111" s="360"/>
      <c r="B111" s="1031"/>
      <c r="C111" s="1033" t="s">
        <v>47</v>
      </c>
      <c r="D111" s="443">
        <f>'Lembar Penyelia'!D106</f>
        <v>125</v>
      </c>
      <c r="E111" s="443" t="str">
        <f>'Lembar Penyelia'!E106</f>
        <v>MAX</v>
      </c>
      <c r="F111" s="932">
        <f>'Lembar Penyelia'!F106</f>
        <v>125</v>
      </c>
      <c r="G111" s="934">
        <f>'Lembar Penyelia'!G106</f>
        <v>0</v>
      </c>
      <c r="H111" s="915" t="s">
        <v>719</v>
      </c>
      <c r="I111" s="933">
        <v>1.9</v>
      </c>
      <c r="J111" s="915" t="s">
        <v>719</v>
      </c>
      <c r="K111" s="933">
        <f>'Lembar Penyelia'!I106</f>
        <v>0.50213977802519028</v>
      </c>
    </row>
    <row r="112" spans="1:11">
      <c r="A112" s="360"/>
      <c r="B112" s="1025"/>
      <c r="C112" s="1033"/>
      <c r="D112" s="443">
        <f>'Lembar Penyelia'!D107</f>
        <v>250</v>
      </c>
      <c r="E112" s="443" t="str">
        <f>'Lembar Penyelia'!E107</f>
        <v>MAX</v>
      </c>
      <c r="F112" s="932">
        <f>'Lembar Penyelia'!F107</f>
        <v>250</v>
      </c>
      <c r="G112" s="934">
        <f>'Lembar Penyelia'!G107</f>
        <v>0</v>
      </c>
      <c r="H112" s="915" t="s">
        <v>719</v>
      </c>
      <c r="I112" s="935">
        <v>4</v>
      </c>
      <c r="J112" s="915" t="s">
        <v>719</v>
      </c>
      <c r="K112" s="933">
        <f>'Lembar Penyelia'!I107</f>
        <v>0.50213977802519028</v>
      </c>
    </row>
    <row r="113" spans="1:11">
      <c r="A113" s="360"/>
      <c r="B113" s="1025"/>
      <c r="C113" s="1033"/>
      <c r="D113" s="443">
        <f>'Lembar Penyelia'!D108</f>
        <v>500</v>
      </c>
      <c r="E113" s="443" t="str">
        <f>'Lembar Penyelia'!E108</f>
        <v>MAX</v>
      </c>
      <c r="F113" s="932">
        <f>'Lembar Penyelia'!F108</f>
        <v>500</v>
      </c>
      <c r="G113" s="934">
        <f>'Lembar Penyelia'!G108</f>
        <v>0</v>
      </c>
      <c r="H113" s="915" t="s">
        <v>719</v>
      </c>
      <c r="I113" s="935">
        <v>8</v>
      </c>
      <c r="J113" s="915" t="s">
        <v>719</v>
      </c>
      <c r="K113" s="933">
        <f>'Lembar Penyelia'!I108</f>
        <v>0.50213977802519028</v>
      </c>
    </row>
    <row r="114" spans="1:11">
      <c r="A114" s="360"/>
      <c r="B114" s="1025"/>
      <c r="C114" s="1033"/>
      <c r="D114" s="443">
        <f>'Lembar Penyelia'!D109</f>
        <v>750</v>
      </c>
      <c r="E114" s="443" t="str">
        <f>'Lembar Penyelia'!E109</f>
        <v>MAX</v>
      </c>
      <c r="F114" s="932">
        <f>'Lembar Penyelia'!F109</f>
        <v>750</v>
      </c>
      <c r="G114" s="934">
        <f>'Lembar Penyelia'!G109</f>
        <v>0</v>
      </c>
      <c r="H114" s="915" t="s">
        <v>719</v>
      </c>
      <c r="I114" s="935">
        <v>11</v>
      </c>
      <c r="J114" s="915" t="s">
        <v>719</v>
      </c>
      <c r="K114" s="933">
        <f>'Lembar Penyelia'!I109</f>
        <v>0.50213977802519028</v>
      </c>
    </row>
    <row r="115" spans="1:11">
      <c r="A115" s="360"/>
      <c r="B115" s="1025"/>
      <c r="C115" s="1033"/>
      <c r="D115" s="443">
        <f>'Lembar Penyelia'!D110</f>
        <v>1000</v>
      </c>
      <c r="E115" s="443" t="str">
        <f>'Lembar Penyelia'!E110</f>
        <v>MAX</v>
      </c>
      <c r="F115" s="932">
        <f>'Lembar Penyelia'!F110</f>
        <v>1000</v>
      </c>
      <c r="G115" s="934">
        <f>'Lembar Penyelia'!G110</f>
        <v>0</v>
      </c>
      <c r="H115" s="915" t="s">
        <v>719</v>
      </c>
      <c r="I115" s="935">
        <v>15</v>
      </c>
      <c r="J115" s="915" t="s">
        <v>719</v>
      </c>
      <c r="K115" s="933">
        <f>'Lembar Penyelia'!I110</f>
        <v>0.50213977802519028</v>
      </c>
    </row>
    <row r="116" spans="1:11">
      <c r="A116" s="360"/>
      <c r="B116" s="1025"/>
      <c r="C116" s="1033"/>
      <c r="D116" s="443">
        <f>'Lembar Penyelia'!D111</f>
        <v>1500</v>
      </c>
      <c r="E116" s="443" t="str">
        <f>'Lembar Penyelia'!E111</f>
        <v>MAX</v>
      </c>
      <c r="F116" s="932">
        <f>'Lembar Penyelia'!F111</f>
        <v>1500</v>
      </c>
      <c r="G116" s="934">
        <f>'Lembar Penyelia'!G111</f>
        <v>0</v>
      </c>
      <c r="H116" s="915" t="s">
        <v>719</v>
      </c>
      <c r="I116" s="935">
        <v>23</v>
      </c>
      <c r="J116" s="915" t="s">
        <v>719</v>
      </c>
      <c r="K116" s="933">
        <f>'Lembar Penyelia'!I111</f>
        <v>0.50213977802519028</v>
      </c>
    </row>
    <row r="117" spans="1:11">
      <c r="A117" s="360"/>
      <c r="B117" s="1025"/>
      <c r="C117" s="1033"/>
      <c r="D117" s="443">
        <f>'Lembar Penyelia'!D112</f>
        <v>2000</v>
      </c>
      <c r="E117" s="443" t="str">
        <f>'Lembar Penyelia'!E112</f>
        <v>MAX</v>
      </c>
      <c r="F117" s="932">
        <f>'Lembar Penyelia'!F112</f>
        <v>2000</v>
      </c>
      <c r="G117" s="934">
        <f>'Lembar Penyelia'!G112</f>
        <v>0</v>
      </c>
      <c r="H117" s="915" t="s">
        <v>719</v>
      </c>
      <c r="I117" s="935">
        <v>30</v>
      </c>
      <c r="J117" s="915" t="s">
        <v>719</v>
      </c>
      <c r="K117" s="933">
        <f>'Lembar Penyelia'!I112</f>
        <v>0.50213977802519028</v>
      </c>
    </row>
    <row r="118" spans="1:11">
      <c r="A118" s="360"/>
      <c r="B118" s="1025"/>
      <c r="C118" s="1033"/>
      <c r="D118" s="443">
        <f>'Lembar Penyelia'!D113</f>
        <v>3000</v>
      </c>
      <c r="E118" s="443" t="str">
        <f>'Lembar Penyelia'!E113</f>
        <v>MAX</v>
      </c>
      <c r="F118" s="932">
        <f>'Lembar Penyelia'!F113</f>
        <v>3000</v>
      </c>
      <c r="G118" s="934">
        <f>'Lembar Penyelia'!G113</f>
        <v>0</v>
      </c>
      <c r="H118" s="915" t="s">
        <v>719</v>
      </c>
      <c r="I118" s="935">
        <v>45</v>
      </c>
      <c r="J118" s="915" t="s">
        <v>719</v>
      </c>
      <c r="K118" s="933">
        <f>'Lembar Penyelia'!I113</f>
        <v>0.50213977802519028</v>
      </c>
    </row>
    <row r="119" spans="1:11">
      <c r="A119" s="360"/>
      <c r="B119" s="1025"/>
      <c r="C119" s="1033"/>
      <c r="D119" s="443">
        <f>'Lembar Penyelia'!D114</f>
        <v>4000</v>
      </c>
      <c r="E119" s="443" t="str">
        <f>'Lembar Penyelia'!E114</f>
        <v>MAX</v>
      </c>
      <c r="F119" s="932">
        <f>'Lembar Penyelia'!F114</f>
        <v>3999</v>
      </c>
      <c r="G119" s="934">
        <f>'Lembar Penyelia'!G114</f>
        <v>-1</v>
      </c>
      <c r="H119" s="915" t="s">
        <v>719</v>
      </c>
      <c r="I119" s="935">
        <v>60</v>
      </c>
      <c r="J119" s="915" t="s">
        <v>719</v>
      </c>
      <c r="K119" s="933">
        <f>'Lembar Penyelia'!I114</f>
        <v>0.50213977802519028</v>
      </c>
    </row>
    <row r="120" spans="1:11">
      <c r="A120" s="360"/>
      <c r="B120" s="1025"/>
      <c r="C120" s="1033"/>
      <c r="D120" s="443">
        <f>'Lembar Penyelia'!D115</f>
        <v>6000</v>
      </c>
      <c r="E120" s="443" t="str">
        <f>'Lembar Penyelia'!E115</f>
        <v>MAX</v>
      </c>
      <c r="F120" s="932">
        <f>'Lembar Penyelia'!F115</f>
        <v>6000</v>
      </c>
      <c r="G120" s="934">
        <f>'Lembar Penyelia'!G115</f>
        <v>0</v>
      </c>
      <c r="H120" s="915" t="s">
        <v>719</v>
      </c>
      <c r="I120" s="935">
        <v>90</v>
      </c>
      <c r="J120" s="915" t="s">
        <v>719</v>
      </c>
      <c r="K120" s="933">
        <f>'Lembar Penyelia'!I115</f>
        <v>0.50213977802519028</v>
      </c>
    </row>
    <row r="121" spans="1:11">
      <c r="A121" s="360"/>
      <c r="B121" s="1032"/>
      <c r="C121" s="1033"/>
      <c r="D121" s="443">
        <f>'Lembar Penyelia'!D116</f>
        <v>8000</v>
      </c>
      <c r="E121" s="443" t="str">
        <f>'Lembar Penyelia'!E116</f>
        <v>MAX</v>
      </c>
      <c r="F121" s="932">
        <f>'Lembar Penyelia'!F116</f>
        <v>8000</v>
      </c>
      <c r="G121" s="934">
        <f>'Lembar Penyelia'!G116</f>
        <v>0</v>
      </c>
      <c r="H121" s="915" t="s">
        <v>719</v>
      </c>
      <c r="I121" s="935">
        <v>120</v>
      </c>
      <c r="J121" s="915" t="s">
        <v>719</v>
      </c>
      <c r="K121" s="933">
        <f>'Lembar Penyelia'!I116</f>
        <v>0.50213977802519028</v>
      </c>
    </row>
    <row r="122" spans="1:11" hidden="1">
      <c r="A122" s="360"/>
      <c r="B122" s="426"/>
      <c r="C122" s="452"/>
      <c r="D122" s="426"/>
      <c r="E122" s="426"/>
      <c r="F122" s="454"/>
      <c r="G122" s="454"/>
      <c r="H122" s="471"/>
      <c r="I122" s="471"/>
      <c r="J122" s="455"/>
      <c r="K122" s="425"/>
    </row>
    <row r="123" spans="1:11" hidden="1">
      <c r="A123" s="360"/>
      <c r="B123" s="426"/>
      <c r="C123" s="440" t="s">
        <v>59</v>
      </c>
      <c r="D123" s="426"/>
      <c r="E123" s="426"/>
      <c r="F123" s="454"/>
      <c r="G123" s="454"/>
      <c r="H123" s="471"/>
      <c r="I123" s="471"/>
      <c r="J123" s="455"/>
    </row>
    <row r="124" spans="1:11" hidden="1">
      <c r="A124" s="360"/>
      <c r="B124" s="426"/>
      <c r="C124" s="941" t="s">
        <v>42</v>
      </c>
      <c r="D124" s="941" t="s">
        <v>43</v>
      </c>
      <c r="E124" s="941"/>
      <c r="F124" s="1022" t="s">
        <v>44</v>
      </c>
      <c r="G124" s="1023" t="s">
        <v>293</v>
      </c>
      <c r="H124" s="1029" t="str">
        <f>'Lembar Penyelia'!H119</f>
        <v>Kesalahan Relatif (%)</v>
      </c>
      <c r="I124" s="902"/>
      <c r="J124" s="1023" t="s">
        <v>45</v>
      </c>
      <c r="K124" s="1026" t="s">
        <v>294</v>
      </c>
    </row>
    <row r="125" spans="1:11" ht="31" hidden="1">
      <c r="A125" s="360"/>
      <c r="B125" s="426"/>
      <c r="C125" s="939"/>
      <c r="D125" s="349" t="s">
        <v>47</v>
      </c>
      <c r="E125" s="349" t="s">
        <v>48</v>
      </c>
      <c r="F125" s="1022"/>
      <c r="G125" s="1023"/>
      <c r="H125" s="1030"/>
      <c r="I125" s="903"/>
      <c r="J125" s="1023"/>
      <c r="K125" s="1027"/>
    </row>
    <row r="126" spans="1:11" hidden="1">
      <c r="A126" s="360"/>
      <c r="B126" s="426"/>
      <c r="C126" s="943" t="s">
        <v>160</v>
      </c>
      <c r="D126" s="464">
        <f>'Lembar Penyelia'!D121</f>
        <v>125</v>
      </c>
      <c r="E126" s="464">
        <f>'Lembar Penyelia'!E121</f>
        <v>75</v>
      </c>
      <c r="F126" s="475" t="str">
        <f>'Lembar Penyelia'!F121</f>
        <v>-</v>
      </c>
      <c r="G126" s="475" t="str">
        <f>'Lembar Penyelia'!G121</f>
        <v>-</v>
      </c>
      <c r="H126" s="515" t="e">
        <f>'Lembar Penyelia'!H121</f>
        <v>#DIV/0!</v>
      </c>
      <c r="I126" s="909"/>
      <c r="J126" s="1050">
        <f>'Lembar Kerja'!H110</f>
        <v>3</v>
      </c>
      <c r="K126" s="572" t="str">
        <f>'Lembar Penyelia'!J121</f>
        <v>-</v>
      </c>
    </row>
    <row r="127" spans="1:11" hidden="1">
      <c r="A127" s="360"/>
      <c r="B127" s="426"/>
      <c r="C127" s="1049"/>
      <c r="D127" s="464">
        <f>'Lembar Penyelia'!D122</f>
        <v>250</v>
      </c>
      <c r="E127" s="464">
        <f>'Lembar Penyelia'!E122</f>
        <v>90</v>
      </c>
      <c r="F127" s="475" t="str">
        <f>'Lembar Penyelia'!F122</f>
        <v>-</v>
      </c>
      <c r="G127" s="475" t="str">
        <f>'Lembar Penyelia'!G122</f>
        <v>-</v>
      </c>
      <c r="H127" s="515" t="e">
        <f>'Lembar Penyelia'!H122</f>
        <v>#DIV/0!</v>
      </c>
      <c r="I127" s="910"/>
      <c r="J127" s="1051"/>
      <c r="K127" s="572" t="str">
        <f>'Lembar Penyelia'!J122</f>
        <v>-</v>
      </c>
    </row>
    <row r="128" spans="1:11" hidden="1">
      <c r="A128" s="360"/>
      <c r="B128" s="426"/>
      <c r="C128" s="1049"/>
      <c r="D128" s="464">
        <f>'Lembar Penyelia'!D123</f>
        <v>500</v>
      </c>
      <c r="E128" s="464">
        <f>'Lembar Penyelia'!E123</f>
        <v>110</v>
      </c>
      <c r="F128" s="475" t="str">
        <f>'Lembar Penyelia'!F123</f>
        <v>-</v>
      </c>
      <c r="G128" s="475" t="str">
        <f>'Lembar Penyelia'!G123</f>
        <v>-</v>
      </c>
      <c r="H128" s="515" t="e">
        <f>'Lembar Penyelia'!H123</f>
        <v>#DIV/0!</v>
      </c>
      <c r="I128" s="910"/>
      <c r="J128" s="1051"/>
      <c r="K128" s="572" t="str">
        <f>'Lembar Penyelia'!J123</f>
        <v>-</v>
      </c>
    </row>
    <row r="129" spans="1:11" hidden="1">
      <c r="A129" s="360"/>
      <c r="B129" s="426"/>
      <c r="C129" s="1049"/>
      <c r="D129" s="464">
        <f>'Lembar Penyelia'!D124</f>
        <v>750</v>
      </c>
      <c r="E129" s="464">
        <f>'Lembar Penyelia'!E124</f>
        <v>110</v>
      </c>
      <c r="F129" s="475" t="str">
        <f>'Lembar Penyelia'!F124</f>
        <v>-</v>
      </c>
      <c r="G129" s="475" t="str">
        <f>'Lembar Penyelia'!G124</f>
        <v>-</v>
      </c>
      <c r="H129" s="515" t="e">
        <f>'Lembar Penyelia'!H124</f>
        <v>#DIV/0!</v>
      </c>
      <c r="I129" s="910"/>
      <c r="J129" s="1051"/>
      <c r="K129" s="572" t="str">
        <f>'Lembar Penyelia'!J124</f>
        <v>-</v>
      </c>
    </row>
    <row r="130" spans="1:11" hidden="1">
      <c r="A130" s="360"/>
      <c r="B130" s="426"/>
      <c r="C130" s="1049"/>
      <c r="D130" s="464">
        <f>'Lembar Penyelia'!D125</f>
        <v>1000</v>
      </c>
      <c r="E130" s="464">
        <f>'Lembar Penyelia'!E125</f>
        <v>110</v>
      </c>
      <c r="F130" s="475" t="str">
        <f>'Lembar Penyelia'!F125</f>
        <v>-</v>
      </c>
      <c r="G130" s="475" t="str">
        <f>'Lembar Penyelia'!G125</f>
        <v>-</v>
      </c>
      <c r="H130" s="515" t="e">
        <f>'Lembar Penyelia'!H125</f>
        <v>#DIV/0!</v>
      </c>
      <c r="I130" s="910"/>
      <c r="J130" s="1051"/>
      <c r="K130" s="572" t="str">
        <f>'Lembar Penyelia'!J125</f>
        <v>-</v>
      </c>
    </row>
    <row r="131" spans="1:11" hidden="1">
      <c r="A131" s="360"/>
      <c r="B131" s="426"/>
      <c r="C131" s="944" t="s">
        <v>158</v>
      </c>
      <c r="D131" s="464">
        <f>'Lembar Penyelia'!D126</f>
        <v>1500</v>
      </c>
      <c r="E131" s="464">
        <f>'Lembar Penyelia'!E126</f>
        <v>110</v>
      </c>
      <c r="F131" s="475" t="str">
        <f>'Lembar Penyelia'!F126</f>
        <v>-</v>
      </c>
      <c r="G131" s="475" t="str">
        <f>'Lembar Penyelia'!G126</f>
        <v>-</v>
      </c>
      <c r="H131" s="515" t="e">
        <f>'Lembar Penyelia'!H126</f>
        <v>#DIV/0!</v>
      </c>
      <c r="I131" s="910"/>
      <c r="J131" s="1051"/>
      <c r="K131" s="572" t="str">
        <f>'Lembar Penyelia'!J126</f>
        <v>-</v>
      </c>
    </row>
    <row r="132" spans="1:11" hidden="1">
      <c r="A132" s="360"/>
      <c r="B132" s="426"/>
      <c r="C132" s="942"/>
      <c r="D132" s="464">
        <f>'Lembar Penyelia'!D127</f>
        <v>2000</v>
      </c>
      <c r="E132" s="464">
        <f>'Lembar Penyelia'!E127</f>
        <v>110</v>
      </c>
      <c r="F132" s="475" t="str">
        <f>'Lembar Penyelia'!F127</f>
        <v>-</v>
      </c>
      <c r="G132" s="475" t="str">
        <f>'Lembar Penyelia'!G127</f>
        <v>-</v>
      </c>
      <c r="H132" s="515" t="e">
        <f>'Lembar Penyelia'!H127</f>
        <v>#DIV/0!</v>
      </c>
      <c r="I132" s="910"/>
      <c r="J132" s="1051"/>
      <c r="K132" s="572" t="str">
        <f>'Lembar Penyelia'!J127</f>
        <v>-</v>
      </c>
    </row>
    <row r="133" spans="1:11" hidden="1">
      <c r="A133" s="360"/>
      <c r="B133" s="426"/>
      <c r="C133" s="942"/>
      <c r="D133" s="464">
        <f>'Lembar Penyelia'!D128</f>
        <v>3000</v>
      </c>
      <c r="E133" s="464">
        <f>'Lembar Penyelia'!E128</f>
        <v>110</v>
      </c>
      <c r="F133" s="475" t="str">
        <f>'Lembar Penyelia'!F128</f>
        <v>-</v>
      </c>
      <c r="G133" s="475" t="str">
        <f>'Lembar Penyelia'!G128</f>
        <v>-</v>
      </c>
      <c r="H133" s="515" t="e">
        <f>'Lembar Penyelia'!H128</f>
        <v>#DIV/0!</v>
      </c>
      <c r="I133" s="910"/>
      <c r="J133" s="1051"/>
      <c r="K133" s="572" t="str">
        <f>'Lembar Penyelia'!J128</f>
        <v>-</v>
      </c>
    </row>
    <row r="134" spans="1:11" hidden="1">
      <c r="A134" s="360"/>
      <c r="B134" s="426"/>
      <c r="C134" s="942"/>
      <c r="D134" s="464">
        <f>'Lembar Penyelia'!D129</f>
        <v>4000</v>
      </c>
      <c r="E134" s="464">
        <f>'Lembar Penyelia'!E129</f>
        <v>110</v>
      </c>
      <c r="F134" s="475" t="str">
        <f>'Lembar Penyelia'!F129</f>
        <v>-</v>
      </c>
      <c r="G134" s="475" t="str">
        <f>'Lembar Penyelia'!G129</f>
        <v>-</v>
      </c>
      <c r="H134" s="515" t="e">
        <f>'Lembar Penyelia'!H129</f>
        <v>#DIV/0!</v>
      </c>
      <c r="I134" s="910"/>
      <c r="J134" s="1051"/>
      <c r="K134" s="572" t="str">
        <f>'Lembar Penyelia'!J129</f>
        <v>-</v>
      </c>
    </row>
    <row r="135" spans="1:11" hidden="1">
      <c r="A135" s="360"/>
      <c r="B135" s="426"/>
      <c r="C135" s="942"/>
      <c r="D135" s="464">
        <f>'Lembar Penyelia'!D130</f>
        <v>6000</v>
      </c>
      <c r="E135" s="464">
        <f>'Lembar Penyelia'!E130</f>
        <v>110</v>
      </c>
      <c r="F135" s="475" t="str">
        <f>'Lembar Penyelia'!F130</f>
        <v>-</v>
      </c>
      <c r="G135" s="475" t="str">
        <f>'Lembar Penyelia'!G130</f>
        <v>-</v>
      </c>
      <c r="H135" s="515" t="e">
        <f>'Lembar Penyelia'!H130</f>
        <v>#DIV/0!</v>
      </c>
      <c r="I135" s="910"/>
      <c r="J135" s="1051"/>
      <c r="K135" s="572" t="str">
        <f>'Lembar Penyelia'!J130</f>
        <v>-</v>
      </c>
    </row>
    <row r="136" spans="1:11" hidden="1">
      <c r="A136" s="360"/>
      <c r="B136" s="426"/>
      <c r="C136" s="942"/>
      <c r="D136" s="464">
        <f>'Lembar Penyelia'!D131</f>
        <v>8000</v>
      </c>
      <c r="E136" s="464">
        <f>'Lembar Penyelia'!E131</f>
        <v>110</v>
      </c>
      <c r="F136" s="475" t="str">
        <f>'Lembar Penyelia'!F131</f>
        <v>-</v>
      </c>
      <c r="G136" s="475" t="str">
        <f>'Lembar Penyelia'!G131</f>
        <v>-</v>
      </c>
      <c r="H136" s="515" t="e">
        <f>'Lembar Penyelia'!H131</f>
        <v>#DIV/0!</v>
      </c>
      <c r="I136" s="911"/>
      <c r="J136" s="1052"/>
      <c r="K136" s="572" t="str">
        <f>'Lembar Penyelia'!J131</f>
        <v>-</v>
      </c>
    </row>
    <row r="137" spans="1:11" hidden="1">
      <c r="A137" s="360"/>
      <c r="B137" s="426"/>
    </row>
    <row r="138" spans="1:11" ht="15" hidden="1" customHeight="1">
      <c r="A138" s="360"/>
      <c r="B138" s="1053"/>
    </row>
    <row r="139" spans="1:11" hidden="1">
      <c r="A139" s="360"/>
      <c r="B139" s="1054"/>
    </row>
    <row r="140" spans="1:11" hidden="1">
      <c r="A140" s="360"/>
      <c r="B140" s="320"/>
    </row>
    <row r="141" spans="1:11" hidden="1">
      <c r="A141" s="360"/>
      <c r="B141" s="320"/>
    </row>
    <row r="142" spans="1:11" hidden="1">
      <c r="A142" s="360"/>
      <c r="B142" s="320"/>
    </row>
    <row r="143" spans="1:11" hidden="1">
      <c r="A143" s="360"/>
      <c r="B143" s="320"/>
    </row>
    <row r="144" spans="1:11" hidden="1">
      <c r="A144" s="360"/>
      <c r="B144" s="335" t="str">
        <f>'Lembar Penyelia'!B142</f>
        <v xml:space="preserve">      C. Bone Conduction</v>
      </c>
      <c r="C144" s="410"/>
    </row>
    <row r="145" spans="1:11" hidden="1">
      <c r="A145" s="360"/>
      <c r="B145" s="320"/>
      <c r="C145" s="941" t="s">
        <v>42</v>
      </c>
      <c r="D145" s="941" t="s">
        <v>43</v>
      </c>
      <c r="E145" s="941"/>
      <c r="F145" s="1022" t="s">
        <v>44</v>
      </c>
      <c r="G145" s="1023" t="s">
        <v>293</v>
      </c>
      <c r="H145" s="1029" t="str">
        <f>'Lembar Penyelia'!H143</f>
        <v>Kesalahan Relatif (%)</v>
      </c>
      <c r="I145" s="902"/>
      <c r="J145" s="1023" t="s">
        <v>45</v>
      </c>
      <c r="K145" s="1026" t="s">
        <v>294</v>
      </c>
    </row>
    <row r="146" spans="1:11" ht="31" hidden="1">
      <c r="A146" s="360"/>
      <c r="B146" s="320"/>
      <c r="C146" s="939"/>
      <c r="D146" s="349" t="s">
        <v>47</v>
      </c>
      <c r="E146" s="349" t="s">
        <v>48</v>
      </c>
      <c r="F146" s="1022"/>
      <c r="G146" s="1023"/>
      <c r="H146" s="1030"/>
      <c r="I146" s="903"/>
      <c r="J146" s="1023"/>
      <c r="K146" s="1027"/>
    </row>
    <row r="147" spans="1:11" hidden="1">
      <c r="A147" s="360"/>
      <c r="B147" s="552"/>
      <c r="C147" s="943" t="s">
        <v>160</v>
      </c>
      <c r="D147" s="464">
        <f>'Lembar Penyelia'!D145</f>
        <v>250</v>
      </c>
      <c r="E147" s="464">
        <f>'Lembar Penyelia'!E145</f>
        <v>20</v>
      </c>
      <c r="F147" s="475" t="str">
        <f>'Lembar Penyelia'!F145</f>
        <v>-</v>
      </c>
      <c r="G147" s="475" t="str">
        <f>'Lembar Penyelia'!G145</f>
        <v>-</v>
      </c>
      <c r="H147" s="515" t="str">
        <f>'Lembar Penyelia'!H145</f>
        <v>-</v>
      </c>
      <c r="I147" s="909"/>
      <c r="J147" s="1050">
        <f>'Lembar Kerja'!H125</f>
        <v>6</v>
      </c>
      <c r="K147" s="465" t="str">
        <f>'Lembar Penyelia'!J145</f>
        <v>-</v>
      </c>
    </row>
    <row r="148" spans="1:11" hidden="1">
      <c r="A148" s="360"/>
      <c r="B148" s="320"/>
      <c r="C148" s="1049"/>
      <c r="D148" s="464">
        <f>'Lembar Penyelia'!D146</f>
        <v>500</v>
      </c>
      <c r="E148" s="464">
        <f>'Lembar Penyelia'!E146</f>
        <v>50</v>
      </c>
      <c r="F148" s="475" t="str">
        <f>'Lembar Penyelia'!F146</f>
        <v>-</v>
      </c>
      <c r="G148" s="475" t="str">
        <f>'Lembar Penyelia'!G146</f>
        <v>-</v>
      </c>
      <c r="H148" s="515" t="str">
        <f>'Lembar Penyelia'!H146</f>
        <v>-</v>
      </c>
      <c r="I148" s="910"/>
      <c r="J148" s="1051"/>
      <c r="K148" s="465" t="str">
        <f>'Lembar Penyelia'!J146</f>
        <v>-</v>
      </c>
    </row>
    <row r="149" spans="1:11" hidden="1">
      <c r="A149" s="360"/>
      <c r="B149" s="552"/>
      <c r="C149" s="1049"/>
      <c r="D149" s="464">
        <f>'Lembar Penyelia'!D147</f>
        <v>750</v>
      </c>
      <c r="E149" s="464">
        <f>'Lembar Penyelia'!E147</f>
        <v>50</v>
      </c>
      <c r="F149" s="475" t="str">
        <f>'Lembar Penyelia'!F147</f>
        <v>-</v>
      </c>
      <c r="G149" s="475" t="str">
        <f>'Lembar Penyelia'!G147</f>
        <v>-</v>
      </c>
      <c r="H149" s="515" t="str">
        <f>'Lembar Penyelia'!H147</f>
        <v>-</v>
      </c>
      <c r="I149" s="910"/>
      <c r="J149" s="1051"/>
      <c r="K149" s="465" t="str">
        <f>'Lembar Penyelia'!J147</f>
        <v>-</v>
      </c>
    </row>
    <row r="150" spans="1:11" hidden="1">
      <c r="A150" s="360"/>
      <c r="B150" s="552"/>
      <c r="C150" s="1049"/>
      <c r="D150" s="464">
        <f>'Lembar Penyelia'!D148</f>
        <v>1000</v>
      </c>
      <c r="E150" s="464">
        <f>'Lembar Penyelia'!E148</f>
        <v>60</v>
      </c>
      <c r="F150" s="475" t="str">
        <f>'Lembar Penyelia'!F148</f>
        <v>-</v>
      </c>
      <c r="G150" s="475" t="str">
        <f>'Lembar Penyelia'!G148</f>
        <v>-</v>
      </c>
      <c r="H150" s="515" t="str">
        <f>'Lembar Penyelia'!H148</f>
        <v>-</v>
      </c>
      <c r="I150" s="910"/>
      <c r="J150" s="1051"/>
      <c r="K150" s="465" t="str">
        <f>'Lembar Penyelia'!J148</f>
        <v>-</v>
      </c>
    </row>
    <row r="151" spans="1:11" hidden="1">
      <c r="A151" s="360"/>
      <c r="B151" s="320"/>
      <c r="C151" s="1049" t="s">
        <v>69</v>
      </c>
      <c r="D151" s="464">
        <f>'Lembar Penyelia'!D149</f>
        <v>1500</v>
      </c>
      <c r="E151" s="464">
        <f>'Lembar Penyelia'!E149</f>
        <v>60</v>
      </c>
      <c r="F151" s="475" t="str">
        <f>'Lembar Penyelia'!F149</f>
        <v>-</v>
      </c>
      <c r="G151" s="475" t="str">
        <f>'Lembar Penyelia'!G149</f>
        <v>-</v>
      </c>
      <c r="H151" s="515" t="str">
        <f>'Lembar Penyelia'!H149</f>
        <v>-</v>
      </c>
      <c r="I151" s="910"/>
      <c r="J151" s="1051"/>
      <c r="K151" s="465" t="str">
        <f>'Lembar Penyelia'!J149</f>
        <v>-</v>
      </c>
    </row>
    <row r="152" spans="1:11" hidden="1">
      <c r="A152" s="360"/>
      <c r="B152" s="552"/>
      <c r="C152" s="1049"/>
      <c r="D152" s="464">
        <f>'Lembar Penyelia'!D150</f>
        <v>2000</v>
      </c>
      <c r="E152" s="464">
        <f>'Lembar Penyelia'!E150</f>
        <v>60</v>
      </c>
      <c r="F152" s="475" t="str">
        <f>'Lembar Penyelia'!F150</f>
        <v>-</v>
      </c>
      <c r="G152" s="475" t="str">
        <f>'Lembar Penyelia'!G150</f>
        <v>-</v>
      </c>
      <c r="H152" s="515" t="str">
        <f>'Lembar Penyelia'!H150</f>
        <v>-</v>
      </c>
      <c r="I152" s="910"/>
      <c r="J152" s="1051"/>
      <c r="K152" s="465" t="str">
        <f>'Lembar Penyelia'!J150</f>
        <v>-</v>
      </c>
    </row>
    <row r="153" spans="1:11" hidden="1">
      <c r="A153" s="360"/>
      <c r="B153" s="552"/>
      <c r="C153" s="1049"/>
      <c r="D153" s="464">
        <f>'Lembar Penyelia'!D151</f>
        <v>3000</v>
      </c>
      <c r="E153" s="464">
        <f>'Lembar Penyelia'!E151</f>
        <v>60</v>
      </c>
      <c r="F153" s="475" t="str">
        <f>'Lembar Penyelia'!F151</f>
        <v>-</v>
      </c>
      <c r="G153" s="475" t="str">
        <f>'Lembar Penyelia'!G151</f>
        <v>-</v>
      </c>
      <c r="H153" s="515" t="str">
        <f>'Lembar Penyelia'!H151</f>
        <v>-</v>
      </c>
      <c r="I153" s="910"/>
      <c r="J153" s="1051"/>
      <c r="K153" s="465" t="str">
        <f>'Lembar Penyelia'!J151</f>
        <v>-</v>
      </c>
    </row>
    <row r="154" spans="1:11" hidden="1">
      <c r="A154" s="360"/>
      <c r="B154" s="552"/>
      <c r="C154" s="944"/>
      <c r="D154" s="464">
        <f>'Lembar Penyelia'!D152</f>
        <v>4000</v>
      </c>
      <c r="E154" s="464">
        <f>'Lembar Penyelia'!E152</f>
        <v>60</v>
      </c>
      <c r="F154" s="475" t="str">
        <f>'Lembar Penyelia'!F152</f>
        <v>-</v>
      </c>
      <c r="G154" s="475" t="str">
        <f>'Lembar Penyelia'!G152</f>
        <v>-</v>
      </c>
      <c r="H154" s="515" t="str">
        <f>'Lembar Penyelia'!H152</f>
        <v>-</v>
      </c>
      <c r="I154" s="911"/>
      <c r="J154" s="1052"/>
      <c r="K154" s="465" t="str">
        <f>'Lembar Penyelia'!J152</f>
        <v>-</v>
      </c>
    </row>
    <row r="155" spans="1:11">
      <c r="A155" s="360"/>
      <c r="B155" s="426"/>
      <c r="C155" s="452"/>
      <c r="D155" s="426"/>
      <c r="E155" s="426"/>
      <c r="F155" s="454"/>
      <c r="G155" s="454"/>
      <c r="H155" s="471"/>
      <c r="I155" s="471"/>
      <c r="J155" s="455"/>
    </row>
    <row r="156" spans="1:11">
      <c r="A156" s="499" t="s">
        <v>314</v>
      </c>
      <c r="B156" s="410" t="s">
        <v>315</v>
      </c>
      <c r="C156" s="365"/>
      <c r="D156" s="374"/>
      <c r="E156" s="379"/>
      <c r="F156" s="360"/>
      <c r="G156" s="360"/>
      <c r="H156" s="360"/>
      <c r="I156" s="360"/>
      <c r="J156" s="360"/>
      <c r="K156" s="360"/>
    </row>
    <row r="157" spans="1:11">
      <c r="A157" s="360"/>
      <c r="B157" s="369" t="str">
        <f>'Lembar Penyelia'!B156</f>
        <v>Ketidakpastian pengukuran dilaporkan pada tingkat kepercayaan 95% dengan faktor cakupan k=2</v>
      </c>
      <c r="C157" s="360"/>
      <c r="D157" s="365"/>
      <c r="E157" s="379"/>
      <c r="F157" s="360"/>
      <c r="G157" s="360"/>
      <c r="H157" s="360"/>
      <c r="I157" s="360"/>
      <c r="J157" s="360"/>
      <c r="K157" s="360"/>
    </row>
    <row r="158" spans="1:11">
      <c r="A158" s="360"/>
      <c r="B158" s="369" t="str">
        <f>'Lembar Penyelia'!B157</f>
        <v>Hasil pengujian Keselamatan Listrik tertelusur ke Satuan Internasional ( SI ) melalui PT. Kaliman (LK-032-IDN)</v>
      </c>
      <c r="C158" s="360"/>
      <c r="D158" s="365"/>
      <c r="E158" s="379"/>
      <c r="F158" s="360"/>
      <c r="G158" s="360"/>
      <c r="H158" s="360"/>
      <c r="I158" s="360"/>
      <c r="J158" s="360"/>
      <c r="K158" s="360"/>
    </row>
    <row r="159" spans="1:11">
      <c r="A159" s="360"/>
      <c r="B159" s="369" t="str">
        <f>'Lembar Penyelia'!B158</f>
        <v>Hasil Kalibrasi Hearing tertelusur ke Satuan Internasional ( SI ) melalui Puslit Metrologi - LIPI</v>
      </c>
      <c r="C159" s="360"/>
      <c r="D159" s="365"/>
      <c r="E159" s="379"/>
      <c r="F159" s="360"/>
      <c r="G159" s="360"/>
      <c r="H159" s="360"/>
      <c r="I159" s="360"/>
      <c r="J159" s="360"/>
      <c r="K159" s="360"/>
    </row>
    <row r="160" spans="1:11">
      <c r="A160" s="360"/>
      <c r="B160" s="369" t="str">
        <f>'Lembar Penyelia'!B159</f>
        <v>Hasil Kalibrasi Frekuensi tertelusur ke Satuan Internasional ( SI ) melalui Puslit Metrologi - LIPI</v>
      </c>
      <c r="C160" s="360"/>
      <c r="D160" s="365"/>
      <c r="E160" s="379"/>
      <c r="F160" s="360"/>
      <c r="G160" s="360"/>
      <c r="H160" s="360"/>
      <c r="I160" s="360"/>
      <c r="J160" s="360"/>
      <c r="K160" s="360"/>
    </row>
    <row r="161" spans="1:11">
      <c r="A161" s="360"/>
      <c r="B161" s="369" t="str">
        <f>'Lembar Penyelia'!B160</f>
        <v>Hasil Kalibrasi Total Harmonic Distortion tertelusur ke Satuan Internasional ( SI ) melalui Puslit Metrologi - LIPI</v>
      </c>
      <c r="C161" s="360"/>
      <c r="D161" s="365"/>
      <c r="E161" s="379"/>
      <c r="F161" s="360"/>
      <c r="G161" s="360"/>
      <c r="H161" s="360"/>
      <c r="I161" s="360"/>
      <c r="J161" s="360"/>
      <c r="K161" s="360"/>
    </row>
    <row r="162" spans="1:11">
      <c r="A162" s="360"/>
      <c r="B162" s="369" t="str">
        <f>'Lembar Penyelia'!B161</f>
        <v>Type earphone : DD 45</v>
      </c>
      <c r="C162" s="360"/>
      <c r="D162" s="365"/>
      <c r="E162" s="379"/>
      <c r="F162" s="360"/>
      <c r="G162" s="360"/>
      <c r="H162" s="360"/>
      <c r="I162" s="360"/>
      <c r="J162" s="360"/>
      <c r="K162" s="360"/>
    </row>
    <row r="163" spans="1:11" hidden="1">
      <c r="A163" s="360"/>
      <c r="B163" s="366" t="str">
        <f>'Lembar Penyelia'!B162</f>
        <v>-</v>
      </c>
      <c r="C163" s="360"/>
      <c r="D163" s="365"/>
      <c r="E163" s="379"/>
      <c r="F163" s="360"/>
      <c r="G163" s="360"/>
      <c r="H163" s="360"/>
      <c r="I163" s="360"/>
      <c r="J163" s="360"/>
      <c r="K163" s="360"/>
    </row>
    <row r="164" spans="1:11">
      <c r="A164" s="360"/>
      <c r="B164" s="931" t="str">
        <f>'Lembar Penyelia'!B163</f>
        <v>Tidak terdapat grounding di ruangan</v>
      </c>
      <c r="C164" s="360"/>
      <c r="D164" s="365"/>
      <c r="E164" s="379"/>
      <c r="F164" s="360"/>
      <c r="G164" s="360"/>
      <c r="H164" s="360"/>
      <c r="I164" s="360"/>
      <c r="J164" s="360"/>
      <c r="K164" s="360"/>
    </row>
    <row r="165" spans="1:11">
      <c r="A165" s="360"/>
      <c r="B165" s="369"/>
      <c r="C165" s="360"/>
      <c r="D165" s="365"/>
      <c r="E165" s="379"/>
      <c r="F165" s="360"/>
      <c r="G165" s="360"/>
      <c r="H165" s="360"/>
      <c r="I165" s="360"/>
      <c r="J165" s="360"/>
      <c r="K165" s="360"/>
    </row>
    <row r="166" spans="1:11">
      <c r="A166" s="420" t="s">
        <v>323</v>
      </c>
      <c r="B166" s="361" t="s">
        <v>324</v>
      </c>
      <c r="C166" s="360"/>
      <c r="D166" s="363"/>
      <c r="E166" s="360"/>
      <c r="F166" s="360"/>
      <c r="G166" s="360"/>
      <c r="H166" s="360"/>
      <c r="I166" s="360"/>
      <c r="J166" s="360"/>
      <c r="K166" s="360"/>
    </row>
    <row r="167" spans="1:11">
      <c r="A167" s="360"/>
      <c r="B167" s="937" t="str">
        <f>'Lembar Penyelia'!B166</f>
        <v>Audiometer Analyzer, Merek : Larson Davis, Model : 831C, SN : 11418</v>
      </c>
      <c r="C167" s="365"/>
      <c r="D167" s="379"/>
      <c r="E167" s="360"/>
      <c r="F167" s="360"/>
      <c r="G167" s="360"/>
      <c r="H167" s="360"/>
      <c r="I167" s="360"/>
      <c r="J167" s="360"/>
      <c r="K167" s="419"/>
    </row>
    <row r="168" spans="1:11">
      <c r="A168" s="360"/>
      <c r="B168" s="937" t="str">
        <f>'Lembar Penyelia'!B167</f>
        <v>Electrical Safety Analyzer, Merek : Fluke, Model : ESA 615, SN : 3699030</v>
      </c>
      <c r="C168" s="420"/>
      <c r="D168" s="379"/>
      <c r="E168" s="360"/>
      <c r="F168" s="360"/>
      <c r="G168" s="360"/>
      <c r="H168" s="360"/>
      <c r="I168" s="360"/>
      <c r="J168" s="360"/>
      <c r="K168" s="419"/>
    </row>
    <row r="169" spans="1:11" hidden="1">
      <c r="A169" s="360"/>
      <c r="B169" s="371" t="str">
        <f>'Lembar Penyelia'!B168</f>
        <v>Thermohygrolight, Merek : Sekonic, Model : ST-50A, SN : HE-21.000669</v>
      </c>
      <c r="C169" s="365"/>
      <c r="D169" s="379"/>
      <c r="E169" s="360"/>
      <c r="F169" s="360"/>
      <c r="G169" s="360"/>
      <c r="H169" s="360"/>
      <c r="I169" s="360"/>
      <c r="J169" s="360"/>
      <c r="K169" s="419"/>
    </row>
    <row r="170" spans="1:11">
      <c r="A170" s="360"/>
      <c r="B170" s="371"/>
      <c r="C170" s="365"/>
      <c r="D170" s="379"/>
      <c r="E170" s="360"/>
      <c r="F170" s="360"/>
      <c r="G170" s="360"/>
      <c r="H170" s="360"/>
      <c r="I170" s="360"/>
      <c r="J170" s="360"/>
      <c r="K170" s="419"/>
    </row>
    <row r="171" spans="1:11">
      <c r="A171" s="420" t="s">
        <v>325</v>
      </c>
      <c r="B171" s="411" t="s">
        <v>326</v>
      </c>
      <c r="C171" s="365"/>
      <c r="D171" s="379"/>
      <c r="E171" s="360"/>
      <c r="F171" s="360"/>
      <c r="G171" s="360"/>
      <c r="H171" s="360"/>
      <c r="I171" s="360"/>
      <c r="J171" s="360"/>
      <c r="K171" s="419"/>
    </row>
    <row r="172" spans="1:11" ht="15.75" customHeight="1">
      <c r="A172" s="360"/>
      <c r="B172" s="1066" t="str">
        <f>'Lembar Penyelia'!B171</f>
        <v>Alat yang dikalibrasi dalam batas toleransi dan dinyatakan LAIK PAKAI, dimana hasil atau skor akhir sama dengan atau melampaui 70 % berdasarkan Keputusan Direktur Jenderal Pelayanan Kesehatan No : HK.02.02/V/0412/2020</v>
      </c>
      <c r="C172" s="1066"/>
      <c r="D172" s="1066"/>
      <c r="E172" s="1066"/>
      <c r="F172" s="1066"/>
      <c r="G172" s="1066"/>
      <c r="H172" s="1066"/>
      <c r="I172" s="1066"/>
      <c r="J172" s="1066"/>
      <c r="K172" s="1066"/>
    </row>
    <row r="173" spans="1:11">
      <c r="A173" s="360"/>
      <c r="B173" s="1066"/>
      <c r="C173" s="1066"/>
      <c r="D173" s="1066"/>
      <c r="E173" s="1066"/>
      <c r="F173" s="1066"/>
      <c r="G173" s="1066"/>
      <c r="H173" s="1066"/>
      <c r="I173" s="1066"/>
      <c r="J173" s="1066"/>
      <c r="K173" s="1066"/>
    </row>
    <row r="174" spans="1:11">
      <c r="A174" s="360"/>
      <c r="B174" s="411"/>
      <c r="C174" s="365"/>
      <c r="D174" s="379"/>
      <c r="E174" s="360"/>
      <c r="F174" s="360"/>
      <c r="G174" s="360"/>
      <c r="H174" s="360"/>
      <c r="I174" s="360"/>
      <c r="J174" s="360"/>
      <c r="K174" s="419"/>
    </row>
    <row r="175" spans="1:11">
      <c r="A175" s="420" t="s">
        <v>327</v>
      </c>
      <c r="B175" s="412" t="s">
        <v>328</v>
      </c>
      <c r="C175" s="372"/>
      <c r="D175" s="456"/>
      <c r="E175" s="360"/>
      <c r="F175" s="360"/>
      <c r="G175" s="360"/>
      <c r="H175" s="360"/>
      <c r="I175" s="360"/>
      <c r="J175" s="360"/>
      <c r="K175" s="360"/>
    </row>
    <row r="176" spans="1:11">
      <c r="A176" s="360"/>
      <c r="B176" s="938" t="str">
        <f>'Lembar Penyelia'!B175</f>
        <v>Gusti Arya Dinata</v>
      </c>
      <c r="C176" s="365"/>
      <c r="D176" s="379"/>
      <c r="E176" s="379"/>
      <c r="F176" s="360"/>
      <c r="G176" s="360"/>
      <c r="H176" s="360"/>
      <c r="I176" s="360"/>
      <c r="J176" s="360"/>
      <c r="K176" s="360"/>
    </row>
    <row r="177" spans="1:11">
      <c r="A177" s="360"/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</row>
    <row r="178" spans="1:11">
      <c r="A178" s="360"/>
      <c r="B178" s="360"/>
      <c r="C178" s="360"/>
      <c r="D178" s="360"/>
      <c r="E178" s="360"/>
      <c r="F178" s="360"/>
      <c r="G178" s="360"/>
      <c r="H178" s="360"/>
      <c r="I178" s="360"/>
      <c r="J178" s="360"/>
      <c r="K178" s="360"/>
    </row>
    <row r="179" spans="1:11">
      <c r="A179" s="360"/>
      <c r="B179" s="360"/>
      <c r="C179" s="360"/>
      <c r="D179" s="360"/>
      <c r="E179" s="360"/>
      <c r="F179" s="360"/>
      <c r="G179" s="360"/>
      <c r="H179" s="476" t="s">
        <v>336</v>
      </c>
      <c r="I179" s="476"/>
      <c r="J179" s="420"/>
      <c r="K179" s="360"/>
    </row>
    <row r="180" spans="1:11">
      <c r="A180" s="360"/>
      <c r="B180" s="360"/>
      <c r="C180" s="360"/>
      <c r="D180" s="360"/>
      <c r="E180" s="360"/>
      <c r="F180" s="360"/>
      <c r="G180" s="430" t="str">
        <f>IF(H186=A196,"a.n","")</f>
        <v/>
      </c>
      <c r="H180" s="477" t="s">
        <v>337</v>
      </c>
      <c r="I180" s="477"/>
      <c r="J180" s="420"/>
      <c r="K180" s="360"/>
    </row>
    <row r="181" spans="1:11">
      <c r="A181" s="360"/>
      <c r="B181" s="360"/>
      <c r="C181" s="360"/>
      <c r="D181" s="360"/>
      <c r="E181" s="360"/>
      <c r="F181" s="360"/>
      <c r="G181" s="360"/>
      <c r="H181" s="477" t="s">
        <v>338</v>
      </c>
      <c r="I181" s="477"/>
      <c r="J181" s="360"/>
      <c r="K181" s="360"/>
    </row>
    <row r="182" spans="1:11">
      <c r="A182" s="360"/>
      <c r="B182" s="360"/>
      <c r="C182" s="360"/>
      <c r="D182" s="360"/>
      <c r="E182" s="360"/>
      <c r="F182" s="360"/>
      <c r="G182" s="360"/>
      <c r="H182" s="476"/>
      <c r="I182" s="476"/>
      <c r="J182" s="457"/>
      <c r="K182" s="360"/>
    </row>
    <row r="183" spans="1:11">
      <c r="A183" s="360"/>
      <c r="B183" s="374"/>
      <c r="C183" s="1067"/>
      <c r="D183" s="1067"/>
      <c r="E183" s="1067"/>
      <c r="F183" s="458"/>
      <c r="G183" s="458"/>
      <c r="H183" s="476"/>
      <c r="I183" s="476"/>
      <c r="J183" s="360"/>
      <c r="K183" s="360"/>
    </row>
    <row r="184" spans="1:11" ht="15.75" customHeight="1">
      <c r="A184" s="990"/>
      <c r="B184" s="990"/>
      <c r="C184" s="1067"/>
      <c r="D184" s="1067"/>
      <c r="E184" s="1067"/>
      <c r="F184" s="1067"/>
      <c r="G184" s="1067"/>
      <c r="H184" s="476"/>
      <c r="I184" s="476"/>
      <c r="J184" s="360"/>
      <c r="K184" s="365"/>
    </row>
    <row r="185" spans="1:11" ht="15.75" customHeight="1">
      <c r="A185" s="1065"/>
      <c r="B185" s="1065"/>
      <c r="C185" s="370"/>
      <c r="D185" s="990"/>
      <c r="E185" s="990"/>
      <c r="F185" s="990"/>
      <c r="G185" s="990"/>
      <c r="H185" s="478"/>
      <c r="I185" s="478"/>
      <c r="J185" s="360"/>
      <c r="K185" s="360"/>
    </row>
    <row r="186" spans="1:11" ht="15.75" customHeight="1">
      <c r="A186" s="1065"/>
      <c r="B186" s="1065"/>
      <c r="C186" s="370"/>
      <c r="D186" s="973"/>
      <c r="E186" s="973"/>
      <c r="F186" s="973"/>
      <c r="G186" s="973"/>
      <c r="H186" s="479" t="s">
        <v>339</v>
      </c>
      <c r="I186" s="479"/>
      <c r="J186" s="360"/>
      <c r="K186" s="360"/>
    </row>
    <row r="187" spans="1:11">
      <c r="A187" s="360"/>
      <c r="B187" s="360"/>
      <c r="C187" s="360"/>
      <c r="D187" s="360"/>
      <c r="E187" s="360"/>
      <c r="F187" s="360"/>
      <c r="G187" s="360"/>
      <c r="H187" s="843" t="str">
        <f>VLOOKUP(H186,A196:C197,2,0)</f>
        <v>NIP 198008062010121001</v>
      </c>
      <c r="I187" s="843"/>
      <c r="J187" s="360"/>
      <c r="K187" s="360"/>
    </row>
    <row r="188" spans="1:11">
      <c r="A188" s="360"/>
      <c r="B188" s="360"/>
      <c r="C188" s="360"/>
      <c r="D188" s="360"/>
      <c r="E188" s="360"/>
      <c r="F188" s="360"/>
      <c r="G188" s="360"/>
      <c r="H188" s="480"/>
      <c r="I188" s="480"/>
      <c r="J188" s="360"/>
    </row>
    <row r="189" spans="1:11" ht="50.25" customHeight="1">
      <c r="A189" s="360"/>
      <c r="B189" s="360"/>
      <c r="C189" s="360"/>
      <c r="D189" s="360"/>
      <c r="E189" s="360"/>
      <c r="F189" s="360"/>
      <c r="G189" s="360"/>
      <c r="H189" s="480"/>
      <c r="I189" s="480"/>
      <c r="J189" s="360"/>
      <c r="K189" s="759" t="s">
        <v>340</v>
      </c>
    </row>
    <row r="190" spans="1:11">
      <c r="A190" s="360"/>
      <c r="B190" s="360"/>
      <c r="C190" s="360"/>
      <c r="D190" s="360"/>
      <c r="E190" s="360"/>
      <c r="F190" s="360"/>
      <c r="G190" s="360"/>
      <c r="H190" s="480"/>
      <c r="I190" s="480"/>
      <c r="J190" s="360"/>
      <c r="K190" s="360"/>
    </row>
    <row r="191" spans="1:11">
      <c r="A191" s="360"/>
      <c r="B191" s="360"/>
      <c r="C191" s="360"/>
      <c r="D191" s="360"/>
      <c r="E191" s="360"/>
      <c r="F191" s="360"/>
      <c r="G191" s="360"/>
      <c r="H191" s="480"/>
      <c r="I191" s="480"/>
      <c r="J191" s="360"/>
      <c r="K191" s="360"/>
    </row>
    <row r="192" spans="1:11">
      <c r="A192" s="360"/>
      <c r="B192" s="360"/>
      <c r="C192" s="360"/>
      <c r="D192" s="360"/>
      <c r="E192" s="360"/>
      <c r="F192" s="360"/>
      <c r="G192" s="360"/>
      <c r="H192" s="480"/>
      <c r="I192" s="480"/>
      <c r="J192" s="360"/>
      <c r="K192" s="360"/>
    </row>
    <row r="193" spans="1:11">
      <c r="A193" s="360"/>
      <c r="B193" s="360"/>
      <c r="C193" s="360"/>
      <c r="D193" s="360"/>
      <c r="E193" s="360"/>
      <c r="F193" s="360"/>
      <c r="G193" s="360"/>
      <c r="H193" s="480"/>
      <c r="I193" s="480"/>
      <c r="J193" s="360"/>
      <c r="K193" s="360"/>
    </row>
    <row r="194" spans="1:11">
      <c r="A194" s="360"/>
      <c r="B194" s="360"/>
      <c r="C194" s="360"/>
      <c r="D194" s="360"/>
      <c r="E194" s="360"/>
      <c r="F194" s="360"/>
      <c r="G194" s="360"/>
      <c r="H194" s="480"/>
      <c r="I194" s="480"/>
      <c r="J194" s="360"/>
    </row>
    <row r="195" spans="1:11">
      <c r="A195" s="360"/>
      <c r="B195" s="360"/>
      <c r="C195" s="360"/>
      <c r="D195" s="360"/>
      <c r="E195" s="360"/>
      <c r="F195" s="360"/>
      <c r="G195" s="360"/>
      <c r="H195" s="480"/>
      <c r="I195" s="480"/>
      <c r="J195" s="360"/>
    </row>
    <row r="196" spans="1:11">
      <c r="A196" s="360" t="s">
        <v>341</v>
      </c>
      <c r="B196" s="842" t="s">
        <v>342</v>
      </c>
      <c r="C196" s="360"/>
      <c r="D196" s="360"/>
      <c r="E196" s="360"/>
      <c r="F196" s="360"/>
      <c r="G196" s="360"/>
      <c r="H196" s="480"/>
      <c r="I196" s="480"/>
      <c r="J196" s="360"/>
    </row>
    <row r="197" spans="1:11">
      <c r="A197" s="360" t="s">
        <v>339</v>
      </c>
      <c r="B197" s="842" t="s">
        <v>343</v>
      </c>
    </row>
  </sheetData>
  <sheetProtection formatCells="0" formatColumns="0" formatRows="0" insertRows="0" deleteRows="0"/>
  <mergeCells count="96">
    <mergeCell ref="I33:I41"/>
    <mergeCell ref="H33:H41"/>
    <mergeCell ref="H42:H43"/>
    <mergeCell ref="I42:I43"/>
    <mergeCell ref="H31:I31"/>
    <mergeCell ref="H32:I32"/>
    <mergeCell ref="A185:B186"/>
    <mergeCell ref="D185:G185"/>
    <mergeCell ref="D186:G186"/>
    <mergeCell ref="K145:K146"/>
    <mergeCell ref="B172:K173"/>
    <mergeCell ref="C183:E183"/>
    <mergeCell ref="A184:B184"/>
    <mergeCell ref="C184:G184"/>
    <mergeCell ref="H109:I109"/>
    <mergeCell ref="H110:I110"/>
    <mergeCell ref="J109:K110"/>
    <mergeCell ref="H46:I46"/>
    <mergeCell ref="H47:I47"/>
    <mergeCell ref="J46:K47"/>
    <mergeCell ref="J94:K95"/>
    <mergeCell ref="I96:I104"/>
    <mergeCell ref="H94:I94"/>
    <mergeCell ref="H95:I95"/>
    <mergeCell ref="H96:H104"/>
    <mergeCell ref="J126:J136"/>
    <mergeCell ref="C131:C136"/>
    <mergeCell ref="C147:C150"/>
    <mergeCell ref="J147:J154"/>
    <mergeCell ref="C151:C154"/>
    <mergeCell ref="C145:C146"/>
    <mergeCell ref="D145:E145"/>
    <mergeCell ref="F145:F146"/>
    <mergeCell ref="G145:G146"/>
    <mergeCell ref="H145:H146"/>
    <mergeCell ref="J145:J146"/>
    <mergeCell ref="B138:B139"/>
    <mergeCell ref="C124:C125"/>
    <mergeCell ref="D124:E124"/>
    <mergeCell ref="C126:C130"/>
    <mergeCell ref="B109:B110"/>
    <mergeCell ref="C109:C110"/>
    <mergeCell ref="D109:E109"/>
    <mergeCell ref="B111:B121"/>
    <mergeCell ref="C111:C121"/>
    <mergeCell ref="B96:B106"/>
    <mergeCell ref="C96:C106"/>
    <mergeCell ref="B94:B95"/>
    <mergeCell ref="C94:C95"/>
    <mergeCell ref="D94:E94"/>
    <mergeCell ref="B80:B90"/>
    <mergeCell ref="C80:C84"/>
    <mergeCell ref="J80:J90"/>
    <mergeCell ref="C85:C90"/>
    <mergeCell ref="B78:B79"/>
    <mergeCell ref="C78:C79"/>
    <mergeCell ref="D78:E78"/>
    <mergeCell ref="F78:F79"/>
    <mergeCell ref="G78:G79"/>
    <mergeCell ref="B33:B43"/>
    <mergeCell ref="D46:E46"/>
    <mergeCell ref="F46:F47"/>
    <mergeCell ref="G46:G47"/>
    <mergeCell ref="C33:C43"/>
    <mergeCell ref="B48:B58"/>
    <mergeCell ref="C48:C58"/>
    <mergeCell ref="B46:B47"/>
    <mergeCell ref="C46:C47"/>
    <mergeCell ref="A1:K1"/>
    <mergeCell ref="A2:K2"/>
    <mergeCell ref="C23:G23"/>
    <mergeCell ref="B31:B32"/>
    <mergeCell ref="C31:C32"/>
    <mergeCell ref="D31:E31"/>
    <mergeCell ref="F31:F32"/>
    <mergeCell ref="G31:G32"/>
    <mergeCell ref="H23:I23"/>
    <mergeCell ref="J31:K32"/>
    <mergeCell ref="J23:K23"/>
    <mergeCell ref="J24:K24"/>
    <mergeCell ref="F124:F125"/>
    <mergeCell ref="G124:G125"/>
    <mergeCell ref="J124:J125"/>
    <mergeCell ref="J25:K25"/>
    <mergeCell ref="J26:K26"/>
    <mergeCell ref="K78:K79"/>
    <mergeCell ref="H78:H79"/>
    <mergeCell ref="H124:H125"/>
    <mergeCell ref="J78:J79"/>
    <mergeCell ref="K124:K125"/>
    <mergeCell ref="F109:F110"/>
    <mergeCell ref="G109:G110"/>
    <mergeCell ref="F94:F95"/>
    <mergeCell ref="G94:G95"/>
    <mergeCell ref="I105:I106"/>
    <mergeCell ref="H105:H106"/>
  </mergeCells>
  <dataValidations count="1">
    <dataValidation type="list" allowBlank="1" showInputMessage="1" showErrorMessage="1" sqref="H186:I186" xr:uid="{5B2252E1-DDC7-44A7-B2D0-4C57D4A29984}">
      <formula1>$A$196:$A$197</formula1>
    </dataValidation>
  </dataValidations>
  <printOptions horizontalCentered="1"/>
  <pageMargins left="0.511811023622047" right="0.23622047244094499" top="0.511811023622047" bottom="0.23622047244094499" header="0.23622047244094499" footer="0.23622047244094499"/>
  <pageSetup paperSize="9" scale="71" orientation="portrait" horizontalDpi="4294967294" r:id="rId1"/>
  <headerFooter>
    <oddHeader>&amp;R&amp;"-,Regular"&amp;8OA.LHK - 007 - 18 / REV. 1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rowBreaks count="2" manualBreakCount="2">
    <brk id="68" max="9" man="1"/>
    <brk id="91" max="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X249"/>
  <sheetViews>
    <sheetView topLeftCell="A225" zoomScale="80" zoomScaleNormal="80" workbookViewId="0">
      <selection activeCell="A244" sqref="A244:K244"/>
    </sheetView>
  </sheetViews>
  <sheetFormatPr defaultColWidth="9" defaultRowHeight="12.5"/>
  <cols>
    <col min="1" max="1" width="10.26953125" style="609" customWidth="1"/>
    <col min="2" max="11" width="9" style="609"/>
    <col min="12" max="12" width="12.1796875" style="609" customWidth="1"/>
    <col min="13" max="13" width="12.26953125" style="609" customWidth="1"/>
    <col min="14" max="16384" width="9" style="609"/>
  </cols>
  <sheetData>
    <row r="1" spans="1:22" ht="18">
      <c r="A1" s="1255" t="s">
        <v>619</v>
      </c>
      <c r="B1" s="1256"/>
      <c r="C1" s="1256"/>
      <c r="D1" s="1256"/>
      <c r="E1" s="1256"/>
      <c r="F1" s="1256"/>
      <c r="G1" s="1256"/>
      <c r="H1" s="1256"/>
      <c r="I1" s="1256"/>
      <c r="J1" s="1256"/>
      <c r="K1" s="1256"/>
      <c r="L1" s="1256"/>
      <c r="M1" s="1256"/>
      <c r="N1" s="1256"/>
      <c r="O1" s="1256"/>
      <c r="P1" s="1256"/>
      <c r="Q1" s="1256"/>
      <c r="R1" s="1256"/>
      <c r="S1" s="1256"/>
      <c r="T1" s="1257"/>
      <c r="V1" s="609" t="s">
        <v>620</v>
      </c>
    </row>
    <row r="2" spans="1:22" ht="15" customHeight="1">
      <c r="A2" s="1258" t="s">
        <v>621</v>
      </c>
      <c r="B2" s="1259" t="s">
        <v>622</v>
      </c>
      <c r="C2" s="1259"/>
      <c r="D2" s="1259"/>
      <c r="E2" s="1259"/>
      <c r="F2" s="1259"/>
      <c r="G2" s="610"/>
      <c r="H2" s="1258" t="s">
        <v>623</v>
      </c>
      <c r="I2" s="1259" t="s">
        <v>624</v>
      </c>
      <c r="J2" s="1259"/>
      <c r="K2" s="1259"/>
      <c r="L2" s="1259"/>
      <c r="M2" s="1259"/>
      <c r="N2" s="611"/>
      <c r="O2" s="1258" t="s">
        <v>625</v>
      </c>
      <c r="P2" s="1259" t="s">
        <v>626</v>
      </c>
      <c r="Q2" s="1259"/>
      <c r="R2" s="1259"/>
      <c r="S2" s="1259"/>
      <c r="T2" s="1259"/>
    </row>
    <row r="3" spans="1:22" ht="15" customHeight="1">
      <c r="A3" s="1258"/>
      <c r="B3" s="1260" t="s">
        <v>627</v>
      </c>
      <c r="C3" s="1260"/>
      <c r="D3" s="1260"/>
      <c r="E3" s="1260"/>
      <c r="F3" s="1260"/>
      <c r="G3" s="612"/>
      <c r="H3" s="1258"/>
      <c r="I3" s="1260" t="s">
        <v>627</v>
      </c>
      <c r="J3" s="1260"/>
      <c r="K3" s="1260"/>
      <c r="L3" s="1260"/>
      <c r="M3" s="1260"/>
      <c r="N3" s="613"/>
      <c r="O3" s="1258"/>
      <c r="P3" s="1261" t="s">
        <v>627</v>
      </c>
      <c r="Q3" s="1261"/>
      <c r="R3" s="1261"/>
      <c r="S3" s="1261"/>
      <c r="T3" s="1261"/>
    </row>
    <row r="4" spans="1:22" ht="12.75" customHeight="1">
      <c r="A4" s="1258"/>
      <c r="B4" s="1262" t="s">
        <v>628</v>
      </c>
      <c r="C4" s="1262"/>
      <c r="D4" s="1262"/>
      <c r="E4" s="1262" t="s">
        <v>606</v>
      </c>
      <c r="F4" s="1262" t="s">
        <v>607</v>
      </c>
      <c r="G4" s="614"/>
      <c r="H4" s="1258"/>
      <c r="I4" s="1262" t="str">
        <f>B4</f>
        <v>Setting VAC</v>
      </c>
      <c r="J4" s="1262"/>
      <c r="K4" s="1262"/>
      <c r="L4" s="1262" t="s">
        <v>606</v>
      </c>
      <c r="M4" s="1262" t="s">
        <v>607</v>
      </c>
      <c r="N4" s="614"/>
      <c r="O4" s="1258"/>
      <c r="P4" s="1262" t="str">
        <f>B4</f>
        <v>Setting VAC</v>
      </c>
      <c r="Q4" s="1262"/>
      <c r="R4" s="1262"/>
      <c r="S4" s="1262" t="s">
        <v>606</v>
      </c>
      <c r="T4" s="1262" t="s">
        <v>607</v>
      </c>
    </row>
    <row r="5" spans="1:22" ht="15" customHeight="1">
      <c r="A5" s="1258"/>
      <c r="B5" s="615" t="s">
        <v>629</v>
      </c>
      <c r="C5" s="616">
        <v>2019</v>
      </c>
      <c r="D5" s="616">
        <v>2020</v>
      </c>
      <c r="E5" s="1262"/>
      <c r="F5" s="1262"/>
      <c r="G5" s="614"/>
      <c r="H5" s="1258"/>
      <c r="I5" s="615" t="s">
        <v>629</v>
      </c>
      <c r="J5" s="616">
        <v>2017</v>
      </c>
      <c r="K5" s="616">
        <v>2019</v>
      </c>
      <c r="L5" s="1262"/>
      <c r="M5" s="1262"/>
      <c r="N5" s="614"/>
      <c r="O5" s="1258"/>
      <c r="P5" s="615" t="s">
        <v>629</v>
      </c>
      <c r="Q5" s="616">
        <v>2017</v>
      </c>
      <c r="R5" s="616">
        <v>2018</v>
      </c>
      <c r="S5" s="1262"/>
      <c r="T5" s="1262"/>
    </row>
    <row r="6" spans="1:22" ht="15" customHeight="1">
      <c r="A6" s="1258"/>
      <c r="B6" s="617">
        <v>150</v>
      </c>
      <c r="C6" s="618">
        <v>0.76</v>
      </c>
      <c r="D6" s="618">
        <v>0.31</v>
      </c>
      <c r="E6" s="619">
        <f t="shared" ref="E6:E11" si="0">0.5*(MAX(C6:D6)-MIN(C6:D6))</f>
        <v>0.22500000000000001</v>
      </c>
      <c r="F6" s="620">
        <v>0.47</v>
      </c>
      <c r="G6" s="614"/>
      <c r="H6" s="1258"/>
      <c r="I6" s="617">
        <v>150</v>
      </c>
      <c r="J6" s="621">
        <v>0.23</v>
      </c>
      <c r="K6" s="618">
        <v>0.15</v>
      </c>
      <c r="L6" s="619">
        <f t="shared" ref="L6:L11" si="1">0.5*(MAX(J6:K6)-MIN(J6:K6))</f>
        <v>4.0000000000000008E-2</v>
      </c>
      <c r="M6" s="620">
        <v>0.47</v>
      </c>
      <c r="N6" s="614" t="s">
        <v>620</v>
      </c>
      <c r="O6" s="1258"/>
      <c r="P6" s="622">
        <v>150</v>
      </c>
      <c r="Q6" s="623">
        <v>-0.24</v>
      </c>
      <c r="R6" s="621">
        <v>-7.0000000000000007E-2</v>
      </c>
      <c r="S6" s="619">
        <f t="shared" ref="S6:S11" si="2">0.5*(MAX(Q6:R6)-MIN(Q6:R6))</f>
        <v>8.4999999999999992E-2</v>
      </c>
      <c r="T6" s="624">
        <v>1.2</v>
      </c>
    </row>
    <row r="7" spans="1:22" ht="12.75" customHeight="1">
      <c r="A7" s="1258"/>
      <c r="B7" s="617">
        <v>180</v>
      </c>
      <c r="C7" s="625">
        <v>-0.13</v>
      </c>
      <c r="D7" s="625">
        <v>0.1</v>
      </c>
      <c r="E7" s="619">
        <f t="shared" si="0"/>
        <v>0.115</v>
      </c>
      <c r="F7" s="620">
        <v>0.47</v>
      </c>
      <c r="G7" s="614"/>
      <c r="H7" s="1258"/>
      <c r="I7" s="617">
        <v>180</v>
      </c>
      <c r="J7" s="621">
        <v>-0.06</v>
      </c>
      <c r="K7" s="625">
        <v>0.12</v>
      </c>
      <c r="L7" s="619">
        <f t="shared" si="1"/>
        <v>0.09</v>
      </c>
      <c r="M7" s="620">
        <v>0.47</v>
      </c>
      <c r="N7" s="614"/>
      <c r="O7" s="1258"/>
      <c r="P7" s="626">
        <v>180</v>
      </c>
      <c r="Q7" s="621">
        <v>-0.3</v>
      </c>
      <c r="R7" s="621">
        <v>-0.13</v>
      </c>
      <c r="S7" s="619">
        <f t="shared" si="2"/>
        <v>8.4999999999999992E-2</v>
      </c>
      <c r="T7" s="624">
        <v>1.2</v>
      </c>
    </row>
    <row r="8" spans="1:22" ht="12.75" customHeight="1">
      <c r="A8" s="1258"/>
      <c r="B8" s="617">
        <v>200</v>
      </c>
      <c r="C8" s="625">
        <v>-0.16</v>
      </c>
      <c r="D8" s="625">
        <v>-0.04</v>
      </c>
      <c r="E8" s="619">
        <f t="shared" si="0"/>
        <v>0.06</v>
      </c>
      <c r="F8" s="620">
        <v>0.47</v>
      </c>
      <c r="G8" s="614"/>
      <c r="H8" s="1258"/>
      <c r="I8" s="617">
        <v>200</v>
      </c>
      <c r="J8" s="621">
        <v>-0.18</v>
      </c>
      <c r="K8" s="625">
        <v>0.06</v>
      </c>
      <c r="L8" s="619">
        <f t="shared" si="1"/>
        <v>0.12</v>
      </c>
      <c r="M8" s="620">
        <v>0.47</v>
      </c>
      <c r="N8" s="614"/>
      <c r="O8" s="1258"/>
      <c r="P8" s="626">
        <v>200</v>
      </c>
      <c r="Q8" s="621">
        <v>-0.24</v>
      </c>
      <c r="R8" s="621">
        <v>-0.26</v>
      </c>
      <c r="S8" s="619">
        <f t="shared" si="2"/>
        <v>1.0000000000000009E-2</v>
      </c>
      <c r="T8" s="624">
        <v>1.2</v>
      </c>
    </row>
    <row r="9" spans="1:22" ht="12.75" customHeight="1">
      <c r="A9" s="1258"/>
      <c r="B9" s="617">
        <v>220</v>
      </c>
      <c r="C9" s="625">
        <v>-0.18</v>
      </c>
      <c r="D9" s="625">
        <v>-0.28000000000000003</v>
      </c>
      <c r="E9" s="619">
        <f t="shared" si="0"/>
        <v>5.0000000000000017E-2</v>
      </c>
      <c r="F9" s="620">
        <v>0.47</v>
      </c>
      <c r="G9" s="614"/>
      <c r="H9" s="1258"/>
      <c r="I9" s="617">
        <v>220</v>
      </c>
      <c r="J9" s="621">
        <v>-0.03</v>
      </c>
      <c r="K9" s="625">
        <v>0.05</v>
      </c>
      <c r="L9" s="619">
        <f t="shared" si="1"/>
        <v>0.04</v>
      </c>
      <c r="M9" s="620">
        <v>0.47</v>
      </c>
      <c r="N9" s="614"/>
      <c r="O9" s="1258"/>
      <c r="P9" s="626">
        <v>220</v>
      </c>
      <c r="Q9" s="621">
        <v>-0.28000000000000003</v>
      </c>
      <c r="R9" s="621">
        <v>-0.28999999999999998</v>
      </c>
      <c r="S9" s="619">
        <f t="shared" si="2"/>
        <v>4.9999999999999767E-3</v>
      </c>
      <c r="T9" s="624">
        <v>1.2</v>
      </c>
    </row>
    <row r="10" spans="1:22" ht="12.75" customHeight="1">
      <c r="A10" s="1258"/>
      <c r="B10" s="617">
        <v>230</v>
      </c>
      <c r="C10" s="625">
        <v>-0.26</v>
      </c>
      <c r="D10" s="625">
        <v>-0.2</v>
      </c>
      <c r="E10" s="619">
        <f t="shared" si="0"/>
        <v>0.03</v>
      </c>
      <c r="F10" s="620">
        <v>0.47</v>
      </c>
      <c r="G10" s="614"/>
      <c r="H10" s="1258"/>
      <c r="I10" s="617">
        <v>230</v>
      </c>
      <c r="J10" s="621">
        <v>-10.02</v>
      </c>
      <c r="K10" s="625">
        <v>0.05</v>
      </c>
      <c r="L10" s="619">
        <f t="shared" si="1"/>
        <v>5.0350000000000001</v>
      </c>
      <c r="M10" s="620">
        <v>0.47</v>
      </c>
      <c r="N10" s="614"/>
      <c r="O10" s="1258"/>
      <c r="P10" s="626">
        <v>230</v>
      </c>
      <c r="Q10" s="621">
        <v>-0.15</v>
      </c>
      <c r="R10" s="621">
        <v>-0.23</v>
      </c>
      <c r="S10" s="619">
        <f t="shared" si="2"/>
        <v>4.0000000000000008E-2</v>
      </c>
      <c r="T10" s="624">
        <v>1.2</v>
      </c>
    </row>
    <row r="11" spans="1:22" ht="12.75" customHeight="1">
      <c r="A11" s="1258"/>
      <c r="B11" s="617">
        <v>250</v>
      </c>
      <c r="C11" s="625">
        <v>0</v>
      </c>
      <c r="D11" s="625">
        <v>0</v>
      </c>
      <c r="E11" s="619">
        <f t="shared" si="0"/>
        <v>0</v>
      </c>
      <c r="F11" s="620">
        <v>0.47</v>
      </c>
      <c r="G11" s="614"/>
      <c r="H11" s="1258"/>
      <c r="I11" s="617">
        <v>250</v>
      </c>
      <c r="J11" s="621">
        <v>0</v>
      </c>
      <c r="K11" s="625">
        <v>0</v>
      </c>
      <c r="L11" s="619">
        <f t="shared" si="1"/>
        <v>0</v>
      </c>
      <c r="M11" s="620">
        <v>0.47</v>
      </c>
      <c r="N11" s="614"/>
      <c r="O11" s="1258"/>
      <c r="P11" s="626">
        <v>250</v>
      </c>
      <c r="Q11" s="621">
        <v>0</v>
      </c>
      <c r="R11" s="621">
        <v>0</v>
      </c>
      <c r="S11" s="619">
        <f t="shared" si="2"/>
        <v>0</v>
      </c>
      <c r="T11" s="624">
        <v>1.2</v>
      </c>
    </row>
    <row r="12" spans="1:22" ht="12.75" customHeight="1">
      <c r="A12" s="1258"/>
      <c r="B12" s="1263" t="s">
        <v>630</v>
      </c>
      <c r="C12" s="1263"/>
      <c r="D12" s="1263"/>
      <c r="E12" s="1262" t="s">
        <v>606</v>
      </c>
      <c r="F12" s="1262" t="s">
        <v>607</v>
      </c>
      <c r="G12" s="614"/>
      <c r="H12" s="1258"/>
      <c r="I12" s="1263" t="str">
        <f>B12</f>
        <v>Current Leakage</v>
      </c>
      <c r="J12" s="1263"/>
      <c r="K12" s="1263"/>
      <c r="L12" s="1262" t="s">
        <v>606</v>
      </c>
      <c r="M12" s="1262" t="s">
        <v>607</v>
      </c>
      <c r="N12" s="614"/>
      <c r="O12" s="1258"/>
      <c r="P12" s="1263" t="str">
        <f>B12</f>
        <v>Current Leakage</v>
      </c>
      <c r="Q12" s="1263"/>
      <c r="R12" s="1263"/>
      <c r="S12" s="1262" t="s">
        <v>606</v>
      </c>
      <c r="T12" s="1262" t="s">
        <v>607</v>
      </c>
    </row>
    <row r="13" spans="1:22" ht="15" customHeight="1">
      <c r="A13" s="1258"/>
      <c r="B13" s="615" t="s">
        <v>631</v>
      </c>
      <c r="C13" s="616">
        <f>C5</f>
        <v>2019</v>
      </c>
      <c r="D13" s="616">
        <f>D5</f>
        <v>2020</v>
      </c>
      <c r="E13" s="1262"/>
      <c r="F13" s="1262"/>
      <c r="G13" s="614"/>
      <c r="H13" s="1258"/>
      <c r="I13" s="615" t="s">
        <v>631</v>
      </c>
      <c r="J13" s="616">
        <f>J5</f>
        <v>2017</v>
      </c>
      <c r="K13" s="616">
        <f>K5</f>
        <v>2019</v>
      </c>
      <c r="L13" s="1262"/>
      <c r="M13" s="1262"/>
      <c r="N13" s="614"/>
      <c r="O13" s="1258"/>
      <c r="P13" s="615" t="s">
        <v>631</v>
      </c>
      <c r="Q13" s="616">
        <f>Q5</f>
        <v>2017</v>
      </c>
      <c r="R13" s="616">
        <f>R5</f>
        <v>2018</v>
      </c>
      <c r="S13" s="1262"/>
      <c r="T13" s="1262"/>
    </row>
    <row r="14" spans="1:22" ht="12.75" customHeight="1">
      <c r="A14" s="1258"/>
      <c r="B14" s="626">
        <v>0</v>
      </c>
      <c r="C14" s="627">
        <v>0</v>
      </c>
      <c r="D14" s="627">
        <v>0</v>
      </c>
      <c r="E14" s="619">
        <f t="shared" ref="E14:E19" si="3">0.5*(MAX(C14:D14)-MIN(C14:D14))</f>
        <v>0</v>
      </c>
      <c r="F14" s="623">
        <v>0.28999999999999998</v>
      </c>
      <c r="G14" s="614"/>
      <c r="H14" s="1258"/>
      <c r="I14" s="626">
        <v>0</v>
      </c>
      <c r="J14" s="621">
        <v>0</v>
      </c>
      <c r="K14" s="627">
        <v>0</v>
      </c>
      <c r="L14" s="619">
        <f t="shared" ref="L14:L19" si="4">0.5*(MAX(J14:K14)-MIN(J14:K14))</f>
        <v>0</v>
      </c>
      <c r="M14" s="623">
        <v>0.28999999999999998</v>
      </c>
      <c r="N14" s="614"/>
      <c r="O14" s="1258"/>
      <c r="P14" s="626">
        <v>0</v>
      </c>
      <c r="Q14" s="621">
        <v>0</v>
      </c>
      <c r="R14" s="623">
        <v>0</v>
      </c>
      <c r="S14" s="619">
        <f t="shared" ref="S14:S19" si="5">0.5*(MAX(Q14:R14)-MIN(Q14:R14))</f>
        <v>0</v>
      </c>
      <c r="T14" s="623">
        <v>0.59</v>
      </c>
    </row>
    <row r="15" spans="1:22" ht="12.75" customHeight="1">
      <c r="A15" s="1258"/>
      <c r="B15" s="626">
        <v>50</v>
      </c>
      <c r="C15" s="625">
        <v>-0.06</v>
      </c>
      <c r="D15" s="625">
        <v>0.1</v>
      </c>
      <c r="E15" s="619">
        <f t="shared" si="3"/>
        <v>0.08</v>
      </c>
      <c r="F15" s="623">
        <v>0.28999999999999998</v>
      </c>
      <c r="G15" s="614"/>
      <c r="H15" s="1258"/>
      <c r="I15" s="626">
        <v>50</v>
      </c>
      <c r="J15" s="621">
        <v>0.1</v>
      </c>
      <c r="K15" s="625">
        <v>0.1</v>
      </c>
      <c r="L15" s="619">
        <f t="shared" si="4"/>
        <v>0</v>
      </c>
      <c r="M15" s="623">
        <v>0.28999999999999998</v>
      </c>
      <c r="N15" s="614"/>
      <c r="O15" s="1258"/>
      <c r="P15" s="626">
        <v>50</v>
      </c>
      <c r="Q15" s="621">
        <v>0.4</v>
      </c>
      <c r="R15" s="621">
        <v>2</v>
      </c>
      <c r="S15" s="619">
        <f t="shared" si="5"/>
        <v>0.8</v>
      </c>
      <c r="T15" s="623">
        <v>0.59</v>
      </c>
    </row>
    <row r="16" spans="1:22" ht="12.75" customHeight="1">
      <c r="A16" s="1258"/>
      <c r="B16" s="626">
        <v>100</v>
      </c>
      <c r="C16" s="625">
        <v>-0.06</v>
      </c>
      <c r="D16" s="625">
        <v>0.2</v>
      </c>
      <c r="E16" s="619">
        <f t="shared" si="3"/>
        <v>0.13</v>
      </c>
      <c r="F16" s="623">
        <v>0.28999999999999998</v>
      </c>
      <c r="G16" s="614"/>
      <c r="H16" s="1258"/>
      <c r="I16" s="626">
        <v>100</v>
      </c>
      <c r="J16" s="621">
        <v>2.2000000000000002</v>
      </c>
      <c r="K16" s="625">
        <v>0.4</v>
      </c>
      <c r="L16" s="619">
        <f t="shared" si="4"/>
        <v>0.90000000000000013</v>
      </c>
      <c r="M16" s="623">
        <v>0.28999999999999998</v>
      </c>
      <c r="N16" s="614"/>
      <c r="O16" s="1258"/>
      <c r="P16" s="626">
        <v>100</v>
      </c>
      <c r="Q16" s="621">
        <v>0.4</v>
      </c>
      <c r="R16" s="621">
        <v>2</v>
      </c>
      <c r="S16" s="619">
        <f t="shared" si="5"/>
        <v>0.8</v>
      </c>
      <c r="T16" s="623">
        <v>0.59</v>
      </c>
    </row>
    <row r="17" spans="1:20" ht="12.75" customHeight="1">
      <c r="A17" s="1258"/>
      <c r="B17" s="626">
        <v>200</v>
      </c>
      <c r="C17" s="625">
        <v>0</v>
      </c>
      <c r="D17" s="625">
        <v>0.4</v>
      </c>
      <c r="E17" s="619">
        <f t="shared" si="3"/>
        <v>0.2</v>
      </c>
      <c r="F17" s="623">
        <v>0.28999999999999998</v>
      </c>
      <c r="G17" s="614"/>
      <c r="H17" s="1258"/>
      <c r="I17" s="626">
        <v>200</v>
      </c>
      <c r="J17" s="621">
        <v>3.3</v>
      </c>
      <c r="K17" s="625">
        <v>0.7</v>
      </c>
      <c r="L17" s="619">
        <f t="shared" si="4"/>
        <v>1.2999999999999998</v>
      </c>
      <c r="M17" s="623">
        <v>0.28999999999999998</v>
      </c>
      <c r="N17" s="614"/>
      <c r="O17" s="1258"/>
      <c r="P17" s="626">
        <v>200</v>
      </c>
      <c r="Q17" s="621">
        <v>1.3</v>
      </c>
      <c r="R17" s="621">
        <v>3.6</v>
      </c>
      <c r="S17" s="619">
        <f t="shared" si="5"/>
        <v>1.1499999999999999</v>
      </c>
      <c r="T17" s="623">
        <v>0.59</v>
      </c>
    </row>
    <row r="18" spans="1:20" ht="12.75" customHeight="1">
      <c r="A18" s="1258"/>
      <c r="B18" s="626">
        <v>500</v>
      </c>
      <c r="C18" s="625">
        <v>-0.9</v>
      </c>
      <c r="D18" s="625">
        <v>3.8</v>
      </c>
      <c r="E18" s="619">
        <f t="shared" si="3"/>
        <v>2.35</v>
      </c>
      <c r="F18" s="623">
        <v>0.28999999999999998</v>
      </c>
      <c r="G18" s="614"/>
      <c r="H18" s="1258"/>
      <c r="I18" s="626">
        <v>500</v>
      </c>
      <c r="J18" s="621">
        <v>20</v>
      </c>
      <c r="K18" s="625">
        <v>0.8</v>
      </c>
      <c r="L18" s="619">
        <f t="shared" si="4"/>
        <v>9.6</v>
      </c>
      <c r="M18" s="623">
        <v>0.28999999999999998</v>
      </c>
      <c r="N18" s="614"/>
      <c r="O18" s="1258"/>
      <c r="P18" s="626">
        <v>500</v>
      </c>
      <c r="Q18" s="621">
        <v>-0.3</v>
      </c>
      <c r="R18" s="621">
        <v>2.9</v>
      </c>
      <c r="S18" s="619">
        <f t="shared" si="5"/>
        <v>1.5999999999999999</v>
      </c>
      <c r="T18" s="623">
        <v>0.59</v>
      </c>
    </row>
    <row r="19" spans="1:20" ht="12.75" customHeight="1">
      <c r="A19" s="1258"/>
      <c r="B19" s="626">
        <v>1000</v>
      </c>
      <c r="C19" s="625">
        <v>-3.0000000000000001E-3</v>
      </c>
      <c r="D19" s="625">
        <v>9</v>
      </c>
      <c r="E19" s="619">
        <f t="shared" si="3"/>
        <v>4.5015000000000001</v>
      </c>
      <c r="F19" s="623">
        <v>0.28999999999999998</v>
      </c>
      <c r="G19" s="614"/>
      <c r="H19" s="1258"/>
      <c r="I19" s="626">
        <v>1000</v>
      </c>
      <c r="J19" s="628">
        <v>2</v>
      </c>
      <c r="K19" s="625">
        <v>8.0000000000000002E-3</v>
      </c>
      <c r="L19" s="619">
        <f t="shared" si="4"/>
        <v>0.996</v>
      </c>
      <c r="M19" s="623">
        <v>0.28999999999999998</v>
      </c>
      <c r="N19" s="614"/>
      <c r="O19" s="1258"/>
      <c r="P19" s="626">
        <v>1000</v>
      </c>
      <c r="Q19" s="621">
        <v>9</v>
      </c>
      <c r="R19" s="621">
        <v>3</v>
      </c>
      <c r="S19" s="619">
        <f t="shared" si="5"/>
        <v>3</v>
      </c>
      <c r="T19" s="623">
        <v>0.59</v>
      </c>
    </row>
    <row r="20" spans="1:20" ht="12.75" customHeight="1">
      <c r="A20" s="1258"/>
      <c r="B20" s="1263" t="s">
        <v>632</v>
      </c>
      <c r="C20" s="1263"/>
      <c r="D20" s="1263"/>
      <c r="E20" s="1262" t="s">
        <v>606</v>
      </c>
      <c r="F20" s="1262" t="s">
        <v>607</v>
      </c>
      <c r="G20" s="614"/>
      <c r="H20" s="1258"/>
      <c r="I20" s="1263" t="str">
        <f>B20</f>
        <v>Main-PE</v>
      </c>
      <c r="J20" s="1263"/>
      <c r="K20" s="1263"/>
      <c r="L20" s="1262" t="s">
        <v>606</v>
      </c>
      <c r="M20" s="1262" t="s">
        <v>607</v>
      </c>
      <c r="N20" s="614"/>
      <c r="O20" s="1258"/>
      <c r="P20" s="1263" t="str">
        <f>B20</f>
        <v>Main-PE</v>
      </c>
      <c r="Q20" s="1263"/>
      <c r="R20" s="1263"/>
      <c r="S20" s="1262" t="s">
        <v>606</v>
      </c>
      <c r="T20" s="1262" t="s">
        <v>607</v>
      </c>
    </row>
    <row r="21" spans="1:20" ht="15" customHeight="1">
      <c r="A21" s="1258"/>
      <c r="B21" s="615" t="s">
        <v>633</v>
      </c>
      <c r="C21" s="616">
        <v>2019</v>
      </c>
      <c r="D21" s="616">
        <v>2015</v>
      </c>
      <c r="E21" s="1262"/>
      <c r="F21" s="1262"/>
      <c r="G21" s="614"/>
      <c r="H21" s="1258"/>
      <c r="I21" s="615" t="s">
        <v>633</v>
      </c>
      <c r="J21" s="616">
        <f>J5</f>
        <v>2017</v>
      </c>
      <c r="K21" s="616">
        <f>K5</f>
        <v>2019</v>
      </c>
      <c r="L21" s="1262"/>
      <c r="M21" s="1262"/>
      <c r="N21" s="614"/>
      <c r="O21" s="1258"/>
      <c r="P21" s="615" t="s">
        <v>633</v>
      </c>
      <c r="Q21" s="616">
        <f>Q5</f>
        <v>2017</v>
      </c>
      <c r="R21" s="616">
        <f>R5</f>
        <v>2018</v>
      </c>
      <c r="S21" s="1262"/>
      <c r="T21" s="1262"/>
    </row>
    <row r="22" spans="1:20" ht="12.75" customHeight="1">
      <c r="A22" s="1258"/>
      <c r="B22" s="626">
        <v>10</v>
      </c>
      <c r="C22" s="621" t="s">
        <v>139</v>
      </c>
      <c r="D22" s="621">
        <v>0</v>
      </c>
      <c r="E22" s="619">
        <f t="shared" ref="E22:E25" si="6">0.5*(MAX(C22:D22)-MIN(C22:D22))</f>
        <v>0</v>
      </c>
      <c r="F22" s="629">
        <v>1.4</v>
      </c>
      <c r="G22" s="614"/>
      <c r="H22" s="1258"/>
      <c r="I22" s="626">
        <v>10</v>
      </c>
      <c r="J22" s="621">
        <v>0</v>
      </c>
      <c r="K22" s="625">
        <v>0.1</v>
      </c>
      <c r="L22" s="619">
        <f t="shared" ref="L22:L25" si="7">0.5*(MAX(J22:K22)-MIN(J22:K22))</f>
        <v>0.05</v>
      </c>
      <c r="M22" s="621">
        <v>1.3</v>
      </c>
      <c r="N22" s="614"/>
      <c r="O22" s="1258"/>
      <c r="P22" s="626">
        <v>10</v>
      </c>
      <c r="Q22" s="621">
        <v>0.1</v>
      </c>
      <c r="R22" s="621">
        <v>0</v>
      </c>
      <c r="S22" s="619">
        <f t="shared" ref="S22:S25" si="8">0.5*(MAX(Q22:R22)-MIN(Q22:R22))</f>
        <v>0.05</v>
      </c>
      <c r="T22" s="629">
        <v>1.7</v>
      </c>
    </row>
    <row r="23" spans="1:20" ht="12.75" customHeight="1">
      <c r="A23" s="1258"/>
      <c r="B23" s="626">
        <v>20</v>
      </c>
      <c r="C23" s="621" t="s">
        <v>139</v>
      </c>
      <c r="D23" s="621">
        <v>0</v>
      </c>
      <c r="E23" s="619">
        <f t="shared" si="6"/>
        <v>0</v>
      </c>
      <c r="F23" s="629">
        <v>1.4</v>
      </c>
      <c r="G23" s="614"/>
      <c r="H23" s="1258"/>
      <c r="I23" s="626">
        <v>20</v>
      </c>
      <c r="J23" s="621">
        <v>0.1</v>
      </c>
      <c r="K23" s="625">
        <v>0.2</v>
      </c>
      <c r="L23" s="619">
        <f t="shared" si="7"/>
        <v>0.05</v>
      </c>
      <c r="M23" s="621">
        <v>1.3</v>
      </c>
      <c r="N23" s="614"/>
      <c r="O23" s="1258"/>
      <c r="P23" s="626">
        <v>20</v>
      </c>
      <c r="Q23" s="621">
        <v>0.2</v>
      </c>
      <c r="R23" s="621">
        <v>0</v>
      </c>
      <c r="S23" s="619">
        <f t="shared" si="8"/>
        <v>0.1</v>
      </c>
      <c r="T23" s="629">
        <v>1.7</v>
      </c>
    </row>
    <row r="24" spans="1:20" ht="12.75" customHeight="1">
      <c r="A24" s="1258"/>
      <c r="B24" s="626">
        <v>50</v>
      </c>
      <c r="C24" s="621" t="s">
        <v>139</v>
      </c>
      <c r="D24" s="621">
        <v>0</v>
      </c>
      <c r="E24" s="619">
        <f t="shared" si="6"/>
        <v>0</v>
      </c>
      <c r="F24" s="629">
        <v>1.4</v>
      </c>
      <c r="G24" s="614"/>
      <c r="H24" s="1258"/>
      <c r="I24" s="626">
        <v>50</v>
      </c>
      <c r="J24" s="621">
        <v>0.1</v>
      </c>
      <c r="K24" s="625">
        <v>0.3</v>
      </c>
      <c r="L24" s="619">
        <f t="shared" si="7"/>
        <v>9.9999999999999992E-2</v>
      </c>
      <c r="M24" s="621">
        <v>1.3</v>
      </c>
      <c r="N24" s="614"/>
      <c r="O24" s="1258"/>
      <c r="P24" s="626">
        <v>50</v>
      </c>
      <c r="Q24" s="621">
        <v>0.5</v>
      </c>
      <c r="R24" s="621">
        <v>0.3</v>
      </c>
      <c r="S24" s="619">
        <f t="shared" si="8"/>
        <v>0.1</v>
      </c>
      <c r="T24" s="629">
        <v>1.7</v>
      </c>
    </row>
    <row r="25" spans="1:20" ht="12.75" customHeight="1">
      <c r="A25" s="1258"/>
      <c r="B25" s="626">
        <v>100</v>
      </c>
      <c r="C25" s="621" t="s">
        <v>139</v>
      </c>
      <c r="D25" s="621">
        <v>-0.3</v>
      </c>
      <c r="E25" s="619">
        <f t="shared" si="6"/>
        <v>0</v>
      </c>
      <c r="F25" s="629">
        <v>1.4</v>
      </c>
      <c r="G25" s="614"/>
      <c r="H25" s="1258"/>
      <c r="I25" s="626">
        <v>100</v>
      </c>
      <c r="J25" s="621">
        <v>0</v>
      </c>
      <c r="K25" s="625">
        <v>0.3</v>
      </c>
      <c r="L25" s="619">
        <f t="shared" si="7"/>
        <v>0.15</v>
      </c>
      <c r="M25" s="621">
        <v>1.3</v>
      </c>
      <c r="N25" s="614"/>
      <c r="O25" s="1258"/>
      <c r="P25" s="626">
        <v>100</v>
      </c>
      <c r="Q25" s="621">
        <v>1.7</v>
      </c>
      <c r="R25" s="621">
        <v>0.6</v>
      </c>
      <c r="S25" s="619">
        <f t="shared" si="8"/>
        <v>0.55000000000000004</v>
      </c>
      <c r="T25" s="629">
        <v>1.7</v>
      </c>
    </row>
    <row r="26" spans="1:20" ht="12.75" customHeight="1">
      <c r="A26" s="1258"/>
      <c r="B26" s="1263" t="s">
        <v>634</v>
      </c>
      <c r="C26" s="1263"/>
      <c r="D26" s="1263"/>
      <c r="E26" s="1262" t="s">
        <v>606</v>
      </c>
      <c r="F26" s="1262" t="s">
        <v>607</v>
      </c>
      <c r="G26" s="614"/>
      <c r="H26" s="1258"/>
      <c r="I26" s="1263" t="str">
        <f>B26</f>
        <v>Resistance</v>
      </c>
      <c r="J26" s="1263"/>
      <c r="K26" s="1263"/>
      <c r="L26" s="1262" t="s">
        <v>606</v>
      </c>
      <c r="M26" s="1262" t="s">
        <v>607</v>
      </c>
      <c r="N26" s="614"/>
      <c r="O26" s="1258"/>
      <c r="P26" s="1263" t="str">
        <f>B26</f>
        <v>Resistance</v>
      </c>
      <c r="Q26" s="1263"/>
      <c r="R26" s="1263"/>
      <c r="S26" s="1262" t="s">
        <v>606</v>
      </c>
      <c r="T26" s="1262" t="s">
        <v>607</v>
      </c>
    </row>
    <row r="27" spans="1:20" ht="15" customHeight="1">
      <c r="A27" s="1258"/>
      <c r="B27" s="615" t="s">
        <v>635</v>
      </c>
      <c r="C27" s="616">
        <f>C5</f>
        <v>2019</v>
      </c>
      <c r="D27" s="616">
        <f>D5</f>
        <v>2020</v>
      </c>
      <c r="E27" s="1262"/>
      <c r="F27" s="1262"/>
      <c r="G27" s="614"/>
      <c r="H27" s="1258"/>
      <c r="I27" s="615" t="s">
        <v>635</v>
      </c>
      <c r="J27" s="616">
        <f>J5</f>
        <v>2017</v>
      </c>
      <c r="K27" s="616">
        <f>K5</f>
        <v>2019</v>
      </c>
      <c r="L27" s="1262"/>
      <c r="M27" s="1262"/>
      <c r="N27" s="614"/>
      <c r="O27" s="1258"/>
      <c r="P27" s="615" t="s">
        <v>635</v>
      </c>
      <c r="Q27" s="616">
        <f>Q5</f>
        <v>2017</v>
      </c>
      <c r="R27" s="616">
        <f>R5</f>
        <v>2018</v>
      </c>
      <c r="S27" s="1262"/>
      <c r="T27" s="1262"/>
    </row>
    <row r="28" spans="1:20" ht="12.75" customHeight="1">
      <c r="A28" s="1258"/>
      <c r="B28" s="626">
        <v>0.01</v>
      </c>
      <c r="C28" s="630">
        <v>0</v>
      </c>
      <c r="D28" s="630">
        <v>0</v>
      </c>
      <c r="E28" s="619">
        <f t="shared" ref="E28:E31" si="9">0.5*(MAX(C28:D28)-MIN(C28:D28))</f>
        <v>0</v>
      </c>
      <c r="F28" s="626">
        <v>0.43</v>
      </c>
      <c r="G28" s="614"/>
      <c r="H28" s="1258"/>
      <c r="I28" s="626">
        <v>0.01</v>
      </c>
      <c r="J28" s="628">
        <v>0</v>
      </c>
      <c r="K28" s="630">
        <v>0</v>
      </c>
      <c r="L28" s="619">
        <f t="shared" ref="L28:L31" si="10">0.5*(MAX(J28:K28)-MIN(J28:K28))</f>
        <v>0</v>
      </c>
      <c r="M28" s="626">
        <v>0.43</v>
      </c>
      <c r="N28" s="614"/>
      <c r="O28" s="1258"/>
      <c r="P28" s="626">
        <v>0.01</v>
      </c>
      <c r="Q28" s="628">
        <v>0</v>
      </c>
      <c r="R28" s="628">
        <v>0</v>
      </c>
      <c r="S28" s="619">
        <f t="shared" ref="S28:S31" si="11">0.5*(MAX(Q28:R28)-MIN(Q28:R28))</f>
        <v>0</v>
      </c>
      <c r="T28" s="629">
        <v>1.2</v>
      </c>
    </row>
    <row r="29" spans="1:20" ht="12.75" customHeight="1">
      <c r="A29" s="1258"/>
      <c r="B29" s="626">
        <v>0.1</v>
      </c>
      <c r="C29" s="630">
        <v>2E-3</v>
      </c>
      <c r="D29" s="630">
        <v>-1E-3</v>
      </c>
      <c r="E29" s="619">
        <f t="shared" si="9"/>
        <v>1.5E-3</v>
      </c>
      <c r="F29" s="626">
        <v>0.43</v>
      </c>
      <c r="G29" s="614"/>
      <c r="H29" s="1258"/>
      <c r="I29" s="626">
        <v>0.1</v>
      </c>
      <c r="J29" s="628">
        <v>5.0000000000000001E-3</v>
      </c>
      <c r="K29" s="630">
        <v>6.0000000000000001E-3</v>
      </c>
      <c r="L29" s="619">
        <f t="shared" si="10"/>
        <v>5.0000000000000001E-4</v>
      </c>
      <c r="M29" s="626">
        <v>0.43</v>
      </c>
      <c r="N29" s="614"/>
      <c r="O29" s="1258"/>
      <c r="P29" s="626">
        <v>0.1</v>
      </c>
      <c r="Q29" s="628">
        <v>0</v>
      </c>
      <c r="R29" s="628">
        <v>0</v>
      </c>
      <c r="S29" s="619">
        <f t="shared" si="11"/>
        <v>0</v>
      </c>
      <c r="T29" s="629">
        <v>1.2</v>
      </c>
    </row>
    <row r="30" spans="1:20" ht="12.75" customHeight="1">
      <c r="A30" s="1258"/>
      <c r="B30" s="626">
        <v>1</v>
      </c>
      <c r="C30" s="630">
        <v>1.2E-2</v>
      </c>
      <c r="D30" s="630">
        <v>4.0000000000000001E-3</v>
      </c>
      <c r="E30" s="619">
        <f t="shared" si="9"/>
        <v>4.0000000000000001E-3</v>
      </c>
      <c r="F30" s="626">
        <v>0.43</v>
      </c>
      <c r="G30" s="614"/>
      <c r="H30" s="1258"/>
      <c r="I30" s="626">
        <v>1</v>
      </c>
      <c r="J30" s="628">
        <v>5.5E-2</v>
      </c>
      <c r="K30" s="630">
        <v>4.4999999999999998E-2</v>
      </c>
      <c r="L30" s="619">
        <f t="shared" si="10"/>
        <v>5.000000000000001E-3</v>
      </c>
      <c r="M30" s="626">
        <v>0.43</v>
      </c>
      <c r="N30" s="614"/>
      <c r="O30" s="1258"/>
      <c r="P30" s="626">
        <v>1</v>
      </c>
      <c r="Q30" s="628">
        <v>-2E-3</v>
      </c>
      <c r="R30" s="628">
        <v>0</v>
      </c>
      <c r="S30" s="619">
        <f t="shared" si="11"/>
        <v>1E-3</v>
      </c>
      <c r="T30" s="629">
        <v>1.2</v>
      </c>
    </row>
    <row r="31" spans="1:20" ht="12.75" customHeight="1">
      <c r="A31" s="1258"/>
      <c r="B31" s="626">
        <v>2</v>
      </c>
      <c r="C31" s="630">
        <v>0</v>
      </c>
      <c r="D31" s="630">
        <v>7.0000000000000001E-3</v>
      </c>
      <c r="E31" s="619">
        <f t="shared" si="9"/>
        <v>3.5000000000000001E-3</v>
      </c>
      <c r="F31" s="626">
        <v>0.43</v>
      </c>
      <c r="G31" s="614"/>
      <c r="H31" s="1258"/>
      <c r="I31" s="626">
        <v>2</v>
      </c>
      <c r="J31" s="628">
        <v>0</v>
      </c>
      <c r="K31" s="630">
        <v>0</v>
      </c>
      <c r="L31" s="619">
        <f t="shared" si="10"/>
        <v>0</v>
      </c>
      <c r="M31" s="626">
        <v>0.43</v>
      </c>
      <c r="N31" s="614"/>
      <c r="O31" s="1258"/>
      <c r="P31" s="626">
        <v>2</v>
      </c>
      <c r="Q31" s="628">
        <v>0</v>
      </c>
      <c r="R31" s="628">
        <v>0</v>
      </c>
      <c r="S31" s="619">
        <f t="shared" si="11"/>
        <v>0</v>
      </c>
      <c r="T31" s="629">
        <v>1.2</v>
      </c>
    </row>
    <row r="32" spans="1:20">
      <c r="A32" s="631"/>
      <c r="B32" s="614"/>
      <c r="C32" s="614"/>
      <c r="D32" s="614"/>
      <c r="E32" s="614"/>
      <c r="F32" s="614"/>
      <c r="G32" s="614"/>
      <c r="H32" s="614"/>
      <c r="I32" s="614"/>
      <c r="J32" s="614"/>
      <c r="K32" s="614"/>
      <c r="L32" s="614"/>
      <c r="M32" s="614"/>
      <c r="N32" s="614"/>
      <c r="O32" s="614"/>
      <c r="P32" s="614"/>
      <c r="Q32" s="614"/>
      <c r="R32" s="614"/>
      <c r="S32" s="614"/>
      <c r="T32" s="632"/>
    </row>
    <row r="33" spans="1:20" ht="15" customHeight="1">
      <c r="A33" s="1258" t="s">
        <v>636</v>
      </c>
      <c r="B33" s="1264" t="s">
        <v>637</v>
      </c>
      <c r="C33" s="1264"/>
      <c r="D33" s="1264"/>
      <c r="E33" s="1264"/>
      <c r="F33" s="1264"/>
      <c r="G33" s="633"/>
      <c r="H33" s="1258" t="s">
        <v>638</v>
      </c>
      <c r="I33" s="1259" t="s">
        <v>639</v>
      </c>
      <c r="J33" s="1259"/>
      <c r="K33" s="1259"/>
      <c r="L33" s="1259"/>
      <c r="M33" s="1259"/>
      <c r="N33" s="611"/>
      <c r="O33" s="1258" t="s">
        <v>640</v>
      </c>
      <c r="P33" s="1264" t="s">
        <v>641</v>
      </c>
      <c r="Q33" s="1264"/>
      <c r="R33" s="1264"/>
      <c r="S33" s="1264"/>
      <c r="T33" s="1264"/>
    </row>
    <row r="34" spans="1:20" ht="15" customHeight="1">
      <c r="A34" s="1258"/>
      <c r="B34" s="1260" t="s">
        <v>627</v>
      </c>
      <c r="C34" s="1260"/>
      <c r="D34" s="1260"/>
      <c r="E34" s="1260"/>
      <c r="F34" s="1260"/>
      <c r="G34" s="612"/>
      <c r="H34" s="1258"/>
      <c r="I34" s="1260" t="s">
        <v>627</v>
      </c>
      <c r="J34" s="1260"/>
      <c r="K34" s="1260"/>
      <c r="L34" s="1260"/>
      <c r="M34" s="1260"/>
      <c r="N34" s="613"/>
      <c r="O34" s="1258"/>
      <c r="P34" s="1260" t="s">
        <v>627</v>
      </c>
      <c r="Q34" s="1260"/>
      <c r="R34" s="1260"/>
      <c r="S34" s="1260"/>
      <c r="T34" s="1260"/>
    </row>
    <row r="35" spans="1:20" ht="12.75" customHeight="1">
      <c r="A35" s="1258"/>
      <c r="B35" s="1262" t="str">
        <f>B4</f>
        <v>Setting VAC</v>
      </c>
      <c r="C35" s="1262"/>
      <c r="D35" s="1262"/>
      <c r="E35" s="616" t="s">
        <v>606</v>
      </c>
      <c r="F35" s="616" t="s">
        <v>607</v>
      </c>
      <c r="G35" s="614"/>
      <c r="H35" s="1258"/>
      <c r="I35" s="1262" t="str">
        <f>B35</f>
        <v>Setting VAC</v>
      </c>
      <c r="J35" s="1262"/>
      <c r="K35" s="1262"/>
      <c r="L35" s="616" t="s">
        <v>606</v>
      </c>
      <c r="M35" s="616" t="s">
        <v>607</v>
      </c>
      <c r="N35" s="614"/>
      <c r="O35" s="1258"/>
      <c r="P35" s="1262" t="str">
        <f>I35</f>
        <v>Setting VAC</v>
      </c>
      <c r="Q35" s="1262"/>
      <c r="R35" s="1262"/>
      <c r="S35" s="1262" t="s">
        <v>606</v>
      </c>
      <c r="T35" s="1262" t="s">
        <v>607</v>
      </c>
    </row>
    <row r="36" spans="1:20" ht="15" customHeight="1">
      <c r="A36" s="1258"/>
      <c r="B36" s="615" t="s">
        <v>629</v>
      </c>
      <c r="C36" s="616">
        <v>2017</v>
      </c>
      <c r="D36" s="616">
        <v>2019</v>
      </c>
      <c r="E36" s="616"/>
      <c r="F36" s="616"/>
      <c r="G36" s="614"/>
      <c r="H36" s="1258"/>
      <c r="I36" s="615" t="s">
        <v>629</v>
      </c>
      <c r="J36" s="616">
        <v>2017</v>
      </c>
      <c r="K36" s="616">
        <v>2019</v>
      </c>
      <c r="L36" s="616"/>
      <c r="M36" s="616"/>
      <c r="N36" s="614"/>
      <c r="O36" s="1258"/>
      <c r="P36" s="615" t="s">
        <v>629</v>
      </c>
      <c r="Q36" s="616">
        <v>2018</v>
      </c>
      <c r="R36" s="616">
        <v>2019</v>
      </c>
      <c r="S36" s="1262"/>
      <c r="T36" s="1262"/>
    </row>
    <row r="37" spans="1:20" ht="12.75" customHeight="1">
      <c r="A37" s="1258"/>
      <c r="B37" s="626">
        <v>150</v>
      </c>
      <c r="C37" s="621">
        <v>-0.09</v>
      </c>
      <c r="D37" s="621">
        <v>0.11</v>
      </c>
      <c r="E37" s="619">
        <f>0.5*(MAX(C37:D37)-MIN(C37:D37))</f>
        <v>0.1</v>
      </c>
      <c r="F37" s="623">
        <v>0.47</v>
      </c>
      <c r="G37" s="614"/>
      <c r="H37" s="1258"/>
      <c r="I37" s="634">
        <v>150</v>
      </c>
      <c r="J37" s="621">
        <v>-0.06</v>
      </c>
      <c r="K37" s="621">
        <v>0.02</v>
      </c>
      <c r="L37" s="619">
        <f t="shared" ref="L37:L42" si="12">0.5*(MAX(J37:K37)-MIN(J37:K37))</f>
        <v>0.04</v>
      </c>
      <c r="M37" s="623">
        <v>0.47</v>
      </c>
      <c r="N37" s="614"/>
      <c r="O37" s="1258"/>
      <c r="P37" s="617">
        <v>150</v>
      </c>
      <c r="Q37" s="621">
        <v>0.03</v>
      </c>
      <c r="R37" s="621">
        <v>-0.15</v>
      </c>
      <c r="S37" s="619">
        <f t="shared" ref="S37:S42" si="13">0.5*(MAX(Q37:R37)-MIN(Q37:R37))</f>
        <v>0.09</v>
      </c>
      <c r="T37" s="624">
        <v>1.2</v>
      </c>
    </row>
    <row r="38" spans="1:20" ht="12.75" customHeight="1">
      <c r="A38" s="1258"/>
      <c r="B38" s="626">
        <v>180</v>
      </c>
      <c r="C38" s="621">
        <v>-0.09</v>
      </c>
      <c r="D38" s="621">
        <v>0.03</v>
      </c>
      <c r="E38" s="619">
        <f t="shared" ref="E38:E42" si="14">0.5*(MAX(C38:D38)-MIN(C38:D38))</f>
        <v>0.06</v>
      </c>
      <c r="F38" s="623">
        <v>0.47</v>
      </c>
      <c r="G38" s="614"/>
      <c r="H38" s="1258"/>
      <c r="I38" s="634">
        <v>180</v>
      </c>
      <c r="J38" s="621">
        <v>-0.11</v>
      </c>
      <c r="K38" s="621">
        <v>0.1</v>
      </c>
      <c r="L38" s="619">
        <f t="shared" si="12"/>
        <v>0.10500000000000001</v>
      </c>
      <c r="M38" s="623">
        <v>0.47</v>
      </c>
      <c r="N38" s="614"/>
      <c r="O38" s="1258"/>
      <c r="P38" s="617">
        <v>180</v>
      </c>
      <c r="Q38" s="621">
        <v>0</v>
      </c>
      <c r="R38" s="621">
        <v>-0.11</v>
      </c>
      <c r="S38" s="619">
        <f t="shared" si="13"/>
        <v>5.5E-2</v>
      </c>
      <c r="T38" s="624">
        <v>1.2</v>
      </c>
    </row>
    <row r="39" spans="1:20" ht="12.75" customHeight="1">
      <c r="A39" s="1258"/>
      <c r="B39" s="626">
        <v>200</v>
      </c>
      <c r="C39" s="621">
        <v>-0.14000000000000001</v>
      </c>
      <c r="D39" s="621">
        <v>0.05</v>
      </c>
      <c r="E39" s="619">
        <f t="shared" si="14"/>
        <v>9.5000000000000001E-2</v>
      </c>
      <c r="F39" s="623">
        <v>0.47</v>
      </c>
      <c r="G39" s="614"/>
      <c r="H39" s="1258"/>
      <c r="I39" s="634">
        <v>200</v>
      </c>
      <c r="J39" s="621">
        <v>-0.17</v>
      </c>
      <c r="K39" s="621">
        <v>-0.03</v>
      </c>
      <c r="L39" s="619">
        <f t="shared" si="12"/>
        <v>7.0000000000000007E-2</v>
      </c>
      <c r="M39" s="623">
        <v>0.47</v>
      </c>
      <c r="N39" s="614"/>
      <c r="O39" s="1258"/>
      <c r="P39" s="617">
        <v>200</v>
      </c>
      <c r="Q39" s="621">
        <v>0.05</v>
      </c>
      <c r="R39" s="621">
        <v>-0.1</v>
      </c>
      <c r="S39" s="619">
        <f t="shared" si="13"/>
        <v>7.5000000000000011E-2</v>
      </c>
      <c r="T39" s="624">
        <v>1.2</v>
      </c>
    </row>
    <row r="40" spans="1:20" ht="12.75" customHeight="1">
      <c r="A40" s="1258"/>
      <c r="B40" s="626">
        <v>220</v>
      </c>
      <c r="C40" s="621">
        <v>-0.19</v>
      </c>
      <c r="D40" s="621">
        <v>0.1</v>
      </c>
      <c r="E40" s="619">
        <f t="shared" si="14"/>
        <v>0.14500000000000002</v>
      </c>
      <c r="F40" s="623">
        <v>0.47</v>
      </c>
      <c r="G40" s="614"/>
      <c r="H40" s="1258"/>
      <c r="I40" s="634">
        <v>220</v>
      </c>
      <c r="J40" s="621">
        <v>-0.25</v>
      </c>
      <c r="K40" s="621">
        <v>0.38</v>
      </c>
      <c r="L40" s="619">
        <f t="shared" si="12"/>
        <v>0.315</v>
      </c>
      <c r="M40" s="623">
        <v>0.47</v>
      </c>
      <c r="N40" s="614"/>
      <c r="O40" s="1258"/>
      <c r="P40" s="617">
        <v>220</v>
      </c>
      <c r="Q40" s="621">
        <v>0.05</v>
      </c>
      <c r="R40" s="621">
        <v>-0.13</v>
      </c>
      <c r="S40" s="619">
        <f t="shared" si="13"/>
        <v>0.09</v>
      </c>
      <c r="T40" s="624">
        <v>1.2</v>
      </c>
    </row>
    <row r="41" spans="1:20" ht="12.75" customHeight="1">
      <c r="A41" s="1258"/>
      <c r="B41" s="626">
        <v>230</v>
      </c>
      <c r="C41" s="621">
        <v>-0.2</v>
      </c>
      <c r="D41" s="621">
        <v>0.36799999999999999</v>
      </c>
      <c r="E41" s="619">
        <f t="shared" si="14"/>
        <v>0.28400000000000003</v>
      </c>
      <c r="F41" s="623">
        <v>0.47</v>
      </c>
      <c r="G41" s="614"/>
      <c r="H41" s="1258"/>
      <c r="I41" s="634">
        <v>230</v>
      </c>
      <c r="J41" s="621">
        <v>-0.23</v>
      </c>
      <c r="K41" s="621">
        <v>-0.16</v>
      </c>
      <c r="L41" s="619">
        <f t="shared" si="12"/>
        <v>3.5000000000000003E-2</v>
      </c>
      <c r="M41" s="623">
        <v>0.47</v>
      </c>
      <c r="N41" s="614"/>
      <c r="O41" s="1258"/>
      <c r="P41" s="617">
        <v>230</v>
      </c>
      <c r="Q41" s="621">
        <v>-0.05</v>
      </c>
      <c r="R41" s="621">
        <v>-0.15</v>
      </c>
      <c r="S41" s="619">
        <f t="shared" si="13"/>
        <v>4.9999999999999996E-2</v>
      </c>
      <c r="T41" s="624">
        <v>1.2</v>
      </c>
    </row>
    <row r="42" spans="1:20" ht="12.75" customHeight="1">
      <c r="A42" s="1258"/>
      <c r="B42" s="626">
        <v>250</v>
      </c>
      <c r="C42" s="621">
        <v>0</v>
      </c>
      <c r="D42" s="621">
        <v>0</v>
      </c>
      <c r="E42" s="619">
        <f t="shared" si="14"/>
        <v>0</v>
      </c>
      <c r="F42" s="623">
        <v>0.47</v>
      </c>
      <c r="G42" s="614"/>
      <c r="H42" s="1258"/>
      <c r="I42" s="634">
        <v>250</v>
      </c>
      <c r="J42" s="621">
        <v>0</v>
      </c>
      <c r="K42" s="621">
        <v>0</v>
      </c>
      <c r="L42" s="619">
        <f t="shared" si="12"/>
        <v>0</v>
      </c>
      <c r="M42" s="623">
        <v>0.47</v>
      </c>
      <c r="N42" s="614"/>
      <c r="O42" s="1258"/>
      <c r="P42" s="617">
        <v>250</v>
      </c>
      <c r="Q42" s="621">
        <v>0</v>
      </c>
      <c r="R42" s="621">
        <v>0</v>
      </c>
      <c r="S42" s="619">
        <f t="shared" si="13"/>
        <v>0</v>
      </c>
      <c r="T42" s="624">
        <v>1.2</v>
      </c>
    </row>
    <row r="43" spans="1:20" ht="12.75" customHeight="1">
      <c r="A43" s="1258"/>
      <c r="B43" s="1263" t="str">
        <f>B12</f>
        <v>Current Leakage</v>
      </c>
      <c r="C43" s="1263"/>
      <c r="D43" s="1263"/>
      <c r="E43" s="616" t="s">
        <v>606</v>
      </c>
      <c r="F43" s="616" t="s">
        <v>607</v>
      </c>
      <c r="G43" s="614"/>
      <c r="H43" s="1258"/>
      <c r="I43" s="1263" t="str">
        <f>B43</f>
        <v>Current Leakage</v>
      </c>
      <c r="J43" s="1263"/>
      <c r="K43" s="1263"/>
      <c r="L43" s="616" t="s">
        <v>606</v>
      </c>
      <c r="M43" s="616" t="s">
        <v>607</v>
      </c>
      <c r="N43" s="614"/>
      <c r="O43" s="1258"/>
      <c r="P43" s="1263" t="str">
        <f>I43</f>
        <v>Current Leakage</v>
      </c>
      <c r="Q43" s="1263"/>
      <c r="R43" s="1263"/>
      <c r="S43" s="1262" t="s">
        <v>606</v>
      </c>
      <c r="T43" s="1262" t="s">
        <v>607</v>
      </c>
    </row>
    <row r="44" spans="1:20" ht="15" customHeight="1">
      <c r="A44" s="1258"/>
      <c r="B44" s="615" t="s">
        <v>631</v>
      </c>
      <c r="C44" s="616">
        <f>C36</f>
        <v>2017</v>
      </c>
      <c r="D44" s="616">
        <f>D36</f>
        <v>2019</v>
      </c>
      <c r="E44" s="616"/>
      <c r="F44" s="616"/>
      <c r="G44" s="614"/>
      <c r="H44" s="1258"/>
      <c r="I44" s="615" t="s">
        <v>631</v>
      </c>
      <c r="J44" s="616">
        <f>J36</f>
        <v>2017</v>
      </c>
      <c r="K44" s="616">
        <f>K36</f>
        <v>2019</v>
      </c>
      <c r="L44" s="616"/>
      <c r="M44" s="616"/>
      <c r="N44" s="614"/>
      <c r="O44" s="1258"/>
      <c r="P44" s="615" t="s">
        <v>631</v>
      </c>
      <c r="Q44" s="616">
        <f>Q36</f>
        <v>2018</v>
      </c>
      <c r="R44" s="616">
        <f>R36</f>
        <v>2019</v>
      </c>
      <c r="S44" s="1262"/>
      <c r="T44" s="1262"/>
    </row>
    <row r="45" spans="1:20" ht="12.75" customHeight="1">
      <c r="A45" s="1258"/>
      <c r="B45" s="626">
        <v>0</v>
      </c>
      <c r="C45" s="623">
        <v>0</v>
      </c>
      <c r="D45" s="623">
        <v>0</v>
      </c>
      <c r="E45" s="619">
        <f>0.5*(MAX(C45:D45)-MIN(C45:D45))</f>
        <v>0</v>
      </c>
      <c r="F45" s="623">
        <v>0.28999999999999998</v>
      </c>
      <c r="G45" s="614"/>
      <c r="H45" s="1258"/>
      <c r="I45" s="634">
        <v>0</v>
      </c>
      <c r="J45" s="623">
        <v>0</v>
      </c>
      <c r="K45" s="623">
        <v>0</v>
      </c>
      <c r="L45" s="619">
        <f t="shared" ref="L45:L50" si="15">0.5*(MAX(J45:K45)-MIN(J45:K45))</f>
        <v>0</v>
      </c>
      <c r="M45" s="623">
        <v>0.28999999999999998</v>
      </c>
      <c r="N45" s="614"/>
      <c r="O45" s="1258"/>
      <c r="P45" s="626">
        <v>0</v>
      </c>
      <c r="Q45" s="623">
        <v>0</v>
      </c>
      <c r="R45" s="623">
        <v>0</v>
      </c>
      <c r="S45" s="619">
        <f t="shared" ref="S45:S50" si="16">0.5*(MAX(Q45:R45)-MIN(Q45:R45))</f>
        <v>0</v>
      </c>
      <c r="T45" s="623">
        <v>0.59</v>
      </c>
    </row>
    <row r="46" spans="1:20" ht="12.75" customHeight="1">
      <c r="A46" s="1258"/>
      <c r="B46" s="626">
        <v>50</v>
      </c>
      <c r="C46" s="621">
        <v>-0.1</v>
      </c>
      <c r="D46" s="621">
        <v>0.2</v>
      </c>
      <c r="E46" s="619">
        <f t="shared" ref="E46:E50" si="17">0.5*(MAX(C46:D46)-MIN(C46:D46))</f>
        <v>0.15000000000000002</v>
      </c>
      <c r="F46" s="623">
        <v>0.28999999999999998</v>
      </c>
      <c r="G46" s="614"/>
      <c r="H46" s="1258"/>
      <c r="I46" s="634">
        <v>50</v>
      </c>
      <c r="J46" s="621">
        <v>4.7</v>
      </c>
      <c r="K46" s="621">
        <v>-0.33</v>
      </c>
      <c r="L46" s="619">
        <f t="shared" si="15"/>
        <v>2.5150000000000001</v>
      </c>
      <c r="M46" s="623">
        <v>0.28999999999999998</v>
      </c>
      <c r="N46" s="614"/>
      <c r="O46" s="1258"/>
      <c r="P46" s="626">
        <v>50</v>
      </c>
      <c r="Q46" s="621">
        <v>2.1</v>
      </c>
      <c r="R46" s="621">
        <v>2.6</v>
      </c>
      <c r="S46" s="619">
        <f t="shared" si="16"/>
        <v>0.25</v>
      </c>
      <c r="T46" s="623">
        <v>0.59</v>
      </c>
    </row>
    <row r="47" spans="1:20" ht="12.75" customHeight="1">
      <c r="A47" s="1258"/>
      <c r="B47" s="626">
        <v>100</v>
      </c>
      <c r="C47" s="621">
        <v>-0.1</v>
      </c>
      <c r="D47" s="621">
        <v>0.3</v>
      </c>
      <c r="E47" s="619">
        <f t="shared" si="17"/>
        <v>0.2</v>
      </c>
      <c r="F47" s="623">
        <v>0.28999999999999998</v>
      </c>
      <c r="G47" s="614"/>
      <c r="H47" s="1258"/>
      <c r="I47" s="634">
        <v>100</v>
      </c>
      <c r="J47" s="621">
        <v>4.4000000000000004</v>
      </c>
      <c r="K47" s="621">
        <v>-0.42</v>
      </c>
      <c r="L47" s="619">
        <f t="shared" si="15"/>
        <v>2.41</v>
      </c>
      <c r="M47" s="623">
        <v>0.28999999999999998</v>
      </c>
      <c r="N47" s="614"/>
      <c r="O47" s="1258"/>
      <c r="P47" s="626">
        <v>100</v>
      </c>
      <c r="Q47" s="621">
        <v>2.2999999999999998</v>
      </c>
      <c r="R47" s="621">
        <v>2.6</v>
      </c>
      <c r="S47" s="619">
        <f t="shared" si="16"/>
        <v>0.15000000000000013</v>
      </c>
      <c r="T47" s="623">
        <v>0.59</v>
      </c>
    </row>
    <row r="48" spans="1:20" ht="12.75" customHeight="1">
      <c r="A48" s="1258"/>
      <c r="B48" s="626">
        <v>200</v>
      </c>
      <c r="C48" s="621">
        <v>1.1000000000000001</v>
      </c>
      <c r="D48" s="621">
        <v>1.4</v>
      </c>
      <c r="E48" s="619">
        <f t="shared" si="17"/>
        <v>0.14999999999999991</v>
      </c>
      <c r="F48" s="623">
        <v>0.28999999999999998</v>
      </c>
      <c r="G48" s="614"/>
      <c r="H48" s="1258"/>
      <c r="I48" s="634">
        <v>200</v>
      </c>
      <c r="J48" s="621">
        <v>15.6</v>
      </c>
      <c r="K48" s="621">
        <v>1.3</v>
      </c>
      <c r="L48" s="619">
        <f t="shared" si="15"/>
        <v>7.1499999999999995</v>
      </c>
      <c r="M48" s="623">
        <v>0.28999999999999998</v>
      </c>
      <c r="N48" s="614"/>
      <c r="O48" s="1258"/>
      <c r="P48" s="626">
        <v>200</v>
      </c>
      <c r="Q48" s="621">
        <v>0.2</v>
      </c>
      <c r="R48" s="621">
        <v>3.1</v>
      </c>
      <c r="S48" s="619">
        <f t="shared" si="16"/>
        <v>1.45</v>
      </c>
      <c r="T48" s="623">
        <v>0.59</v>
      </c>
    </row>
    <row r="49" spans="1:20" ht="12.75" customHeight="1">
      <c r="A49" s="1258"/>
      <c r="B49" s="626">
        <v>500</v>
      </c>
      <c r="C49" s="621">
        <v>0.9</v>
      </c>
      <c r="D49" s="621">
        <v>2.8</v>
      </c>
      <c r="E49" s="619">
        <f t="shared" si="17"/>
        <v>0.95</v>
      </c>
      <c r="F49" s="623">
        <v>0.28999999999999998</v>
      </c>
      <c r="G49" s="614"/>
      <c r="H49" s="1258"/>
      <c r="I49" s="634">
        <v>500</v>
      </c>
      <c r="J49" s="621">
        <v>14.3</v>
      </c>
      <c r="K49" s="621">
        <v>0.7</v>
      </c>
      <c r="L49" s="619">
        <f t="shared" si="15"/>
        <v>6.8000000000000007</v>
      </c>
      <c r="M49" s="623">
        <v>0.28999999999999998</v>
      </c>
      <c r="N49" s="614"/>
      <c r="O49" s="1258"/>
      <c r="P49" s="626">
        <v>500</v>
      </c>
      <c r="Q49" s="621">
        <v>2.8</v>
      </c>
      <c r="R49" s="621">
        <v>3.9</v>
      </c>
      <c r="S49" s="619">
        <f t="shared" si="16"/>
        <v>0.55000000000000004</v>
      </c>
      <c r="T49" s="623">
        <v>0.59</v>
      </c>
    </row>
    <row r="50" spans="1:20" ht="12.75" customHeight="1">
      <c r="A50" s="1258"/>
      <c r="B50" s="626">
        <v>1000</v>
      </c>
      <c r="C50" s="621">
        <v>2</v>
      </c>
      <c r="D50" s="621">
        <v>1.2E-2</v>
      </c>
      <c r="E50" s="619">
        <f t="shared" si="17"/>
        <v>0.99399999999999999</v>
      </c>
      <c r="F50" s="623">
        <v>0.28999999999999998</v>
      </c>
      <c r="G50" s="614"/>
      <c r="H50" s="1258"/>
      <c r="I50" s="634">
        <v>1000</v>
      </c>
      <c r="J50" s="621">
        <v>15</v>
      </c>
      <c r="K50" s="621">
        <v>2E-3</v>
      </c>
      <c r="L50" s="619">
        <f t="shared" si="15"/>
        <v>7.4989999999999997</v>
      </c>
      <c r="M50" s="623">
        <v>0.28999999999999998</v>
      </c>
      <c r="N50" s="614"/>
      <c r="O50" s="1258"/>
      <c r="P50" s="626">
        <v>1000</v>
      </c>
      <c r="Q50" s="628">
        <v>13</v>
      </c>
      <c r="R50" s="628">
        <v>5.0000000000000001E-3</v>
      </c>
      <c r="S50" s="619">
        <f t="shared" si="16"/>
        <v>6.4974999999999996</v>
      </c>
      <c r="T50" s="623">
        <v>0.59</v>
      </c>
    </row>
    <row r="51" spans="1:20" ht="12.75" customHeight="1">
      <c r="A51" s="1258"/>
      <c r="B51" s="1263" t="str">
        <f>B20</f>
        <v>Main-PE</v>
      </c>
      <c r="C51" s="1263"/>
      <c r="D51" s="1263"/>
      <c r="E51" s="616" t="s">
        <v>606</v>
      </c>
      <c r="F51" s="616" t="s">
        <v>607</v>
      </c>
      <c r="G51" s="614"/>
      <c r="H51" s="1258"/>
      <c r="I51" s="1263" t="str">
        <f>B51</f>
        <v>Main-PE</v>
      </c>
      <c r="J51" s="1263"/>
      <c r="K51" s="1263"/>
      <c r="L51" s="616" t="s">
        <v>606</v>
      </c>
      <c r="M51" s="616" t="s">
        <v>607</v>
      </c>
      <c r="N51" s="614"/>
      <c r="O51" s="1258"/>
      <c r="P51" s="1263" t="str">
        <f>I51</f>
        <v>Main-PE</v>
      </c>
      <c r="Q51" s="1263"/>
      <c r="R51" s="1263"/>
      <c r="S51" s="1262" t="s">
        <v>606</v>
      </c>
      <c r="T51" s="1262" t="s">
        <v>607</v>
      </c>
    </row>
    <row r="52" spans="1:20" ht="15" customHeight="1">
      <c r="A52" s="1258"/>
      <c r="B52" s="615" t="s">
        <v>633</v>
      </c>
      <c r="C52" s="616">
        <f>C36</f>
        <v>2017</v>
      </c>
      <c r="D52" s="616">
        <f>D36</f>
        <v>2019</v>
      </c>
      <c r="E52" s="616"/>
      <c r="F52" s="616"/>
      <c r="G52" s="614"/>
      <c r="H52" s="1258"/>
      <c r="I52" s="615" t="s">
        <v>633</v>
      </c>
      <c r="J52" s="616">
        <f>J36</f>
        <v>2017</v>
      </c>
      <c r="K52" s="616">
        <f>K36</f>
        <v>2019</v>
      </c>
      <c r="L52" s="616"/>
      <c r="M52" s="616"/>
      <c r="N52" s="614"/>
      <c r="O52" s="1258"/>
      <c r="P52" s="615" t="s">
        <v>633</v>
      </c>
      <c r="Q52" s="616">
        <f>Q36</f>
        <v>2018</v>
      </c>
      <c r="R52" s="616">
        <f>R36</f>
        <v>2019</v>
      </c>
      <c r="S52" s="1262"/>
      <c r="T52" s="1262"/>
    </row>
    <row r="53" spans="1:20" ht="12.75" customHeight="1">
      <c r="A53" s="1258"/>
      <c r="B53" s="626">
        <v>10</v>
      </c>
      <c r="C53" s="621">
        <v>0</v>
      </c>
      <c r="D53" s="621">
        <v>0.1</v>
      </c>
      <c r="E53" s="619">
        <f>0.5*(MAX(C53:D53)-MIN(C53:D53))</f>
        <v>0.05</v>
      </c>
      <c r="F53" s="629">
        <v>1.3</v>
      </c>
      <c r="G53" s="614"/>
      <c r="H53" s="1258"/>
      <c r="I53" s="626">
        <v>10</v>
      </c>
      <c r="J53" s="621">
        <v>0</v>
      </c>
      <c r="K53" s="621">
        <v>0.1</v>
      </c>
      <c r="L53" s="619">
        <f>0.5*(MAX(J53:K53)-MIN(J53:K53))</f>
        <v>0.05</v>
      </c>
      <c r="M53" s="629">
        <v>1.3</v>
      </c>
      <c r="N53" s="614"/>
      <c r="O53" s="1258"/>
      <c r="P53" s="626">
        <v>10</v>
      </c>
      <c r="Q53" s="621">
        <v>0</v>
      </c>
      <c r="R53" s="621">
        <v>0.1</v>
      </c>
      <c r="S53" s="619">
        <f t="shared" ref="S53:S56" si="18">0.5*(MAX(Q53:R53)-MIN(Q53:R53))</f>
        <v>0.05</v>
      </c>
      <c r="T53" s="629">
        <v>1.7</v>
      </c>
    </row>
    <row r="54" spans="1:20" ht="12.75" customHeight="1">
      <c r="A54" s="1258"/>
      <c r="B54" s="626">
        <v>20</v>
      </c>
      <c r="C54" s="621">
        <v>0.1</v>
      </c>
      <c r="D54" s="621">
        <v>0.2</v>
      </c>
      <c r="E54" s="619">
        <f t="shared" ref="E54:E56" si="19">0.5*(MAX(C54:D54)-MIN(C54:D54))</f>
        <v>0.05</v>
      </c>
      <c r="F54" s="629">
        <v>1.3</v>
      </c>
      <c r="G54" s="614"/>
      <c r="H54" s="1258"/>
      <c r="I54" s="626">
        <v>20</v>
      </c>
      <c r="J54" s="621">
        <v>0.1</v>
      </c>
      <c r="K54" s="621">
        <v>0.1</v>
      </c>
      <c r="L54" s="619">
        <f>0.5*(MAX(J54:K54)-MIN(J54:K54))</f>
        <v>0</v>
      </c>
      <c r="M54" s="629">
        <v>1.3</v>
      </c>
      <c r="N54" s="614"/>
      <c r="O54" s="1258"/>
      <c r="P54" s="626">
        <v>20</v>
      </c>
      <c r="Q54" s="621">
        <v>0.1</v>
      </c>
      <c r="R54" s="621">
        <v>0.1</v>
      </c>
      <c r="S54" s="619">
        <f t="shared" si="18"/>
        <v>0</v>
      </c>
      <c r="T54" s="629">
        <v>1.7</v>
      </c>
    </row>
    <row r="55" spans="1:20" ht="12.75" customHeight="1">
      <c r="A55" s="1258"/>
      <c r="B55" s="626">
        <v>50</v>
      </c>
      <c r="C55" s="621">
        <v>0.3</v>
      </c>
      <c r="D55" s="621">
        <v>0.5</v>
      </c>
      <c r="E55" s="619">
        <f t="shared" si="19"/>
        <v>0.1</v>
      </c>
      <c r="F55" s="629">
        <v>1.3</v>
      </c>
      <c r="G55" s="614"/>
      <c r="H55" s="1258"/>
      <c r="I55" s="626">
        <v>50</v>
      </c>
      <c r="J55" s="621">
        <v>0.3</v>
      </c>
      <c r="K55" s="621">
        <v>0.4</v>
      </c>
      <c r="L55" s="619">
        <f>0.5*(MAX(J55:K55)-MIN(J55:K55))</f>
        <v>5.0000000000000017E-2</v>
      </c>
      <c r="M55" s="629">
        <v>1.3</v>
      </c>
      <c r="N55" s="614"/>
      <c r="O55" s="1258"/>
      <c r="P55" s="626">
        <v>50</v>
      </c>
      <c r="Q55" s="621">
        <v>0.3</v>
      </c>
      <c r="R55" s="621">
        <v>0.3</v>
      </c>
      <c r="S55" s="619">
        <f t="shared" si="18"/>
        <v>0</v>
      </c>
      <c r="T55" s="629">
        <v>1.7</v>
      </c>
    </row>
    <row r="56" spans="1:20" ht="12.75" customHeight="1">
      <c r="A56" s="1258"/>
      <c r="B56" s="626">
        <v>100</v>
      </c>
      <c r="C56" s="621">
        <v>0.6</v>
      </c>
      <c r="D56" s="621">
        <v>1</v>
      </c>
      <c r="E56" s="619">
        <f t="shared" si="19"/>
        <v>0.2</v>
      </c>
      <c r="F56" s="629">
        <v>1.3</v>
      </c>
      <c r="G56" s="614"/>
      <c r="H56" s="1258"/>
      <c r="I56" s="626">
        <v>100</v>
      </c>
      <c r="J56" s="621">
        <v>1.3</v>
      </c>
      <c r="K56" s="621">
        <v>0.8</v>
      </c>
      <c r="L56" s="619">
        <f>0.5*(MAX(J56:K56)-MIN(J56:K56))</f>
        <v>0.25</v>
      </c>
      <c r="M56" s="629">
        <v>1.3</v>
      </c>
      <c r="N56" s="614"/>
      <c r="O56" s="1258"/>
      <c r="P56" s="626">
        <v>100</v>
      </c>
      <c r="Q56" s="621">
        <v>0.9</v>
      </c>
      <c r="R56" s="621">
        <v>0.6</v>
      </c>
      <c r="S56" s="619">
        <f t="shared" si="18"/>
        <v>0.15000000000000002</v>
      </c>
      <c r="T56" s="629">
        <v>1.7</v>
      </c>
    </row>
    <row r="57" spans="1:20" ht="12.75" customHeight="1">
      <c r="A57" s="1258"/>
      <c r="B57" s="1263" t="str">
        <f>B26</f>
        <v>Resistance</v>
      </c>
      <c r="C57" s="1263"/>
      <c r="D57" s="1263"/>
      <c r="E57" s="616" t="s">
        <v>606</v>
      </c>
      <c r="F57" s="616" t="s">
        <v>607</v>
      </c>
      <c r="G57" s="614"/>
      <c r="H57" s="1258"/>
      <c r="I57" s="1263" t="str">
        <f>B57</f>
        <v>Resistance</v>
      </c>
      <c r="J57" s="1263"/>
      <c r="K57" s="1263"/>
      <c r="L57" s="616" t="s">
        <v>606</v>
      </c>
      <c r="M57" s="616" t="s">
        <v>607</v>
      </c>
      <c r="N57" s="614"/>
      <c r="O57" s="1258"/>
      <c r="P57" s="1263" t="str">
        <f>I57</f>
        <v>Resistance</v>
      </c>
      <c r="Q57" s="1263"/>
      <c r="R57" s="1263"/>
      <c r="S57" s="1262" t="s">
        <v>606</v>
      </c>
      <c r="T57" s="1262" t="s">
        <v>607</v>
      </c>
    </row>
    <row r="58" spans="1:20" ht="15" customHeight="1">
      <c r="A58" s="1258"/>
      <c r="B58" s="615" t="s">
        <v>635</v>
      </c>
      <c r="C58" s="616">
        <f>C36</f>
        <v>2017</v>
      </c>
      <c r="D58" s="616">
        <f>D36</f>
        <v>2019</v>
      </c>
      <c r="E58" s="616"/>
      <c r="F58" s="616"/>
      <c r="G58" s="614"/>
      <c r="H58" s="1258"/>
      <c r="I58" s="615" t="s">
        <v>635</v>
      </c>
      <c r="J58" s="616">
        <f>J36</f>
        <v>2017</v>
      </c>
      <c r="K58" s="616">
        <f>K36</f>
        <v>2019</v>
      </c>
      <c r="L58" s="616"/>
      <c r="M58" s="616"/>
      <c r="N58" s="614"/>
      <c r="O58" s="1258"/>
      <c r="P58" s="615" t="s">
        <v>635</v>
      </c>
      <c r="Q58" s="616">
        <f>Q36</f>
        <v>2018</v>
      </c>
      <c r="R58" s="616">
        <f>R36</f>
        <v>2019</v>
      </c>
      <c r="S58" s="1262"/>
      <c r="T58" s="1262"/>
    </row>
    <row r="59" spans="1:20" ht="12.75" customHeight="1">
      <c r="A59" s="1258"/>
      <c r="B59" s="626">
        <v>0.01</v>
      </c>
      <c r="C59" s="628">
        <v>0</v>
      </c>
      <c r="D59" s="628">
        <v>0</v>
      </c>
      <c r="E59" s="619">
        <f>0.5*(MAX(C59:D59)-MIN(C59:D59))</f>
        <v>0</v>
      </c>
      <c r="F59" s="626">
        <v>0.43</v>
      </c>
      <c r="G59" s="614"/>
      <c r="H59" s="1258"/>
      <c r="I59" s="634">
        <v>0.01</v>
      </c>
      <c r="J59" s="628">
        <v>0</v>
      </c>
      <c r="K59" s="628">
        <v>0</v>
      </c>
      <c r="L59" s="619">
        <f>0.5*(MAX(J59:K59)-MIN(J59:K59))</f>
        <v>0</v>
      </c>
      <c r="M59" s="626">
        <v>0.43</v>
      </c>
      <c r="N59" s="614"/>
      <c r="O59" s="1258"/>
      <c r="P59" s="626">
        <v>0.01</v>
      </c>
      <c r="Q59" s="628">
        <v>0</v>
      </c>
      <c r="R59" s="628">
        <v>0</v>
      </c>
      <c r="S59" s="619">
        <f t="shared" ref="S59:S62" si="20">0.5*(MAX(Q59:R59)-MIN(Q59:R59))</f>
        <v>0</v>
      </c>
      <c r="T59" s="626">
        <v>1.2</v>
      </c>
    </row>
    <row r="60" spans="1:20" ht="12.75" customHeight="1">
      <c r="A60" s="1258"/>
      <c r="B60" s="626">
        <v>0.1</v>
      </c>
      <c r="C60" s="628">
        <v>6.0000000000000001E-3</v>
      </c>
      <c r="D60" s="628">
        <v>0</v>
      </c>
      <c r="E60" s="619">
        <f t="shared" ref="E60:E62" si="21">0.5*(MAX(C60:D60)-MIN(C60:D60))</f>
        <v>3.0000000000000001E-3</v>
      </c>
      <c r="F60" s="626">
        <v>0.43</v>
      </c>
      <c r="G60" s="614"/>
      <c r="H60" s="1258"/>
      <c r="I60" s="634">
        <v>0.1</v>
      </c>
      <c r="J60" s="628">
        <v>2E-3</v>
      </c>
      <c r="K60" s="628">
        <v>2E-3</v>
      </c>
      <c r="L60" s="619">
        <f>0.5*(MAX(J60:K60)-MIN(J60:K60))</f>
        <v>0</v>
      </c>
      <c r="M60" s="626">
        <v>0.43</v>
      </c>
      <c r="N60" s="614"/>
      <c r="O60" s="1258"/>
      <c r="P60" s="626">
        <v>0.1</v>
      </c>
      <c r="Q60" s="628">
        <v>1E-3</v>
      </c>
      <c r="R60" s="628">
        <v>-2E-3</v>
      </c>
      <c r="S60" s="619">
        <f t="shared" si="20"/>
        <v>1.5E-3</v>
      </c>
      <c r="T60" s="626">
        <v>1.2</v>
      </c>
    </row>
    <row r="61" spans="1:20" ht="12.75" customHeight="1">
      <c r="A61" s="1258"/>
      <c r="B61" s="626">
        <v>1</v>
      </c>
      <c r="C61" s="628">
        <v>7.0000000000000001E-3</v>
      </c>
      <c r="D61" s="628">
        <v>-1E-3</v>
      </c>
      <c r="E61" s="619">
        <f t="shared" si="21"/>
        <v>4.0000000000000001E-3</v>
      </c>
      <c r="F61" s="626">
        <v>0.43</v>
      </c>
      <c r="G61" s="614"/>
      <c r="H61" s="1258"/>
      <c r="I61" s="634">
        <v>1</v>
      </c>
      <c r="J61" s="628">
        <v>3.0000000000000001E-3</v>
      </c>
      <c r="K61" s="628">
        <v>1.2E-2</v>
      </c>
      <c r="L61" s="619">
        <f t="shared" ref="L61:L62" si="22">0.5*(MAX(J61:K61)-MIN(J61:K61))</f>
        <v>4.5000000000000005E-3</v>
      </c>
      <c r="M61" s="626">
        <v>0.43</v>
      </c>
      <c r="N61" s="614"/>
      <c r="O61" s="1258"/>
      <c r="P61" s="626">
        <v>1</v>
      </c>
      <c r="Q61" s="628">
        <v>2E-3</v>
      </c>
      <c r="R61" s="628">
        <v>-1E-3</v>
      </c>
      <c r="S61" s="619">
        <f t="shared" si="20"/>
        <v>1.5E-3</v>
      </c>
      <c r="T61" s="626">
        <v>1.2</v>
      </c>
    </row>
    <row r="62" spans="1:20" ht="12.75" customHeight="1">
      <c r="A62" s="1258"/>
      <c r="B62" s="626">
        <v>2</v>
      </c>
      <c r="C62" s="628">
        <v>0</v>
      </c>
      <c r="D62" s="628">
        <v>0</v>
      </c>
      <c r="E62" s="619">
        <f t="shared" si="21"/>
        <v>0</v>
      </c>
      <c r="F62" s="626">
        <v>0.43</v>
      </c>
      <c r="G62" s="614"/>
      <c r="H62" s="1258"/>
      <c r="I62" s="634">
        <v>2</v>
      </c>
      <c r="J62" s="628">
        <v>0</v>
      </c>
      <c r="K62" s="628">
        <v>0</v>
      </c>
      <c r="L62" s="619">
        <f t="shared" si="22"/>
        <v>0</v>
      </c>
      <c r="M62" s="626">
        <v>0.43</v>
      </c>
      <c r="N62" s="614"/>
      <c r="O62" s="1258"/>
      <c r="P62" s="626">
        <v>2</v>
      </c>
      <c r="Q62" s="628">
        <v>0</v>
      </c>
      <c r="R62" s="628">
        <v>0</v>
      </c>
      <c r="S62" s="619">
        <f t="shared" si="20"/>
        <v>0</v>
      </c>
      <c r="T62" s="626">
        <v>1.2</v>
      </c>
    </row>
    <row r="63" spans="1:20" ht="15.5">
      <c r="A63" s="635"/>
      <c r="B63" s="636"/>
      <c r="C63" s="637"/>
      <c r="D63" s="637"/>
      <c r="E63" s="637"/>
      <c r="F63" s="637"/>
      <c r="G63" s="614"/>
      <c r="H63" s="638"/>
      <c r="I63" s="639"/>
      <c r="J63" s="637"/>
      <c r="K63" s="637"/>
      <c r="L63" s="637"/>
      <c r="M63" s="637"/>
      <c r="N63" s="614"/>
      <c r="O63" s="638"/>
      <c r="P63" s="636"/>
      <c r="Q63" s="637"/>
      <c r="R63" s="614"/>
      <c r="S63" s="614"/>
      <c r="T63" s="632"/>
    </row>
    <row r="64" spans="1:20" ht="15" customHeight="1">
      <c r="A64" s="1258" t="s">
        <v>642</v>
      </c>
      <c r="B64" s="1264" t="s">
        <v>643</v>
      </c>
      <c r="C64" s="1264"/>
      <c r="D64" s="1264"/>
      <c r="E64" s="1264"/>
      <c r="F64" s="1264"/>
      <c r="G64" s="610"/>
      <c r="H64" s="1258" t="s">
        <v>644</v>
      </c>
      <c r="I64" s="1259" t="s">
        <v>645</v>
      </c>
      <c r="J64" s="1259"/>
      <c r="K64" s="1259"/>
      <c r="L64" s="1259"/>
      <c r="M64" s="1259"/>
      <c r="N64" s="611"/>
      <c r="O64" s="1258" t="s">
        <v>49</v>
      </c>
      <c r="P64" s="1259" t="s">
        <v>646</v>
      </c>
      <c r="Q64" s="1259"/>
      <c r="R64" s="1259"/>
      <c r="S64" s="1259"/>
      <c r="T64" s="1259"/>
    </row>
    <row r="65" spans="1:20" ht="15" customHeight="1">
      <c r="A65" s="1258"/>
      <c r="B65" s="1260" t="s">
        <v>627</v>
      </c>
      <c r="C65" s="1260"/>
      <c r="D65" s="1260"/>
      <c r="E65" s="1260"/>
      <c r="F65" s="1260"/>
      <c r="G65" s="612"/>
      <c r="H65" s="1258"/>
      <c r="I65" s="1261" t="s">
        <v>627</v>
      </c>
      <c r="J65" s="1261"/>
      <c r="K65" s="1261"/>
      <c r="L65" s="1261"/>
      <c r="M65" s="1261"/>
      <c r="N65" s="613"/>
      <c r="O65" s="1258"/>
      <c r="P65" s="1261" t="s">
        <v>627</v>
      </c>
      <c r="Q65" s="1261"/>
      <c r="R65" s="1261"/>
      <c r="S65" s="1261"/>
      <c r="T65" s="1261"/>
    </row>
    <row r="66" spans="1:20" ht="12.75" customHeight="1">
      <c r="A66" s="1258"/>
      <c r="B66" s="1262" t="s">
        <v>628</v>
      </c>
      <c r="C66" s="1262"/>
      <c r="D66" s="1262"/>
      <c r="E66" s="1262" t="s">
        <v>606</v>
      </c>
      <c r="F66" s="1262" t="s">
        <v>607</v>
      </c>
      <c r="G66" s="614"/>
      <c r="H66" s="1258"/>
      <c r="I66" s="1262" t="str">
        <f>B66</f>
        <v>Setting VAC</v>
      </c>
      <c r="J66" s="1262"/>
      <c r="K66" s="1262"/>
      <c r="L66" s="1262" t="s">
        <v>606</v>
      </c>
      <c r="M66" s="1262" t="s">
        <v>607</v>
      </c>
      <c r="N66" s="614"/>
      <c r="O66" s="1258"/>
      <c r="P66" s="1262" t="str">
        <f>B66</f>
        <v>Setting VAC</v>
      </c>
      <c r="Q66" s="1262"/>
      <c r="R66" s="1262"/>
      <c r="S66" s="1262" t="s">
        <v>606</v>
      </c>
      <c r="T66" s="1262" t="s">
        <v>607</v>
      </c>
    </row>
    <row r="67" spans="1:20" ht="15" customHeight="1">
      <c r="A67" s="1258"/>
      <c r="B67" s="615" t="s">
        <v>629</v>
      </c>
      <c r="C67" s="616">
        <v>2019</v>
      </c>
      <c r="D67" s="616">
        <v>2020</v>
      </c>
      <c r="E67" s="1262"/>
      <c r="F67" s="1262"/>
      <c r="G67" s="614"/>
      <c r="H67" s="1258"/>
      <c r="I67" s="615" t="s">
        <v>629</v>
      </c>
      <c r="J67" s="616">
        <v>2019</v>
      </c>
      <c r="K67" s="616">
        <v>2020</v>
      </c>
      <c r="L67" s="1262"/>
      <c r="M67" s="1262"/>
      <c r="N67" s="614"/>
      <c r="O67" s="1258"/>
      <c r="P67" s="615" t="s">
        <v>629</v>
      </c>
      <c r="Q67" s="616">
        <v>2019</v>
      </c>
      <c r="R67" s="616">
        <v>2020</v>
      </c>
      <c r="S67" s="1262"/>
      <c r="T67" s="1262"/>
    </row>
    <row r="68" spans="1:20" ht="12.75" customHeight="1">
      <c r="A68" s="1258"/>
      <c r="B68" s="617">
        <v>150</v>
      </c>
      <c r="C68" s="618">
        <v>0.21</v>
      </c>
      <c r="D68" s="618">
        <v>0.21</v>
      </c>
      <c r="E68" s="619">
        <f t="shared" ref="E68:E73" si="23">0.5*(MAX(C68:D68)-MIN(C68:D68))</f>
        <v>0</v>
      </c>
      <c r="F68" s="624">
        <v>1.2</v>
      </c>
      <c r="G68" s="614"/>
      <c r="H68" s="1258"/>
      <c r="I68" s="617">
        <v>150</v>
      </c>
      <c r="J68" s="620">
        <v>0</v>
      </c>
      <c r="K68" s="618">
        <v>-0.17</v>
      </c>
      <c r="L68" s="619">
        <f>0.5*(MAX(J68:K68)-MIN(J68:K68))</f>
        <v>8.5000000000000006E-2</v>
      </c>
      <c r="M68" s="618">
        <v>1.2</v>
      </c>
      <c r="N68" s="614"/>
      <c r="O68" s="1258"/>
      <c r="P68" s="617">
        <v>150</v>
      </c>
      <c r="Q68" s="620">
        <v>0</v>
      </c>
      <c r="R68" s="618">
        <v>-0.24</v>
      </c>
      <c r="S68" s="619">
        <f t="shared" ref="S68:S73" si="24">0.5*(MAX(Q68:R68)-MIN(Q68:R68))</f>
        <v>0.12</v>
      </c>
      <c r="T68" s="618">
        <v>1.2</v>
      </c>
    </row>
    <row r="69" spans="1:20" ht="12.75" customHeight="1">
      <c r="A69" s="1258"/>
      <c r="B69" s="617">
        <v>180</v>
      </c>
      <c r="C69" s="625">
        <v>0.33</v>
      </c>
      <c r="D69" s="625">
        <v>0.33</v>
      </c>
      <c r="E69" s="619">
        <f t="shared" si="23"/>
        <v>0</v>
      </c>
      <c r="F69" s="624">
        <v>1.2</v>
      </c>
      <c r="G69" s="614"/>
      <c r="H69" s="1258"/>
      <c r="I69" s="617">
        <v>180</v>
      </c>
      <c r="J69" s="620">
        <v>0</v>
      </c>
      <c r="K69" s="625">
        <v>-0.22</v>
      </c>
      <c r="L69" s="619">
        <f t="shared" ref="L69:L73" si="25">0.5*(MAX(J69:K69)-MIN(J69:K69))</f>
        <v>0.11</v>
      </c>
      <c r="M69" s="618">
        <v>1.2</v>
      </c>
      <c r="N69" s="614"/>
      <c r="O69" s="1258"/>
      <c r="P69" s="617">
        <v>180</v>
      </c>
      <c r="Q69" s="620">
        <v>0</v>
      </c>
      <c r="R69" s="625">
        <v>-0.14000000000000001</v>
      </c>
      <c r="S69" s="619">
        <f t="shared" si="24"/>
        <v>7.0000000000000007E-2</v>
      </c>
      <c r="T69" s="618">
        <v>1.2</v>
      </c>
    </row>
    <row r="70" spans="1:20" ht="12.75" customHeight="1">
      <c r="A70" s="1258"/>
      <c r="B70" s="617">
        <v>200</v>
      </c>
      <c r="C70" s="625">
        <v>0.34</v>
      </c>
      <c r="D70" s="625">
        <v>0.34</v>
      </c>
      <c r="E70" s="619">
        <f t="shared" si="23"/>
        <v>0</v>
      </c>
      <c r="F70" s="624">
        <v>1.2</v>
      </c>
      <c r="G70" s="614"/>
      <c r="H70" s="1258"/>
      <c r="I70" s="617">
        <v>200</v>
      </c>
      <c r="J70" s="621">
        <v>0</v>
      </c>
      <c r="K70" s="625">
        <v>-0.33</v>
      </c>
      <c r="L70" s="619">
        <f t="shared" si="25"/>
        <v>0.16500000000000001</v>
      </c>
      <c r="M70" s="618">
        <v>1.2</v>
      </c>
      <c r="N70" s="614"/>
      <c r="O70" s="1258"/>
      <c r="P70" s="617">
        <v>200</v>
      </c>
      <c r="Q70" s="621">
        <v>0</v>
      </c>
      <c r="R70" s="625">
        <v>-0.33</v>
      </c>
      <c r="S70" s="619">
        <f t="shared" si="24"/>
        <v>0.16500000000000001</v>
      </c>
      <c r="T70" s="618">
        <v>1.2</v>
      </c>
    </row>
    <row r="71" spans="1:20" ht="12.75" customHeight="1">
      <c r="A71" s="1258"/>
      <c r="B71" s="617">
        <v>220</v>
      </c>
      <c r="C71" s="625">
        <v>0.37</v>
      </c>
      <c r="D71" s="625">
        <v>0.37</v>
      </c>
      <c r="E71" s="619">
        <f t="shared" si="23"/>
        <v>0</v>
      </c>
      <c r="F71" s="624">
        <v>1.2</v>
      </c>
      <c r="G71" s="614"/>
      <c r="H71" s="1258"/>
      <c r="I71" s="617">
        <v>220</v>
      </c>
      <c r="J71" s="621">
        <v>0</v>
      </c>
      <c r="K71" s="625">
        <v>-0.39</v>
      </c>
      <c r="L71" s="619">
        <f t="shared" si="25"/>
        <v>0.19500000000000001</v>
      </c>
      <c r="M71" s="618">
        <v>1.2</v>
      </c>
      <c r="N71" s="614"/>
      <c r="O71" s="1258"/>
      <c r="P71" s="617">
        <v>220</v>
      </c>
      <c r="Q71" s="621">
        <v>0</v>
      </c>
      <c r="R71" s="625">
        <v>-0.45</v>
      </c>
      <c r="S71" s="619">
        <f t="shared" si="24"/>
        <v>0.22500000000000001</v>
      </c>
      <c r="T71" s="618">
        <v>1.2</v>
      </c>
    </row>
    <row r="72" spans="1:20" ht="12.75" customHeight="1">
      <c r="A72" s="1258"/>
      <c r="B72" s="617">
        <v>230</v>
      </c>
      <c r="C72" s="625">
        <v>0.47</v>
      </c>
      <c r="D72" s="625">
        <v>0.47</v>
      </c>
      <c r="E72" s="619">
        <f t="shared" si="23"/>
        <v>0</v>
      </c>
      <c r="F72" s="624">
        <v>1.2</v>
      </c>
      <c r="G72" s="614"/>
      <c r="H72" s="1258"/>
      <c r="I72" s="617">
        <v>230</v>
      </c>
      <c r="J72" s="621">
        <v>0</v>
      </c>
      <c r="K72" s="625">
        <v>-0.39</v>
      </c>
      <c r="L72" s="619">
        <f t="shared" si="25"/>
        <v>0.19500000000000001</v>
      </c>
      <c r="M72" s="618">
        <v>1.2</v>
      </c>
      <c r="N72" s="614"/>
      <c r="O72" s="1258"/>
      <c r="P72" s="617">
        <v>230</v>
      </c>
      <c r="Q72" s="621">
        <v>0</v>
      </c>
      <c r="R72" s="625">
        <v>-0.54</v>
      </c>
      <c r="S72" s="619">
        <f t="shared" si="24"/>
        <v>0.27</v>
      </c>
      <c r="T72" s="618">
        <v>1.2</v>
      </c>
    </row>
    <row r="73" spans="1:20" ht="12.75" customHeight="1">
      <c r="A73" s="1258"/>
      <c r="B73" s="617">
        <v>250</v>
      </c>
      <c r="C73" s="625">
        <v>0</v>
      </c>
      <c r="D73" s="625">
        <v>0</v>
      </c>
      <c r="E73" s="619">
        <f t="shared" si="23"/>
        <v>0</v>
      </c>
      <c r="F73" s="624">
        <v>1.2</v>
      </c>
      <c r="G73" s="614"/>
      <c r="H73" s="1258"/>
      <c r="I73" s="617">
        <v>250</v>
      </c>
      <c r="J73" s="621">
        <v>0</v>
      </c>
      <c r="K73" s="625">
        <v>0</v>
      </c>
      <c r="L73" s="619">
        <f t="shared" si="25"/>
        <v>0</v>
      </c>
      <c r="M73" s="618">
        <v>1.2</v>
      </c>
      <c r="N73" s="614"/>
      <c r="O73" s="1258"/>
      <c r="P73" s="617">
        <v>250</v>
      </c>
      <c r="Q73" s="621">
        <v>0</v>
      </c>
      <c r="R73" s="625">
        <v>0</v>
      </c>
      <c r="S73" s="619">
        <f t="shared" si="24"/>
        <v>0</v>
      </c>
      <c r="T73" s="625" t="s">
        <v>139</v>
      </c>
    </row>
    <row r="74" spans="1:20" ht="12.75" customHeight="1">
      <c r="A74" s="1258"/>
      <c r="B74" s="1263" t="s">
        <v>630</v>
      </c>
      <c r="C74" s="1263"/>
      <c r="D74" s="1263"/>
      <c r="E74" s="1262" t="s">
        <v>606</v>
      </c>
      <c r="F74" s="1262" t="s">
        <v>607</v>
      </c>
      <c r="G74" s="614"/>
      <c r="H74" s="1258"/>
      <c r="I74" s="1263" t="str">
        <f>B74</f>
        <v>Current Leakage</v>
      </c>
      <c r="J74" s="1263"/>
      <c r="K74" s="1263"/>
      <c r="L74" s="1262" t="s">
        <v>606</v>
      </c>
      <c r="M74" s="1262" t="s">
        <v>607</v>
      </c>
      <c r="N74" s="614"/>
      <c r="O74" s="1258"/>
      <c r="P74" s="1263" t="str">
        <f>B74</f>
        <v>Current Leakage</v>
      </c>
      <c r="Q74" s="1263"/>
      <c r="R74" s="1263"/>
      <c r="S74" s="1262" t="s">
        <v>606</v>
      </c>
      <c r="T74" s="1262" t="s">
        <v>607</v>
      </c>
    </row>
    <row r="75" spans="1:20" ht="15" customHeight="1">
      <c r="A75" s="1258"/>
      <c r="B75" s="615" t="s">
        <v>631</v>
      </c>
      <c r="C75" s="616">
        <f>C67</f>
        <v>2019</v>
      </c>
      <c r="D75" s="616">
        <f>D67</f>
        <v>2020</v>
      </c>
      <c r="E75" s="1262"/>
      <c r="F75" s="1262"/>
      <c r="G75" s="614"/>
      <c r="H75" s="1258"/>
      <c r="I75" s="615" t="s">
        <v>631</v>
      </c>
      <c r="J75" s="616">
        <f>J67</f>
        <v>2019</v>
      </c>
      <c r="K75" s="616">
        <f>K67</f>
        <v>2020</v>
      </c>
      <c r="L75" s="1262"/>
      <c r="M75" s="1262"/>
      <c r="N75" s="614"/>
      <c r="O75" s="1258"/>
      <c r="P75" s="615" t="s">
        <v>631</v>
      </c>
      <c r="Q75" s="616">
        <f>Q67</f>
        <v>2019</v>
      </c>
      <c r="R75" s="616">
        <f>R67</f>
        <v>2020</v>
      </c>
      <c r="S75" s="1262"/>
      <c r="T75" s="1262"/>
    </row>
    <row r="76" spans="1:20" ht="12.75" customHeight="1">
      <c r="A76" s="1258"/>
      <c r="B76" s="626">
        <v>0</v>
      </c>
      <c r="C76" s="627">
        <v>0</v>
      </c>
      <c r="D76" s="627">
        <v>0</v>
      </c>
      <c r="E76" s="619">
        <f t="shared" ref="E76:E81" si="26">0.5*(MAX(C76:D76)-MIN(C76:D76))</f>
        <v>0</v>
      </c>
      <c r="F76" s="623">
        <v>0.59</v>
      </c>
      <c r="G76" s="614"/>
      <c r="H76" s="1258"/>
      <c r="I76" s="626">
        <v>0</v>
      </c>
      <c r="J76" s="621">
        <v>0</v>
      </c>
      <c r="K76" s="627">
        <v>0</v>
      </c>
      <c r="L76" s="619">
        <f t="shared" ref="L76:L81" si="27">0.5*(MAX(J76:K76)-MIN(J76:K76))</f>
        <v>0</v>
      </c>
      <c r="M76" s="627">
        <v>0.59</v>
      </c>
      <c r="N76" s="614"/>
      <c r="O76" s="1258"/>
      <c r="P76" s="626">
        <v>0</v>
      </c>
      <c r="Q76" s="621">
        <v>0</v>
      </c>
      <c r="R76" s="627">
        <v>0</v>
      </c>
      <c r="S76" s="619">
        <f t="shared" ref="S76:S81" si="28">0.5*(MAX(Q76:R76)-MIN(Q76:R76))</f>
        <v>0</v>
      </c>
      <c r="T76" s="627">
        <v>0.59</v>
      </c>
    </row>
    <row r="77" spans="1:20" ht="12.75" customHeight="1">
      <c r="A77" s="1258"/>
      <c r="B77" s="626">
        <v>50</v>
      </c>
      <c r="C77" s="625">
        <v>1.7</v>
      </c>
      <c r="D77" s="625">
        <v>1.7</v>
      </c>
      <c r="E77" s="619">
        <f t="shared" si="26"/>
        <v>0</v>
      </c>
      <c r="F77" s="623">
        <v>0.59</v>
      </c>
      <c r="G77" s="614"/>
      <c r="H77" s="1258"/>
      <c r="I77" s="626">
        <v>50</v>
      </c>
      <c r="J77" s="621">
        <v>0</v>
      </c>
      <c r="K77" s="625">
        <v>1.7</v>
      </c>
      <c r="L77" s="619">
        <f t="shared" si="27"/>
        <v>0.85</v>
      </c>
      <c r="M77" s="627">
        <v>0.59</v>
      </c>
      <c r="N77" s="614"/>
      <c r="O77" s="1258"/>
      <c r="P77" s="626">
        <v>50</v>
      </c>
      <c r="Q77" s="621">
        <v>0</v>
      </c>
      <c r="R77" s="625">
        <v>2.1</v>
      </c>
      <c r="S77" s="619">
        <f t="shared" si="28"/>
        <v>1.05</v>
      </c>
      <c r="T77" s="625">
        <v>0.59</v>
      </c>
    </row>
    <row r="78" spans="1:20" ht="12.75" customHeight="1">
      <c r="A78" s="1258"/>
      <c r="B78" s="626">
        <v>100</v>
      </c>
      <c r="C78" s="625">
        <v>1.7</v>
      </c>
      <c r="D78" s="625">
        <v>1.7</v>
      </c>
      <c r="E78" s="619">
        <f t="shared" si="26"/>
        <v>0</v>
      </c>
      <c r="F78" s="623">
        <v>0.59</v>
      </c>
      <c r="G78" s="614"/>
      <c r="H78" s="1258"/>
      <c r="I78" s="626">
        <v>100</v>
      </c>
      <c r="J78" s="621">
        <v>0</v>
      </c>
      <c r="K78" s="625">
        <v>3.4</v>
      </c>
      <c r="L78" s="619">
        <f t="shared" si="27"/>
        <v>1.7</v>
      </c>
      <c r="M78" s="627">
        <v>0.59</v>
      </c>
      <c r="N78" s="614"/>
      <c r="O78" s="1258"/>
      <c r="P78" s="626">
        <v>100</v>
      </c>
      <c r="Q78" s="621">
        <v>0</v>
      </c>
      <c r="R78" s="625">
        <v>3.7</v>
      </c>
      <c r="S78" s="619">
        <f t="shared" si="28"/>
        <v>1.85</v>
      </c>
      <c r="T78" s="625">
        <v>0.59</v>
      </c>
    </row>
    <row r="79" spans="1:20" ht="12.75" customHeight="1">
      <c r="A79" s="1258"/>
      <c r="B79" s="626">
        <v>200</v>
      </c>
      <c r="C79" s="625">
        <v>0.4</v>
      </c>
      <c r="D79" s="625">
        <v>0.4</v>
      </c>
      <c r="E79" s="619">
        <f t="shared" si="26"/>
        <v>0</v>
      </c>
      <c r="F79" s="623">
        <v>0.59</v>
      </c>
      <c r="G79" s="614"/>
      <c r="H79" s="1258"/>
      <c r="I79" s="626">
        <v>500</v>
      </c>
      <c r="J79" s="621">
        <v>0</v>
      </c>
      <c r="K79" s="625">
        <v>7.2</v>
      </c>
      <c r="L79" s="619">
        <f t="shared" si="27"/>
        <v>3.6</v>
      </c>
      <c r="M79" s="627">
        <v>0.59</v>
      </c>
      <c r="N79" s="614"/>
      <c r="O79" s="1258"/>
      <c r="P79" s="626">
        <v>500</v>
      </c>
      <c r="Q79" s="621">
        <v>0</v>
      </c>
      <c r="R79" s="625">
        <v>8.3000000000000007</v>
      </c>
      <c r="S79" s="619">
        <f t="shared" si="28"/>
        <v>4.1500000000000004</v>
      </c>
      <c r="T79" s="625">
        <v>0.59</v>
      </c>
    </row>
    <row r="80" spans="1:20" ht="12.75" customHeight="1">
      <c r="A80" s="1258"/>
      <c r="B80" s="626">
        <v>500</v>
      </c>
      <c r="C80" s="625">
        <v>3</v>
      </c>
      <c r="D80" s="625">
        <v>3</v>
      </c>
      <c r="E80" s="619">
        <f t="shared" si="26"/>
        <v>0</v>
      </c>
      <c r="F80" s="623">
        <v>0.59</v>
      </c>
      <c r="G80" s="614"/>
      <c r="H80" s="1258"/>
      <c r="I80" s="626">
        <v>500</v>
      </c>
      <c r="J80" s="621">
        <v>0</v>
      </c>
      <c r="K80" s="625">
        <v>7.2</v>
      </c>
      <c r="L80" s="619">
        <f t="shared" si="27"/>
        <v>3.6</v>
      </c>
      <c r="M80" s="627">
        <v>0.59</v>
      </c>
      <c r="N80" s="614"/>
      <c r="O80" s="1258"/>
      <c r="P80" s="626">
        <v>500</v>
      </c>
      <c r="Q80" s="621">
        <v>0</v>
      </c>
      <c r="R80" s="625">
        <v>8.3000000000000007</v>
      </c>
      <c r="S80" s="619">
        <f t="shared" si="28"/>
        <v>4.1500000000000004</v>
      </c>
      <c r="T80" s="625">
        <v>0.59</v>
      </c>
    </row>
    <row r="81" spans="1:20" ht="12.75" customHeight="1">
      <c r="A81" s="1258"/>
      <c r="B81" s="626">
        <v>1000</v>
      </c>
      <c r="C81" s="625">
        <v>5</v>
      </c>
      <c r="D81" s="625">
        <v>4</v>
      </c>
      <c r="E81" s="619">
        <f t="shared" si="26"/>
        <v>0.5</v>
      </c>
      <c r="F81" s="623">
        <v>0.59</v>
      </c>
      <c r="G81" s="614"/>
      <c r="H81" s="1258"/>
      <c r="I81" s="626">
        <v>1000</v>
      </c>
      <c r="J81" s="621">
        <v>0</v>
      </c>
      <c r="K81" s="625">
        <v>80</v>
      </c>
      <c r="L81" s="619">
        <f t="shared" si="27"/>
        <v>40</v>
      </c>
      <c r="M81" s="627">
        <v>0.59</v>
      </c>
      <c r="N81" s="614"/>
      <c r="O81" s="1258"/>
      <c r="P81" s="626">
        <v>1000</v>
      </c>
      <c r="Q81" s="621">
        <v>0</v>
      </c>
      <c r="R81" s="625">
        <v>-97</v>
      </c>
      <c r="S81" s="619">
        <f t="shared" si="28"/>
        <v>48.5</v>
      </c>
      <c r="T81" s="625">
        <v>0.59</v>
      </c>
    </row>
    <row r="82" spans="1:20" ht="12.75" customHeight="1">
      <c r="A82" s="1258"/>
      <c r="B82" s="1263"/>
      <c r="C82" s="1263"/>
      <c r="D82" s="1263"/>
      <c r="E82" s="1262" t="s">
        <v>606</v>
      </c>
      <c r="F82" s="1262" t="s">
        <v>607</v>
      </c>
      <c r="G82" s="614"/>
      <c r="H82" s="1258"/>
      <c r="I82" s="1263" t="s">
        <v>632</v>
      </c>
      <c r="J82" s="1263"/>
      <c r="K82" s="1263"/>
      <c r="L82" s="1262" t="s">
        <v>606</v>
      </c>
      <c r="M82" s="1262" t="s">
        <v>607</v>
      </c>
      <c r="N82" s="614"/>
      <c r="O82" s="1258"/>
      <c r="P82" s="1263">
        <f>B82</f>
        <v>0</v>
      </c>
      <c r="Q82" s="1263"/>
      <c r="R82" s="1263"/>
      <c r="S82" s="1262" t="s">
        <v>606</v>
      </c>
      <c r="T82" s="1262" t="s">
        <v>607</v>
      </c>
    </row>
    <row r="83" spans="1:20" ht="15" customHeight="1">
      <c r="A83" s="1258"/>
      <c r="B83" s="615" t="s">
        <v>633</v>
      </c>
      <c r="C83" s="616">
        <v>2020</v>
      </c>
      <c r="D83" s="616">
        <v>2018</v>
      </c>
      <c r="E83" s="1262"/>
      <c r="F83" s="1262"/>
      <c r="G83" s="614"/>
      <c r="H83" s="1258"/>
      <c r="I83" s="615" t="s">
        <v>633</v>
      </c>
      <c r="J83" s="616">
        <f>J67</f>
        <v>2019</v>
      </c>
      <c r="K83" s="616">
        <f>K67</f>
        <v>2020</v>
      </c>
      <c r="L83" s="1262"/>
      <c r="M83" s="1262"/>
      <c r="N83" s="614"/>
      <c r="O83" s="1258"/>
      <c r="P83" s="615" t="s">
        <v>633</v>
      </c>
      <c r="Q83" s="616">
        <f>Q67</f>
        <v>2019</v>
      </c>
      <c r="R83" s="616">
        <f>R67</f>
        <v>2020</v>
      </c>
      <c r="S83" s="1262"/>
      <c r="T83" s="1262"/>
    </row>
    <row r="84" spans="1:20" ht="12.75" customHeight="1">
      <c r="A84" s="1258"/>
      <c r="B84" s="626">
        <v>10</v>
      </c>
      <c r="C84" s="621" t="s">
        <v>139</v>
      </c>
      <c r="D84" s="621">
        <v>0</v>
      </c>
      <c r="E84" s="619">
        <f t="shared" ref="E84:E87" si="29">0.5*(MAX(C84:D84)-MIN(C84:D84))</f>
        <v>0</v>
      </c>
      <c r="F84" s="629">
        <v>1.7</v>
      </c>
      <c r="G84" s="614"/>
      <c r="H84" s="1258"/>
      <c r="I84" s="626">
        <v>10</v>
      </c>
      <c r="J84" s="621">
        <v>0</v>
      </c>
      <c r="K84" s="621">
        <v>0</v>
      </c>
      <c r="L84" s="619">
        <f t="shared" ref="L84:L87" si="30">0.5*(MAX(J84:K84)-MIN(J84:K84))</f>
        <v>0</v>
      </c>
      <c r="M84" s="625">
        <v>0</v>
      </c>
      <c r="N84" s="614"/>
      <c r="O84" s="1258"/>
      <c r="P84" s="626">
        <v>10</v>
      </c>
      <c r="Q84" s="621">
        <v>0</v>
      </c>
      <c r="R84" s="621">
        <v>0</v>
      </c>
      <c r="S84" s="619">
        <f t="shared" ref="S84:S87" si="31">0.5*(MAX(Q84:R84)-MIN(Q84:R84))</f>
        <v>0</v>
      </c>
      <c r="T84" s="625">
        <v>0</v>
      </c>
    </row>
    <row r="85" spans="1:20" ht="12.75" customHeight="1">
      <c r="A85" s="1258"/>
      <c r="B85" s="626">
        <v>20</v>
      </c>
      <c r="C85" s="621" t="s">
        <v>139</v>
      </c>
      <c r="D85" s="621">
        <v>0.1</v>
      </c>
      <c r="E85" s="619">
        <f t="shared" si="29"/>
        <v>0</v>
      </c>
      <c r="F85" s="629">
        <v>1.7</v>
      </c>
      <c r="G85" s="614"/>
      <c r="H85" s="1258"/>
      <c r="I85" s="626">
        <v>20</v>
      </c>
      <c r="J85" s="621">
        <v>0</v>
      </c>
      <c r="K85" s="621">
        <v>0</v>
      </c>
      <c r="L85" s="619">
        <f t="shared" si="30"/>
        <v>0</v>
      </c>
      <c r="M85" s="625">
        <v>0</v>
      </c>
      <c r="N85" s="614"/>
      <c r="O85" s="1258"/>
      <c r="P85" s="626">
        <v>20</v>
      </c>
      <c r="Q85" s="621">
        <v>0</v>
      </c>
      <c r="R85" s="621">
        <v>0</v>
      </c>
      <c r="S85" s="619">
        <f t="shared" si="31"/>
        <v>0</v>
      </c>
      <c r="T85" s="625">
        <v>0</v>
      </c>
    </row>
    <row r="86" spans="1:20" ht="12.75" customHeight="1">
      <c r="A86" s="1258"/>
      <c r="B86" s="626">
        <v>50</v>
      </c>
      <c r="C86" s="621" t="s">
        <v>139</v>
      </c>
      <c r="D86" s="621">
        <v>0.4</v>
      </c>
      <c r="E86" s="619">
        <f t="shared" si="29"/>
        <v>0</v>
      </c>
      <c r="F86" s="629">
        <v>1.7</v>
      </c>
      <c r="G86" s="614"/>
      <c r="H86" s="1258"/>
      <c r="I86" s="626">
        <v>50</v>
      </c>
      <c r="J86" s="621">
        <v>0</v>
      </c>
      <c r="K86" s="621">
        <v>0</v>
      </c>
      <c r="L86" s="619">
        <f t="shared" si="30"/>
        <v>0</v>
      </c>
      <c r="M86" s="625">
        <v>0</v>
      </c>
      <c r="N86" s="614"/>
      <c r="O86" s="1258"/>
      <c r="P86" s="626">
        <v>50</v>
      </c>
      <c r="Q86" s="621">
        <v>0</v>
      </c>
      <c r="R86" s="621">
        <v>0</v>
      </c>
      <c r="S86" s="619">
        <f t="shared" si="31"/>
        <v>0</v>
      </c>
      <c r="T86" s="625">
        <v>0</v>
      </c>
    </row>
    <row r="87" spans="1:20" ht="12.75" customHeight="1">
      <c r="A87" s="1258"/>
      <c r="B87" s="626">
        <v>100</v>
      </c>
      <c r="C87" s="621" t="s">
        <v>139</v>
      </c>
      <c r="D87" s="621">
        <v>1.4</v>
      </c>
      <c r="E87" s="619">
        <f t="shared" si="29"/>
        <v>0</v>
      </c>
      <c r="F87" s="629">
        <v>1.7</v>
      </c>
      <c r="G87" s="614"/>
      <c r="H87" s="1258"/>
      <c r="I87" s="626">
        <v>100</v>
      </c>
      <c r="J87" s="621">
        <v>0</v>
      </c>
      <c r="K87" s="621">
        <v>0</v>
      </c>
      <c r="L87" s="619">
        <f t="shared" si="30"/>
        <v>0</v>
      </c>
      <c r="M87" s="625">
        <v>0</v>
      </c>
      <c r="N87" s="614"/>
      <c r="O87" s="1258"/>
      <c r="P87" s="626">
        <v>100</v>
      </c>
      <c r="Q87" s="621">
        <v>0</v>
      </c>
      <c r="R87" s="621">
        <v>0</v>
      </c>
      <c r="S87" s="619">
        <f t="shared" si="31"/>
        <v>0</v>
      </c>
      <c r="T87" s="625">
        <v>0</v>
      </c>
    </row>
    <row r="88" spans="1:20" ht="12.75" customHeight="1">
      <c r="A88" s="1258"/>
      <c r="B88" s="1263" t="s">
        <v>634</v>
      </c>
      <c r="C88" s="1263"/>
      <c r="D88" s="1263"/>
      <c r="E88" s="1262" t="s">
        <v>606</v>
      </c>
      <c r="F88" s="1262" t="s">
        <v>607</v>
      </c>
      <c r="G88" s="614"/>
      <c r="H88" s="1258"/>
      <c r="I88" s="1263" t="s">
        <v>634</v>
      </c>
      <c r="J88" s="1263"/>
      <c r="K88" s="1263"/>
      <c r="L88" s="1262" t="s">
        <v>606</v>
      </c>
      <c r="M88" s="1262" t="s">
        <v>607</v>
      </c>
      <c r="N88" s="614"/>
      <c r="O88" s="1258"/>
      <c r="P88" s="1263" t="str">
        <f>B88</f>
        <v>Resistance</v>
      </c>
      <c r="Q88" s="1263"/>
      <c r="R88" s="1263"/>
      <c r="S88" s="1262" t="s">
        <v>606</v>
      </c>
      <c r="T88" s="1262" t="s">
        <v>607</v>
      </c>
    </row>
    <row r="89" spans="1:20" ht="15" customHeight="1">
      <c r="A89" s="1258"/>
      <c r="B89" s="615" t="s">
        <v>635</v>
      </c>
      <c r="C89" s="616">
        <f>C67</f>
        <v>2019</v>
      </c>
      <c r="D89" s="616">
        <f>D67</f>
        <v>2020</v>
      </c>
      <c r="E89" s="1262"/>
      <c r="F89" s="1262"/>
      <c r="G89" s="614"/>
      <c r="H89" s="1258"/>
      <c r="I89" s="615" t="s">
        <v>635</v>
      </c>
      <c r="J89" s="616">
        <f>J67</f>
        <v>2019</v>
      </c>
      <c r="K89" s="616">
        <f>K67</f>
        <v>2020</v>
      </c>
      <c r="L89" s="1262"/>
      <c r="M89" s="1262"/>
      <c r="N89" s="614"/>
      <c r="O89" s="1258"/>
      <c r="P89" s="615" t="s">
        <v>635</v>
      </c>
      <c r="Q89" s="616">
        <f>Q67</f>
        <v>2019</v>
      </c>
      <c r="R89" s="616">
        <f>R67</f>
        <v>2020</v>
      </c>
      <c r="S89" s="1262"/>
      <c r="T89" s="1262"/>
    </row>
    <row r="90" spans="1:20" ht="12.75" customHeight="1">
      <c r="A90" s="1258"/>
      <c r="B90" s="626">
        <v>0.01</v>
      </c>
      <c r="C90" s="630">
        <v>0</v>
      </c>
      <c r="D90" s="630">
        <v>0</v>
      </c>
      <c r="E90" s="619">
        <f t="shared" ref="E90:E93" si="32">0.5*(MAX(C90:D90)-MIN(C90:D90))</f>
        <v>0</v>
      </c>
      <c r="F90" s="626">
        <v>1.2</v>
      </c>
      <c r="G90" s="614"/>
      <c r="H90" s="1258"/>
      <c r="I90" s="626">
        <v>0.01</v>
      </c>
      <c r="J90" s="626">
        <v>0</v>
      </c>
      <c r="K90" s="640">
        <v>0</v>
      </c>
      <c r="L90" s="619">
        <f t="shared" ref="L90:L93" si="33">0.5*(MAX(J90:K90)-MIN(J90:K90))</f>
        <v>0</v>
      </c>
      <c r="M90" s="641">
        <v>1.2</v>
      </c>
      <c r="N90" s="614"/>
      <c r="O90" s="1258"/>
      <c r="P90" s="626">
        <v>0.01</v>
      </c>
      <c r="Q90" s="626">
        <v>0</v>
      </c>
      <c r="R90" s="640">
        <v>0</v>
      </c>
      <c r="S90" s="619">
        <f t="shared" ref="S90:S93" si="34">0.5*(MAX(Q90:R90)-MIN(Q90:R90))</f>
        <v>0</v>
      </c>
      <c r="T90" s="640">
        <v>1.2</v>
      </c>
    </row>
    <row r="91" spans="1:20" ht="12.75" customHeight="1">
      <c r="A91" s="1258"/>
      <c r="B91" s="626">
        <v>0.1</v>
      </c>
      <c r="C91" s="630">
        <v>0</v>
      </c>
      <c r="D91" s="630">
        <v>0</v>
      </c>
      <c r="E91" s="619">
        <f t="shared" si="32"/>
        <v>0</v>
      </c>
      <c r="F91" s="626">
        <v>1.2</v>
      </c>
      <c r="G91" s="614"/>
      <c r="H91" s="1258"/>
      <c r="I91" s="626">
        <v>0.1</v>
      </c>
      <c r="J91" s="628">
        <v>0</v>
      </c>
      <c r="K91" s="630">
        <v>-2E-3</v>
      </c>
      <c r="L91" s="619">
        <f t="shared" si="33"/>
        <v>1E-3</v>
      </c>
      <c r="M91" s="641">
        <v>1.2</v>
      </c>
      <c r="N91" s="614"/>
      <c r="O91" s="1258"/>
      <c r="P91" s="626">
        <v>0.1</v>
      </c>
      <c r="Q91" s="628">
        <v>0</v>
      </c>
      <c r="R91" s="630">
        <v>-3.0000000000000001E-3</v>
      </c>
      <c r="S91" s="619">
        <f t="shared" si="34"/>
        <v>1.5E-3</v>
      </c>
      <c r="T91" s="640">
        <v>1.2</v>
      </c>
    </row>
    <row r="92" spans="1:20" ht="12.75" customHeight="1">
      <c r="A92" s="1258"/>
      <c r="B92" s="626">
        <v>1</v>
      </c>
      <c r="C92" s="630">
        <v>-2.3E-3</v>
      </c>
      <c r="D92" s="630">
        <v>-2.3E-3</v>
      </c>
      <c r="E92" s="619">
        <f t="shared" si="32"/>
        <v>0</v>
      </c>
      <c r="F92" s="626">
        <v>1.2</v>
      </c>
      <c r="G92" s="614"/>
      <c r="H92" s="1258"/>
      <c r="I92" s="626">
        <v>1</v>
      </c>
      <c r="J92" s="628">
        <v>0</v>
      </c>
      <c r="K92" s="630">
        <v>-1E-3</v>
      </c>
      <c r="L92" s="619">
        <f t="shared" si="33"/>
        <v>5.0000000000000001E-4</v>
      </c>
      <c r="M92" s="641">
        <v>1.2</v>
      </c>
      <c r="N92" s="614"/>
      <c r="O92" s="1258"/>
      <c r="P92" s="626">
        <v>1</v>
      </c>
      <c r="Q92" s="628">
        <v>0</v>
      </c>
      <c r="R92" s="630">
        <v>-1E-3</v>
      </c>
      <c r="S92" s="619">
        <f t="shared" si="34"/>
        <v>5.0000000000000001E-4</v>
      </c>
      <c r="T92" s="640">
        <v>1.2</v>
      </c>
    </row>
    <row r="93" spans="1:20" ht="12.75" customHeight="1">
      <c r="A93" s="1258"/>
      <c r="B93" s="626">
        <v>2</v>
      </c>
      <c r="C93" s="630">
        <v>0</v>
      </c>
      <c r="D93" s="630">
        <v>0</v>
      </c>
      <c r="E93" s="619">
        <f t="shared" si="32"/>
        <v>0</v>
      </c>
      <c r="F93" s="626">
        <v>1.2</v>
      </c>
      <c r="G93" s="614"/>
      <c r="H93" s="1258"/>
      <c r="I93" s="626">
        <v>2</v>
      </c>
      <c r="J93" s="628">
        <v>0</v>
      </c>
      <c r="K93" s="630">
        <v>-6.0000000000000001E-3</v>
      </c>
      <c r="L93" s="619">
        <f t="shared" si="33"/>
        <v>3.0000000000000001E-3</v>
      </c>
      <c r="M93" s="641">
        <v>1.2</v>
      </c>
      <c r="N93" s="614"/>
      <c r="O93" s="1258"/>
      <c r="P93" s="626">
        <v>2</v>
      </c>
      <c r="Q93" s="628">
        <v>0</v>
      </c>
      <c r="R93" s="630">
        <v>-6.0000000000000001E-3</v>
      </c>
      <c r="S93" s="619">
        <f t="shared" si="34"/>
        <v>3.0000000000000001E-3</v>
      </c>
      <c r="T93" s="640">
        <v>1.2</v>
      </c>
    </row>
    <row r="94" spans="1:20" ht="16" thickBot="1">
      <c r="A94" s="635"/>
      <c r="B94" s="636"/>
      <c r="C94" s="637"/>
      <c r="D94" s="637"/>
      <c r="E94" s="637"/>
      <c r="F94" s="637"/>
      <c r="G94" s="614"/>
      <c r="H94" s="638"/>
      <c r="I94" s="639"/>
      <c r="J94" s="637"/>
      <c r="K94" s="637"/>
      <c r="L94" s="637"/>
      <c r="M94" s="637"/>
      <c r="N94" s="614"/>
      <c r="O94" s="638"/>
      <c r="P94" s="636"/>
      <c r="Q94" s="637"/>
      <c r="R94" s="614"/>
      <c r="S94" s="614"/>
      <c r="T94" s="632"/>
    </row>
    <row r="95" spans="1:20" ht="16" thickBot="1">
      <c r="A95" s="1268"/>
      <c r="B95" s="1269"/>
      <c r="C95" s="1269"/>
      <c r="D95" s="1269"/>
      <c r="E95" s="1269"/>
      <c r="F95" s="1269"/>
      <c r="G95" s="1269"/>
      <c r="H95" s="1269"/>
      <c r="I95" s="1269"/>
      <c r="J95" s="1269"/>
      <c r="K95" s="1269"/>
      <c r="L95" s="1269"/>
      <c r="M95" s="1269"/>
      <c r="N95" s="1269"/>
      <c r="O95" s="1269"/>
      <c r="P95" s="1269"/>
      <c r="Q95" s="1269"/>
      <c r="R95" s="642"/>
      <c r="S95" s="642"/>
      <c r="T95" s="643"/>
    </row>
    <row r="96" spans="1:20" ht="13" thickBot="1">
      <c r="A96" s="644"/>
      <c r="B96" s="645"/>
      <c r="C96" s="645"/>
    </row>
    <row r="97" spans="1:17" ht="14">
      <c r="A97" s="1270" t="s">
        <v>25</v>
      </c>
      <c r="B97" s="1271" t="s">
        <v>647</v>
      </c>
      <c r="C97" s="1272" t="s">
        <v>627</v>
      </c>
      <c r="D97" s="1272"/>
      <c r="E97" s="1272"/>
      <c r="F97" s="1272"/>
      <c r="G97" s="1272"/>
      <c r="H97" s="646"/>
      <c r="I97" s="1270" t="s">
        <v>25</v>
      </c>
      <c r="J97" s="1271" t="s">
        <v>647</v>
      </c>
      <c r="K97" s="1272" t="s">
        <v>627</v>
      </c>
      <c r="L97" s="1272"/>
      <c r="M97" s="1272"/>
      <c r="N97" s="1272"/>
      <c r="O97" s="1272"/>
      <c r="Q97" s="647"/>
    </row>
    <row r="98" spans="1:17" ht="13">
      <c r="A98" s="1270"/>
      <c r="B98" s="1271"/>
      <c r="C98" s="1265" t="str">
        <f>B4</f>
        <v>Setting VAC</v>
      </c>
      <c r="D98" s="1265"/>
      <c r="E98" s="1265"/>
      <c r="F98" s="648" t="s">
        <v>606</v>
      </c>
      <c r="G98" s="648" t="s">
        <v>607</v>
      </c>
      <c r="I98" s="1270"/>
      <c r="J98" s="1271"/>
      <c r="K98" s="1266" t="str">
        <f>B12</f>
        <v>Current Leakage</v>
      </c>
      <c r="L98" s="1266"/>
      <c r="M98" s="1266"/>
      <c r="N98" s="648" t="s">
        <v>606</v>
      </c>
      <c r="O98" s="648" t="s">
        <v>607</v>
      </c>
      <c r="Q98" s="649"/>
    </row>
    <row r="99" spans="1:17" ht="14">
      <c r="A99" s="1270"/>
      <c r="B99" s="1271"/>
      <c r="C99" s="650" t="s">
        <v>629</v>
      </c>
      <c r="D99" s="648"/>
      <c r="E99" s="648"/>
      <c r="F99" s="648"/>
      <c r="G99" s="648"/>
      <c r="I99" s="1270"/>
      <c r="J99" s="1271"/>
      <c r="K99" s="650" t="s">
        <v>631</v>
      </c>
      <c r="L99" s="648"/>
      <c r="M99" s="648"/>
      <c r="N99" s="648"/>
      <c r="O99" s="648"/>
      <c r="Q99" s="649"/>
    </row>
    <row r="100" spans="1:17" ht="14">
      <c r="A100" s="1267" t="s">
        <v>49</v>
      </c>
      <c r="B100" s="651">
        <v>1</v>
      </c>
      <c r="C100" s="652">
        <f>B6</f>
        <v>150</v>
      </c>
      <c r="D100" s="652">
        <f t="shared" ref="D100:G100" si="35">C6</f>
        <v>0.76</v>
      </c>
      <c r="E100" s="652">
        <f t="shared" si="35"/>
        <v>0.31</v>
      </c>
      <c r="F100" s="652">
        <f t="shared" si="35"/>
        <v>0.22500000000000001</v>
      </c>
      <c r="G100" s="652">
        <f t="shared" si="35"/>
        <v>0.47</v>
      </c>
      <c r="I100" s="1267" t="s">
        <v>49</v>
      </c>
      <c r="J100" s="651">
        <v>1</v>
      </c>
      <c r="K100" s="653">
        <f>B14</f>
        <v>0</v>
      </c>
      <c r="L100" s="653">
        <f t="shared" ref="L100:O100" si="36">C14</f>
        <v>0</v>
      </c>
      <c r="M100" s="653">
        <f t="shared" si="36"/>
        <v>0</v>
      </c>
      <c r="N100" s="653">
        <f t="shared" si="36"/>
        <v>0</v>
      </c>
      <c r="O100" s="653">
        <f t="shared" si="36"/>
        <v>0.28999999999999998</v>
      </c>
    </row>
    <row r="101" spans="1:17" ht="14">
      <c r="A101" s="1267"/>
      <c r="B101" s="654">
        <v>2</v>
      </c>
      <c r="C101" s="655">
        <f>I6</f>
        <v>150</v>
      </c>
      <c r="D101" s="655">
        <f t="shared" ref="D101:G101" si="37">J6</f>
        <v>0.23</v>
      </c>
      <c r="E101" s="655">
        <f t="shared" si="37"/>
        <v>0.15</v>
      </c>
      <c r="F101" s="655">
        <f t="shared" si="37"/>
        <v>4.0000000000000008E-2</v>
      </c>
      <c r="G101" s="655">
        <f t="shared" si="37"/>
        <v>0.47</v>
      </c>
      <c r="I101" s="1267"/>
      <c r="J101" s="654">
        <v>2</v>
      </c>
      <c r="K101" s="653">
        <f>I14</f>
        <v>0</v>
      </c>
      <c r="L101" s="653">
        <f t="shared" ref="L101:O101" si="38">J14</f>
        <v>0</v>
      </c>
      <c r="M101" s="653">
        <f t="shared" si="38"/>
        <v>0</v>
      </c>
      <c r="N101" s="653">
        <f t="shared" si="38"/>
        <v>0</v>
      </c>
      <c r="O101" s="653">
        <f t="shared" si="38"/>
        <v>0.28999999999999998</v>
      </c>
    </row>
    <row r="102" spans="1:17" ht="13">
      <c r="A102" s="1267"/>
      <c r="B102" s="656">
        <v>3</v>
      </c>
      <c r="C102" s="655">
        <f>P6</f>
        <v>150</v>
      </c>
      <c r="D102" s="655">
        <f t="shared" ref="D102:G102" si="39">Q6</f>
        <v>-0.24</v>
      </c>
      <c r="E102" s="655">
        <f t="shared" si="39"/>
        <v>-7.0000000000000007E-2</v>
      </c>
      <c r="F102" s="655">
        <f t="shared" si="39"/>
        <v>8.4999999999999992E-2</v>
      </c>
      <c r="G102" s="655">
        <f t="shared" si="39"/>
        <v>1.2</v>
      </c>
      <c r="I102" s="1267"/>
      <c r="J102" s="656">
        <v>3</v>
      </c>
      <c r="K102" s="653">
        <f>P14</f>
        <v>0</v>
      </c>
      <c r="L102" s="653">
        <f t="shared" ref="L102:O102" si="40">Q14</f>
        <v>0</v>
      </c>
      <c r="M102" s="653">
        <f t="shared" si="40"/>
        <v>0</v>
      </c>
      <c r="N102" s="653">
        <f t="shared" si="40"/>
        <v>0</v>
      </c>
      <c r="O102" s="653">
        <f t="shared" si="40"/>
        <v>0.59</v>
      </c>
    </row>
    <row r="103" spans="1:17" ht="13">
      <c r="A103" s="1267"/>
      <c r="B103" s="656">
        <v>4</v>
      </c>
      <c r="C103" s="655">
        <f>B37</f>
        <v>150</v>
      </c>
      <c r="D103" s="655">
        <f t="shared" ref="D103:G103" si="41">C37</f>
        <v>-0.09</v>
      </c>
      <c r="E103" s="655">
        <f t="shared" si="41"/>
        <v>0.11</v>
      </c>
      <c r="F103" s="655">
        <f t="shared" si="41"/>
        <v>0.1</v>
      </c>
      <c r="G103" s="655">
        <f t="shared" si="41"/>
        <v>0.47</v>
      </c>
      <c r="I103" s="1267"/>
      <c r="J103" s="656">
        <v>4</v>
      </c>
      <c r="K103" s="653">
        <f>B45</f>
        <v>0</v>
      </c>
      <c r="L103" s="653">
        <f t="shared" ref="L103:O103" si="42">C45</f>
        <v>0</v>
      </c>
      <c r="M103" s="653">
        <f t="shared" si="42"/>
        <v>0</v>
      </c>
      <c r="N103" s="653">
        <f t="shared" si="42"/>
        <v>0</v>
      </c>
      <c r="O103" s="653">
        <f t="shared" si="42"/>
        <v>0.28999999999999998</v>
      </c>
    </row>
    <row r="104" spans="1:17" ht="13">
      <c r="A104" s="1267"/>
      <c r="B104" s="656">
        <v>5</v>
      </c>
      <c r="C104" s="655">
        <f>I37</f>
        <v>150</v>
      </c>
      <c r="D104" s="655">
        <f t="shared" ref="D104:G104" si="43">J37</f>
        <v>-0.06</v>
      </c>
      <c r="E104" s="655">
        <f t="shared" si="43"/>
        <v>0.02</v>
      </c>
      <c r="F104" s="655">
        <f t="shared" si="43"/>
        <v>0.04</v>
      </c>
      <c r="G104" s="655">
        <f t="shared" si="43"/>
        <v>0.47</v>
      </c>
      <c r="I104" s="1267"/>
      <c r="J104" s="656">
        <v>5</v>
      </c>
      <c r="K104" s="653">
        <f>I45</f>
        <v>0</v>
      </c>
      <c r="L104" s="653">
        <f t="shared" ref="L104:O104" si="44">J45</f>
        <v>0</v>
      </c>
      <c r="M104" s="653">
        <f t="shared" si="44"/>
        <v>0</v>
      </c>
      <c r="N104" s="653">
        <f t="shared" si="44"/>
        <v>0</v>
      </c>
      <c r="O104" s="653">
        <f t="shared" si="44"/>
        <v>0.28999999999999998</v>
      </c>
    </row>
    <row r="105" spans="1:17" ht="13">
      <c r="A105" s="1267"/>
      <c r="B105" s="656">
        <v>6</v>
      </c>
      <c r="C105" s="655">
        <f>P37</f>
        <v>150</v>
      </c>
      <c r="D105" s="655">
        <f t="shared" ref="D105:G105" si="45">Q37</f>
        <v>0.03</v>
      </c>
      <c r="E105" s="655">
        <f t="shared" si="45"/>
        <v>-0.15</v>
      </c>
      <c r="F105" s="655">
        <f t="shared" si="45"/>
        <v>0.09</v>
      </c>
      <c r="G105" s="655">
        <f t="shared" si="45"/>
        <v>1.2</v>
      </c>
      <c r="I105" s="1267"/>
      <c r="J105" s="656">
        <v>6</v>
      </c>
      <c r="K105" s="653">
        <f>P45</f>
        <v>0</v>
      </c>
      <c r="L105" s="653">
        <f t="shared" ref="L105:O105" si="46">Q45</f>
        <v>0</v>
      </c>
      <c r="M105" s="653">
        <f t="shared" si="46"/>
        <v>0</v>
      </c>
      <c r="N105" s="653">
        <f t="shared" si="46"/>
        <v>0</v>
      </c>
      <c r="O105" s="653">
        <f t="shared" si="46"/>
        <v>0.59</v>
      </c>
    </row>
    <row r="106" spans="1:17" ht="13">
      <c r="A106" s="1267"/>
      <c r="B106" s="656">
        <v>7</v>
      </c>
      <c r="C106" s="655">
        <f>B68</f>
        <v>150</v>
      </c>
      <c r="D106" s="655">
        <f t="shared" ref="D106:G106" si="47">C68</f>
        <v>0.21</v>
      </c>
      <c r="E106" s="655">
        <f t="shared" si="47"/>
        <v>0.21</v>
      </c>
      <c r="F106" s="655">
        <f t="shared" si="47"/>
        <v>0</v>
      </c>
      <c r="G106" s="655">
        <f t="shared" si="47"/>
        <v>1.2</v>
      </c>
      <c r="I106" s="1267"/>
      <c r="J106" s="656">
        <v>7</v>
      </c>
      <c r="K106" s="653">
        <f>B76</f>
        <v>0</v>
      </c>
      <c r="L106" s="653">
        <f t="shared" ref="L106:O106" si="48">C76</f>
        <v>0</v>
      </c>
      <c r="M106" s="653">
        <f t="shared" si="48"/>
        <v>0</v>
      </c>
      <c r="N106" s="653">
        <f t="shared" si="48"/>
        <v>0</v>
      </c>
      <c r="O106" s="653">
        <f t="shared" si="48"/>
        <v>0.59</v>
      </c>
    </row>
    <row r="107" spans="1:17" ht="13">
      <c r="A107" s="1267"/>
      <c r="B107" s="656">
        <v>8</v>
      </c>
      <c r="C107" s="655">
        <f>I68</f>
        <v>150</v>
      </c>
      <c r="D107" s="655">
        <f t="shared" ref="D107:G107" si="49">J68</f>
        <v>0</v>
      </c>
      <c r="E107" s="655">
        <f t="shared" si="49"/>
        <v>-0.17</v>
      </c>
      <c r="F107" s="655">
        <f t="shared" si="49"/>
        <v>8.5000000000000006E-2</v>
      </c>
      <c r="G107" s="655">
        <f t="shared" si="49"/>
        <v>1.2</v>
      </c>
      <c r="I107" s="1267"/>
      <c r="J107" s="656">
        <v>8</v>
      </c>
      <c r="K107" s="653">
        <f>I76</f>
        <v>0</v>
      </c>
      <c r="L107" s="653">
        <f t="shared" ref="L107:O107" si="50">J76</f>
        <v>0</v>
      </c>
      <c r="M107" s="653">
        <f t="shared" si="50"/>
        <v>0</v>
      </c>
      <c r="N107" s="653">
        <f t="shared" si="50"/>
        <v>0</v>
      </c>
      <c r="O107" s="653">
        <f t="shared" si="50"/>
        <v>0.59</v>
      </c>
    </row>
    <row r="108" spans="1:17" ht="13">
      <c r="A108" s="1267"/>
      <c r="B108" s="656">
        <v>9</v>
      </c>
      <c r="C108" s="655">
        <f>P68</f>
        <v>150</v>
      </c>
      <c r="D108" s="655">
        <f t="shared" ref="D108:G108" si="51">Q68</f>
        <v>0</v>
      </c>
      <c r="E108" s="655">
        <f t="shared" si="51"/>
        <v>-0.24</v>
      </c>
      <c r="F108" s="655">
        <f t="shared" si="51"/>
        <v>0.12</v>
      </c>
      <c r="G108" s="655">
        <f t="shared" si="51"/>
        <v>1.2</v>
      </c>
      <c r="I108" s="1267"/>
      <c r="J108" s="656">
        <v>9</v>
      </c>
      <c r="K108" s="653">
        <f>P76</f>
        <v>0</v>
      </c>
      <c r="L108" s="653">
        <f t="shared" ref="L108:O108" si="52">Q76</f>
        <v>0</v>
      </c>
      <c r="M108" s="653">
        <f t="shared" si="52"/>
        <v>0</v>
      </c>
      <c r="N108" s="653">
        <f t="shared" si="52"/>
        <v>0</v>
      </c>
      <c r="O108" s="653">
        <f t="shared" si="52"/>
        <v>0.59</v>
      </c>
    </row>
    <row r="109" spans="1:17" ht="14">
      <c r="A109" s="1267" t="s">
        <v>50</v>
      </c>
      <c r="B109" s="651">
        <v>1</v>
      </c>
      <c r="C109" s="652">
        <f>B7</f>
        <v>180</v>
      </c>
      <c r="D109" s="652">
        <f t="shared" ref="D109:G109" si="53">C7</f>
        <v>-0.13</v>
      </c>
      <c r="E109" s="652">
        <f t="shared" si="53"/>
        <v>0.1</v>
      </c>
      <c r="F109" s="652">
        <f t="shared" si="53"/>
        <v>0.115</v>
      </c>
      <c r="G109" s="652">
        <f t="shared" si="53"/>
        <v>0.47</v>
      </c>
      <c r="I109" s="1267" t="s">
        <v>50</v>
      </c>
      <c r="J109" s="651">
        <v>1</v>
      </c>
      <c r="K109" s="657">
        <f>B15</f>
        <v>50</v>
      </c>
      <c r="L109" s="657">
        <f t="shared" ref="L109:O109" si="54">C15</f>
        <v>-0.06</v>
      </c>
      <c r="M109" s="657">
        <f t="shared" si="54"/>
        <v>0.1</v>
      </c>
      <c r="N109" s="657">
        <f t="shared" si="54"/>
        <v>0.08</v>
      </c>
      <c r="O109" s="657">
        <f t="shared" si="54"/>
        <v>0.28999999999999998</v>
      </c>
    </row>
    <row r="110" spans="1:17" ht="14">
      <c r="A110" s="1267"/>
      <c r="B110" s="654">
        <v>2</v>
      </c>
      <c r="C110" s="657">
        <f>I7</f>
        <v>180</v>
      </c>
      <c r="D110" s="657">
        <f t="shared" ref="D110:G110" si="55">J7</f>
        <v>-0.06</v>
      </c>
      <c r="E110" s="658">
        <f t="shared" si="55"/>
        <v>0.12</v>
      </c>
      <c r="F110" s="657">
        <f t="shared" si="55"/>
        <v>0.09</v>
      </c>
      <c r="G110" s="657">
        <f t="shared" si="55"/>
        <v>0.47</v>
      </c>
      <c r="I110" s="1267"/>
      <c r="J110" s="654">
        <v>2</v>
      </c>
      <c r="K110" s="657">
        <f>I15</f>
        <v>50</v>
      </c>
      <c r="L110" s="657">
        <f t="shared" ref="L110:O110" si="56">J15</f>
        <v>0.1</v>
      </c>
      <c r="M110" s="658">
        <f t="shared" si="56"/>
        <v>0.1</v>
      </c>
      <c r="N110" s="657">
        <f t="shared" si="56"/>
        <v>0</v>
      </c>
      <c r="O110" s="657">
        <f t="shared" si="56"/>
        <v>0.28999999999999998</v>
      </c>
    </row>
    <row r="111" spans="1:17">
      <c r="A111" s="1267"/>
      <c r="B111" s="656">
        <v>3</v>
      </c>
      <c r="C111" s="657">
        <f>P7</f>
        <v>180</v>
      </c>
      <c r="D111" s="657">
        <f t="shared" ref="D111:G111" si="57">Q7</f>
        <v>-0.3</v>
      </c>
      <c r="E111" s="657">
        <f t="shared" si="57"/>
        <v>-0.13</v>
      </c>
      <c r="F111" s="657">
        <f t="shared" si="57"/>
        <v>8.4999999999999992E-2</v>
      </c>
      <c r="G111" s="657">
        <f t="shared" si="57"/>
        <v>1.2</v>
      </c>
      <c r="I111" s="1267"/>
      <c r="J111" s="656">
        <v>3</v>
      </c>
      <c r="K111" s="657">
        <f>P15</f>
        <v>50</v>
      </c>
      <c r="L111" s="657">
        <f t="shared" ref="L111:O111" si="58">Q15</f>
        <v>0.4</v>
      </c>
      <c r="M111" s="657">
        <f t="shared" si="58"/>
        <v>2</v>
      </c>
      <c r="N111" s="657">
        <f t="shared" si="58"/>
        <v>0.8</v>
      </c>
      <c r="O111" s="657">
        <f t="shared" si="58"/>
        <v>0.59</v>
      </c>
    </row>
    <row r="112" spans="1:17">
      <c r="A112" s="1267"/>
      <c r="B112" s="656">
        <v>4</v>
      </c>
      <c r="C112" s="657">
        <f>B38</f>
        <v>180</v>
      </c>
      <c r="D112" s="657">
        <f t="shared" ref="D112:G112" si="59">C38</f>
        <v>-0.09</v>
      </c>
      <c r="E112" s="657">
        <f t="shared" si="59"/>
        <v>0.03</v>
      </c>
      <c r="F112" s="657">
        <f t="shared" si="59"/>
        <v>0.06</v>
      </c>
      <c r="G112" s="657">
        <f t="shared" si="59"/>
        <v>0.47</v>
      </c>
      <c r="I112" s="1267"/>
      <c r="J112" s="656">
        <v>4</v>
      </c>
      <c r="K112" s="657">
        <f>B46</f>
        <v>50</v>
      </c>
      <c r="L112" s="657">
        <f t="shared" ref="L112:O112" si="60">C46</f>
        <v>-0.1</v>
      </c>
      <c r="M112" s="657">
        <f t="shared" si="60"/>
        <v>0.2</v>
      </c>
      <c r="N112" s="657">
        <f t="shared" si="60"/>
        <v>0.15000000000000002</v>
      </c>
      <c r="O112" s="657">
        <f t="shared" si="60"/>
        <v>0.28999999999999998</v>
      </c>
    </row>
    <row r="113" spans="1:15">
      <c r="A113" s="1267"/>
      <c r="B113" s="656">
        <v>5</v>
      </c>
      <c r="C113" s="657">
        <f>I38</f>
        <v>180</v>
      </c>
      <c r="D113" s="657">
        <f t="shared" ref="D113:G113" si="61">J38</f>
        <v>-0.11</v>
      </c>
      <c r="E113" s="657">
        <f t="shared" si="61"/>
        <v>0.1</v>
      </c>
      <c r="F113" s="657">
        <f t="shared" si="61"/>
        <v>0.10500000000000001</v>
      </c>
      <c r="G113" s="657">
        <f t="shared" si="61"/>
        <v>0.47</v>
      </c>
      <c r="I113" s="1267"/>
      <c r="J113" s="656">
        <v>5</v>
      </c>
      <c r="K113" s="657">
        <f>I46</f>
        <v>50</v>
      </c>
      <c r="L113" s="657">
        <f t="shared" ref="L113:O113" si="62">J46</f>
        <v>4.7</v>
      </c>
      <c r="M113" s="657">
        <f t="shared" si="62"/>
        <v>-0.33</v>
      </c>
      <c r="N113" s="657">
        <f t="shared" si="62"/>
        <v>2.5150000000000001</v>
      </c>
      <c r="O113" s="657">
        <f t="shared" si="62"/>
        <v>0.28999999999999998</v>
      </c>
    </row>
    <row r="114" spans="1:15">
      <c r="A114" s="1267"/>
      <c r="B114" s="656">
        <v>6</v>
      </c>
      <c r="C114" s="657">
        <f>P38</f>
        <v>180</v>
      </c>
      <c r="D114" s="657">
        <f t="shared" ref="D114:G114" si="63">Q38</f>
        <v>0</v>
      </c>
      <c r="E114" s="657">
        <f t="shared" si="63"/>
        <v>-0.11</v>
      </c>
      <c r="F114" s="657">
        <f t="shared" si="63"/>
        <v>5.5E-2</v>
      </c>
      <c r="G114" s="657">
        <f t="shared" si="63"/>
        <v>1.2</v>
      </c>
      <c r="I114" s="1267"/>
      <c r="J114" s="656">
        <v>6</v>
      </c>
      <c r="K114" s="657">
        <f>P46</f>
        <v>50</v>
      </c>
      <c r="L114" s="657">
        <f t="shared" ref="L114:O114" si="64">Q46</f>
        <v>2.1</v>
      </c>
      <c r="M114" s="657">
        <f t="shared" si="64"/>
        <v>2.6</v>
      </c>
      <c r="N114" s="657">
        <f t="shared" si="64"/>
        <v>0.25</v>
      </c>
      <c r="O114" s="657">
        <f t="shared" si="64"/>
        <v>0.59</v>
      </c>
    </row>
    <row r="115" spans="1:15">
      <c r="A115" s="1267"/>
      <c r="B115" s="656">
        <v>7</v>
      </c>
      <c r="C115" s="657">
        <f>B69</f>
        <v>180</v>
      </c>
      <c r="D115" s="657">
        <f t="shared" ref="D115:G115" si="65">C69</f>
        <v>0.33</v>
      </c>
      <c r="E115" s="657">
        <f t="shared" si="65"/>
        <v>0.33</v>
      </c>
      <c r="F115" s="657">
        <f t="shared" si="65"/>
        <v>0</v>
      </c>
      <c r="G115" s="657">
        <f t="shared" si="65"/>
        <v>1.2</v>
      </c>
      <c r="I115" s="1267"/>
      <c r="J115" s="656">
        <v>7</v>
      </c>
      <c r="K115" s="657">
        <f>B77</f>
        <v>50</v>
      </c>
      <c r="L115" s="657">
        <f t="shared" ref="L115:O115" si="66">C77</f>
        <v>1.7</v>
      </c>
      <c r="M115" s="657">
        <f t="shared" si="66"/>
        <v>1.7</v>
      </c>
      <c r="N115" s="657">
        <f t="shared" si="66"/>
        <v>0</v>
      </c>
      <c r="O115" s="657">
        <f t="shared" si="66"/>
        <v>0.59</v>
      </c>
    </row>
    <row r="116" spans="1:15">
      <c r="A116" s="1267"/>
      <c r="B116" s="656">
        <v>8</v>
      </c>
      <c r="C116" s="657">
        <f>I69</f>
        <v>180</v>
      </c>
      <c r="D116" s="657">
        <f t="shared" ref="D116:G116" si="67">J69</f>
        <v>0</v>
      </c>
      <c r="E116" s="657">
        <f t="shared" si="67"/>
        <v>-0.22</v>
      </c>
      <c r="F116" s="657">
        <f t="shared" si="67"/>
        <v>0.11</v>
      </c>
      <c r="G116" s="657">
        <f t="shared" si="67"/>
        <v>1.2</v>
      </c>
      <c r="I116" s="1267"/>
      <c r="J116" s="656">
        <v>8</v>
      </c>
      <c r="K116" s="657">
        <f>I77</f>
        <v>50</v>
      </c>
      <c r="L116" s="657">
        <f t="shared" ref="L116:O116" si="68">J77</f>
        <v>0</v>
      </c>
      <c r="M116" s="657">
        <f t="shared" si="68"/>
        <v>1.7</v>
      </c>
      <c r="N116" s="657">
        <f t="shared" si="68"/>
        <v>0.85</v>
      </c>
      <c r="O116" s="657">
        <f t="shared" si="68"/>
        <v>0.59</v>
      </c>
    </row>
    <row r="117" spans="1:15">
      <c r="A117" s="1267"/>
      <c r="B117" s="656">
        <v>9</v>
      </c>
      <c r="C117" s="657">
        <f>P69</f>
        <v>180</v>
      </c>
      <c r="D117" s="657">
        <f t="shared" ref="D117:G117" si="69">Q69</f>
        <v>0</v>
      </c>
      <c r="E117" s="657">
        <f t="shared" si="69"/>
        <v>-0.14000000000000001</v>
      </c>
      <c r="F117" s="657">
        <f t="shared" si="69"/>
        <v>7.0000000000000007E-2</v>
      </c>
      <c r="G117" s="657">
        <f t="shared" si="69"/>
        <v>1.2</v>
      </c>
      <c r="I117" s="1267"/>
      <c r="J117" s="656">
        <v>9</v>
      </c>
      <c r="K117" s="657">
        <f>P77</f>
        <v>50</v>
      </c>
      <c r="L117" s="657">
        <f t="shared" ref="L117:O117" si="70">Q77</f>
        <v>0</v>
      </c>
      <c r="M117" s="657">
        <f t="shared" si="70"/>
        <v>2.1</v>
      </c>
      <c r="N117" s="657">
        <f t="shared" si="70"/>
        <v>1.05</v>
      </c>
      <c r="O117" s="657">
        <f t="shared" si="70"/>
        <v>0.59</v>
      </c>
    </row>
    <row r="118" spans="1:15" ht="14">
      <c r="A118" s="1267" t="s">
        <v>51</v>
      </c>
      <c r="B118" s="651">
        <v>1</v>
      </c>
      <c r="C118" s="652">
        <f>B8</f>
        <v>200</v>
      </c>
      <c r="D118" s="652">
        <f t="shared" ref="D118:G118" si="71">C8</f>
        <v>-0.16</v>
      </c>
      <c r="E118" s="652">
        <f t="shared" si="71"/>
        <v>-0.04</v>
      </c>
      <c r="F118" s="652">
        <f t="shared" si="71"/>
        <v>0.06</v>
      </c>
      <c r="G118" s="652">
        <f t="shared" si="71"/>
        <v>0.47</v>
      </c>
      <c r="I118" s="1267" t="s">
        <v>51</v>
      </c>
      <c r="J118" s="651">
        <v>1</v>
      </c>
      <c r="K118" s="657">
        <f>B16</f>
        <v>100</v>
      </c>
      <c r="L118" s="657">
        <f t="shared" ref="L118:O118" si="72">C16</f>
        <v>-0.06</v>
      </c>
      <c r="M118" s="657">
        <f t="shared" si="72"/>
        <v>0.2</v>
      </c>
      <c r="N118" s="657">
        <f t="shared" si="72"/>
        <v>0.13</v>
      </c>
      <c r="O118" s="657">
        <f t="shared" si="72"/>
        <v>0.28999999999999998</v>
      </c>
    </row>
    <row r="119" spans="1:15" ht="14">
      <c r="A119" s="1267"/>
      <c r="B119" s="654">
        <v>2</v>
      </c>
      <c r="C119" s="652">
        <f>I8</f>
        <v>200</v>
      </c>
      <c r="D119" s="652">
        <f t="shared" ref="D119:G119" si="73">J8</f>
        <v>-0.18</v>
      </c>
      <c r="E119" s="652">
        <f t="shared" si="73"/>
        <v>0.06</v>
      </c>
      <c r="F119" s="652">
        <f t="shared" si="73"/>
        <v>0.12</v>
      </c>
      <c r="G119" s="652">
        <f t="shared" si="73"/>
        <v>0.47</v>
      </c>
      <c r="I119" s="1267"/>
      <c r="J119" s="654">
        <v>2</v>
      </c>
      <c r="K119" s="657">
        <f>I16</f>
        <v>100</v>
      </c>
      <c r="L119" s="657">
        <f t="shared" ref="L119:O119" si="74">J16</f>
        <v>2.2000000000000002</v>
      </c>
      <c r="M119" s="657">
        <f t="shared" si="74"/>
        <v>0.4</v>
      </c>
      <c r="N119" s="657">
        <f t="shared" si="74"/>
        <v>0.90000000000000013</v>
      </c>
      <c r="O119" s="657">
        <f t="shared" si="74"/>
        <v>0.28999999999999998</v>
      </c>
    </row>
    <row r="120" spans="1:15">
      <c r="A120" s="1267"/>
      <c r="B120" s="656">
        <v>3</v>
      </c>
      <c r="C120" s="657">
        <f>P8</f>
        <v>200</v>
      </c>
      <c r="D120" s="657">
        <f t="shared" ref="D120:G120" si="75">Q8</f>
        <v>-0.24</v>
      </c>
      <c r="E120" s="657">
        <f t="shared" si="75"/>
        <v>-0.26</v>
      </c>
      <c r="F120" s="657">
        <f t="shared" si="75"/>
        <v>1.0000000000000009E-2</v>
      </c>
      <c r="G120" s="657">
        <f t="shared" si="75"/>
        <v>1.2</v>
      </c>
      <c r="I120" s="1267"/>
      <c r="J120" s="656">
        <v>3</v>
      </c>
      <c r="K120" s="657">
        <f>P16</f>
        <v>100</v>
      </c>
      <c r="L120" s="657">
        <f t="shared" ref="L120:O120" si="76">Q16</f>
        <v>0.4</v>
      </c>
      <c r="M120" s="657">
        <f t="shared" si="76"/>
        <v>2</v>
      </c>
      <c r="N120" s="657">
        <f t="shared" si="76"/>
        <v>0.8</v>
      </c>
      <c r="O120" s="657">
        <f t="shared" si="76"/>
        <v>0.59</v>
      </c>
    </row>
    <row r="121" spans="1:15">
      <c r="A121" s="1267"/>
      <c r="B121" s="656">
        <v>4</v>
      </c>
      <c r="C121" s="657">
        <f>B39</f>
        <v>200</v>
      </c>
      <c r="D121" s="657">
        <f t="shared" ref="D121:G121" si="77">C39</f>
        <v>-0.14000000000000001</v>
      </c>
      <c r="E121" s="657">
        <f t="shared" si="77"/>
        <v>0.05</v>
      </c>
      <c r="F121" s="657">
        <f t="shared" si="77"/>
        <v>9.5000000000000001E-2</v>
      </c>
      <c r="G121" s="657">
        <f t="shared" si="77"/>
        <v>0.47</v>
      </c>
      <c r="I121" s="1267"/>
      <c r="J121" s="656">
        <v>4</v>
      </c>
      <c r="K121" s="657">
        <f>B47</f>
        <v>100</v>
      </c>
      <c r="L121" s="657">
        <f t="shared" ref="L121:O121" si="78">C47</f>
        <v>-0.1</v>
      </c>
      <c r="M121" s="657">
        <f t="shared" si="78"/>
        <v>0.3</v>
      </c>
      <c r="N121" s="657">
        <f t="shared" si="78"/>
        <v>0.2</v>
      </c>
      <c r="O121" s="657">
        <f t="shared" si="78"/>
        <v>0.28999999999999998</v>
      </c>
    </row>
    <row r="122" spans="1:15">
      <c r="A122" s="1267"/>
      <c r="B122" s="656">
        <v>5</v>
      </c>
      <c r="C122" s="657">
        <f>I39</f>
        <v>200</v>
      </c>
      <c r="D122" s="657">
        <f t="shared" ref="D122:G122" si="79">J39</f>
        <v>-0.17</v>
      </c>
      <c r="E122" s="657">
        <f t="shared" si="79"/>
        <v>-0.03</v>
      </c>
      <c r="F122" s="657">
        <f t="shared" si="79"/>
        <v>7.0000000000000007E-2</v>
      </c>
      <c r="G122" s="657">
        <f t="shared" si="79"/>
        <v>0.47</v>
      </c>
      <c r="I122" s="1267"/>
      <c r="J122" s="656">
        <v>5</v>
      </c>
      <c r="K122" s="657">
        <f>I47</f>
        <v>100</v>
      </c>
      <c r="L122" s="657">
        <f t="shared" ref="L122:O122" si="80">J47</f>
        <v>4.4000000000000004</v>
      </c>
      <c r="M122" s="657">
        <f t="shared" si="80"/>
        <v>-0.42</v>
      </c>
      <c r="N122" s="657">
        <f t="shared" si="80"/>
        <v>2.41</v>
      </c>
      <c r="O122" s="657">
        <f t="shared" si="80"/>
        <v>0.28999999999999998</v>
      </c>
    </row>
    <row r="123" spans="1:15">
      <c r="A123" s="1267"/>
      <c r="B123" s="656">
        <v>6</v>
      </c>
      <c r="C123" s="657">
        <f>P39</f>
        <v>200</v>
      </c>
      <c r="D123" s="657">
        <f t="shared" ref="D123:G123" si="81">Q39</f>
        <v>0.05</v>
      </c>
      <c r="E123" s="657">
        <f t="shared" si="81"/>
        <v>-0.1</v>
      </c>
      <c r="F123" s="657">
        <f t="shared" si="81"/>
        <v>7.5000000000000011E-2</v>
      </c>
      <c r="G123" s="657">
        <f t="shared" si="81"/>
        <v>1.2</v>
      </c>
      <c r="I123" s="1267"/>
      <c r="J123" s="656">
        <v>6</v>
      </c>
      <c r="K123" s="657">
        <f>P47</f>
        <v>100</v>
      </c>
      <c r="L123" s="657">
        <f t="shared" ref="L123:O123" si="82">Q47</f>
        <v>2.2999999999999998</v>
      </c>
      <c r="M123" s="657">
        <f t="shared" si="82"/>
        <v>2.6</v>
      </c>
      <c r="N123" s="657">
        <f t="shared" si="82"/>
        <v>0.15000000000000013</v>
      </c>
      <c r="O123" s="657">
        <f t="shared" si="82"/>
        <v>0.59</v>
      </c>
    </row>
    <row r="124" spans="1:15">
      <c r="A124" s="1267"/>
      <c r="B124" s="656">
        <v>7</v>
      </c>
      <c r="C124" s="657">
        <f>B70</f>
        <v>200</v>
      </c>
      <c r="D124" s="657">
        <f t="shared" ref="D124:G124" si="83">C70</f>
        <v>0.34</v>
      </c>
      <c r="E124" s="657">
        <f t="shared" si="83"/>
        <v>0.34</v>
      </c>
      <c r="F124" s="657">
        <f t="shared" si="83"/>
        <v>0</v>
      </c>
      <c r="G124" s="657">
        <f t="shared" si="83"/>
        <v>1.2</v>
      </c>
      <c r="I124" s="1267"/>
      <c r="J124" s="656">
        <v>7</v>
      </c>
      <c r="K124" s="657">
        <f>B78</f>
        <v>100</v>
      </c>
      <c r="L124" s="657">
        <f t="shared" ref="L124:O124" si="84">C78</f>
        <v>1.7</v>
      </c>
      <c r="M124" s="657">
        <f t="shared" si="84"/>
        <v>1.7</v>
      </c>
      <c r="N124" s="657">
        <f t="shared" si="84"/>
        <v>0</v>
      </c>
      <c r="O124" s="657">
        <f t="shared" si="84"/>
        <v>0.59</v>
      </c>
    </row>
    <row r="125" spans="1:15">
      <c r="A125" s="1267"/>
      <c r="B125" s="656">
        <v>8</v>
      </c>
      <c r="C125" s="657">
        <f>I70</f>
        <v>200</v>
      </c>
      <c r="D125" s="657">
        <f t="shared" ref="D125:G125" si="85">J70</f>
        <v>0</v>
      </c>
      <c r="E125" s="657">
        <f t="shared" si="85"/>
        <v>-0.33</v>
      </c>
      <c r="F125" s="657">
        <f t="shared" si="85"/>
        <v>0.16500000000000001</v>
      </c>
      <c r="G125" s="657">
        <f t="shared" si="85"/>
        <v>1.2</v>
      </c>
      <c r="I125" s="1267"/>
      <c r="J125" s="656">
        <v>8</v>
      </c>
      <c r="K125" s="657">
        <f>I78</f>
        <v>100</v>
      </c>
      <c r="L125" s="657">
        <f t="shared" ref="L125:O125" si="86">J78</f>
        <v>0</v>
      </c>
      <c r="M125" s="657">
        <f t="shared" si="86"/>
        <v>3.4</v>
      </c>
      <c r="N125" s="657">
        <f t="shared" si="86"/>
        <v>1.7</v>
      </c>
      <c r="O125" s="657">
        <f t="shared" si="86"/>
        <v>0.59</v>
      </c>
    </row>
    <row r="126" spans="1:15">
      <c r="A126" s="1267"/>
      <c r="B126" s="656">
        <v>9</v>
      </c>
      <c r="C126" s="657">
        <f>P70</f>
        <v>200</v>
      </c>
      <c r="D126" s="657">
        <f t="shared" ref="D126:G126" si="87">Q70</f>
        <v>0</v>
      </c>
      <c r="E126" s="657">
        <f t="shared" si="87"/>
        <v>-0.33</v>
      </c>
      <c r="F126" s="657">
        <f t="shared" si="87"/>
        <v>0.16500000000000001</v>
      </c>
      <c r="G126" s="657">
        <f t="shared" si="87"/>
        <v>1.2</v>
      </c>
      <c r="I126" s="1267"/>
      <c r="J126" s="656">
        <v>9</v>
      </c>
      <c r="K126" s="657">
        <f>P78</f>
        <v>100</v>
      </c>
      <c r="L126" s="657">
        <f t="shared" ref="L126:O126" si="88">Q78</f>
        <v>0</v>
      </c>
      <c r="M126" s="657">
        <f t="shared" si="88"/>
        <v>3.7</v>
      </c>
      <c r="N126" s="657">
        <f t="shared" si="88"/>
        <v>1.85</v>
      </c>
      <c r="O126" s="657">
        <f t="shared" si="88"/>
        <v>0.59</v>
      </c>
    </row>
    <row r="127" spans="1:15" ht="14">
      <c r="A127" s="1267" t="s">
        <v>648</v>
      </c>
      <c r="B127" s="651">
        <v>1</v>
      </c>
      <c r="C127" s="652">
        <f>B9</f>
        <v>220</v>
      </c>
      <c r="D127" s="652">
        <f t="shared" ref="D127:G127" si="89">C9</f>
        <v>-0.18</v>
      </c>
      <c r="E127" s="652">
        <f t="shared" si="89"/>
        <v>-0.28000000000000003</v>
      </c>
      <c r="F127" s="652">
        <f t="shared" si="89"/>
        <v>5.0000000000000017E-2</v>
      </c>
      <c r="G127" s="652">
        <f t="shared" si="89"/>
        <v>0.47</v>
      </c>
      <c r="I127" s="1267" t="s">
        <v>648</v>
      </c>
      <c r="J127" s="651">
        <v>1</v>
      </c>
      <c r="K127" s="657">
        <f>B17</f>
        <v>200</v>
      </c>
      <c r="L127" s="657">
        <f t="shared" ref="L127:O127" si="90">C17</f>
        <v>0</v>
      </c>
      <c r="M127" s="657">
        <f t="shared" si="90"/>
        <v>0.4</v>
      </c>
      <c r="N127" s="657">
        <f t="shared" si="90"/>
        <v>0.2</v>
      </c>
      <c r="O127" s="657">
        <f t="shared" si="90"/>
        <v>0.28999999999999998</v>
      </c>
    </row>
    <row r="128" spans="1:15" ht="14">
      <c r="A128" s="1267"/>
      <c r="B128" s="654">
        <v>2</v>
      </c>
      <c r="C128" s="657">
        <f>I9</f>
        <v>220</v>
      </c>
      <c r="D128" s="657">
        <f t="shared" ref="D128:G128" si="91">J9</f>
        <v>-0.03</v>
      </c>
      <c r="E128" s="657">
        <f t="shared" si="91"/>
        <v>0.05</v>
      </c>
      <c r="F128" s="657">
        <f t="shared" si="91"/>
        <v>0.04</v>
      </c>
      <c r="G128" s="657">
        <f t="shared" si="91"/>
        <v>0.47</v>
      </c>
      <c r="I128" s="1267"/>
      <c r="J128" s="654">
        <v>2</v>
      </c>
      <c r="K128" s="657">
        <f>I17</f>
        <v>200</v>
      </c>
      <c r="L128" s="657">
        <f t="shared" ref="L128:O128" si="92">J17</f>
        <v>3.3</v>
      </c>
      <c r="M128" s="657">
        <f t="shared" si="92"/>
        <v>0.7</v>
      </c>
      <c r="N128" s="657">
        <f t="shared" si="92"/>
        <v>1.2999999999999998</v>
      </c>
      <c r="O128" s="657">
        <f t="shared" si="92"/>
        <v>0.28999999999999998</v>
      </c>
    </row>
    <row r="129" spans="1:15">
      <c r="A129" s="1267"/>
      <c r="B129" s="656">
        <v>3</v>
      </c>
      <c r="C129" s="657">
        <f>P9</f>
        <v>220</v>
      </c>
      <c r="D129" s="657">
        <f t="shared" ref="D129:G129" si="93">Q9</f>
        <v>-0.28000000000000003</v>
      </c>
      <c r="E129" s="657">
        <f t="shared" si="93"/>
        <v>-0.28999999999999998</v>
      </c>
      <c r="F129" s="657">
        <f t="shared" si="93"/>
        <v>4.9999999999999767E-3</v>
      </c>
      <c r="G129" s="657">
        <f t="shared" si="93"/>
        <v>1.2</v>
      </c>
      <c r="I129" s="1267"/>
      <c r="J129" s="656">
        <v>3</v>
      </c>
      <c r="K129" s="657">
        <f>P17</f>
        <v>200</v>
      </c>
      <c r="L129" s="657">
        <f t="shared" ref="L129:O129" si="94">Q17</f>
        <v>1.3</v>
      </c>
      <c r="M129" s="657">
        <f t="shared" si="94"/>
        <v>3.6</v>
      </c>
      <c r="N129" s="657">
        <f t="shared" si="94"/>
        <v>1.1499999999999999</v>
      </c>
      <c r="O129" s="657">
        <f t="shared" si="94"/>
        <v>0.59</v>
      </c>
    </row>
    <row r="130" spans="1:15">
      <c r="A130" s="1267"/>
      <c r="B130" s="656">
        <v>4</v>
      </c>
      <c r="C130" s="657">
        <f>B40</f>
        <v>220</v>
      </c>
      <c r="D130" s="657">
        <f t="shared" ref="D130:G130" si="95">C40</f>
        <v>-0.19</v>
      </c>
      <c r="E130" s="657">
        <f t="shared" si="95"/>
        <v>0.1</v>
      </c>
      <c r="F130" s="657">
        <f t="shared" si="95"/>
        <v>0.14500000000000002</v>
      </c>
      <c r="G130" s="657">
        <f t="shared" si="95"/>
        <v>0.47</v>
      </c>
      <c r="I130" s="1267"/>
      <c r="J130" s="656">
        <v>4</v>
      </c>
      <c r="K130" s="657">
        <f>B48</f>
        <v>200</v>
      </c>
      <c r="L130" s="657">
        <f t="shared" ref="L130:O130" si="96">C48</f>
        <v>1.1000000000000001</v>
      </c>
      <c r="M130" s="657">
        <f t="shared" si="96"/>
        <v>1.4</v>
      </c>
      <c r="N130" s="657">
        <f t="shared" si="96"/>
        <v>0.14999999999999991</v>
      </c>
      <c r="O130" s="657">
        <f t="shared" si="96"/>
        <v>0.28999999999999998</v>
      </c>
    </row>
    <row r="131" spans="1:15">
      <c r="A131" s="1267"/>
      <c r="B131" s="656">
        <v>5</v>
      </c>
      <c r="C131" s="657">
        <f>I40</f>
        <v>220</v>
      </c>
      <c r="D131" s="657">
        <f t="shared" ref="D131:G131" si="97">J40</f>
        <v>-0.25</v>
      </c>
      <c r="E131" s="657">
        <f t="shared" si="97"/>
        <v>0.38</v>
      </c>
      <c r="F131" s="657">
        <f t="shared" si="97"/>
        <v>0.315</v>
      </c>
      <c r="G131" s="657">
        <f t="shared" si="97"/>
        <v>0.47</v>
      </c>
      <c r="I131" s="1267"/>
      <c r="J131" s="656">
        <v>5</v>
      </c>
      <c r="K131" s="657">
        <f>I48</f>
        <v>200</v>
      </c>
      <c r="L131" s="657">
        <f t="shared" ref="L131:O131" si="98">J48</f>
        <v>15.6</v>
      </c>
      <c r="M131" s="657">
        <f t="shared" si="98"/>
        <v>1.3</v>
      </c>
      <c r="N131" s="657">
        <f t="shared" si="98"/>
        <v>7.1499999999999995</v>
      </c>
      <c r="O131" s="657">
        <f t="shared" si="98"/>
        <v>0.28999999999999998</v>
      </c>
    </row>
    <row r="132" spans="1:15">
      <c r="A132" s="1267"/>
      <c r="B132" s="656">
        <v>6</v>
      </c>
      <c r="C132" s="657">
        <f>P40</f>
        <v>220</v>
      </c>
      <c r="D132" s="657">
        <f t="shared" ref="D132:G132" si="99">Q40</f>
        <v>0.05</v>
      </c>
      <c r="E132" s="657">
        <f t="shared" si="99"/>
        <v>-0.13</v>
      </c>
      <c r="F132" s="657">
        <f t="shared" si="99"/>
        <v>0.09</v>
      </c>
      <c r="G132" s="657">
        <f t="shared" si="99"/>
        <v>1.2</v>
      </c>
      <c r="I132" s="1267"/>
      <c r="J132" s="656">
        <v>6</v>
      </c>
      <c r="K132" s="657">
        <f>P48</f>
        <v>200</v>
      </c>
      <c r="L132" s="657">
        <f t="shared" ref="L132:O132" si="100">Q48</f>
        <v>0.2</v>
      </c>
      <c r="M132" s="657">
        <f t="shared" si="100"/>
        <v>3.1</v>
      </c>
      <c r="N132" s="657">
        <f t="shared" si="100"/>
        <v>1.45</v>
      </c>
      <c r="O132" s="657">
        <f t="shared" si="100"/>
        <v>0.59</v>
      </c>
    </row>
    <row r="133" spans="1:15">
      <c r="A133" s="1267"/>
      <c r="B133" s="656">
        <v>7</v>
      </c>
      <c r="C133" s="657">
        <f>B71</f>
        <v>220</v>
      </c>
      <c r="D133" s="657">
        <f t="shared" ref="D133:G133" si="101">C71</f>
        <v>0.37</v>
      </c>
      <c r="E133" s="657">
        <f t="shared" si="101"/>
        <v>0.37</v>
      </c>
      <c r="F133" s="657">
        <f t="shared" si="101"/>
        <v>0</v>
      </c>
      <c r="G133" s="657">
        <f t="shared" si="101"/>
        <v>1.2</v>
      </c>
      <c r="I133" s="1267"/>
      <c r="J133" s="656">
        <v>7</v>
      </c>
      <c r="K133" s="657">
        <f>B79</f>
        <v>200</v>
      </c>
      <c r="L133" s="657">
        <f t="shared" ref="L133:O133" si="102">C79</f>
        <v>0.4</v>
      </c>
      <c r="M133" s="657">
        <f t="shared" si="102"/>
        <v>0.4</v>
      </c>
      <c r="N133" s="657">
        <f t="shared" si="102"/>
        <v>0</v>
      </c>
      <c r="O133" s="657">
        <f t="shared" si="102"/>
        <v>0.59</v>
      </c>
    </row>
    <row r="134" spans="1:15">
      <c r="A134" s="1267"/>
      <c r="B134" s="656">
        <v>8</v>
      </c>
      <c r="C134" s="657">
        <f>I71</f>
        <v>220</v>
      </c>
      <c r="D134" s="657">
        <f t="shared" ref="D134:G134" si="103">J71</f>
        <v>0</v>
      </c>
      <c r="E134" s="657">
        <f t="shared" si="103"/>
        <v>-0.39</v>
      </c>
      <c r="F134" s="657">
        <f t="shared" si="103"/>
        <v>0.19500000000000001</v>
      </c>
      <c r="G134" s="657">
        <f t="shared" si="103"/>
        <v>1.2</v>
      </c>
      <c r="I134" s="1267"/>
      <c r="J134" s="656">
        <v>8</v>
      </c>
      <c r="K134" s="657">
        <f>I79</f>
        <v>500</v>
      </c>
      <c r="L134" s="657">
        <f t="shared" ref="L134:O134" si="104">J79</f>
        <v>0</v>
      </c>
      <c r="M134" s="657">
        <f t="shared" si="104"/>
        <v>7.2</v>
      </c>
      <c r="N134" s="657">
        <f t="shared" si="104"/>
        <v>3.6</v>
      </c>
      <c r="O134" s="657">
        <f t="shared" si="104"/>
        <v>0.59</v>
      </c>
    </row>
    <row r="135" spans="1:15">
      <c r="A135" s="1267"/>
      <c r="B135" s="656">
        <v>9</v>
      </c>
      <c r="C135" s="657">
        <f>P71</f>
        <v>220</v>
      </c>
      <c r="D135" s="657">
        <f t="shared" ref="D135:G135" si="105">Q71</f>
        <v>0</v>
      </c>
      <c r="E135" s="657">
        <f t="shared" si="105"/>
        <v>-0.45</v>
      </c>
      <c r="F135" s="657">
        <f t="shared" si="105"/>
        <v>0.22500000000000001</v>
      </c>
      <c r="G135" s="657">
        <f t="shared" si="105"/>
        <v>1.2</v>
      </c>
      <c r="I135" s="1267"/>
      <c r="J135" s="656">
        <v>9</v>
      </c>
      <c r="K135" s="657">
        <f>P79</f>
        <v>500</v>
      </c>
      <c r="L135" s="657">
        <f t="shared" ref="L135:O135" si="106">Q79</f>
        <v>0</v>
      </c>
      <c r="M135" s="657">
        <f t="shared" si="106"/>
        <v>8.3000000000000007</v>
      </c>
      <c r="N135" s="657">
        <f t="shared" si="106"/>
        <v>4.1500000000000004</v>
      </c>
      <c r="O135" s="657">
        <f t="shared" si="106"/>
        <v>0.59</v>
      </c>
    </row>
    <row r="136" spans="1:15" ht="14">
      <c r="A136" s="1267" t="s">
        <v>649</v>
      </c>
      <c r="B136" s="651">
        <v>1</v>
      </c>
      <c r="C136" s="652">
        <f>B10</f>
        <v>230</v>
      </c>
      <c r="D136" s="652">
        <f t="shared" ref="D136:G136" si="107">C10</f>
        <v>-0.26</v>
      </c>
      <c r="E136" s="652">
        <f t="shared" si="107"/>
        <v>-0.2</v>
      </c>
      <c r="F136" s="652">
        <f t="shared" si="107"/>
        <v>0.03</v>
      </c>
      <c r="G136" s="652">
        <f t="shared" si="107"/>
        <v>0.47</v>
      </c>
      <c r="I136" s="1267" t="s">
        <v>649</v>
      </c>
      <c r="J136" s="651">
        <v>1</v>
      </c>
      <c r="K136" s="657">
        <f>B18</f>
        <v>500</v>
      </c>
      <c r="L136" s="657">
        <f t="shared" ref="L136:O136" si="108">C18</f>
        <v>-0.9</v>
      </c>
      <c r="M136" s="657">
        <f t="shared" si="108"/>
        <v>3.8</v>
      </c>
      <c r="N136" s="657">
        <f t="shared" si="108"/>
        <v>2.35</v>
      </c>
      <c r="O136" s="657">
        <f t="shared" si="108"/>
        <v>0.28999999999999998</v>
      </c>
    </row>
    <row r="137" spans="1:15" ht="14">
      <c r="A137" s="1267"/>
      <c r="B137" s="654">
        <v>2</v>
      </c>
      <c r="C137" s="657">
        <f>I10</f>
        <v>230</v>
      </c>
      <c r="D137" s="657">
        <f t="shared" ref="D137:G137" si="109">J10</f>
        <v>-10.02</v>
      </c>
      <c r="E137" s="657">
        <f t="shared" si="109"/>
        <v>0.05</v>
      </c>
      <c r="F137" s="657">
        <f t="shared" si="109"/>
        <v>5.0350000000000001</v>
      </c>
      <c r="G137" s="657">
        <f t="shared" si="109"/>
        <v>0.47</v>
      </c>
      <c r="I137" s="1267"/>
      <c r="J137" s="654">
        <v>2</v>
      </c>
      <c r="K137" s="657">
        <f>I18</f>
        <v>500</v>
      </c>
      <c r="L137" s="657">
        <f t="shared" ref="L137:O137" si="110">J18</f>
        <v>20</v>
      </c>
      <c r="M137" s="657">
        <f t="shared" si="110"/>
        <v>0.8</v>
      </c>
      <c r="N137" s="657">
        <f t="shared" si="110"/>
        <v>9.6</v>
      </c>
      <c r="O137" s="657">
        <f t="shared" si="110"/>
        <v>0.28999999999999998</v>
      </c>
    </row>
    <row r="138" spans="1:15">
      <c r="A138" s="1267"/>
      <c r="B138" s="656">
        <v>3</v>
      </c>
      <c r="C138" s="657">
        <f>P10</f>
        <v>230</v>
      </c>
      <c r="D138" s="657">
        <f t="shared" ref="D138:G138" si="111">Q10</f>
        <v>-0.15</v>
      </c>
      <c r="E138" s="657">
        <f t="shared" si="111"/>
        <v>-0.23</v>
      </c>
      <c r="F138" s="657">
        <f t="shared" si="111"/>
        <v>4.0000000000000008E-2</v>
      </c>
      <c r="G138" s="657">
        <f t="shared" si="111"/>
        <v>1.2</v>
      </c>
      <c r="I138" s="1267"/>
      <c r="J138" s="656">
        <v>3</v>
      </c>
      <c r="K138" s="657">
        <f>P18</f>
        <v>500</v>
      </c>
      <c r="L138" s="657">
        <f t="shared" ref="L138:O138" si="112">Q18</f>
        <v>-0.3</v>
      </c>
      <c r="M138" s="657">
        <f t="shared" si="112"/>
        <v>2.9</v>
      </c>
      <c r="N138" s="657">
        <f t="shared" si="112"/>
        <v>1.5999999999999999</v>
      </c>
      <c r="O138" s="657">
        <f t="shared" si="112"/>
        <v>0.59</v>
      </c>
    </row>
    <row r="139" spans="1:15">
      <c r="A139" s="1267"/>
      <c r="B139" s="656">
        <v>4</v>
      </c>
      <c r="C139" s="657">
        <f>B41</f>
        <v>230</v>
      </c>
      <c r="D139" s="657">
        <f t="shared" ref="D139:G139" si="113">C41</f>
        <v>-0.2</v>
      </c>
      <c r="E139" s="657">
        <f t="shared" si="113"/>
        <v>0.36799999999999999</v>
      </c>
      <c r="F139" s="657">
        <f t="shared" si="113"/>
        <v>0.28400000000000003</v>
      </c>
      <c r="G139" s="657">
        <f t="shared" si="113"/>
        <v>0.47</v>
      </c>
      <c r="I139" s="1267"/>
      <c r="J139" s="656">
        <v>4</v>
      </c>
      <c r="K139" s="657">
        <f>B49</f>
        <v>500</v>
      </c>
      <c r="L139" s="657">
        <f t="shared" ref="L139:O139" si="114">C49</f>
        <v>0.9</v>
      </c>
      <c r="M139" s="657">
        <f t="shared" si="114"/>
        <v>2.8</v>
      </c>
      <c r="N139" s="657">
        <f t="shared" si="114"/>
        <v>0.95</v>
      </c>
      <c r="O139" s="657">
        <f t="shared" si="114"/>
        <v>0.28999999999999998</v>
      </c>
    </row>
    <row r="140" spans="1:15">
      <c r="A140" s="1267"/>
      <c r="B140" s="656">
        <v>5</v>
      </c>
      <c r="C140" s="657">
        <f>I41</f>
        <v>230</v>
      </c>
      <c r="D140" s="657">
        <f t="shared" ref="D140:G140" si="115">J41</f>
        <v>-0.23</v>
      </c>
      <c r="E140" s="657">
        <f t="shared" si="115"/>
        <v>-0.16</v>
      </c>
      <c r="F140" s="657">
        <f t="shared" si="115"/>
        <v>3.5000000000000003E-2</v>
      </c>
      <c r="G140" s="657">
        <f t="shared" si="115"/>
        <v>0.47</v>
      </c>
      <c r="I140" s="1267"/>
      <c r="J140" s="656">
        <v>5</v>
      </c>
      <c r="K140" s="657">
        <f>I49</f>
        <v>500</v>
      </c>
      <c r="L140" s="657">
        <f t="shared" ref="L140:O140" si="116">J49</f>
        <v>14.3</v>
      </c>
      <c r="M140" s="657">
        <f t="shared" si="116"/>
        <v>0.7</v>
      </c>
      <c r="N140" s="657">
        <f t="shared" si="116"/>
        <v>6.8000000000000007</v>
      </c>
      <c r="O140" s="657">
        <f t="shared" si="116"/>
        <v>0.28999999999999998</v>
      </c>
    </row>
    <row r="141" spans="1:15">
      <c r="A141" s="1267"/>
      <c r="B141" s="656">
        <v>6</v>
      </c>
      <c r="C141" s="657">
        <f>P41</f>
        <v>230</v>
      </c>
      <c r="D141" s="657">
        <f t="shared" ref="D141:G141" si="117">Q41</f>
        <v>-0.05</v>
      </c>
      <c r="E141" s="657">
        <f t="shared" si="117"/>
        <v>-0.15</v>
      </c>
      <c r="F141" s="657">
        <f t="shared" si="117"/>
        <v>4.9999999999999996E-2</v>
      </c>
      <c r="G141" s="657">
        <f t="shared" si="117"/>
        <v>1.2</v>
      </c>
      <c r="I141" s="1267"/>
      <c r="J141" s="656">
        <v>6</v>
      </c>
      <c r="K141" s="657">
        <f>P49</f>
        <v>500</v>
      </c>
      <c r="L141" s="657">
        <f t="shared" ref="L141:O141" si="118">Q49</f>
        <v>2.8</v>
      </c>
      <c r="M141" s="657">
        <f t="shared" si="118"/>
        <v>3.9</v>
      </c>
      <c r="N141" s="657">
        <f t="shared" si="118"/>
        <v>0.55000000000000004</v>
      </c>
      <c r="O141" s="657">
        <f t="shared" si="118"/>
        <v>0.59</v>
      </c>
    </row>
    <row r="142" spans="1:15">
      <c r="A142" s="1267"/>
      <c r="B142" s="656">
        <v>7</v>
      </c>
      <c r="C142" s="657">
        <f>B72</f>
        <v>230</v>
      </c>
      <c r="D142" s="657">
        <f t="shared" ref="D142:G142" si="119">C72</f>
        <v>0.47</v>
      </c>
      <c r="E142" s="657">
        <f t="shared" si="119"/>
        <v>0.47</v>
      </c>
      <c r="F142" s="657">
        <f t="shared" si="119"/>
        <v>0</v>
      </c>
      <c r="G142" s="657">
        <f t="shared" si="119"/>
        <v>1.2</v>
      </c>
      <c r="I142" s="1267"/>
      <c r="J142" s="656">
        <v>7</v>
      </c>
      <c r="K142" s="657">
        <f>B80</f>
        <v>500</v>
      </c>
      <c r="L142" s="657">
        <f t="shared" ref="L142:O142" si="120">C80</f>
        <v>3</v>
      </c>
      <c r="M142" s="657">
        <f t="shared" si="120"/>
        <v>3</v>
      </c>
      <c r="N142" s="657">
        <f t="shared" si="120"/>
        <v>0</v>
      </c>
      <c r="O142" s="657">
        <f t="shared" si="120"/>
        <v>0.59</v>
      </c>
    </row>
    <row r="143" spans="1:15">
      <c r="A143" s="1267"/>
      <c r="B143" s="656">
        <v>8</v>
      </c>
      <c r="C143" s="657">
        <f>I72</f>
        <v>230</v>
      </c>
      <c r="D143" s="657">
        <f t="shared" ref="D143:G143" si="121">J72</f>
        <v>0</v>
      </c>
      <c r="E143" s="657">
        <f t="shared" si="121"/>
        <v>-0.39</v>
      </c>
      <c r="F143" s="657">
        <f t="shared" si="121"/>
        <v>0.19500000000000001</v>
      </c>
      <c r="G143" s="657">
        <f t="shared" si="121"/>
        <v>1.2</v>
      </c>
      <c r="I143" s="1267"/>
      <c r="J143" s="656">
        <v>8</v>
      </c>
      <c r="K143" s="657">
        <f>I80</f>
        <v>500</v>
      </c>
      <c r="L143" s="657">
        <f t="shared" ref="L143:O143" si="122">J80</f>
        <v>0</v>
      </c>
      <c r="M143" s="657">
        <f t="shared" si="122"/>
        <v>7.2</v>
      </c>
      <c r="N143" s="657">
        <f t="shared" si="122"/>
        <v>3.6</v>
      </c>
      <c r="O143" s="657">
        <f t="shared" si="122"/>
        <v>0.59</v>
      </c>
    </row>
    <row r="144" spans="1:15">
      <c r="A144" s="1267"/>
      <c r="B144" s="656">
        <v>9</v>
      </c>
      <c r="C144" s="657">
        <f>P72</f>
        <v>230</v>
      </c>
      <c r="D144" s="657">
        <f t="shared" ref="D144:G144" si="123">Q72</f>
        <v>0</v>
      </c>
      <c r="E144" s="657">
        <f t="shared" si="123"/>
        <v>-0.54</v>
      </c>
      <c r="F144" s="657">
        <f t="shared" si="123"/>
        <v>0.27</v>
      </c>
      <c r="G144" s="657">
        <f t="shared" si="123"/>
        <v>1.2</v>
      </c>
      <c r="I144" s="1267"/>
      <c r="J144" s="656">
        <v>9</v>
      </c>
      <c r="K144" s="657">
        <f>P80</f>
        <v>500</v>
      </c>
      <c r="L144" s="657">
        <f t="shared" ref="L144:O144" si="124">Q80</f>
        <v>0</v>
      </c>
      <c r="M144" s="657">
        <f t="shared" si="124"/>
        <v>8.3000000000000007</v>
      </c>
      <c r="N144" s="657">
        <f t="shared" si="124"/>
        <v>4.1500000000000004</v>
      </c>
      <c r="O144" s="657">
        <f t="shared" si="124"/>
        <v>0.59</v>
      </c>
    </row>
    <row r="145" spans="1:16" ht="14">
      <c r="A145" s="1267" t="s">
        <v>650</v>
      </c>
      <c r="B145" s="651">
        <v>1</v>
      </c>
      <c r="C145" s="652">
        <f>B11</f>
        <v>250</v>
      </c>
      <c r="D145" s="652">
        <f t="shared" ref="D145:G145" si="125">C11</f>
        <v>0</v>
      </c>
      <c r="E145" s="652">
        <f t="shared" si="125"/>
        <v>0</v>
      </c>
      <c r="F145" s="652">
        <f t="shared" si="125"/>
        <v>0</v>
      </c>
      <c r="G145" s="652">
        <f t="shared" si="125"/>
        <v>0.47</v>
      </c>
      <c r="I145" s="1267" t="s">
        <v>650</v>
      </c>
      <c r="J145" s="651">
        <v>1</v>
      </c>
      <c r="K145" s="657">
        <f>B19</f>
        <v>1000</v>
      </c>
      <c r="L145" s="657">
        <f t="shared" ref="L145:O145" si="126">C19</f>
        <v>-3.0000000000000001E-3</v>
      </c>
      <c r="M145" s="657">
        <f t="shared" si="126"/>
        <v>9</v>
      </c>
      <c r="N145" s="657">
        <f t="shared" si="126"/>
        <v>4.5015000000000001</v>
      </c>
      <c r="O145" s="657">
        <f t="shared" si="126"/>
        <v>0.28999999999999998</v>
      </c>
    </row>
    <row r="146" spans="1:16" ht="14">
      <c r="A146" s="1267"/>
      <c r="B146" s="654">
        <v>2</v>
      </c>
      <c r="C146" s="657">
        <f>I11</f>
        <v>250</v>
      </c>
      <c r="D146" s="657">
        <f t="shared" ref="D146:G146" si="127">J11</f>
        <v>0</v>
      </c>
      <c r="E146" s="657">
        <f t="shared" si="127"/>
        <v>0</v>
      </c>
      <c r="F146" s="657">
        <f t="shared" si="127"/>
        <v>0</v>
      </c>
      <c r="G146" s="657">
        <f t="shared" si="127"/>
        <v>0.47</v>
      </c>
      <c r="I146" s="1267"/>
      <c r="J146" s="654">
        <v>2</v>
      </c>
      <c r="K146" s="657">
        <f>I19</f>
        <v>1000</v>
      </c>
      <c r="L146" s="657">
        <f t="shared" ref="L146:O146" si="128">J19</f>
        <v>2</v>
      </c>
      <c r="M146" s="657">
        <f t="shared" si="128"/>
        <v>8.0000000000000002E-3</v>
      </c>
      <c r="N146" s="657">
        <f t="shared" si="128"/>
        <v>0.996</v>
      </c>
      <c r="O146" s="657">
        <f t="shared" si="128"/>
        <v>0.28999999999999998</v>
      </c>
    </row>
    <row r="147" spans="1:16">
      <c r="A147" s="1267"/>
      <c r="B147" s="656">
        <v>3</v>
      </c>
      <c r="C147" s="657">
        <f>P11</f>
        <v>250</v>
      </c>
      <c r="D147" s="657">
        <f t="shared" ref="D147:G147" si="129">Q11</f>
        <v>0</v>
      </c>
      <c r="E147" s="657">
        <f t="shared" si="129"/>
        <v>0</v>
      </c>
      <c r="F147" s="657">
        <f t="shared" si="129"/>
        <v>0</v>
      </c>
      <c r="G147" s="657">
        <f t="shared" si="129"/>
        <v>1.2</v>
      </c>
      <c r="I147" s="1267"/>
      <c r="J147" s="656">
        <v>3</v>
      </c>
      <c r="K147" s="657">
        <f>P19</f>
        <v>1000</v>
      </c>
      <c r="L147" s="657">
        <f t="shared" ref="L147:O147" si="130">Q19</f>
        <v>9</v>
      </c>
      <c r="M147" s="657">
        <f t="shared" si="130"/>
        <v>3</v>
      </c>
      <c r="N147" s="657">
        <f t="shared" si="130"/>
        <v>3</v>
      </c>
      <c r="O147" s="657">
        <f t="shared" si="130"/>
        <v>0.59</v>
      </c>
    </row>
    <row r="148" spans="1:16">
      <c r="A148" s="1267"/>
      <c r="B148" s="656">
        <v>4</v>
      </c>
      <c r="C148" s="657">
        <f>B42</f>
        <v>250</v>
      </c>
      <c r="D148" s="657">
        <f t="shared" ref="D148:G148" si="131">C42</f>
        <v>0</v>
      </c>
      <c r="E148" s="657">
        <f t="shared" si="131"/>
        <v>0</v>
      </c>
      <c r="F148" s="657">
        <f t="shared" si="131"/>
        <v>0</v>
      </c>
      <c r="G148" s="657">
        <f t="shared" si="131"/>
        <v>0.47</v>
      </c>
      <c r="I148" s="1267"/>
      <c r="J148" s="656">
        <v>4</v>
      </c>
      <c r="K148" s="657">
        <f>B50</f>
        <v>1000</v>
      </c>
      <c r="L148" s="657">
        <f t="shared" ref="L148:O148" si="132">C50</f>
        <v>2</v>
      </c>
      <c r="M148" s="657">
        <f t="shared" si="132"/>
        <v>1.2E-2</v>
      </c>
      <c r="N148" s="657">
        <f t="shared" si="132"/>
        <v>0.99399999999999999</v>
      </c>
      <c r="O148" s="657">
        <f t="shared" si="132"/>
        <v>0.28999999999999998</v>
      </c>
    </row>
    <row r="149" spans="1:16">
      <c r="A149" s="1267"/>
      <c r="B149" s="656">
        <v>5</v>
      </c>
      <c r="C149" s="657">
        <f>I42</f>
        <v>250</v>
      </c>
      <c r="D149" s="657">
        <f t="shared" ref="D149:G149" si="133">J42</f>
        <v>0</v>
      </c>
      <c r="E149" s="657">
        <f t="shared" si="133"/>
        <v>0</v>
      </c>
      <c r="F149" s="657">
        <f t="shared" si="133"/>
        <v>0</v>
      </c>
      <c r="G149" s="657">
        <f t="shared" si="133"/>
        <v>0.47</v>
      </c>
      <c r="I149" s="1267"/>
      <c r="J149" s="656">
        <v>5</v>
      </c>
      <c r="K149" s="657">
        <f>I50</f>
        <v>1000</v>
      </c>
      <c r="L149" s="657">
        <f t="shared" ref="L149:O149" si="134">J50</f>
        <v>15</v>
      </c>
      <c r="M149" s="657">
        <f t="shared" si="134"/>
        <v>2E-3</v>
      </c>
      <c r="N149" s="657">
        <f t="shared" si="134"/>
        <v>7.4989999999999997</v>
      </c>
      <c r="O149" s="657">
        <f t="shared" si="134"/>
        <v>0.28999999999999998</v>
      </c>
    </row>
    <row r="150" spans="1:16">
      <c r="A150" s="1267"/>
      <c r="B150" s="656">
        <v>6</v>
      </c>
      <c r="C150" s="657">
        <f>P42</f>
        <v>250</v>
      </c>
      <c r="D150" s="657">
        <f t="shared" ref="D150:G150" si="135">Q42</f>
        <v>0</v>
      </c>
      <c r="E150" s="657">
        <f t="shared" si="135"/>
        <v>0</v>
      </c>
      <c r="F150" s="657">
        <f t="shared" si="135"/>
        <v>0</v>
      </c>
      <c r="G150" s="657">
        <f t="shared" si="135"/>
        <v>1.2</v>
      </c>
      <c r="I150" s="1267"/>
      <c r="J150" s="656">
        <v>6</v>
      </c>
      <c r="K150" s="657">
        <f>P50</f>
        <v>1000</v>
      </c>
      <c r="L150" s="657">
        <f t="shared" ref="L150:O150" si="136">Q50</f>
        <v>13</v>
      </c>
      <c r="M150" s="657">
        <f t="shared" si="136"/>
        <v>5.0000000000000001E-3</v>
      </c>
      <c r="N150" s="657">
        <f t="shared" si="136"/>
        <v>6.4974999999999996</v>
      </c>
      <c r="O150" s="657">
        <f t="shared" si="136"/>
        <v>0.59</v>
      </c>
    </row>
    <row r="151" spans="1:16">
      <c r="A151" s="1267"/>
      <c r="B151" s="656">
        <v>7</v>
      </c>
      <c r="C151" s="657">
        <f>B73</f>
        <v>250</v>
      </c>
      <c r="D151" s="657">
        <f t="shared" ref="D151:G151" si="137">C73</f>
        <v>0</v>
      </c>
      <c r="E151" s="657">
        <f t="shared" si="137"/>
        <v>0</v>
      </c>
      <c r="F151" s="657">
        <f t="shared" si="137"/>
        <v>0</v>
      </c>
      <c r="G151" s="657">
        <f t="shared" si="137"/>
        <v>1.2</v>
      </c>
      <c r="I151" s="1267"/>
      <c r="J151" s="656">
        <v>7</v>
      </c>
      <c r="K151" s="657">
        <f>B81</f>
        <v>1000</v>
      </c>
      <c r="L151" s="657">
        <f t="shared" ref="L151:O151" si="138">C81</f>
        <v>5</v>
      </c>
      <c r="M151" s="657">
        <f t="shared" si="138"/>
        <v>4</v>
      </c>
      <c r="N151" s="657">
        <f t="shared" si="138"/>
        <v>0.5</v>
      </c>
      <c r="O151" s="657">
        <f t="shared" si="138"/>
        <v>0.59</v>
      </c>
    </row>
    <row r="152" spans="1:16">
      <c r="A152" s="1267"/>
      <c r="B152" s="656">
        <v>8</v>
      </c>
      <c r="C152" s="657">
        <f>I73</f>
        <v>250</v>
      </c>
      <c r="D152" s="657">
        <f t="shared" ref="D152:G152" si="139">J73</f>
        <v>0</v>
      </c>
      <c r="E152" s="657">
        <f t="shared" si="139"/>
        <v>0</v>
      </c>
      <c r="F152" s="657">
        <f t="shared" si="139"/>
        <v>0</v>
      </c>
      <c r="G152" s="657">
        <f t="shared" si="139"/>
        <v>1.2</v>
      </c>
      <c r="I152" s="1267"/>
      <c r="J152" s="656">
        <v>8</v>
      </c>
      <c r="K152" s="657">
        <f>I81</f>
        <v>1000</v>
      </c>
      <c r="L152" s="657">
        <f t="shared" ref="L152:O152" si="140">J81</f>
        <v>0</v>
      </c>
      <c r="M152" s="657">
        <f t="shared" si="140"/>
        <v>80</v>
      </c>
      <c r="N152" s="657">
        <f t="shared" si="140"/>
        <v>40</v>
      </c>
      <c r="O152" s="657">
        <f t="shared" si="140"/>
        <v>0.59</v>
      </c>
    </row>
    <row r="153" spans="1:16">
      <c r="A153" s="1267"/>
      <c r="B153" s="656">
        <v>9</v>
      </c>
      <c r="C153" s="657">
        <f>P73</f>
        <v>250</v>
      </c>
      <c r="D153" s="657">
        <f t="shared" ref="D153:G153" si="141">Q73</f>
        <v>0</v>
      </c>
      <c r="E153" s="657">
        <f t="shared" si="141"/>
        <v>0</v>
      </c>
      <c r="F153" s="657">
        <f t="shared" si="141"/>
        <v>0</v>
      </c>
      <c r="G153" s="657" t="str">
        <f t="shared" si="141"/>
        <v>-</v>
      </c>
      <c r="I153" s="1267"/>
      <c r="J153" s="656">
        <v>9</v>
      </c>
      <c r="K153" s="657">
        <f>P81</f>
        <v>1000</v>
      </c>
      <c r="L153" s="657">
        <f t="shared" ref="L153:O153" si="142">Q81</f>
        <v>0</v>
      </c>
      <c r="M153" s="657">
        <f t="shared" si="142"/>
        <v>-97</v>
      </c>
      <c r="N153" s="657">
        <f t="shared" si="142"/>
        <v>48.5</v>
      </c>
      <c r="O153" s="657">
        <f t="shared" si="142"/>
        <v>0.59</v>
      </c>
    </row>
    <row r="154" spans="1:16">
      <c r="A154" s="644"/>
      <c r="B154" s="645"/>
      <c r="C154" s="645"/>
      <c r="O154" s="659"/>
    </row>
    <row r="155" spans="1:16" ht="14">
      <c r="A155" s="1270" t="s">
        <v>25</v>
      </c>
      <c r="B155" s="1271" t="s">
        <v>647</v>
      </c>
      <c r="C155" s="1272" t="s">
        <v>627</v>
      </c>
      <c r="D155" s="1272"/>
      <c r="E155" s="1272"/>
      <c r="F155" s="1272"/>
      <c r="G155" s="1272"/>
      <c r="H155" s="647"/>
      <c r="I155" s="1270" t="s">
        <v>25</v>
      </c>
      <c r="J155" s="1271" t="s">
        <v>647</v>
      </c>
      <c r="K155" s="1274" t="s">
        <v>627</v>
      </c>
      <c r="L155" s="1274"/>
      <c r="M155" s="1274"/>
      <c r="N155" s="1274"/>
      <c r="O155" s="1274"/>
      <c r="P155" s="660"/>
    </row>
    <row r="156" spans="1:16" ht="13">
      <c r="A156" s="1270"/>
      <c r="B156" s="1271"/>
      <c r="C156" s="1275" t="str">
        <f>B20</f>
        <v>Main-PE</v>
      </c>
      <c r="D156" s="1275"/>
      <c r="E156" s="1275"/>
      <c r="F156" s="661" t="s">
        <v>606</v>
      </c>
      <c r="G156" s="661" t="s">
        <v>607</v>
      </c>
      <c r="I156" s="1270"/>
      <c r="J156" s="1271"/>
      <c r="K156" s="1275" t="str">
        <f>B26</f>
        <v>Resistance</v>
      </c>
      <c r="L156" s="1275"/>
      <c r="M156" s="1275"/>
      <c r="N156" s="661" t="s">
        <v>606</v>
      </c>
      <c r="O156" s="661" t="s">
        <v>607</v>
      </c>
    </row>
    <row r="157" spans="1:16" ht="14.5">
      <c r="A157" s="1270"/>
      <c r="B157" s="1271"/>
      <c r="C157" s="662" t="s">
        <v>633</v>
      </c>
      <c r="D157" s="661"/>
      <c r="E157" s="661"/>
      <c r="F157" s="661"/>
      <c r="G157" s="661"/>
      <c r="I157" s="1270"/>
      <c r="J157" s="1271"/>
      <c r="K157" s="662" t="s">
        <v>635</v>
      </c>
      <c r="L157" s="661"/>
      <c r="M157" s="661"/>
      <c r="N157" s="661"/>
      <c r="O157" s="661"/>
    </row>
    <row r="158" spans="1:16" ht="14">
      <c r="A158" s="1273" t="s">
        <v>49</v>
      </c>
      <c r="B158" s="663">
        <v>1</v>
      </c>
      <c r="C158" s="657">
        <f>B22</f>
        <v>10</v>
      </c>
      <c r="D158" s="657" t="str">
        <f t="shared" ref="D158:G158" si="143">C22</f>
        <v>-</v>
      </c>
      <c r="E158" s="657">
        <f t="shared" si="143"/>
        <v>0</v>
      </c>
      <c r="F158" s="657">
        <f t="shared" si="143"/>
        <v>0</v>
      </c>
      <c r="G158" s="657">
        <f t="shared" si="143"/>
        <v>1.4</v>
      </c>
      <c r="I158" s="1273" t="s">
        <v>49</v>
      </c>
      <c r="J158" s="663">
        <v>1</v>
      </c>
      <c r="K158" s="652">
        <f>B28</f>
        <v>0.01</v>
      </c>
      <c r="L158" s="652">
        <f t="shared" ref="L158:O158" si="144">C28</f>
        <v>0</v>
      </c>
      <c r="M158" s="652">
        <f t="shared" si="144"/>
        <v>0</v>
      </c>
      <c r="N158" s="652">
        <f t="shared" si="144"/>
        <v>0</v>
      </c>
      <c r="O158" s="652">
        <f t="shared" si="144"/>
        <v>0.43</v>
      </c>
    </row>
    <row r="159" spans="1:16">
      <c r="A159" s="1273"/>
      <c r="B159" s="663">
        <v>2</v>
      </c>
      <c r="C159" s="657">
        <f>I22</f>
        <v>10</v>
      </c>
      <c r="D159" s="657">
        <f t="shared" ref="D159:G159" si="145">J22</f>
        <v>0</v>
      </c>
      <c r="E159" s="657">
        <f t="shared" si="145"/>
        <v>0.1</v>
      </c>
      <c r="F159" s="657">
        <f t="shared" si="145"/>
        <v>0.05</v>
      </c>
      <c r="G159" s="657">
        <f t="shared" si="145"/>
        <v>1.3</v>
      </c>
      <c r="I159" s="1273"/>
      <c r="J159" s="663">
        <v>2</v>
      </c>
      <c r="K159" s="657">
        <f>I28</f>
        <v>0.01</v>
      </c>
      <c r="L159" s="657">
        <f t="shared" ref="L159:O159" si="146">J28</f>
        <v>0</v>
      </c>
      <c r="M159" s="657">
        <f t="shared" si="146"/>
        <v>0</v>
      </c>
      <c r="N159" s="657">
        <f t="shared" si="146"/>
        <v>0</v>
      </c>
      <c r="O159" s="657">
        <f t="shared" si="146"/>
        <v>0.43</v>
      </c>
    </row>
    <row r="160" spans="1:16">
      <c r="A160" s="1273"/>
      <c r="B160" s="663">
        <v>3</v>
      </c>
      <c r="C160" s="657">
        <f>P22</f>
        <v>10</v>
      </c>
      <c r="D160" s="657">
        <f t="shared" ref="D160:G160" si="147">Q22</f>
        <v>0.1</v>
      </c>
      <c r="E160" s="657">
        <f t="shared" si="147"/>
        <v>0</v>
      </c>
      <c r="F160" s="657">
        <f t="shared" si="147"/>
        <v>0.05</v>
      </c>
      <c r="G160" s="657">
        <f t="shared" si="147"/>
        <v>1.7</v>
      </c>
      <c r="I160" s="1273"/>
      <c r="J160" s="663">
        <v>3</v>
      </c>
      <c r="K160" s="657">
        <f>P28</f>
        <v>0.01</v>
      </c>
      <c r="L160" s="657">
        <f t="shared" ref="L160:O160" si="148">Q28</f>
        <v>0</v>
      </c>
      <c r="M160" s="657">
        <f t="shared" si="148"/>
        <v>0</v>
      </c>
      <c r="N160" s="657">
        <f t="shared" si="148"/>
        <v>0</v>
      </c>
      <c r="O160" s="657">
        <f t="shared" si="148"/>
        <v>1.2</v>
      </c>
    </row>
    <row r="161" spans="1:15">
      <c r="A161" s="1273"/>
      <c r="B161" s="663">
        <v>4</v>
      </c>
      <c r="C161" s="657">
        <f>B53</f>
        <v>10</v>
      </c>
      <c r="D161" s="657">
        <f t="shared" ref="D161:G161" si="149">C53</f>
        <v>0</v>
      </c>
      <c r="E161" s="657">
        <f t="shared" si="149"/>
        <v>0.1</v>
      </c>
      <c r="F161" s="657">
        <f t="shared" si="149"/>
        <v>0.05</v>
      </c>
      <c r="G161" s="657">
        <f t="shared" si="149"/>
        <v>1.3</v>
      </c>
      <c r="I161" s="1273"/>
      <c r="J161" s="663">
        <v>4</v>
      </c>
      <c r="K161" s="657">
        <f>B59</f>
        <v>0.01</v>
      </c>
      <c r="L161" s="657">
        <f t="shared" ref="L161:O161" si="150">C59</f>
        <v>0</v>
      </c>
      <c r="M161" s="657">
        <f t="shared" si="150"/>
        <v>0</v>
      </c>
      <c r="N161" s="657">
        <f t="shared" si="150"/>
        <v>0</v>
      </c>
      <c r="O161" s="657">
        <f t="shared" si="150"/>
        <v>0.43</v>
      </c>
    </row>
    <row r="162" spans="1:15">
      <c r="A162" s="1273"/>
      <c r="B162" s="663">
        <v>5</v>
      </c>
      <c r="C162" s="657">
        <f>I53</f>
        <v>10</v>
      </c>
      <c r="D162" s="657">
        <f t="shared" ref="D162:G162" si="151">J53</f>
        <v>0</v>
      </c>
      <c r="E162" s="657">
        <f t="shared" si="151"/>
        <v>0.1</v>
      </c>
      <c r="F162" s="657">
        <f t="shared" si="151"/>
        <v>0.05</v>
      </c>
      <c r="G162" s="657">
        <f t="shared" si="151"/>
        <v>1.3</v>
      </c>
      <c r="I162" s="1273"/>
      <c r="J162" s="663">
        <v>5</v>
      </c>
      <c r="K162" s="657">
        <f>I59</f>
        <v>0.01</v>
      </c>
      <c r="L162" s="657">
        <f t="shared" ref="L162:O162" si="152">J59</f>
        <v>0</v>
      </c>
      <c r="M162" s="657">
        <f t="shared" si="152"/>
        <v>0</v>
      </c>
      <c r="N162" s="657">
        <f t="shared" si="152"/>
        <v>0</v>
      </c>
      <c r="O162" s="657">
        <f t="shared" si="152"/>
        <v>0.43</v>
      </c>
    </row>
    <row r="163" spans="1:15">
      <c r="A163" s="1273"/>
      <c r="B163" s="663">
        <v>6</v>
      </c>
      <c r="C163" s="657">
        <f>P53</f>
        <v>10</v>
      </c>
      <c r="D163" s="657">
        <f t="shared" ref="D163:G163" si="153">Q53</f>
        <v>0</v>
      </c>
      <c r="E163" s="657">
        <f t="shared" si="153"/>
        <v>0.1</v>
      </c>
      <c r="F163" s="657">
        <f t="shared" si="153"/>
        <v>0.05</v>
      </c>
      <c r="G163" s="657">
        <f t="shared" si="153"/>
        <v>1.7</v>
      </c>
      <c r="I163" s="1273"/>
      <c r="J163" s="663">
        <v>6</v>
      </c>
      <c r="K163" s="657">
        <f>P59</f>
        <v>0.01</v>
      </c>
      <c r="L163" s="657">
        <f t="shared" ref="L163:O163" si="154">Q59</f>
        <v>0</v>
      </c>
      <c r="M163" s="657">
        <f t="shared" si="154"/>
        <v>0</v>
      </c>
      <c r="N163" s="657">
        <f t="shared" si="154"/>
        <v>0</v>
      </c>
      <c r="O163" s="657">
        <f t="shared" si="154"/>
        <v>1.2</v>
      </c>
    </row>
    <row r="164" spans="1:15">
      <c r="A164" s="1273"/>
      <c r="B164" s="663">
        <v>7</v>
      </c>
      <c r="C164" s="657">
        <f>B84</f>
        <v>10</v>
      </c>
      <c r="D164" s="657" t="str">
        <f t="shared" ref="D164:G164" si="155">C84</f>
        <v>-</v>
      </c>
      <c r="E164" s="657">
        <f t="shared" si="155"/>
        <v>0</v>
      </c>
      <c r="F164" s="657">
        <f t="shared" si="155"/>
        <v>0</v>
      </c>
      <c r="G164" s="657">
        <f t="shared" si="155"/>
        <v>1.7</v>
      </c>
      <c r="I164" s="1273"/>
      <c r="J164" s="663">
        <v>7</v>
      </c>
      <c r="K164" s="657">
        <f>B90</f>
        <v>0.01</v>
      </c>
      <c r="L164" s="657">
        <f t="shared" ref="L164:O164" si="156">C90</f>
        <v>0</v>
      </c>
      <c r="M164" s="657">
        <f t="shared" si="156"/>
        <v>0</v>
      </c>
      <c r="N164" s="657">
        <f t="shared" si="156"/>
        <v>0</v>
      </c>
      <c r="O164" s="657">
        <f t="shared" si="156"/>
        <v>1.2</v>
      </c>
    </row>
    <row r="165" spans="1:15">
      <c r="A165" s="1273"/>
      <c r="B165" s="663">
        <v>8</v>
      </c>
      <c r="C165" s="657">
        <f>I84</f>
        <v>10</v>
      </c>
      <c r="D165" s="657">
        <f t="shared" ref="D165:G165" si="157">J84</f>
        <v>0</v>
      </c>
      <c r="E165" s="657">
        <f t="shared" si="157"/>
        <v>0</v>
      </c>
      <c r="F165" s="657">
        <f t="shared" si="157"/>
        <v>0</v>
      </c>
      <c r="G165" s="657">
        <f t="shared" si="157"/>
        <v>0</v>
      </c>
      <c r="I165" s="1273"/>
      <c r="J165" s="663">
        <v>8</v>
      </c>
      <c r="K165" s="657">
        <f>I90</f>
        <v>0.01</v>
      </c>
      <c r="L165" s="657">
        <f t="shared" ref="L165:O165" si="158">J90</f>
        <v>0</v>
      </c>
      <c r="M165" s="657">
        <f t="shared" si="158"/>
        <v>0</v>
      </c>
      <c r="N165" s="657">
        <f t="shared" si="158"/>
        <v>0</v>
      </c>
      <c r="O165" s="657">
        <f t="shared" si="158"/>
        <v>1.2</v>
      </c>
    </row>
    <row r="166" spans="1:15">
      <c r="A166" s="1273"/>
      <c r="B166" s="663">
        <v>9</v>
      </c>
      <c r="C166" s="657">
        <f>P84</f>
        <v>10</v>
      </c>
      <c r="D166" s="657">
        <f t="shared" ref="D166:G166" si="159">Q84</f>
        <v>0</v>
      </c>
      <c r="E166" s="657">
        <f t="shared" si="159"/>
        <v>0</v>
      </c>
      <c r="F166" s="657">
        <f t="shared" si="159"/>
        <v>0</v>
      </c>
      <c r="G166" s="657">
        <f t="shared" si="159"/>
        <v>0</v>
      </c>
      <c r="I166" s="1273"/>
      <c r="J166" s="663">
        <v>9</v>
      </c>
      <c r="K166" s="657">
        <f>P90</f>
        <v>0.01</v>
      </c>
      <c r="L166" s="657">
        <f t="shared" ref="L166:O166" si="160">Q90</f>
        <v>0</v>
      </c>
      <c r="M166" s="657">
        <f t="shared" si="160"/>
        <v>0</v>
      </c>
      <c r="N166" s="657">
        <f t="shared" si="160"/>
        <v>0</v>
      </c>
      <c r="O166" s="657">
        <f t="shared" si="160"/>
        <v>1.2</v>
      </c>
    </row>
    <row r="167" spans="1:15">
      <c r="A167" s="1273" t="s">
        <v>50</v>
      </c>
      <c r="B167" s="663">
        <v>1</v>
      </c>
      <c r="C167" s="657">
        <f>B23</f>
        <v>20</v>
      </c>
      <c r="D167" s="657" t="str">
        <f t="shared" ref="D167:G167" si="161">C23</f>
        <v>-</v>
      </c>
      <c r="E167" s="657">
        <f t="shared" si="161"/>
        <v>0</v>
      </c>
      <c r="F167" s="657">
        <f t="shared" si="161"/>
        <v>0</v>
      </c>
      <c r="G167" s="657">
        <f t="shared" si="161"/>
        <v>1.4</v>
      </c>
      <c r="I167" s="1273" t="s">
        <v>50</v>
      </c>
      <c r="J167" s="663">
        <v>1</v>
      </c>
      <c r="K167" s="657">
        <f>B29</f>
        <v>0.1</v>
      </c>
      <c r="L167" s="657">
        <f t="shared" ref="L167:O167" si="162">C29</f>
        <v>2E-3</v>
      </c>
      <c r="M167" s="657">
        <f t="shared" si="162"/>
        <v>-1E-3</v>
      </c>
      <c r="N167" s="657">
        <f t="shared" si="162"/>
        <v>1.5E-3</v>
      </c>
      <c r="O167" s="657">
        <f t="shared" si="162"/>
        <v>0.43</v>
      </c>
    </row>
    <row r="168" spans="1:15">
      <c r="A168" s="1273"/>
      <c r="B168" s="663">
        <v>2</v>
      </c>
      <c r="C168" s="657">
        <f>I23</f>
        <v>20</v>
      </c>
      <c r="D168" s="657">
        <f t="shared" ref="D168:G168" si="163">J23</f>
        <v>0.1</v>
      </c>
      <c r="E168" s="657">
        <f t="shared" si="163"/>
        <v>0.2</v>
      </c>
      <c r="F168" s="657">
        <f t="shared" si="163"/>
        <v>0.05</v>
      </c>
      <c r="G168" s="657">
        <f t="shared" si="163"/>
        <v>1.3</v>
      </c>
      <c r="I168" s="1273"/>
      <c r="J168" s="663">
        <v>2</v>
      </c>
      <c r="K168" s="657">
        <f>I29</f>
        <v>0.1</v>
      </c>
      <c r="L168" s="657">
        <f t="shared" ref="L168:O168" si="164">J29</f>
        <v>5.0000000000000001E-3</v>
      </c>
      <c r="M168" s="657">
        <f t="shared" si="164"/>
        <v>6.0000000000000001E-3</v>
      </c>
      <c r="N168" s="657">
        <f t="shared" si="164"/>
        <v>5.0000000000000001E-4</v>
      </c>
      <c r="O168" s="657">
        <f t="shared" si="164"/>
        <v>0.43</v>
      </c>
    </row>
    <row r="169" spans="1:15">
      <c r="A169" s="1273"/>
      <c r="B169" s="663">
        <v>3</v>
      </c>
      <c r="C169" s="657">
        <f>P23</f>
        <v>20</v>
      </c>
      <c r="D169" s="657">
        <f t="shared" ref="D169:G169" si="165">Q23</f>
        <v>0.2</v>
      </c>
      <c r="E169" s="657">
        <f t="shared" si="165"/>
        <v>0</v>
      </c>
      <c r="F169" s="657">
        <f t="shared" si="165"/>
        <v>0.1</v>
      </c>
      <c r="G169" s="657">
        <f t="shared" si="165"/>
        <v>1.7</v>
      </c>
      <c r="I169" s="1273"/>
      <c r="J169" s="663">
        <v>3</v>
      </c>
      <c r="K169" s="657">
        <f>P29</f>
        <v>0.1</v>
      </c>
      <c r="L169" s="657">
        <f t="shared" ref="L169:O169" si="166">Q29</f>
        <v>0</v>
      </c>
      <c r="M169" s="657">
        <f t="shared" si="166"/>
        <v>0</v>
      </c>
      <c r="N169" s="657">
        <f t="shared" si="166"/>
        <v>0</v>
      </c>
      <c r="O169" s="657">
        <f t="shared" si="166"/>
        <v>1.2</v>
      </c>
    </row>
    <row r="170" spans="1:15">
      <c r="A170" s="1273"/>
      <c r="B170" s="663">
        <v>4</v>
      </c>
      <c r="C170" s="657">
        <f>B54</f>
        <v>20</v>
      </c>
      <c r="D170" s="657">
        <f t="shared" ref="D170:G170" si="167">C54</f>
        <v>0.1</v>
      </c>
      <c r="E170" s="657">
        <f t="shared" si="167"/>
        <v>0.2</v>
      </c>
      <c r="F170" s="657">
        <f t="shared" si="167"/>
        <v>0.05</v>
      </c>
      <c r="G170" s="657">
        <f t="shared" si="167"/>
        <v>1.3</v>
      </c>
      <c r="I170" s="1273"/>
      <c r="J170" s="663">
        <v>4</v>
      </c>
      <c r="K170" s="657">
        <f>B60</f>
        <v>0.1</v>
      </c>
      <c r="L170" s="657">
        <f t="shared" ref="L170:O170" si="168">C60</f>
        <v>6.0000000000000001E-3</v>
      </c>
      <c r="M170" s="657">
        <f t="shared" si="168"/>
        <v>0</v>
      </c>
      <c r="N170" s="657">
        <f t="shared" si="168"/>
        <v>3.0000000000000001E-3</v>
      </c>
      <c r="O170" s="657">
        <f t="shared" si="168"/>
        <v>0.43</v>
      </c>
    </row>
    <row r="171" spans="1:15">
      <c r="A171" s="1273"/>
      <c r="B171" s="663">
        <v>5</v>
      </c>
      <c r="C171" s="657">
        <f>I54</f>
        <v>20</v>
      </c>
      <c r="D171" s="657">
        <f t="shared" ref="D171:G171" si="169">J54</f>
        <v>0.1</v>
      </c>
      <c r="E171" s="657">
        <f t="shared" si="169"/>
        <v>0.1</v>
      </c>
      <c r="F171" s="657">
        <f t="shared" si="169"/>
        <v>0</v>
      </c>
      <c r="G171" s="657">
        <f t="shared" si="169"/>
        <v>1.3</v>
      </c>
      <c r="I171" s="1273"/>
      <c r="J171" s="663">
        <v>5</v>
      </c>
      <c r="K171" s="657">
        <f>I60</f>
        <v>0.1</v>
      </c>
      <c r="L171" s="657">
        <f t="shared" ref="L171:O171" si="170">J60</f>
        <v>2E-3</v>
      </c>
      <c r="M171" s="657">
        <f t="shared" si="170"/>
        <v>2E-3</v>
      </c>
      <c r="N171" s="657">
        <f t="shared" si="170"/>
        <v>0</v>
      </c>
      <c r="O171" s="657">
        <f t="shared" si="170"/>
        <v>0.43</v>
      </c>
    </row>
    <row r="172" spans="1:15">
      <c r="A172" s="1273"/>
      <c r="B172" s="663">
        <v>6</v>
      </c>
      <c r="C172" s="657">
        <f>P54</f>
        <v>20</v>
      </c>
      <c r="D172" s="657">
        <f t="shared" ref="D172:G172" si="171">Q54</f>
        <v>0.1</v>
      </c>
      <c r="E172" s="657">
        <f t="shared" si="171"/>
        <v>0.1</v>
      </c>
      <c r="F172" s="657">
        <f t="shared" si="171"/>
        <v>0</v>
      </c>
      <c r="G172" s="657">
        <f t="shared" si="171"/>
        <v>1.7</v>
      </c>
      <c r="I172" s="1273"/>
      <c r="J172" s="663">
        <v>6</v>
      </c>
      <c r="K172" s="657">
        <f>P60</f>
        <v>0.1</v>
      </c>
      <c r="L172" s="657">
        <f t="shared" ref="L172:O172" si="172">Q60</f>
        <v>1E-3</v>
      </c>
      <c r="M172" s="657">
        <f t="shared" si="172"/>
        <v>-2E-3</v>
      </c>
      <c r="N172" s="657">
        <f t="shared" si="172"/>
        <v>1.5E-3</v>
      </c>
      <c r="O172" s="657">
        <f t="shared" si="172"/>
        <v>1.2</v>
      </c>
    </row>
    <row r="173" spans="1:15">
      <c r="A173" s="1273"/>
      <c r="B173" s="663">
        <v>7</v>
      </c>
      <c r="C173" s="657">
        <f>B85</f>
        <v>20</v>
      </c>
      <c r="D173" s="657" t="str">
        <f t="shared" ref="D173:G173" si="173">C85</f>
        <v>-</v>
      </c>
      <c r="E173" s="657">
        <f t="shared" si="173"/>
        <v>0.1</v>
      </c>
      <c r="F173" s="657">
        <f t="shared" si="173"/>
        <v>0</v>
      </c>
      <c r="G173" s="657">
        <f t="shared" si="173"/>
        <v>1.7</v>
      </c>
      <c r="I173" s="1273"/>
      <c r="J173" s="663">
        <v>7</v>
      </c>
      <c r="K173" s="657">
        <f>B91</f>
        <v>0.1</v>
      </c>
      <c r="L173" s="657">
        <f t="shared" ref="L173:O173" si="174">C91</f>
        <v>0</v>
      </c>
      <c r="M173" s="657">
        <f t="shared" si="174"/>
        <v>0</v>
      </c>
      <c r="N173" s="657">
        <f t="shared" si="174"/>
        <v>0</v>
      </c>
      <c r="O173" s="657">
        <f t="shared" si="174"/>
        <v>1.2</v>
      </c>
    </row>
    <row r="174" spans="1:15">
      <c r="A174" s="1273"/>
      <c r="B174" s="663">
        <v>8</v>
      </c>
      <c r="C174" s="657">
        <f>I85</f>
        <v>20</v>
      </c>
      <c r="D174" s="657">
        <f t="shared" ref="D174:G174" si="175">J85</f>
        <v>0</v>
      </c>
      <c r="E174" s="657">
        <f t="shared" si="175"/>
        <v>0</v>
      </c>
      <c r="F174" s="657">
        <f t="shared" si="175"/>
        <v>0</v>
      </c>
      <c r="G174" s="657">
        <f t="shared" si="175"/>
        <v>0</v>
      </c>
      <c r="I174" s="1273"/>
      <c r="J174" s="663">
        <v>8</v>
      </c>
      <c r="K174" s="657">
        <f>I91</f>
        <v>0.1</v>
      </c>
      <c r="L174" s="657">
        <f t="shared" ref="L174:O174" si="176">J91</f>
        <v>0</v>
      </c>
      <c r="M174" s="657">
        <f t="shared" si="176"/>
        <v>-2E-3</v>
      </c>
      <c r="N174" s="657">
        <f t="shared" si="176"/>
        <v>1E-3</v>
      </c>
      <c r="O174" s="657">
        <f t="shared" si="176"/>
        <v>1.2</v>
      </c>
    </row>
    <row r="175" spans="1:15">
      <c r="A175" s="1273"/>
      <c r="B175" s="663">
        <v>9</v>
      </c>
      <c r="C175" s="657">
        <f>P85</f>
        <v>20</v>
      </c>
      <c r="D175" s="657">
        <f t="shared" ref="D175:G175" si="177">Q85</f>
        <v>0</v>
      </c>
      <c r="E175" s="657">
        <f t="shared" si="177"/>
        <v>0</v>
      </c>
      <c r="F175" s="657">
        <f t="shared" si="177"/>
        <v>0</v>
      </c>
      <c r="G175" s="657">
        <f t="shared" si="177"/>
        <v>0</v>
      </c>
      <c r="I175" s="1273"/>
      <c r="J175" s="663">
        <v>9</v>
      </c>
      <c r="K175" s="657">
        <f>P91</f>
        <v>0.1</v>
      </c>
      <c r="L175" s="657">
        <f t="shared" ref="L175:O175" si="178">Q91</f>
        <v>0</v>
      </c>
      <c r="M175" s="657">
        <f t="shared" si="178"/>
        <v>-3.0000000000000001E-3</v>
      </c>
      <c r="N175" s="657">
        <f t="shared" si="178"/>
        <v>1.5E-3</v>
      </c>
      <c r="O175" s="657">
        <f t="shared" si="178"/>
        <v>1.2</v>
      </c>
    </row>
    <row r="176" spans="1:15">
      <c r="A176" s="1273" t="s">
        <v>51</v>
      </c>
      <c r="B176" s="663">
        <v>1</v>
      </c>
      <c r="C176" s="657">
        <f>B24</f>
        <v>50</v>
      </c>
      <c r="D176" s="657" t="str">
        <f>C24</f>
        <v>-</v>
      </c>
      <c r="E176" s="657">
        <f>D24</f>
        <v>0</v>
      </c>
      <c r="F176" s="657">
        <f>E24</f>
        <v>0</v>
      </c>
      <c r="G176" s="657">
        <f>F24</f>
        <v>1.4</v>
      </c>
      <c r="I176" s="1273" t="s">
        <v>51</v>
      </c>
      <c r="J176" s="663">
        <v>1</v>
      </c>
      <c r="K176" s="657">
        <f>B30</f>
        <v>1</v>
      </c>
      <c r="L176" s="657">
        <f t="shared" ref="L176:O176" si="179">C30</f>
        <v>1.2E-2</v>
      </c>
      <c r="M176" s="657">
        <f t="shared" si="179"/>
        <v>4.0000000000000001E-3</v>
      </c>
      <c r="N176" s="657">
        <f t="shared" si="179"/>
        <v>4.0000000000000001E-3</v>
      </c>
      <c r="O176" s="657">
        <f t="shared" si="179"/>
        <v>0.43</v>
      </c>
    </row>
    <row r="177" spans="1:15">
      <c r="A177" s="1273"/>
      <c r="B177" s="663">
        <v>2</v>
      </c>
      <c r="C177" s="657">
        <f>I24</f>
        <v>50</v>
      </c>
      <c r="D177" s="657">
        <f>J24</f>
        <v>0.1</v>
      </c>
      <c r="E177" s="657">
        <f>K24</f>
        <v>0.3</v>
      </c>
      <c r="F177" s="657">
        <f>L24</f>
        <v>9.9999999999999992E-2</v>
      </c>
      <c r="G177" s="657">
        <f>M24</f>
        <v>1.3</v>
      </c>
      <c r="I177" s="1273"/>
      <c r="J177" s="663">
        <v>2</v>
      </c>
      <c r="K177" s="657">
        <f>I30</f>
        <v>1</v>
      </c>
      <c r="L177" s="657">
        <f t="shared" ref="L177:O177" si="180">J30</f>
        <v>5.5E-2</v>
      </c>
      <c r="M177" s="657">
        <f t="shared" si="180"/>
        <v>4.4999999999999998E-2</v>
      </c>
      <c r="N177" s="657">
        <f t="shared" si="180"/>
        <v>5.000000000000001E-3</v>
      </c>
      <c r="O177" s="657">
        <f t="shared" si="180"/>
        <v>0.43</v>
      </c>
    </row>
    <row r="178" spans="1:15">
      <c r="A178" s="1273"/>
      <c r="B178" s="663">
        <v>3</v>
      </c>
      <c r="C178" s="657">
        <f>P24</f>
        <v>50</v>
      </c>
      <c r="D178" s="657">
        <f>Q24</f>
        <v>0.5</v>
      </c>
      <c r="E178" s="657">
        <f t="shared" ref="E178:G178" si="181">R24</f>
        <v>0.3</v>
      </c>
      <c r="F178" s="657">
        <f t="shared" si="181"/>
        <v>0.1</v>
      </c>
      <c r="G178" s="657">
        <f t="shared" si="181"/>
        <v>1.7</v>
      </c>
      <c r="I178" s="1273"/>
      <c r="J178" s="663">
        <v>3</v>
      </c>
      <c r="K178" s="657">
        <f>P30</f>
        <v>1</v>
      </c>
      <c r="L178" s="657">
        <f t="shared" ref="L178:O178" si="182">Q30</f>
        <v>-2E-3</v>
      </c>
      <c r="M178" s="657">
        <f t="shared" si="182"/>
        <v>0</v>
      </c>
      <c r="N178" s="657">
        <f t="shared" si="182"/>
        <v>1E-3</v>
      </c>
      <c r="O178" s="657">
        <f t="shared" si="182"/>
        <v>1.2</v>
      </c>
    </row>
    <row r="179" spans="1:15">
      <c r="A179" s="1273"/>
      <c r="B179" s="663">
        <v>4</v>
      </c>
      <c r="C179" s="657">
        <f>B55</f>
        <v>50</v>
      </c>
      <c r="D179" s="657">
        <f>C55</f>
        <v>0.3</v>
      </c>
      <c r="E179" s="657">
        <f>D55</f>
        <v>0.5</v>
      </c>
      <c r="F179" s="657">
        <f>E55</f>
        <v>0.1</v>
      </c>
      <c r="G179" s="657">
        <f>F55</f>
        <v>1.3</v>
      </c>
      <c r="I179" s="1273"/>
      <c r="J179" s="663">
        <v>4</v>
      </c>
      <c r="K179" s="657">
        <f>B61</f>
        <v>1</v>
      </c>
      <c r="L179" s="657">
        <f t="shared" ref="L179:O179" si="183">C61</f>
        <v>7.0000000000000001E-3</v>
      </c>
      <c r="M179" s="657">
        <f t="shared" si="183"/>
        <v>-1E-3</v>
      </c>
      <c r="N179" s="657">
        <f t="shared" si="183"/>
        <v>4.0000000000000001E-3</v>
      </c>
      <c r="O179" s="657">
        <f t="shared" si="183"/>
        <v>0.43</v>
      </c>
    </row>
    <row r="180" spans="1:15">
      <c r="A180" s="1273"/>
      <c r="B180" s="663">
        <v>5</v>
      </c>
      <c r="C180" s="657">
        <f>I55</f>
        <v>50</v>
      </c>
      <c r="D180" s="657">
        <f>J55</f>
        <v>0.3</v>
      </c>
      <c r="E180" s="657">
        <f>K55</f>
        <v>0.4</v>
      </c>
      <c r="F180" s="657">
        <f>L55</f>
        <v>5.0000000000000017E-2</v>
      </c>
      <c r="G180" s="657">
        <f>M55</f>
        <v>1.3</v>
      </c>
      <c r="I180" s="1273"/>
      <c r="J180" s="663">
        <v>5</v>
      </c>
      <c r="K180" s="657">
        <f>I61</f>
        <v>1</v>
      </c>
      <c r="L180" s="657">
        <f t="shared" ref="L180:O180" si="184">J61</f>
        <v>3.0000000000000001E-3</v>
      </c>
      <c r="M180" s="657">
        <f t="shared" si="184"/>
        <v>1.2E-2</v>
      </c>
      <c r="N180" s="657">
        <f t="shared" si="184"/>
        <v>4.5000000000000005E-3</v>
      </c>
      <c r="O180" s="657">
        <f t="shared" si="184"/>
        <v>0.43</v>
      </c>
    </row>
    <row r="181" spans="1:15">
      <c r="A181" s="1273"/>
      <c r="B181" s="663">
        <v>6</v>
      </c>
      <c r="C181" s="657">
        <f>P55</f>
        <v>50</v>
      </c>
      <c r="D181" s="657">
        <f>Q55</f>
        <v>0.3</v>
      </c>
      <c r="E181" s="657">
        <f t="shared" ref="E181:G181" si="185">R55</f>
        <v>0.3</v>
      </c>
      <c r="F181" s="657">
        <f t="shared" si="185"/>
        <v>0</v>
      </c>
      <c r="G181" s="657">
        <f t="shared" si="185"/>
        <v>1.7</v>
      </c>
      <c r="I181" s="1273"/>
      <c r="J181" s="663">
        <v>6</v>
      </c>
      <c r="K181" s="657">
        <f>P61</f>
        <v>1</v>
      </c>
      <c r="L181" s="657">
        <f t="shared" ref="L181:O181" si="186">Q61</f>
        <v>2E-3</v>
      </c>
      <c r="M181" s="657">
        <f t="shared" si="186"/>
        <v>-1E-3</v>
      </c>
      <c r="N181" s="657">
        <f t="shared" si="186"/>
        <v>1.5E-3</v>
      </c>
      <c r="O181" s="657">
        <f t="shared" si="186"/>
        <v>1.2</v>
      </c>
    </row>
    <row r="182" spans="1:15">
      <c r="A182" s="1273"/>
      <c r="B182" s="663">
        <v>7</v>
      </c>
      <c r="C182" s="657">
        <f>B86</f>
        <v>50</v>
      </c>
      <c r="D182" s="657" t="str">
        <f t="shared" ref="D182:G182" si="187">C86</f>
        <v>-</v>
      </c>
      <c r="E182" s="657">
        <f t="shared" si="187"/>
        <v>0.4</v>
      </c>
      <c r="F182" s="657">
        <f t="shared" si="187"/>
        <v>0</v>
      </c>
      <c r="G182" s="657">
        <f t="shared" si="187"/>
        <v>1.7</v>
      </c>
      <c r="I182" s="1273"/>
      <c r="J182" s="663">
        <v>7</v>
      </c>
      <c r="K182" s="657">
        <f>B92</f>
        <v>1</v>
      </c>
      <c r="L182" s="657">
        <f t="shared" ref="L182:O182" si="188">C92</f>
        <v>-2.3E-3</v>
      </c>
      <c r="M182" s="657">
        <f t="shared" si="188"/>
        <v>-2.3E-3</v>
      </c>
      <c r="N182" s="657">
        <f t="shared" si="188"/>
        <v>0</v>
      </c>
      <c r="O182" s="657">
        <f t="shared" si="188"/>
        <v>1.2</v>
      </c>
    </row>
    <row r="183" spans="1:15">
      <c r="A183" s="1273"/>
      <c r="B183" s="663">
        <v>8</v>
      </c>
      <c r="C183" s="657">
        <f>I86</f>
        <v>50</v>
      </c>
      <c r="D183" s="657">
        <f t="shared" ref="D183:G183" si="189">J86</f>
        <v>0</v>
      </c>
      <c r="E183" s="657">
        <f t="shared" si="189"/>
        <v>0</v>
      </c>
      <c r="F183" s="657">
        <f t="shared" si="189"/>
        <v>0</v>
      </c>
      <c r="G183" s="657">
        <f t="shared" si="189"/>
        <v>0</v>
      </c>
      <c r="I183" s="1273"/>
      <c r="J183" s="663">
        <v>8</v>
      </c>
      <c r="K183" s="657">
        <f>I92</f>
        <v>1</v>
      </c>
      <c r="L183" s="657">
        <f t="shared" ref="L183:O183" si="190">J92</f>
        <v>0</v>
      </c>
      <c r="M183" s="657">
        <f t="shared" si="190"/>
        <v>-1E-3</v>
      </c>
      <c r="N183" s="657">
        <f t="shared" si="190"/>
        <v>5.0000000000000001E-4</v>
      </c>
      <c r="O183" s="657">
        <f t="shared" si="190"/>
        <v>1.2</v>
      </c>
    </row>
    <row r="184" spans="1:15">
      <c r="A184" s="1273"/>
      <c r="B184" s="663">
        <v>9</v>
      </c>
      <c r="C184" s="657">
        <f>P86</f>
        <v>50</v>
      </c>
      <c r="D184" s="657">
        <f t="shared" ref="D184:G184" si="191">Q86</f>
        <v>0</v>
      </c>
      <c r="E184" s="657">
        <f t="shared" si="191"/>
        <v>0</v>
      </c>
      <c r="F184" s="657">
        <f t="shared" si="191"/>
        <v>0</v>
      </c>
      <c r="G184" s="657">
        <f t="shared" si="191"/>
        <v>0</v>
      </c>
      <c r="I184" s="1273"/>
      <c r="J184" s="663">
        <v>9</v>
      </c>
      <c r="K184" s="657">
        <f>P92</f>
        <v>1</v>
      </c>
      <c r="L184" s="657">
        <f t="shared" ref="L184:O184" si="192">Q92</f>
        <v>0</v>
      </c>
      <c r="M184" s="657">
        <f t="shared" si="192"/>
        <v>-1E-3</v>
      </c>
      <c r="N184" s="657">
        <f t="shared" si="192"/>
        <v>5.0000000000000001E-4</v>
      </c>
      <c r="O184" s="657">
        <f t="shared" si="192"/>
        <v>1.2</v>
      </c>
    </row>
    <row r="185" spans="1:15">
      <c r="A185" s="1273" t="s">
        <v>648</v>
      </c>
      <c r="B185" s="663">
        <v>1</v>
      </c>
      <c r="C185" s="657">
        <f>B25</f>
        <v>100</v>
      </c>
      <c r="D185" s="657" t="str">
        <f t="shared" ref="D185:G185" si="193">C25</f>
        <v>-</v>
      </c>
      <c r="E185" s="657">
        <f t="shared" si="193"/>
        <v>-0.3</v>
      </c>
      <c r="F185" s="657">
        <f t="shared" si="193"/>
        <v>0</v>
      </c>
      <c r="G185" s="657">
        <f t="shared" si="193"/>
        <v>1.4</v>
      </c>
      <c r="I185" s="1273" t="s">
        <v>648</v>
      </c>
      <c r="J185" s="663">
        <v>1</v>
      </c>
      <c r="K185" s="657">
        <f>B31</f>
        <v>2</v>
      </c>
      <c r="L185" s="657">
        <f t="shared" ref="L185:O185" si="194">C31</f>
        <v>0</v>
      </c>
      <c r="M185" s="657">
        <f t="shared" si="194"/>
        <v>7.0000000000000001E-3</v>
      </c>
      <c r="N185" s="657">
        <f t="shared" si="194"/>
        <v>3.5000000000000001E-3</v>
      </c>
      <c r="O185" s="657">
        <f t="shared" si="194"/>
        <v>0.43</v>
      </c>
    </row>
    <row r="186" spans="1:15">
      <c r="A186" s="1273"/>
      <c r="B186" s="663">
        <v>2</v>
      </c>
      <c r="C186" s="657">
        <f>I25</f>
        <v>100</v>
      </c>
      <c r="D186" s="657">
        <f t="shared" ref="D186:G186" si="195">J25</f>
        <v>0</v>
      </c>
      <c r="E186" s="657">
        <f t="shared" si="195"/>
        <v>0.3</v>
      </c>
      <c r="F186" s="657">
        <f t="shared" si="195"/>
        <v>0.15</v>
      </c>
      <c r="G186" s="657">
        <f t="shared" si="195"/>
        <v>1.3</v>
      </c>
      <c r="I186" s="1273"/>
      <c r="J186" s="663">
        <v>2</v>
      </c>
      <c r="K186" s="657">
        <f>I31</f>
        <v>2</v>
      </c>
      <c r="L186" s="657">
        <f t="shared" ref="L186:O186" si="196">J31</f>
        <v>0</v>
      </c>
      <c r="M186" s="657">
        <f t="shared" si="196"/>
        <v>0</v>
      </c>
      <c r="N186" s="657">
        <f t="shared" si="196"/>
        <v>0</v>
      </c>
      <c r="O186" s="657">
        <f t="shared" si="196"/>
        <v>0.43</v>
      </c>
    </row>
    <row r="187" spans="1:15">
      <c r="A187" s="1273"/>
      <c r="B187" s="663">
        <v>3</v>
      </c>
      <c r="C187" s="657">
        <f>P25</f>
        <v>100</v>
      </c>
      <c r="D187" s="657">
        <f t="shared" ref="D187:G187" si="197">Q25</f>
        <v>1.7</v>
      </c>
      <c r="E187" s="657">
        <f t="shared" si="197"/>
        <v>0.6</v>
      </c>
      <c r="F187" s="657">
        <f t="shared" si="197"/>
        <v>0.55000000000000004</v>
      </c>
      <c r="G187" s="657">
        <f t="shared" si="197"/>
        <v>1.7</v>
      </c>
      <c r="I187" s="1273"/>
      <c r="J187" s="663">
        <v>3</v>
      </c>
      <c r="K187" s="657">
        <f>P31</f>
        <v>2</v>
      </c>
      <c r="L187" s="657">
        <f t="shared" ref="L187:O187" si="198">Q31</f>
        <v>0</v>
      </c>
      <c r="M187" s="657">
        <f t="shared" si="198"/>
        <v>0</v>
      </c>
      <c r="N187" s="657">
        <f t="shared" si="198"/>
        <v>0</v>
      </c>
      <c r="O187" s="657">
        <f t="shared" si="198"/>
        <v>1.2</v>
      </c>
    </row>
    <row r="188" spans="1:15">
      <c r="A188" s="1273"/>
      <c r="B188" s="663">
        <v>4</v>
      </c>
      <c r="C188" s="657">
        <f>B56</f>
        <v>100</v>
      </c>
      <c r="D188" s="657">
        <f t="shared" ref="D188:G188" si="199">C56</f>
        <v>0.6</v>
      </c>
      <c r="E188" s="657">
        <f t="shared" si="199"/>
        <v>1</v>
      </c>
      <c r="F188" s="657">
        <f t="shared" si="199"/>
        <v>0.2</v>
      </c>
      <c r="G188" s="657">
        <f t="shared" si="199"/>
        <v>1.3</v>
      </c>
      <c r="I188" s="1273"/>
      <c r="J188" s="663">
        <v>4</v>
      </c>
      <c r="K188" s="657">
        <f>B62</f>
        <v>2</v>
      </c>
      <c r="L188" s="657">
        <f t="shared" ref="L188:O188" si="200">C62</f>
        <v>0</v>
      </c>
      <c r="M188" s="657">
        <f t="shared" si="200"/>
        <v>0</v>
      </c>
      <c r="N188" s="657">
        <f t="shared" si="200"/>
        <v>0</v>
      </c>
      <c r="O188" s="657">
        <f t="shared" si="200"/>
        <v>0.43</v>
      </c>
    </row>
    <row r="189" spans="1:15">
      <c r="A189" s="1273"/>
      <c r="B189" s="663">
        <v>5</v>
      </c>
      <c r="C189" s="657">
        <f>I56</f>
        <v>100</v>
      </c>
      <c r="D189" s="657">
        <f t="shared" ref="D189:G189" si="201">J56</f>
        <v>1.3</v>
      </c>
      <c r="E189" s="657">
        <f t="shared" si="201"/>
        <v>0.8</v>
      </c>
      <c r="F189" s="657">
        <f t="shared" si="201"/>
        <v>0.25</v>
      </c>
      <c r="G189" s="657">
        <f t="shared" si="201"/>
        <v>1.3</v>
      </c>
      <c r="I189" s="1273"/>
      <c r="J189" s="663">
        <v>5</v>
      </c>
      <c r="K189" s="657">
        <f>I62</f>
        <v>2</v>
      </c>
      <c r="L189" s="657">
        <f t="shared" ref="L189:O189" si="202">J62</f>
        <v>0</v>
      </c>
      <c r="M189" s="657">
        <f t="shared" si="202"/>
        <v>0</v>
      </c>
      <c r="N189" s="657">
        <f t="shared" si="202"/>
        <v>0</v>
      </c>
      <c r="O189" s="657">
        <f t="shared" si="202"/>
        <v>0.43</v>
      </c>
    </row>
    <row r="190" spans="1:15">
      <c r="A190" s="1273"/>
      <c r="B190" s="663">
        <v>6</v>
      </c>
      <c r="C190" s="657">
        <f>P56</f>
        <v>100</v>
      </c>
      <c r="D190" s="657">
        <f t="shared" ref="D190:G190" si="203">Q56</f>
        <v>0.9</v>
      </c>
      <c r="E190" s="657">
        <f t="shared" si="203"/>
        <v>0.6</v>
      </c>
      <c r="F190" s="657">
        <f t="shared" si="203"/>
        <v>0.15000000000000002</v>
      </c>
      <c r="G190" s="657">
        <f t="shared" si="203"/>
        <v>1.7</v>
      </c>
      <c r="I190" s="1273"/>
      <c r="J190" s="663">
        <v>6</v>
      </c>
      <c r="K190" s="657">
        <f>P62</f>
        <v>2</v>
      </c>
      <c r="L190" s="657">
        <f t="shared" ref="L190:O190" si="204">Q62</f>
        <v>0</v>
      </c>
      <c r="M190" s="657">
        <f t="shared" si="204"/>
        <v>0</v>
      </c>
      <c r="N190" s="657">
        <f t="shared" si="204"/>
        <v>0</v>
      </c>
      <c r="O190" s="657">
        <f t="shared" si="204"/>
        <v>1.2</v>
      </c>
    </row>
    <row r="191" spans="1:15">
      <c r="A191" s="1273"/>
      <c r="B191" s="663">
        <v>7</v>
      </c>
      <c r="C191" s="657">
        <f>B87</f>
        <v>100</v>
      </c>
      <c r="D191" s="657" t="str">
        <f t="shared" ref="D191:G191" si="205">C87</f>
        <v>-</v>
      </c>
      <c r="E191" s="657">
        <f t="shared" si="205"/>
        <v>1.4</v>
      </c>
      <c r="F191" s="657">
        <f t="shared" si="205"/>
        <v>0</v>
      </c>
      <c r="G191" s="657">
        <f t="shared" si="205"/>
        <v>1.7</v>
      </c>
      <c r="I191" s="1273"/>
      <c r="J191" s="663">
        <v>7</v>
      </c>
      <c r="K191" s="657">
        <f>B93</f>
        <v>2</v>
      </c>
      <c r="L191" s="657">
        <f t="shared" ref="L191:O191" si="206">C93</f>
        <v>0</v>
      </c>
      <c r="M191" s="657">
        <f t="shared" si="206"/>
        <v>0</v>
      </c>
      <c r="N191" s="657">
        <f t="shared" si="206"/>
        <v>0</v>
      </c>
      <c r="O191" s="657">
        <f t="shared" si="206"/>
        <v>1.2</v>
      </c>
    </row>
    <row r="192" spans="1:15">
      <c r="A192" s="1273"/>
      <c r="B192" s="663">
        <v>8</v>
      </c>
      <c r="C192" s="657">
        <f>I87</f>
        <v>100</v>
      </c>
      <c r="D192" s="657">
        <f t="shared" ref="D192:G192" si="207">J87</f>
        <v>0</v>
      </c>
      <c r="E192" s="657">
        <f t="shared" si="207"/>
        <v>0</v>
      </c>
      <c r="F192" s="657">
        <f t="shared" si="207"/>
        <v>0</v>
      </c>
      <c r="G192" s="657">
        <f t="shared" si="207"/>
        <v>0</v>
      </c>
      <c r="I192" s="1273"/>
      <c r="J192" s="663">
        <v>8</v>
      </c>
      <c r="K192" s="657">
        <f>I93</f>
        <v>2</v>
      </c>
      <c r="L192" s="657">
        <f t="shared" ref="L192:O192" si="208">J93</f>
        <v>0</v>
      </c>
      <c r="M192" s="657">
        <f t="shared" si="208"/>
        <v>-6.0000000000000001E-3</v>
      </c>
      <c r="N192" s="657">
        <f t="shared" si="208"/>
        <v>3.0000000000000001E-3</v>
      </c>
      <c r="O192" s="657">
        <f t="shared" si="208"/>
        <v>1.2</v>
      </c>
    </row>
    <row r="193" spans="1:20">
      <c r="A193" s="1273"/>
      <c r="B193" s="663">
        <v>9</v>
      </c>
      <c r="C193" s="657">
        <f>P87</f>
        <v>100</v>
      </c>
      <c r="D193" s="657">
        <f t="shared" ref="D193:G193" si="209">Q87</f>
        <v>0</v>
      </c>
      <c r="E193" s="657">
        <f t="shared" si="209"/>
        <v>0</v>
      </c>
      <c r="F193" s="657">
        <f t="shared" si="209"/>
        <v>0</v>
      </c>
      <c r="G193" s="657">
        <f t="shared" si="209"/>
        <v>0</v>
      </c>
      <c r="I193" s="1273"/>
      <c r="J193" s="663">
        <v>9</v>
      </c>
      <c r="K193" s="657">
        <f>P93</f>
        <v>2</v>
      </c>
      <c r="L193" s="657">
        <f t="shared" ref="L193:O193" si="210">Q93</f>
        <v>0</v>
      </c>
      <c r="M193" s="657">
        <f t="shared" si="210"/>
        <v>-6.0000000000000001E-3</v>
      </c>
      <c r="N193" s="657">
        <f t="shared" si="210"/>
        <v>3.0000000000000001E-3</v>
      </c>
      <c r="O193" s="657">
        <f t="shared" si="210"/>
        <v>1.2</v>
      </c>
    </row>
    <row r="194" spans="1:20" ht="13" thickBot="1">
      <c r="A194" s="644"/>
      <c r="B194" s="645"/>
      <c r="C194" s="645"/>
    </row>
    <row r="195" spans="1:20" ht="24.75" customHeight="1">
      <c r="A195" s="664">
        <f>A244</f>
        <v>7</v>
      </c>
      <c r="B195" s="1276" t="str">
        <f>A234</f>
        <v>Electrical Safety Analyzer, Merek : Fluke, Model : ESA 615, SN : 3699030</v>
      </c>
      <c r="C195" s="1276"/>
      <c r="D195" s="1276"/>
      <c r="E195" s="1277"/>
      <c r="F195" s="665"/>
      <c r="G195" s="1278" t="s">
        <v>651</v>
      </c>
      <c r="H195" s="1279"/>
      <c r="I195" s="1279"/>
      <c r="J195" s="1280"/>
      <c r="K195" s="665"/>
      <c r="L195" s="1281" t="s">
        <v>44</v>
      </c>
      <c r="M195" s="1284" t="s">
        <v>652</v>
      </c>
      <c r="N195" s="1287" t="s">
        <v>653</v>
      </c>
    </row>
    <row r="196" spans="1:20" ht="14.5" thickBot="1">
      <c r="A196" s="1289" t="s">
        <v>627</v>
      </c>
      <c r="B196" s="1290"/>
      <c r="C196" s="1290"/>
      <c r="D196" s="1290"/>
      <c r="E196" s="1291"/>
      <c r="F196" s="666"/>
      <c r="G196" s="667"/>
      <c r="H196" s="668">
        <f>IF($G$197&lt;=$A$200,A199,IF($G$197&lt;=$A$201,A200,IF($G$197&lt;=$A$202,A201,IF($G$197&lt;=$A$203,A202,IF($G$197&lt;=$A$204,A203,IF($G$197&gt;=$A$204,A204))))))</f>
        <v>220</v>
      </c>
      <c r="I196" s="668"/>
      <c r="J196" s="669">
        <f>IF($G$197&lt;=$A$200,C199,IF($G$197&lt;=$A$201,C200,IF($G$197&lt;=$A$202,C201,IF($G$197&lt;=$A$203,C202,IF($G$197&lt;=$A$204,C203,IF($G$197&gt;=$A$204,C204,))))))</f>
        <v>0.37</v>
      </c>
      <c r="K196" s="666"/>
      <c r="L196" s="1282"/>
      <c r="M196" s="1285"/>
      <c r="N196" s="1288"/>
    </row>
    <row r="197" spans="1:20" ht="13.5" thickBot="1">
      <c r="A197" s="1292" t="str">
        <f>B4</f>
        <v>Setting VAC</v>
      </c>
      <c r="B197" s="1293"/>
      <c r="C197" s="1293"/>
      <c r="D197" s="1294" t="s">
        <v>606</v>
      </c>
      <c r="E197" s="1296" t="s">
        <v>607</v>
      </c>
      <c r="F197" s="666"/>
      <c r="G197" s="670">
        <f>L198</f>
        <v>224.13</v>
      </c>
      <c r="H197" s="668"/>
      <c r="I197" s="671">
        <f>((G197-H196)/(H198-H196)*(J198-J196)+J196)</f>
        <v>0.41129999999999994</v>
      </c>
      <c r="J197" s="669"/>
      <c r="K197" s="666"/>
      <c r="L197" s="1283"/>
      <c r="M197" s="1286"/>
      <c r="N197" s="1288"/>
    </row>
    <row r="198" spans="1:20" ht="15.5">
      <c r="A198" s="672" t="s">
        <v>629</v>
      </c>
      <c r="B198" s="673">
        <f>VLOOKUP(B195,A235:K243,9,FALSE)</f>
        <v>2019</v>
      </c>
      <c r="C198" s="673">
        <f>VLOOKUP(B195,A235:K243,10,FALSE)</f>
        <v>2020</v>
      </c>
      <c r="D198" s="1295"/>
      <c r="E198" s="1297"/>
      <c r="F198" s="666"/>
      <c r="G198" s="667"/>
      <c r="H198" s="668">
        <f>IF($G$197&lt;=$A$200,A200,IF($G$197&lt;=$A$201,A201,IF($G$197&lt;=$A$202,A202,IF($G$197&lt;=$A$203,A203,IF($G$197&lt;=$A$204,A204,IF($G$197&lt;="250","250",))))))</f>
        <v>230</v>
      </c>
      <c r="I198" s="668"/>
      <c r="J198" s="669">
        <f>IF($G$197&lt;=$A$200,C200,IF($G$197&lt;=$A$201,C201,IF($G$197&lt;=$A$202,C202,IF($G$197&lt;=$A$203,C203,IF($G$197&lt;=$A$204,C204,IF($G$197&lt;="250",C204,))))))</f>
        <v>0.47</v>
      </c>
      <c r="K198" s="666"/>
      <c r="L198" s="674">
        <f>ID!D17</f>
        <v>224.13</v>
      </c>
      <c r="M198" s="675">
        <f>L198+I197</f>
        <v>224.54130000000001</v>
      </c>
      <c r="N198" s="676">
        <f>IF(L198="-","-",IF(L198=L198,M198,))</f>
        <v>224.54130000000001</v>
      </c>
      <c r="P198" s="609" t="s">
        <v>3</v>
      </c>
      <c r="Q198" s="677"/>
    </row>
    <row r="199" spans="1:20" ht="15.5">
      <c r="A199" s="678">
        <f>VLOOKUP($A195,$B100:$G108,2,(FALSE))</f>
        <v>150</v>
      </c>
      <c r="B199" s="679">
        <f>VLOOKUP($A$195,$B$100:$G$108,3,(FALSE))</f>
        <v>0.21</v>
      </c>
      <c r="C199" s="679">
        <f>VLOOKUP($A$195,$B$100:$G$108,4,(FALSE))</f>
        <v>0.21</v>
      </c>
      <c r="D199" s="679">
        <f>VLOOKUP($A$195,$B$100:$G$108,5,(FALSE))</f>
        <v>0</v>
      </c>
      <c r="E199" s="680">
        <f>VLOOKUP($A$195,$B$100:$G$108,6,(FALSE))</f>
        <v>1.2</v>
      </c>
      <c r="F199" s="666"/>
      <c r="G199" s="1310" t="s">
        <v>654</v>
      </c>
      <c r="H199" s="1311"/>
      <c r="I199" s="1311"/>
      <c r="J199" s="1312"/>
      <c r="K199" s="666"/>
      <c r="L199" s="681" t="str">
        <f>ID!G25</f>
        <v>OL</v>
      </c>
      <c r="M199" s="682" t="e">
        <f>L199+I201</f>
        <v>#VALUE!</v>
      </c>
      <c r="N199" s="683" t="str">
        <f>IF(L199="OL","OL",IF(L199="NC","NC",IF(L199="-","-",IF(L199=L199,M199,))))</f>
        <v>OL</v>
      </c>
      <c r="Q199" s="677"/>
    </row>
    <row r="200" spans="1:20" ht="15.5">
      <c r="A200" s="684">
        <f>VLOOKUP($A$195,$B$109:$G$117,2,(FALSE))</f>
        <v>180</v>
      </c>
      <c r="B200" s="685">
        <f>VLOOKUP($A$195,$B$109:$G$117,3,(FALSE))</f>
        <v>0.33</v>
      </c>
      <c r="C200" s="685">
        <f>VLOOKUP($A$195,$B$109:$G$117,4,(FALSE))</f>
        <v>0.33</v>
      </c>
      <c r="D200" s="685">
        <f>VLOOKUP($A$195,$B$109:$G$117,5,(FALSE))</f>
        <v>0</v>
      </c>
      <c r="E200" s="686">
        <f>VLOOKUP($A$195,$B$109:$G$117,6,(FALSE))</f>
        <v>1.2</v>
      </c>
      <c r="F200" s="666"/>
      <c r="G200" s="667"/>
      <c r="H200" s="668">
        <f>IF($G$201&lt;=$A$215,0,IF($G$201&lt;=$A$216,$A$215,IF($G$201&lt;=$A$217,$A$216,IF($G$201&lt;=$A$218,$A$217,))))</f>
        <v>0</v>
      </c>
      <c r="I200" s="668"/>
      <c r="J200" s="669">
        <f>IF($G$201&lt;=$A$215,0,IF($G$201&lt;=$A$216,$C$215,IF($G$201&lt;=$A$217,$C$216,IF($G$201&lt;=$A$218,$C$217,))))</f>
        <v>0</v>
      </c>
      <c r="K200" s="666"/>
      <c r="L200" s="681">
        <f>ID!G26</f>
        <v>0.1</v>
      </c>
      <c r="M200" s="687">
        <f>L200+I205</f>
        <v>0.1</v>
      </c>
      <c r="N200" s="688">
        <f>IF(L200="OL","OL",IF(L200="NC","NC",IF(L200="-","-",IF(L200=L200,M200,))))</f>
        <v>0.1</v>
      </c>
      <c r="Q200" s="677"/>
      <c r="T200" s="677"/>
    </row>
    <row r="201" spans="1:20" ht="16" thickBot="1">
      <c r="A201" s="684">
        <f>VLOOKUP($A$195,$B$118:$G$126,2,(FALSE))</f>
        <v>200</v>
      </c>
      <c r="B201" s="685">
        <f>VLOOKUP($A$195,$B$118:$G$126,3,(FALSE))</f>
        <v>0.34</v>
      </c>
      <c r="C201" s="685">
        <f>VLOOKUP($A$195,$B$118:$G$126,4,(FALSE))</f>
        <v>0.34</v>
      </c>
      <c r="D201" s="685">
        <f>VLOOKUP($A$195,$B$118:$G$126,5,(FALSE))</f>
        <v>0</v>
      </c>
      <c r="E201" s="686">
        <f>VLOOKUP($A$195,$B$118:$G$126,6,(FALSE))</f>
        <v>1.2</v>
      </c>
      <c r="F201" s="666"/>
      <c r="G201" s="670" t="str">
        <f>L199</f>
        <v>OL</v>
      </c>
      <c r="H201" s="668"/>
      <c r="I201" s="671" t="e">
        <f>((G201-H200)/(H202-H200)*(J202-J200)+J200)</f>
        <v>#VALUE!</v>
      </c>
      <c r="J201" s="669"/>
      <c r="K201" s="689" t="s">
        <v>168</v>
      </c>
      <c r="L201" s="681" t="str">
        <f>ID!G27</f>
        <v>-</v>
      </c>
      <c r="M201" s="690" t="e">
        <f>L201+I209</f>
        <v>#VALUE!</v>
      </c>
      <c r="N201" s="691" t="str">
        <f>IF(L201="-","-",IF(L201=L201,M201,))</f>
        <v>-</v>
      </c>
      <c r="Q201" s="677"/>
      <c r="T201" s="677"/>
    </row>
    <row r="202" spans="1:20" ht="16" thickBot="1">
      <c r="A202" s="684">
        <f>VLOOKUP($A$195,$B$127:$G$135,2,(FALSE))</f>
        <v>220</v>
      </c>
      <c r="B202" s="685">
        <f>VLOOKUP($A$195,$B$127:$G$135,3,(FALSE))</f>
        <v>0.37</v>
      </c>
      <c r="C202" s="685">
        <f>VLOOKUP($A$195,$B$127:$G$135,4,(FALSE))</f>
        <v>0.37</v>
      </c>
      <c r="D202" s="685">
        <f>VLOOKUP($A$195,$B$127:$G$135,5,(FALSE))</f>
        <v>0</v>
      </c>
      <c r="E202" s="686">
        <f>VLOOKUP($A$195,$B$127:$G$135,6,(FALSE))</f>
        <v>1.2</v>
      </c>
      <c r="F202" s="666"/>
      <c r="G202" s="667"/>
      <c r="H202" s="668">
        <f>IF($G$201&lt;=$A$215,$A$215,IF($G$201&lt;=$A$216,$A$216,IF($G$201&lt;=$A$217,$A$217,IF($G$201&lt;=$A$218,$A$218,))))</f>
        <v>0</v>
      </c>
      <c r="I202" s="668"/>
      <c r="J202" s="669">
        <f>IF($G$201&lt;=$A$215,$C$215,IF($G$201&lt;=$A$216,$C$216,IF($G$201&lt;=$A$217,$C$217,IF($G$201&lt;=$A$218,$C$218,))))</f>
        <v>0</v>
      </c>
      <c r="K202" s="689" t="s">
        <v>150</v>
      </c>
      <c r="L202" s="692">
        <f>ID!K27</f>
        <v>20</v>
      </c>
      <c r="M202" s="690">
        <f>L202+I213</f>
        <v>20.68</v>
      </c>
      <c r="N202" s="691">
        <f t="shared" ref="N202" si="211">IF(L202="-","-",IF(L202=L202,M202,))</f>
        <v>20.68</v>
      </c>
      <c r="Q202" s="677"/>
      <c r="T202" s="677"/>
    </row>
    <row r="203" spans="1:20" ht="15.5">
      <c r="A203" s="684">
        <f>VLOOKUP($A$195,$B$136:$G$144,2,(FALSE))</f>
        <v>230</v>
      </c>
      <c r="B203" s="685">
        <f>VLOOKUP($A$195,$B$136:$G$144,3,(FALSE))</f>
        <v>0.47</v>
      </c>
      <c r="C203" s="685">
        <f>VLOOKUP($A$195,$B$136:$G$144,4,(FALSE))</f>
        <v>0.47</v>
      </c>
      <c r="D203" s="685">
        <f>VLOOKUP($A$195,$B$136:$G$144,5,(FALSE))</f>
        <v>0</v>
      </c>
      <c r="E203" s="686">
        <f>VLOOKUP($A$195,$B$136:$G$144,6,(FALSE))</f>
        <v>1.2</v>
      </c>
      <c r="F203" s="666"/>
      <c r="G203" s="1310" t="s">
        <v>33</v>
      </c>
      <c r="H203" s="1311"/>
      <c r="I203" s="1311"/>
      <c r="J203" s="1312"/>
      <c r="K203" s="666"/>
      <c r="L203" s="693"/>
      <c r="M203" s="694"/>
      <c r="N203" s="695"/>
      <c r="Q203" s="677"/>
      <c r="T203" s="677"/>
    </row>
    <row r="204" spans="1:20" ht="16" thickBot="1">
      <c r="A204" s="696">
        <f>VLOOKUP($A$195,$B$145:$G$153,2,(FALSE))</f>
        <v>250</v>
      </c>
      <c r="B204" s="697">
        <f>VLOOKUP($A$195,$B$145:$G$153,3,(FALSE))</f>
        <v>0</v>
      </c>
      <c r="C204" s="697">
        <f>VLOOKUP($A$195,$B$145:$G$153,4,(FALSE))</f>
        <v>0</v>
      </c>
      <c r="D204" s="697">
        <f>VLOOKUP($A$195,$B$145:$G$153,5,(FALSE))</f>
        <v>0</v>
      </c>
      <c r="E204" s="698">
        <f>VLOOKUP($A$195,$B$145:$G$153,6,(FALSE))</f>
        <v>1.2</v>
      </c>
      <c r="F204" s="666"/>
      <c r="G204" s="667"/>
      <c r="H204" s="668">
        <f>IF($G$205&lt;=A222,A221,IF($G$205&lt;=A223,A222,IF($G$205&lt;=A224,A223,)))</f>
        <v>0.01</v>
      </c>
      <c r="I204" s="668"/>
      <c r="J204" s="699">
        <f>IF($G$205&lt;=A222,C221,IF($G$205&lt;=A223,C222,IF($G$205&lt;=A224,C223,)))</f>
        <v>0</v>
      </c>
      <c r="K204" s="666"/>
      <c r="L204" s="693"/>
      <c r="M204" s="694"/>
      <c r="N204" s="695"/>
      <c r="Q204" s="677"/>
      <c r="T204" s="677"/>
    </row>
    <row r="205" spans="1:20" ht="15.5">
      <c r="A205" s="1305" t="str">
        <f>B12</f>
        <v>Current Leakage</v>
      </c>
      <c r="B205" s="1306"/>
      <c r="C205" s="1306"/>
      <c r="D205" s="700" t="s">
        <v>606</v>
      </c>
      <c r="E205" s="701" t="s">
        <v>607</v>
      </c>
      <c r="F205" s="666"/>
      <c r="G205" s="702">
        <f>L200</f>
        <v>0.1</v>
      </c>
      <c r="H205" s="668"/>
      <c r="I205" s="671">
        <f>((G205-H204)/(H206-H204)*(J206-J204)+J204)</f>
        <v>0</v>
      </c>
      <c r="J205" s="699"/>
      <c r="K205" s="666"/>
      <c r="L205" s="693"/>
      <c r="M205" s="694"/>
      <c r="N205" s="695"/>
      <c r="S205" s="703"/>
      <c r="T205" s="677"/>
    </row>
    <row r="206" spans="1:20" ht="15.5">
      <c r="A206" s="672" t="s">
        <v>631</v>
      </c>
      <c r="B206" s="673">
        <f>B198</f>
        <v>2019</v>
      </c>
      <c r="C206" s="673">
        <f>C198</f>
        <v>2020</v>
      </c>
      <c r="D206" s="673"/>
      <c r="E206" s="704"/>
      <c r="F206" s="666"/>
      <c r="G206" s="667"/>
      <c r="H206" s="668">
        <f>IF($G$205&lt;=A222,A222,IF($G$205&lt;=A223,A223,IF($G$205&lt;=A224,A224,)))</f>
        <v>0.1</v>
      </c>
      <c r="I206" s="668"/>
      <c r="J206" s="699">
        <f>IF($G$205&lt;=A222,C222,IF($G$205&lt;=A223,C223,IF($G$205&lt;=A224,C224,)))</f>
        <v>0</v>
      </c>
      <c r="K206" s="666"/>
      <c r="L206" s="693"/>
      <c r="M206" s="694"/>
      <c r="N206" s="695"/>
      <c r="T206" s="677"/>
    </row>
    <row r="207" spans="1:20">
      <c r="A207" s="705">
        <f>VLOOKUP($A$195,$J$100:$O$108,2,(FALSE))</f>
        <v>0</v>
      </c>
      <c r="B207" s="685">
        <f>VLOOKUP($A$195,$J$100:$O$108,3,(FALSE))</f>
        <v>0</v>
      </c>
      <c r="C207" s="685">
        <f>VLOOKUP($A$195,$J$100:$O$108,4,(FALSE))</f>
        <v>0</v>
      </c>
      <c r="D207" s="685">
        <f>VLOOKUP($A$195,$J$100:$O$108,5,(FALSE))</f>
        <v>0</v>
      </c>
      <c r="E207" s="686">
        <f>VLOOKUP($A$195,$J$100:$O$108,6,(FALSE))</f>
        <v>0.59</v>
      </c>
      <c r="F207" s="666"/>
      <c r="G207" s="1310" t="s">
        <v>655</v>
      </c>
      <c r="H207" s="1311"/>
      <c r="I207" s="1311"/>
      <c r="J207" s="1312"/>
      <c r="K207" s="666"/>
      <c r="L207" s="706"/>
      <c r="M207" s="706"/>
      <c r="N207" s="707"/>
    </row>
    <row r="208" spans="1:20">
      <c r="A208" s="705">
        <f>VLOOKUP($A$195,$J$109:$O$117,2,(FALSE))</f>
        <v>50</v>
      </c>
      <c r="B208" s="685">
        <f>VLOOKUP($A$195,$J$109:$O$117,3,(FALSE))</f>
        <v>1.7</v>
      </c>
      <c r="C208" s="685">
        <f>VLOOKUP($A$195,$J$109:$O$117,4,(FALSE))</f>
        <v>1.7</v>
      </c>
      <c r="D208" s="685">
        <f>VLOOKUP($A$195,$J$109:$O$117,5,(FALSE))</f>
        <v>0</v>
      </c>
      <c r="E208" s="686">
        <f>VLOOKUP($A$195,$J$109:$O$117,6,(FALSE))</f>
        <v>0.59</v>
      </c>
      <c r="F208" s="666"/>
      <c r="G208" s="667"/>
      <c r="H208" s="668">
        <f>IF(G209&lt;=$A$208,$A$207,IF(G209&lt;=$A$209,$A$208,IF(G209&lt;=$A$210,$A$209,IF(G209&lt;=$A$211,$A$210,IF(G209&lt;=$A$212,$A$211,)))))</f>
        <v>0</v>
      </c>
      <c r="I208" s="668"/>
      <c r="J208" s="669">
        <f>IF(G209&lt;=$A$208,$C$207,IF(G209&lt;=$A$209,$C$208,IF(G209&lt;=$A$210,$C$209,IF(G209&lt;=$A$211,$C$210,IF(G209&lt;=$A$212,$C$211,)))))</f>
        <v>0</v>
      </c>
      <c r="K208" s="666"/>
      <c r="L208" s="708"/>
      <c r="M208" s="708"/>
      <c r="N208" s="695"/>
    </row>
    <row r="209" spans="1:15">
      <c r="A209" s="705">
        <f>VLOOKUP($A$195,$J$118:$O$126,2,(FALSE))</f>
        <v>100</v>
      </c>
      <c r="B209" s="685">
        <f>VLOOKUP($A$195,$J$118:$O$126,3,(FALSE))</f>
        <v>1.7</v>
      </c>
      <c r="C209" s="685">
        <f>VLOOKUP($A$195,$J$118:$O$126,4,(FALSE))</f>
        <v>1.7</v>
      </c>
      <c r="D209" s="685">
        <f>VLOOKUP($A$195,$J$118:$O$126,5,(FALSE))</f>
        <v>0</v>
      </c>
      <c r="E209" s="686">
        <f>VLOOKUP($A$195,$J$118:$O$126,6,(FALSE))</f>
        <v>0.59</v>
      </c>
      <c r="F209" s="666"/>
      <c r="G209" s="709" t="str">
        <f>L201</f>
        <v>-</v>
      </c>
      <c r="H209" s="668"/>
      <c r="I209" s="710" t="e">
        <f>((G209-H208)/(H210-H208)*(J210-J208)+J208)</f>
        <v>#VALUE!</v>
      </c>
      <c r="J209" s="669"/>
      <c r="K209" s="666"/>
      <c r="L209" s="666"/>
      <c r="M209" s="666"/>
      <c r="N209" s="711"/>
    </row>
    <row r="210" spans="1:15" ht="13" thickBot="1">
      <c r="A210" s="705">
        <f>VLOOKUP($A$195,$J$127:$O$135,2,(FALSE))</f>
        <v>200</v>
      </c>
      <c r="B210" s="685">
        <f>VLOOKUP($A$195,$J$127:$O$135,3,(FALSE))</f>
        <v>0.4</v>
      </c>
      <c r="C210" s="685">
        <f>VLOOKUP($A$195,$J$127:$O$135,4,(FALSE))</f>
        <v>0.4</v>
      </c>
      <c r="D210" s="685">
        <f>VLOOKUP($A$195,$J$127:$O$135,5,(FALSE))</f>
        <v>0</v>
      </c>
      <c r="E210" s="686">
        <f>VLOOKUP($A$195,$J$127:$O$135,6,(FALSE))</f>
        <v>0.59</v>
      </c>
      <c r="F210" s="666"/>
      <c r="G210" s="712"/>
      <c r="H210" s="713">
        <f>IF(G209&lt;=$A$208,$A$208,IF(G209&lt;=$A$209,$A$209,IF(G209&lt;=$A$210,$A$210,IF(G209&lt;=$A$211,$A$211,IF(G209&lt;=$A$212,$A$212,)))))</f>
        <v>0</v>
      </c>
      <c r="I210" s="713"/>
      <c r="J210" s="714">
        <f>IF(G209&lt;=$A$208,$C$208,IF(G209&lt;=$A$209,$C$209,IF(G209&lt;=$A$210,$C$210,IF(G209&lt;=$A$211,$C$211,IF(G209&lt;=$A$212,$C$212,)))))</f>
        <v>0</v>
      </c>
      <c r="K210" s="666"/>
      <c r="L210" s="666"/>
      <c r="M210" s="666"/>
      <c r="N210" s="711"/>
    </row>
    <row r="211" spans="1:15" ht="13">
      <c r="A211" s="705">
        <f>VLOOKUP($A$195,$J$136:$O$144,2,(FALSE))</f>
        <v>500</v>
      </c>
      <c r="B211" s="685">
        <f>VLOOKUP($A$195,$J$136:$O$144,3,(FALSE))</f>
        <v>3</v>
      </c>
      <c r="C211" s="685">
        <f>VLOOKUP($A$195,$J$136:$O$144,4,(FALSE))</f>
        <v>3</v>
      </c>
      <c r="D211" s="685">
        <f>VLOOKUP($A$195,$J$136:$O$144,5,(FALSE))</f>
        <v>0</v>
      </c>
      <c r="E211" s="686">
        <f>VLOOKUP($A$195,$J$136:$O$144,6,(FALSE))</f>
        <v>0.59</v>
      </c>
      <c r="F211" s="666"/>
      <c r="G211" s="1310" t="s">
        <v>655</v>
      </c>
      <c r="H211" s="1311"/>
      <c r="I211" s="1311"/>
      <c r="J211" s="1312"/>
      <c r="K211" s="666"/>
      <c r="L211" s="715"/>
      <c r="M211" s="715"/>
      <c r="N211" s="716"/>
      <c r="O211" s="717"/>
    </row>
    <row r="212" spans="1:15" ht="13" thickBot="1">
      <c r="A212" s="718">
        <f>VLOOKUP($A$195,$J$145:$O$153,2,(FALSE))</f>
        <v>1000</v>
      </c>
      <c r="B212" s="697">
        <f>VLOOKUP($A$195,$J$145:$O$153,3,(FALSE))</f>
        <v>5</v>
      </c>
      <c r="C212" s="697">
        <f>VLOOKUP($A$195,$J$145:$O$153,4,(FALSE))</f>
        <v>4</v>
      </c>
      <c r="D212" s="697">
        <f>VLOOKUP($A$195,$J$145:$O$153,5,(FALSE))</f>
        <v>0.5</v>
      </c>
      <c r="E212" s="698">
        <f>VLOOKUP($A$195,$J$145:$O$153,6,(FALSE))</f>
        <v>0.59</v>
      </c>
      <c r="F212" s="666"/>
      <c r="G212" s="667"/>
      <c r="H212" s="668">
        <f>IF(G213&lt;=$A$208,$A$207,IF(G213&lt;=$A$209,$A$208,IF(G213&lt;=$A$210,$A$209,IF(G213&lt;=$A$211,$A$210,IF(G213&lt;=$A$212,$A$211,)))))</f>
        <v>0</v>
      </c>
      <c r="I212" s="668"/>
      <c r="J212" s="669">
        <f>IF(G213&lt;=$A$208,$C$207,IF(G213&lt;=$A$209,$C$208,IF(G213&lt;=$A$210,$C$209,IF(G213&lt;=$A$211,$C$210,IF(G213&lt;=$A$212,$C$211,)))))</f>
        <v>0</v>
      </c>
      <c r="K212" s="666"/>
      <c r="L212" s="719"/>
      <c r="M212" s="719"/>
      <c r="N212" s="720"/>
      <c r="O212" s="721"/>
    </row>
    <row r="213" spans="1:15" ht="13">
      <c r="A213" s="1305" t="str">
        <f>B20</f>
        <v>Main-PE</v>
      </c>
      <c r="B213" s="1306"/>
      <c r="C213" s="1306"/>
      <c r="D213" s="700" t="s">
        <v>606</v>
      </c>
      <c r="E213" s="701" t="s">
        <v>607</v>
      </c>
      <c r="F213" s="666"/>
      <c r="G213" s="709">
        <f>L202</f>
        <v>20</v>
      </c>
      <c r="H213" s="668"/>
      <c r="I213" s="710">
        <f>((G213-H212)/(H214-H212)*(J214-J212)+J212)</f>
        <v>0.68</v>
      </c>
      <c r="J213" s="669"/>
      <c r="K213" s="666"/>
      <c r="L213" s="722"/>
      <c r="M213" s="719"/>
      <c r="N213" s="723"/>
      <c r="O213" s="724"/>
    </row>
    <row r="214" spans="1:15" ht="15" thickBot="1">
      <c r="A214" s="672" t="s">
        <v>633</v>
      </c>
      <c r="B214" s="673">
        <f>B206</f>
        <v>2019</v>
      </c>
      <c r="C214" s="673">
        <f>C206</f>
        <v>2020</v>
      </c>
      <c r="D214" s="673"/>
      <c r="E214" s="704"/>
      <c r="F214" s="666"/>
      <c r="G214" s="712"/>
      <c r="H214" s="713">
        <f>IF(G213&lt;=$A$208,$A$208,IF(G213&lt;=$A$209,$A$209,IF(G213&lt;=$A$210,$A$210,IF(G213&lt;=$A$211,$A$211,IF(G213&lt;=$A$212,$A$212,)))))</f>
        <v>50</v>
      </c>
      <c r="I214" s="713"/>
      <c r="J214" s="714">
        <f>IF(G213&lt;=$A$208,$C$208,IF(G213&lt;=$A$209,$C$209,IF(G213&lt;=$A$210,$C$210,IF(G213&lt;=$A$211,$C$211,IF(G213&lt;=$A$212,$C$212,)))))</f>
        <v>1.7</v>
      </c>
      <c r="K214" s="666"/>
      <c r="L214" s="719"/>
      <c r="M214" s="719"/>
      <c r="N214" s="720"/>
      <c r="O214" s="721"/>
    </row>
    <row r="215" spans="1:15">
      <c r="A215" s="705">
        <f>VLOOKUP($A$195,$B$158:$G$166,2,(FALSE))</f>
        <v>10</v>
      </c>
      <c r="B215" s="685" t="str">
        <f>VLOOKUP($A$195,$B$158:$G$166,3,(FALSE))</f>
        <v>-</v>
      </c>
      <c r="C215" s="685">
        <f>VLOOKUP($A$195,$B$158:$G$166,4,(FALSE))</f>
        <v>0</v>
      </c>
      <c r="D215" s="685">
        <f>VLOOKUP($A$195,$B$158:$G$166,5,(FALSE))</f>
        <v>0</v>
      </c>
      <c r="E215" s="725">
        <f>VLOOKUP($A$195,$B$158:$G$166,6,(FALSE))</f>
        <v>1.7</v>
      </c>
      <c r="F215" s="666"/>
      <c r="G215" s="1304" t="s">
        <v>655</v>
      </c>
      <c r="H215" s="1304"/>
      <c r="I215" s="1304"/>
      <c r="J215" s="1304"/>
      <c r="K215" s="666"/>
      <c r="L215" s="666"/>
      <c r="M215" s="666"/>
      <c r="N215" s="711"/>
    </row>
    <row r="216" spans="1:15">
      <c r="A216" s="705">
        <f>VLOOKUP($A$195,$B$167:$G$175,2,(FALSE))</f>
        <v>20</v>
      </c>
      <c r="B216" s="685" t="str">
        <f>VLOOKUP($A$195,$B$167:$G$175,3,(FALSE))</f>
        <v>-</v>
      </c>
      <c r="C216" s="685">
        <f>VLOOKUP($A$195,$B$167:$G$175,4,(FALSE))</f>
        <v>0.1</v>
      </c>
      <c r="D216" s="685">
        <f>VLOOKUP($A$195,$B$167:$G$175,5,(FALSE))</f>
        <v>0</v>
      </c>
      <c r="E216" s="725">
        <f>VLOOKUP($A$195,$B$167:$G$175,6,(FALSE))</f>
        <v>1.7</v>
      </c>
      <c r="F216" s="666"/>
      <c r="G216" s="726"/>
      <c r="H216" s="726">
        <f>IF(G217&lt;=$A$208,$A$207,IF(G217&lt;=$A$209,$A$208,IF(G217&lt;=$A$210,$A$209,IF(G217&lt;=$A$211,$A$210,IF(G217&lt;=$A$212,$A$211,)))))</f>
        <v>0</v>
      </c>
      <c r="I216" s="726"/>
      <c r="J216" s="727">
        <f>IF(G217&lt;=$A$208,$B$207,IF(G217&lt;=$A$209,$B$208,IF(G217&lt;=$A$210,$B$209,IF(G217&lt;=$A$211,$B$210,IF(G217&lt;=$A$212,$B$211,)))))</f>
        <v>0</v>
      </c>
      <c r="K216" s="666"/>
      <c r="L216" s="666"/>
      <c r="M216" s="666"/>
      <c r="N216" s="711"/>
    </row>
    <row r="217" spans="1:15">
      <c r="A217" s="705">
        <f>VLOOKUP($A$195,$B$176:$G$184,2,(FALSE))</f>
        <v>50</v>
      </c>
      <c r="B217" s="685" t="str">
        <f>VLOOKUP($A$195,$B$176:$G$184,3,(FALSE))</f>
        <v>-</v>
      </c>
      <c r="C217" s="685">
        <f>VLOOKUP($A$195,$B$176:$G$184,4,(FALSE))</f>
        <v>0.4</v>
      </c>
      <c r="D217" s="685">
        <f>VLOOKUP($A$195,$B$176:$G$184,5,(FALSE))</f>
        <v>0</v>
      </c>
      <c r="E217" s="725">
        <f>VLOOKUP($A$195,$B$176:$G$184,6,(FALSE))</f>
        <v>1.7</v>
      </c>
      <c r="F217" s="666"/>
      <c r="G217" s="727">
        <f>L203</f>
        <v>0</v>
      </c>
      <c r="H217" s="726"/>
      <c r="I217" s="727">
        <f>((G217-H216)/(H218-H216)*(J218-J216)+J216)</f>
        <v>0</v>
      </c>
      <c r="J217" s="727"/>
      <c r="K217" s="666"/>
      <c r="L217" s="666"/>
      <c r="M217" s="666"/>
      <c r="N217" s="711"/>
    </row>
    <row r="218" spans="1:15" ht="13" thickBot="1">
      <c r="A218" s="718">
        <f>VLOOKUP($A$195,$B$185:$G$193,2,(FALSE))</f>
        <v>100</v>
      </c>
      <c r="B218" s="697" t="str">
        <f>VLOOKUP($A$195,$B$185:$G$193,3,(FALSE))</f>
        <v>-</v>
      </c>
      <c r="C218" s="697">
        <f>VLOOKUP($A$195,$B$185:$G$193,4,(FALSE))</f>
        <v>1.4</v>
      </c>
      <c r="D218" s="697">
        <f>VLOOKUP($A$195,$B$185:$G$193,5,(FALSE))</f>
        <v>0</v>
      </c>
      <c r="E218" s="728">
        <f>VLOOKUP($A$195,$B$185:$G$193,6,(FALSE))</f>
        <v>1.7</v>
      </c>
      <c r="F218" s="666"/>
      <c r="G218" s="726"/>
      <c r="H218" s="726">
        <f>IF(G217&lt;=$A$208,$A$208,IF(G217&lt;=$A$209,$A$209,IF(G217&lt;=$A$210,$A$210,IF(G217&lt;=$A$211,$A$211,IF(G217&lt;=$A$212,$A$212,)))))</f>
        <v>50</v>
      </c>
      <c r="I218" s="726"/>
      <c r="J218" s="727">
        <f>IF(G217&lt;=$A$208,$B$208,IF(G217&lt;=$A$209,$B$209,IF(G217&lt;=$A$210,$B$210,IF(G217&lt;=$A$211,$B$211,IF(G217&lt;=$A$212,$B$212,)))))</f>
        <v>1.7</v>
      </c>
      <c r="K218" s="666"/>
      <c r="L218" s="666"/>
      <c r="M218" s="666"/>
      <c r="N218" s="711"/>
    </row>
    <row r="219" spans="1:15" ht="13">
      <c r="A219" s="1305" t="str">
        <f>B26</f>
        <v>Resistance</v>
      </c>
      <c r="B219" s="1306"/>
      <c r="C219" s="1306"/>
      <c r="D219" s="700" t="s">
        <v>606</v>
      </c>
      <c r="E219" s="701" t="s">
        <v>607</v>
      </c>
      <c r="F219" s="666"/>
      <c r="G219" s="1304" t="s">
        <v>655</v>
      </c>
      <c r="H219" s="1304"/>
      <c r="I219" s="1304"/>
      <c r="J219" s="1304"/>
      <c r="K219" s="666"/>
      <c r="L219" s="666"/>
      <c r="M219" s="666"/>
      <c r="N219" s="711"/>
    </row>
    <row r="220" spans="1:15" ht="14.5">
      <c r="A220" s="672" t="s">
        <v>635</v>
      </c>
      <c r="B220" s="673">
        <f>B214</f>
        <v>2019</v>
      </c>
      <c r="C220" s="673">
        <f>C214</f>
        <v>2020</v>
      </c>
      <c r="D220" s="673"/>
      <c r="E220" s="704"/>
      <c r="F220" s="666"/>
      <c r="G220" s="726"/>
      <c r="H220" s="726">
        <f>IF(G221&lt;=$A$208,$A$207,IF(G221&lt;=$A$209,$A$208,IF(G221&lt;=$A$210,$A$209,IF(G221&lt;=$A$211,$A$210,IF(G221&lt;=$A$212,$A$211,)))))</f>
        <v>0</v>
      </c>
      <c r="I220" s="726"/>
      <c r="J220" s="727">
        <f>IF(G221&lt;=$A$208,$B$207,IF(G221&lt;=$A$209,$B$208,IF(G221&lt;=$A$210,$B$209,IF(G221&lt;=$A$211,$B$210,IF(G221&lt;=$A$212,$B$211,)))))</f>
        <v>0</v>
      </c>
      <c r="K220" s="666"/>
      <c r="L220" s="666"/>
      <c r="M220" s="666"/>
      <c r="N220" s="711"/>
    </row>
    <row r="221" spans="1:15" ht="14">
      <c r="A221" s="729">
        <f>VLOOKUP($A$195,$J$158:$O$166,2,(FALSE))</f>
        <v>0.01</v>
      </c>
      <c r="B221" s="730">
        <f>VLOOKUP($A$195,$J$158:$O$166,3,(FALSE))</f>
        <v>0</v>
      </c>
      <c r="C221" s="730">
        <f>VLOOKUP($A$195,$J$158:$O$166,4,(FALSE))</f>
        <v>0</v>
      </c>
      <c r="D221" s="730">
        <f>VLOOKUP($A$195,$J$158:$O$166,5,(FALSE))</f>
        <v>0</v>
      </c>
      <c r="E221" s="731">
        <f>VLOOKUP($A$195,$J$158:$O$166,6,(FALSE))</f>
        <v>1.2</v>
      </c>
      <c r="F221" s="666"/>
      <c r="G221" s="727">
        <f>L204</f>
        <v>0</v>
      </c>
      <c r="H221" s="726"/>
      <c r="I221" s="727">
        <f>((G221-H220)/(H222-H220)*(J222-J220)+J220)</f>
        <v>0</v>
      </c>
      <c r="J221" s="727"/>
      <c r="K221" s="666"/>
      <c r="L221" s="666"/>
      <c r="M221" s="666"/>
      <c r="N221" s="711"/>
    </row>
    <row r="222" spans="1:15" ht="14">
      <c r="A222" s="729">
        <f>VLOOKUP($A$195,$J$167:$O$175,2,(FALSE))</f>
        <v>0.1</v>
      </c>
      <c r="B222" s="730">
        <f>VLOOKUP($A$195,$J$167:$O$175,3,(FALSE))</f>
        <v>0</v>
      </c>
      <c r="C222" s="730">
        <f>VLOOKUP($A$195,$J$167:$O$175,4,(FALSE))</f>
        <v>0</v>
      </c>
      <c r="D222" s="730">
        <f>VLOOKUP($A$195,$J$167:$O$175,5,(FALSE))</f>
        <v>0</v>
      </c>
      <c r="E222" s="731">
        <f>VLOOKUP($A$195,$J$167:$O$175,6,(FALSE))</f>
        <v>1.2</v>
      </c>
      <c r="F222" s="666"/>
      <c r="G222" s="726"/>
      <c r="H222" s="726">
        <f>IF(G221&lt;=$A$208,$A$208,IF(G221&lt;=$A$209,$A$209,IF(G221&lt;=$A$210,$A$210,IF(G221&lt;=$A$211,$A$211,IF(G221&lt;=$A$212,$A$212,)))))</f>
        <v>50</v>
      </c>
      <c r="I222" s="726"/>
      <c r="J222" s="727">
        <f>IF(G221&lt;=$A$208,$B$208,IF(G221&lt;=$A$209,$B$209,IF(G221&lt;=$A$210,$B$210,IF(G221&lt;=$A$211,$B$211,IF(G221&lt;=$A$212,$B$212,)))))</f>
        <v>1.7</v>
      </c>
      <c r="K222" s="666"/>
      <c r="L222" s="666"/>
      <c r="M222" s="666"/>
      <c r="N222" s="711"/>
    </row>
    <row r="223" spans="1:15" ht="14">
      <c r="A223" s="729">
        <f>VLOOKUP($A$195,$J$176:$O$184,2,(FALSE))</f>
        <v>1</v>
      </c>
      <c r="B223" s="730">
        <f>VLOOKUP($A$195,$J$176:$O$184,3,(FALSE))</f>
        <v>-2.3E-3</v>
      </c>
      <c r="C223" s="730">
        <f>VLOOKUP($A$195,$J$176:$O$184,4,(FALSE))</f>
        <v>-2.3E-3</v>
      </c>
      <c r="D223" s="730">
        <f>VLOOKUP($A$195,$J$176:$O$184,5,(FALSE))</f>
        <v>0</v>
      </c>
      <c r="E223" s="731">
        <f>VLOOKUP($A$195,$J$176:$O$184,6,(FALSE))</f>
        <v>1.2</v>
      </c>
      <c r="F223" s="666"/>
      <c r="G223" s="1304" t="s">
        <v>655</v>
      </c>
      <c r="H223" s="1304"/>
      <c r="I223" s="1304"/>
      <c r="J223" s="1304"/>
      <c r="K223" s="666"/>
      <c r="L223" s="666"/>
      <c r="M223" s="666"/>
      <c r="N223" s="711"/>
    </row>
    <row r="224" spans="1:15" ht="14.5" thickBot="1">
      <c r="A224" s="732">
        <f>VLOOKUP($A$195,$J$185:$O$193,2,(FALSE))</f>
        <v>2</v>
      </c>
      <c r="B224" s="733">
        <f>VLOOKUP($A$195,$J$185:$O$193,3,(FALSE))</f>
        <v>0</v>
      </c>
      <c r="C224" s="734">
        <f>VLOOKUP($A$195,$J$185:$O$193,4,(FALSE))</f>
        <v>0</v>
      </c>
      <c r="D224" s="734">
        <f>VLOOKUP($A$195,$J$185:$O$193,5,(FALSE))</f>
        <v>0</v>
      </c>
      <c r="E224" s="735">
        <f>VLOOKUP($A$195,$J$185:$O$193,6,(FALSE))</f>
        <v>1.2</v>
      </c>
      <c r="F224" s="666"/>
      <c r="G224" s="726"/>
      <c r="H224" s="726">
        <f>IF(G225&lt;=$A$208,$A$207,IF(G225&lt;=$A$209,$A$208,IF(G225&lt;=$A$210,$A$209,IF(G225&lt;=$A$211,$A$210,IF(G225&lt;=$A$212,$A$211,)))))</f>
        <v>0</v>
      </c>
      <c r="I224" s="726"/>
      <c r="J224" s="727">
        <f>IF(G225&lt;=$A$208,$B$207,IF(G225&lt;=$A$209,$B$208,IF(G225&lt;=$A$210,$B$209,IF(G225&lt;=$A$211,$B$210,IF(G225&lt;=$A$212,$B$211,)))))</f>
        <v>0</v>
      </c>
      <c r="K224" s="666"/>
      <c r="L224" s="666"/>
      <c r="M224" s="666"/>
      <c r="N224" s="711"/>
    </row>
    <row r="225" spans="1:24">
      <c r="A225" s="736"/>
      <c r="B225" s="666"/>
      <c r="C225" s="666"/>
      <c r="D225" s="666"/>
      <c r="E225" s="666"/>
      <c r="F225" s="666"/>
      <c r="G225" s="727">
        <f>L205</f>
        <v>0</v>
      </c>
      <c r="H225" s="726"/>
      <c r="I225" s="727">
        <f>((G225-H224)/(H226-H224)*(J226-J224)+J224)</f>
        <v>0</v>
      </c>
      <c r="J225" s="727"/>
      <c r="K225" s="666"/>
      <c r="L225" s="666"/>
      <c r="M225" s="666"/>
      <c r="N225" s="711"/>
    </row>
    <row r="226" spans="1:24">
      <c r="A226" s="736"/>
      <c r="B226" s="666"/>
      <c r="C226" s="666"/>
      <c r="D226" s="666"/>
      <c r="E226" s="666"/>
      <c r="F226" s="666"/>
      <c r="G226" s="726"/>
      <c r="H226" s="726">
        <f>IF(G225&lt;=$A$208,$A$208,IF(G225&lt;=$A$209,$A$209,IF(G225&lt;=$A$210,$A$210,IF(G225&lt;=$A$211,$A$211,IF(G225&lt;=$A$212,$A$212,)))))</f>
        <v>50</v>
      </c>
      <c r="I226" s="726"/>
      <c r="J226" s="727">
        <f>IF(G225&lt;=$A$208,$B$208,IF(G225&lt;=$A$209,$B$209,IF(G225&lt;=$A$210,$B$210,IF(G225&lt;=$A$211,$B$211,IF(G225&lt;=$A$212,$B$212,)))))</f>
        <v>1.7</v>
      </c>
      <c r="K226" s="666"/>
      <c r="L226" s="666"/>
      <c r="M226" s="666"/>
      <c r="N226" s="711"/>
    </row>
    <row r="227" spans="1:24" ht="15.75" customHeight="1">
      <c r="A227" s="736"/>
      <c r="B227" s="666"/>
      <c r="C227" s="666"/>
      <c r="D227" s="666"/>
      <c r="E227" s="666"/>
      <c r="F227" s="666"/>
      <c r="G227" s="1304" t="s">
        <v>655</v>
      </c>
      <c r="H227" s="1304"/>
      <c r="I227" s="1304"/>
      <c r="J227" s="1304"/>
      <c r="K227" s="666"/>
      <c r="L227" s="666"/>
      <c r="M227" s="666"/>
      <c r="N227" s="711"/>
    </row>
    <row r="228" spans="1:24">
      <c r="A228" s="736"/>
      <c r="B228" s="666"/>
      <c r="C228" s="666"/>
      <c r="D228" s="666"/>
      <c r="E228" s="666"/>
      <c r="F228" s="666"/>
      <c r="G228" s="726"/>
      <c r="H228" s="726">
        <f>IF(G229&lt;=$A$208,$A$207,IF(G229&lt;=$A$209,$A$208,IF(G229&lt;=$A$210,$A$209,IF(G229&lt;=$A$211,$A$210,IF(G229&lt;=$A$212,$A$211,)))))</f>
        <v>0</v>
      </c>
      <c r="I228" s="726"/>
      <c r="J228" s="727">
        <f>IF(G229&lt;=$A$208,$B$207,IF(G229&lt;=$A$209,$B$208,IF(G229&lt;=$A$210,$B$209,IF(G229&lt;=$A$211,$B$210,IF(G229&lt;=$A$212,$B$211,)))))</f>
        <v>0</v>
      </c>
      <c r="K228" s="666"/>
      <c r="L228" s="666"/>
      <c r="M228" s="666"/>
      <c r="N228" s="711"/>
    </row>
    <row r="229" spans="1:24">
      <c r="A229" s="736"/>
      <c r="B229" s="666"/>
      <c r="C229" s="666"/>
      <c r="D229" s="666"/>
      <c r="E229" s="666"/>
      <c r="F229" s="666"/>
      <c r="G229" s="727">
        <f>L206</f>
        <v>0</v>
      </c>
      <c r="H229" s="726"/>
      <c r="I229" s="727">
        <f>((G229-H228)/(H230-H228)*(J230-J228)+J228)</f>
        <v>0</v>
      </c>
      <c r="J229" s="727"/>
      <c r="K229" s="666"/>
      <c r="L229" s="666"/>
      <c r="M229" s="666"/>
      <c r="N229" s="711"/>
    </row>
    <row r="230" spans="1:24" ht="13" thickBot="1">
      <c r="A230" s="737"/>
      <c r="B230" s="738"/>
      <c r="C230" s="738"/>
      <c r="D230" s="738"/>
      <c r="E230" s="738"/>
      <c r="F230" s="738"/>
      <c r="G230" s="739"/>
      <c r="H230" s="739">
        <f>IF(G229&lt;=$A$208,$A$208,IF(G229&lt;=$A$209,$A$209,IF(G229&lt;=$A$210,$A$210,IF(G229&lt;=$A$211,$A$211,IF(G229&lt;=$A$212,$A$212,)))))</f>
        <v>50</v>
      </c>
      <c r="I230" s="739"/>
      <c r="J230" s="740">
        <f>IF(G229&lt;=$A$208,$B$208,IF(G229&lt;=$A$209,$B$209,IF(G229&lt;=$A$210,$B$210,IF(G229&lt;=$A$211,$B$211,IF(G229&lt;=$A$212,$B$212,)))))</f>
        <v>1.7</v>
      </c>
      <c r="K230" s="738"/>
      <c r="L230" s="738"/>
      <c r="M230" s="738"/>
      <c r="N230" s="741"/>
    </row>
    <row r="233" spans="1:24" ht="13" thickBot="1"/>
    <row r="234" spans="1:24" ht="14">
      <c r="A234" s="1307" t="str">
        <f>ID!A152:H152</f>
        <v>Electrical Safety Analyzer, Merek : Fluke, Model : ESA 615, SN : 3699030</v>
      </c>
      <c r="B234" s="1308"/>
      <c r="C234" s="1308"/>
      <c r="D234" s="1308"/>
      <c r="E234" s="1308"/>
      <c r="F234" s="1308"/>
      <c r="G234" s="1308"/>
      <c r="H234" s="1308"/>
      <c r="I234" s="1308"/>
      <c r="J234" s="1308"/>
      <c r="K234" s="1309"/>
      <c r="L234" s="742"/>
      <c r="M234" s="1298">
        <f>A244</f>
        <v>7</v>
      </c>
      <c r="N234" s="1299"/>
      <c r="O234" s="1299"/>
      <c r="P234" s="1299"/>
      <c r="Q234" s="1299"/>
      <c r="R234" s="1299"/>
      <c r="S234" s="1299"/>
      <c r="T234" s="1299"/>
      <c r="U234" s="1299"/>
      <c r="V234" s="1299"/>
      <c r="W234" s="1299"/>
      <c r="X234" s="1300"/>
    </row>
    <row r="235" spans="1:24" ht="14">
      <c r="A235" s="743" t="s">
        <v>723</v>
      </c>
      <c r="B235" s="744"/>
      <c r="C235" s="745"/>
      <c r="D235" s="746"/>
      <c r="E235" s="746"/>
      <c r="F235" s="746"/>
      <c r="G235" s="746"/>
      <c r="H235" s="746"/>
      <c r="I235" s="747">
        <f>C5</f>
        <v>2019</v>
      </c>
      <c r="J235" s="747">
        <f>D5</f>
        <v>2020</v>
      </c>
      <c r="K235" s="748">
        <v>1</v>
      </c>
      <c r="L235" s="742"/>
      <c r="M235" s="749">
        <v>1</v>
      </c>
      <c r="N235" s="750" t="s">
        <v>656</v>
      </c>
      <c r="O235" s="751"/>
      <c r="P235" s="751"/>
      <c r="Q235" s="751"/>
      <c r="R235" s="751"/>
      <c r="S235" s="751"/>
      <c r="T235" s="751"/>
      <c r="U235" s="751"/>
      <c r="V235" s="751"/>
      <c r="W235" s="751"/>
      <c r="X235" s="752"/>
    </row>
    <row r="236" spans="1:24" ht="14">
      <c r="A236" s="743" t="s">
        <v>724</v>
      </c>
      <c r="B236" s="744"/>
      <c r="C236" s="745"/>
      <c r="D236" s="746"/>
      <c r="E236" s="746"/>
      <c r="F236" s="746"/>
      <c r="G236" s="746"/>
      <c r="H236" s="746"/>
      <c r="I236" s="747">
        <f>J5</f>
        <v>2017</v>
      </c>
      <c r="J236" s="747">
        <f>K5</f>
        <v>2019</v>
      </c>
      <c r="K236" s="748">
        <v>2</v>
      </c>
      <c r="L236" s="742"/>
      <c r="M236" s="749">
        <v>2</v>
      </c>
      <c r="N236" s="750" t="s">
        <v>657</v>
      </c>
      <c r="O236" s="751"/>
      <c r="P236" s="751"/>
      <c r="Q236" s="751"/>
      <c r="R236" s="751"/>
      <c r="S236" s="751"/>
      <c r="T236" s="751"/>
      <c r="U236" s="751"/>
      <c r="V236" s="751"/>
      <c r="W236" s="751"/>
      <c r="X236" s="752"/>
    </row>
    <row r="237" spans="1:24" ht="14">
      <c r="A237" s="743" t="s">
        <v>658</v>
      </c>
      <c r="B237" s="744"/>
      <c r="C237" s="745"/>
      <c r="D237" s="746"/>
      <c r="E237" s="746"/>
      <c r="F237" s="746"/>
      <c r="G237" s="746"/>
      <c r="H237" s="746"/>
      <c r="I237" s="747">
        <f>Q5</f>
        <v>2017</v>
      </c>
      <c r="J237" s="747">
        <f>R5</f>
        <v>2018</v>
      </c>
      <c r="K237" s="748">
        <v>3</v>
      </c>
      <c r="L237" s="742"/>
      <c r="M237" s="749">
        <v>3</v>
      </c>
      <c r="N237" s="750" t="s">
        <v>656</v>
      </c>
      <c r="O237" s="751"/>
      <c r="P237" s="751"/>
      <c r="Q237" s="751"/>
      <c r="R237" s="751"/>
      <c r="S237" s="751"/>
      <c r="T237" s="751"/>
      <c r="U237" s="751"/>
      <c r="V237" s="751"/>
      <c r="W237" s="751"/>
      <c r="X237" s="752"/>
    </row>
    <row r="238" spans="1:24" ht="14">
      <c r="A238" s="743" t="s">
        <v>725</v>
      </c>
      <c r="B238" s="744"/>
      <c r="C238" s="745"/>
      <c r="D238" s="746"/>
      <c r="E238" s="746"/>
      <c r="F238" s="746"/>
      <c r="G238" s="746"/>
      <c r="H238" s="746"/>
      <c r="I238" s="747">
        <f>C36</f>
        <v>2017</v>
      </c>
      <c r="J238" s="747">
        <f>D36</f>
        <v>2019</v>
      </c>
      <c r="K238" s="748">
        <v>4</v>
      </c>
      <c r="L238" s="742"/>
      <c r="M238" s="749">
        <v>4</v>
      </c>
      <c r="N238" s="750" t="s">
        <v>656</v>
      </c>
      <c r="O238" s="751"/>
      <c r="P238" s="751"/>
      <c r="Q238" s="751"/>
      <c r="R238" s="751"/>
      <c r="S238" s="751"/>
      <c r="T238" s="751"/>
      <c r="U238" s="751"/>
      <c r="V238" s="751"/>
      <c r="W238" s="751"/>
      <c r="X238" s="752"/>
    </row>
    <row r="239" spans="1:24" ht="14">
      <c r="A239" s="743" t="s">
        <v>726</v>
      </c>
      <c r="B239" s="745"/>
      <c r="C239" s="745"/>
      <c r="D239" s="746"/>
      <c r="E239" s="746"/>
      <c r="F239" s="746"/>
      <c r="G239" s="746"/>
      <c r="H239" s="746"/>
      <c r="I239" s="747">
        <f>J36</f>
        <v>2017</v>
      </c>
      <c r="J239" s="747">
        <f>K36</f>
        <v>2019</v>
      </c>
      <c r="K239" s="748">
        <v>5</v>
      </c>
      <c r="L239" s="742"/>
      <c r="M239" s="749">
        <v>5</v>
      </c>
      <c r="N239" s="750" t="s">
        <v>656</v>
      </c>
      <c r="O239" s="751"/>
      <c r="P239" s="751"/>
      <c r="Q239" s="751"/>
      <c r="R239" s="751"/>
      <c r="S239" s="751"/>
      <c r="T239" s="751"/>
      <c r="U239" s="751"/>
      <c r="V239" s="751"/>
      <c r="W239" s="751"/>
      <c r="X239" s="752"/>
    </row>
    <row r="240" spans="1:24" ht="14">
      <c r="A240" s="743" t="s">
        <v>659</v>
      </c>
      <c r="B240" s="745"/>
      <c r="C240" s="745"/>
      <c r="D240" s="746"/>
      <c r="E240" s="746"/>
      <c r="F240" s="746"/>
      <c r="G240" s="746"/>
      <c r="H240" s="746"/>
      <c r="I240" s="747">
        <f>Q36</f>
        <v>2018</v>
      </c>
      <c r="J240" s="747">
        <f>R36</f>
        <v>2019</v>
      </c>
      <c r="K240" s="748">
        <v>6</v>
      </c>
      <c r="L240" s="742"/>
      <c r="M240" s="749">
        <v>6</v>
      </c>
      <c r="N240" s="750" t="s">
        <v>656</v>
      </c>
      <c r="O240" s="751"/>
      <c r="P240" s="751"/>
      <c r="Q240" s="751"/>
      <c r="R240" s="751"/>
      <c r="S240" s="751"/>
      <c r="T240" s="751"/>
      <c r="U240" s="751"/>
      <c r="V240" s="751"/>
      <c r="W240" s="751"/>
      <c r="X240" s="752"/>
    </row>
    <row r="241" spans="1:24" ht="14">
      <c r="A241" s="743" t="s">
        <v>169</v>
      </c>
      <c r="B241" s="745"/>
      <c r="C241" s="745"/>
      <c r="D241" s="746"/>
      <c r="E241" s="746"/>
      <c r="F241" s="746"/>
      <c r="G241" s="746"/>
      <c r="H241" s="746"/>
      <c r="I241" s="747">
        <f>C67</f>
        <v>2019</v>
      </c>
      <c r="J241" s="747">
        <f>D67</f>
        <v>2020</v>
      </c>
      <c r="K241" s="748">
        <v>7</v>
      </c>
      <c r="L241" s="742"/>
      <c r="M241" s="749">
        <v>7</v>
      </c>
      <c r="N241" s="750" t="s">
        <v>656</v>
      </c>
      <c r="O241" s="751"/>
      <c r="P241" s="751"/>
      <c r="Q241" s="751"/>
      <c r="R241" s="751"/>
      <c r="S241" s="751"/>
      <c r="T241" s="751"/>
      <c r="U241" s="751"/>
      <c r="V241" s="751"/>
      <c r="W241" s="751"/>
      <c r="X241" s="752"/>
    </row>
    <row r="242" spans="1:24" ht="14">
      <c r="A242" s="743" t="s">
        <v>660</v>
      </c>
      <c r="B242" s="745"/>
      <c r="C242" s="745"/>
      <c r="D242" s="746"/>
      <c r="E242" s="746"/>
      <c r="F242" s="746"/>
      <c r="G242" s="746"/>
      <c r="H242" s="746"/>
      <c r="I242" s="747">
        <f>J67</f>
        <v>2019</v>
      </c>
      <c r="J242" s="747">
        <f>K67</f>
        <v>2020</v>
      </c>
      <c r="K242" s="748">
        <v>8</v>
      </c>
      <c r="L242" s="742"/>
      <c r="M242" s="749">
        <v>8</v>
      </c>
      <c r="N242" s="750" t="s">
        <v>656</v>
      </c>
      <c r="O242" s="751"/>
      <c r="P242" s="751"/>
      <c r="Q242" s="751"/>
      <c r="R242" s="751"/>
      <c r="S242" s="751"/>
      <c r="T242" s="751"/>
      <c r="U242" s="751"/>
      <c r="V242" s="751"/>
      <c r="W242" s="751"/>
      <c r="X242" s="752"/>
    </row>
    <row r="243" spans="1:24" ht="14">
      <c r="A243" s="743" t="s">
        <v>661</v>
      </c>
      <c r="B243" s="745"/>
      <c r="C243" s="745"/>
      <c r="D243" s="746"/>
      <c r="E243" s="746"/>
      <c r="F243" s="746"/>
      <c r="G243" s="746"/>
      <c r="H243" s="746"/>
      <c r="I243" s="747">
        <f>Q67</f>
        <v>2019</v>
      </c>
      <c r="J243" s="747">
        <f>R67</f>
        <v>2020</v>
      </c>
      <c r="K243" s="748">
        <v>9</v>
      </c>
      <c r="L243" s="742"/>
      <c r="M243" s="749">
        <v>9</v>
      </c>
      <c r="N243" s="750" t="s">
        <v>656</v>
      </c>
      <c r="O243" s="751"/>
      <c r="P243" s="751"/>
      <c r="Q243" s="751"/>
      <c r="R243" s="751"/>
      <c r="S243" s="751"/>
      <c r="T243" s="751"/>
      <c r="U243" s="751"/>
      <c r="V243" s="751"/>
      <c r="W243" s="751"/>
      <c r="X243" s="752"/>
    </row>
    <row r="244" spans="1:24" ht="13.5" thickBot="1">
      <c r="A244" s="1301">
        <f>VLOOKUP(A234,A235:K243,11,(FALSE))</f>
        <v>7</v>
      </c>
      <c r="B244" s="1302"/>
      <c r="C244" s="1302"/>
      <c r="D244" s="1302"/>
      <c r="E244" s="1302"/>
      <c r="F244" s="1302"/>
      <c r="G244" s="1302"/>
      <c r="H244" s="1302"/>
      <c r="I244" s="1302"/>
      <c r="J244" s="1302"/>
      <c r="K244" s="1303"/>
      <c r="L244" s="742"/>
      <c r="M244" s="753" t="str">
        <f>VLOOKUP(M234,M235:X243,2,FALSE)</f>
        <v>Hasil pengujian Keselamatan Listrik tertelusur ke Satuan Internasional ( SI ) melalui PT. Kaliman (LK-032-IDN)</v>
      </c>
      <c r="N244" s="754"/>
      <c r="O244" s="754"/>
      <c r="P244" s="754"/>
      <c r="Q244" s="754"/>
      <c r="R244" s="754"/>
      <c r="S244" s="754"/>
      <c r="T244" s="754"/>
      <c r="U244" s="754"/>
      <c r="V244" s="754"/>
      <c r="W244" s="754"/>
      <c r="X244" s="755"/>
    </row>
    <row r="245" spans="1:24">
      <c r="A245" s="742"/>
      <c r="B245" s="742"/>
      <c r="C245" s="742"/>
      <c r="D245" s="742"/>
      <c r="E245" s="742"/>
      <c r="F245" s="742"/>
      <c r="G245" s="742"/>
      <c r="H245" s="742"/>
      <c r="I245" s="742"/>
      <c r="J245" s="742"/>
      <c r="K245" s="742"/>
      <c r="L245" s="742"/>
      <c r="M245" s="742"/>
      <c r="N245" s="742"/>
      <c r="O245" s="742"/>
      <c r="P245" s="742"/>
      <c r="Q245" s="742"/>
      <c r="R245" s="742"/>
      <c r="S245" s="742"/>
      <c r="T245" s="742"/>
      <c r="U245" s="742"/>
      <c r="V245" s="742"/>
      <c r="W245" s="742"/>
      <c r="X245" s="742"/>
    </row>
    <row r="246" spans="1:24">
      <c r="A246" s="742"/>
      <c r="B246" s="742"/>
      <c r="C246" s="742"/>
      <c r="D246" s="742"/>
      <c r="E246" s="742"/>
      <c r="F246" s="742"/>
      <c r="G246" s="742"/>
      <c r="H246" s="742"/>
      <c r="I246" s="742"/>
      <c r="J246" s="742"/>
      <c r="K246" s="742"/>
      <c r="L246" s="742"/>
      <c r="M246" s="742"/>
      <c r="N246" s="742"/>
      <c r="O246" s="742"/>
      <c r="P246" s="742"/>
      <c r="Q246" s="742"/>
      <c r="R246" s="742"/>
      <c r="S246" s="742"/>
      <c r="T246" s="742"/>
      <c r="U246" s="742"/>
      <c r="V246" s="742"/>
      <c r="W246" s="742"/>
      <c r="X246" s="742"/>
    </row>
    <row r="247" spans="1:24">
      <c r="A247" s="742"/>
      <c r="B247" s="742"/>
      <c r="C247" s="742"/>
      <c r="D247" s="742"/>
      <c r="E247" s="742"/>
      <c r="F247" s="742"/>
      <c r="G247" s="742"/>
      <c r="H247" s="742"/>
      <c r="I247" s="742"/>
      <c r="J247" s="742"/>
      <c r="K247" s="742"/>
      <c r="L247" s="742"/>
      <c r="M247" s="742"/>
      <c r="N247" s="742"/>
      <c r="O247" s="742"/>
      <c r="P247" s="742"/>
      <c r="Q247" s="742"/>
      <c r="R247" s="742"/>
      <c r="S247" s="742"/>
      <c r="T247" s="742"/>
      <c r="U247" s="742"/>
      <c r="V247" s="742"/>
      <c r="W247" s="742"/>
      <c r="X247" s="742"/>
    </row>
    <row r="248" spans="1:24">
      <c r="A248" s="742"/>
      <c r="B248" s="742"/>
      <c r="C248" s="742"/>
      <c r="D248" s="742"/>
      <c r="E248" s="742"/>
      <c r="F248" s="742"/>
      <c r="G248" s="742"/>
      <c r="H248" s="742"/>
      <c r="I248" s="742"/>
      <c r="J248" s="742"/>
      <c r="K248" s="742"/>
      <c r="L248" s="742"/>
      <c r="M248" s="742"/>
      <c r="N248" s="742"/>
      <c r="O248" s="742"/>
      <c r="P248" s="742"/>
      <c r="Q248" s="742"/>
      <c r="R248" s="742"/>
      <c r="S248" s="742"/>
      <c r="T248" s="742"/>
      <c r="U248" s="742"/>
      <c r="V248" s="742"/>
      <c r="W248" s="742"/>
      <c r="X248" s="742"/>
    </row>
    <row r="249" spans="1:24">
      <c r="A249" s="742"/>
      <c r="B249" s="742"/>
      <c r="C249" s="742"/>
      <c r="D249" s="742"/>
      <c r="E249" s="742"/>
      <c r="F249" s="742"/>
      <c r="G249" s="742"/>
      <c r="H249" s="742"/>
      <c r="I249" s="742"/>
      <c r="J249" s="742"/>
      <c r="K249" s="742"/>
      <c r="L249" s="742"/>
      <c r="M249" s="742"/>
      <c r="N249" s="742"/>
      <c r="O249" s="742"/>
      <c r="P249" s="742"/>
      <c r="Q249" s="742"/>
      <c r="R249" s="742"/>
      <c r="S249" s="742"/>
      <c r="T249" s="742"/>
      <c r="U249" s="742"/>
      <c r="V249" s="742"/>
      <c r="W249" s="742"/>
      <c r="X249" s="742"/>
    </row>
  </sheetData>
  <sheetProtection algorithmName="SHA-512" hashValue="h0fZpCXSSHQBwbUw83Vw85pRLoxzrsLkU2uxqSE9NWYm6Y8Q4gtuydk2tukH1Ci0IUvF3819d89oIedG1i3U8Q==" saltValue="Ux9dXI5UOZy7XB/H1/69cQ==" spinCount="100000" sheet="1" objects="1" scenarios="1"/>
  <mergeCells count="180">
    <mergeCell ref="M234:X234"/>
    <mergeCell ref="A244:K244"/>
    <mergeCell ref="G215:J215"/>
    <mergeCell ref="A219:C219"/>
    <mergeCell ref="G219:J219"/>
    <mergeCell ref="G223:J223"/>
    <mergeCell ref="G227:J227"/>
    <mergeCell ref="A234:K234"/>
    <mergeCell ref="G199:J199"/>
    <mergeCell ref="G203:J203"/>
    <mergeCell ref="A205:C205"/>
    <mergeCell ref="G207:J207"/>
    <mergeCell ref="G211:J211"/>
    <mergeCell ref="A213:C213"/>
    <mergeCell ref="B195:E195"/>
    <mergeCell ref="G195:J195"/>
    <mergeCell ref="L195:L197"/>
    <mergeCell ref="M195:M197"/>
    <mergeCell ref="N195:N197"/>
    <mergeCell ref="A196:E196"/>
    <mergeCell ref="A197:C197"/>
    <mergeCell ref="D197:D198"/>
    <mergeCell ref="E197:E198"/>
    <mergeCell ref="A167:A175"/>
    <mergeCell ref="I167:I175"/>
    <mergeCell ref="A176:A184"/>
    <mergeCell ref="I176:I184"/>
    <mergeCell ref="A185:A193"/>
    <mergeCell ref="I185:I193"/>
    <mergeCell ref="J155:J157"/>
    <mergeCell ref="K155:O155"/>
    <mergeCell ref="C156:E156"/>
    <mergeCell ref="K156:M156"/>
    <mergeCell ref="A158:A166"/>
    <mergeCell ref="I158:I166"/>
    <mergeCell ref="A145:A153"/>
    <mergeCell ref="I145:I153"/>
    <mergeCell ref="A155:A157"/>
    <mergeCell ref="B155:B157"/>
    <mergeCell ref="C155:G155"/>
    <mergeCell ref="I155:I157"/>
    <mergeCell ref="A118:A126"/>
    <mergeCell ref="I118:I126"/>
    <mergeCell ref="A127:A135"/>
    <mergeCell ref="I127:I135"/>
    <mergeCell ref="A136:A144"/>
    <mergeCell ref="I136:I144"/>
    <mergeCell ref="C98:E98"/>
    <mergeCell ref="K98:M98"/>
    <mergeCell ref="A100:A108"/>
    <mergeCell ref="I100:I108"/>
    <mergeCell ref="A109:A117"/>
    <mergeCell ref="I109:I117"/>
    <mergeCell ref="P88:R88"/>
    <mergeCell ref="S88:S89"/>
    <mergeCell ref="T88:T89"/>
    <mergeCell ref="A95:Q95"/>
    <mergeCell ref="A97:A99"/>
    <mergeCell ref="B97:B99"/>
    <mergeCell ref="C97:G97"/>
    <mergeCell ref="I97:I99"/>
    <mergeCell ref="J97:J99"/>
    <mergeCell ref="K97:O97"/>
    <mergeCell ref="B88:D88"/>
    <mergeCell ref="E88:E89"/>
    <mergeCell ref="F88:F89"/>
    <mergeCell ref="I88:K88"/>
    <mergeCell ref="L88:L89"/>
    <mergeCell ref="M88:M89"/>
    <mergeCell ref="A64:A93"/>
    <mergeCell ref="B64:F64"/>
    <mergeCell ref="P64:T64"/>
    <mergeCell ref="B65:F65"/>
    <mergeCell ref="I65:M65"/>
    <mergeCell ref="P65:T65"/>
    <mergeCell ref="B66:D66"/>
    <mergeCell ref="T74:T75"/>
    <mergeCell ref="B82:D82"/>
    <mergeCell ref="E82:E83"/>
    <mergeCell ref="F82:F83"/>
    <mergeCell ref="I82:K82"/>
    <mergeCell ref="L82:L83"/>
    <mergeCell ref="M82:M83"/>
    <mergeCell ref="P82:R82"/>
    <mergeCell ref="S82:S83"/>
    <mergeCell ref="T82:T83"/>
    <mergeCell ref="B57:D57"/>
    <mergeCell ref="I57:K57"/>
    <mergeCell ref="P57:R57"/>
    <mergeCell ref="S57:S58"/>
    <mergeCell ref="T57:T58"/>
    <mergeCell ref="S66:S67"/>
    <mergeCell ref="T66:T67"/>
    <mergeCell ref="B74:D74"/>
    <mergeCell ref="E74:E75"/>
    <mergeCell ref="F74:F75"/>
    <mergeCell ref="I74:K74"/>
    <mergeCell ref="L74:L75"/>
    <mergeCell ref="M74:M75"/>
    <mergeCell ref="P74:R74"/>
    <mergeCell ref="S74:S75"/>
    <mergeCell ref="E66:E67"/>
    <mergeCell ref="F66:F67"/>
    <mergeCell ref="I66:K66"/>
    <mergeCell ref="L66:L67"/>
    <mergeCell ref="M66:M67"/>
    <mergeCell ref="P66:R66"/>
    <mergeCell ref="H64:H93"/>
    <mergeCell ref="I64:M64"/>
    <mergeCell ref="O64:O93"/>
    <mergeCell ref="A33:A62"/>
    <mergeCell ref="B33:F33"/>
    <mergeCell ref="H33:H62"/>
    <mergeCell ref="I33:M33"/>
    <mergeCell ref="O33:O62"/>
    <mergeCell ref="P33:T33"/>
    <mergeCell ref="B34:F34"/>
    <mergeCell ref="I34:M34"/>
    <mergeCell ref="P34:T34"/>
    <mergeCell ref="B35:D35"/>
    <mergeCell ref="I35:K35"/>
    <mergeCell ref="P35:R35"/>
    <mergeCell ref="S35:S36"/>
    <mergeCell ref="T35:T36"/>
    <mergeCell ref="B43:D43"/>
    <mergeCell ref="I43:K43"/>
    <mergeCell ref="P43:R43"/>
    <mergeCell ref="S43:S44"/>
    <mergeCell ref="T43:T44"/>
    <mergeCell ref="B51:D51"/>
    <mergeCell ref="I51:K51"/>
    <mergeCell ref="P51:R51"/>
    <mergeCell ref="S51:S52"/>
    <mergeCell ref="T51:T52"/>
    <mergeCell ref="B26:D26"/>
    <mergeCell ref="E26:E27"/>
    <mergeCell ref="F26:F27"/>
    <mergeCell ref="I26:K26"/>
    <mergeCell ref="L26:L27"/>
    <mergeCell ref="M26:M27"/>
    <mergeCell ref="P26:R26"/>
    <mergeCell ref="S26:S27"/>
    <mergeCell ref="T26:T27"/>
    <mergeCell ref="L4:L5"/>
    <mergeCell ref="M4:M5"/>
    <mergeCell ref="S12:S13"/>
    <mergeCell ref="T12:T13"/>
    <mergeCell ref="B20:D20"/>
    <mergeCell ref="E20:E21"/>
    <mergeCell ref="F20:F21"/>
    <mergeCell ref="I20:K20"/>
    <mergeCell ref="L20:L21"/>
    <mergeCell ref="M20:M21"/>
    <mergeCell ref="P20:R20"/>
    <mergeCell ref="S20:S21"/>
    <mergeCell ref="T20:T21"/>
    <mergeCell ref="A1:T1"/>
    <mergeCell ref="A2:A31"/>
    <mergeCell ref="B2:F2"/>
    <mergeCell ref="H2:H31"/>
    <mergeCell ref="I2:M2"/>
    <mergeCell ref="O2:O31"/>
    <mergeCell ref="P2:T2"/>
    <mergeCell ref="B3:F3"/>
    <mergeCell ref="I3:M3"/>
    <mergeCell ref="P3:T3"/>
    <mergeCell ref="P4:R4"/>
    <mergeCell ref="S4:S5"/>
    <mergeCell ref="T4:T5"/>
    <mergeCell ref="B12:D12"/>
    <mergeCell ref="E12:E13"/>
    <mergeCell ref="F12:F13"/>
    <mergeCell ref="I12:K12"/>
    <mergeCell ref="L12:L13"/>
    <mergeCell ref="M12:M13"/>
    <mergeCell ref="P12:R12"/>
    <mergeCell ref="B4:D4"/>
    <mergeCell ref="E4:E5"/>
    <mergeCell ref="F4:F5"/>
    <mergeCell ref="I4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7583-98C1-461E-9713-9499BDB5A2C0}">
  <sheetPr>
    <tabColor rgb="FF00B050"/>
  </sheetPr>
  <dimension ref="A1:L31"/>
  <sheetViews>
    <sheetView zoomScale="40" zoomScaleNormal="40" workbookViewId="0">
      <selection activeCell="D15" sqref="D15:F15"/>
    </sheetView>
  </sheetViews>
  <sheetFormatPr defaultRowHeight="12.5"/>
  <cols>
    <col min="1" max="1" width="18.1796875" customWidth="1"/>
    <col min="2" max="2" width="26.1796875" customWidth="1"/>
    <col min="3" max="3" width="3.1796875" customWidth="1"/>
    <col min="4" max="4" width="11.54296875" customWidth="1"/>
    <col min="5" max="5" width="9.453125" customWidth="1"/>
    <col min="6" max="6" width="22.54296875" customWidth="1"/>
    <col min="8" max="8" width="18.81640625" customWidth="1"/>
    <col min="9" max="9" width="12.1796875" customWidth="1"/>
  </cols>
  <sheetData>
    <row r="1" spans="1:12" ht="13">
      <c r="A1" s="796"/>
      <c r="B1" s="796"/>
      <c r="C1" s="796"/>
      <c r="D1" s="796"/>
      <c r="E1" s="796"/>
      <c r="F1" s="796"/>
      <c r="G1" s="761"/>
      <c r="H1" s="907" t="str">
        <f>IF('Lembar Penyelia'!H184&lt;70,"TIDAK LAIK","LAIK")</f>
        <v>LAIK</v>
      </c>
      <c r="I1" s="762"/>
      <c r="J1" s="762"/>
      <c r="K1" s="761"/>
      <c r="L1" s="761"/>
    </row>
    <row r="2" spans="1:12" ht="30">
      <c r="A2" s="1089" t="s">
        <v>344</v>
      </c>
      <c r="B2" s="1089"/>
      <c r="C2" s="1089"/>
      <c r="D2" s="1089"/>
      <c r="E2" s="1089"/>
      <c r="F2" s="1089"/>
      <c r="G2" s="761"/>
      <c r="H2" s="807"/>
      <c r="I2" s="1090"/>
      <c r="J2" s="1091"/>
      <c r="K2" s="761"/>
      <c r="L2" s="761"/>
    </row>
    <row r="3" spans="1:12" ht="14">
      <c r="A3" s="1092" t="str">
        <f>"Nomor : 4 /"&amp;" "&amp;ID!I2</f>
        <v>Nomor : 4 / 1 / V - 21 / E - 061 Dt</v>
      </c>
      <c r="B3" s="1092"/>
      <c r="C3" s="1092"/>
      <c r="D3" s="1092"/>
      <c r="E3" s="1092"/>
      <c r="F3" s="1092"/>
      <c r="G3" s="761"/>
      <c r="H3" s="761"/>
      <c r="I3" s="761"/>
      <c r="J3" s="761"/>
      <c r="K3" s="761"/>
      <c r="L3" s="761"/>
    </row>
    <row r="4" spans="1:12" ht="13">
      <c r="A4" s="796"/>
      <c r="B4" s="796"/>
      <c r="C4" s="796" t="s">
        <v>347</v>
      </c>
      <c r="D4" s="1093" t="str">
        <f>VLOOKUP($B$6,'DB SERTIFIKAT'!$B$2:$C$73,2,FALSE)</f>
        <v>OA.S - 007-18 / REV : 1</v>
      </c>
      <c r="E4" s="1093"/>
      <c r="F4" s="1093"/>
      <c r="G4" s="761"/>
      <c r="H4" s="904"/>
      <c r="I4" s="904"/>
      <c r="J4" s="904"/>
      <c r="K4" s="761"/>
      <c r="L4" s="761"/>
    </row>
    <row r="5" spans="1:12" ht="14.5">
      <c r="A5" s="796"/>
      <c r="B5" s="796"/>
      <c r="C5" s="796"/>
      <c r="D5" s="796"/>
      <c r="E5" s="796"/>
      <c r="F5" s="796"/>
      <c r="G5" s="761"/>
      <c r="H5" s="1094"/>
      <c r="I5" s="1094"/>
      <c r="J5" s="1094"/>
      <c r="K5" s="761"/>
      <c r="L5" s="761"/>
    </row>
    <row r="6" spans="1:12" ht="14">
      <c r="A6" s="816" t="s">
        <v>349</v>
      </c>
      <c r="B6" s="797" t="s">
        <v>350</v>
      </c>
      <c r="C6" s="798"/>
      <c r="D6" s="1080" t="s">
        <v>351</v>
      </c>
      <c r="E6" s="1081"/>
      <c r="F6" s="813" t="str">
        <f>MID(A3,SEARCH("E - ",A3),LEN(A3))</f>
        <v>E - 061 Dt</v>
      </c>
      <c r="G6" s="761"/>
      <c r="H6" s="761"/>
      <c r="I6" s="761"/>
      <c r="J6" s="761"/>
      <c r="K6" s="761"/>
      <c r="L6" s="761"/>
    </row>
    <row r="7" spans="1:12" ht="14">
      <c r="A7" s="799"/>
      <c r="B7" s="799"/>
      <c r="C7" s="799"/>
      <c r="D7" s="796"/>
      <c r="E7" s="796"/>
      <c r="F7" s="796"/>
      <c r="G7" s="761"/>
      <c r="H7" s="761"/>
      <c r="I7" s="761"/>
      <c r="J7" s="761"/>
      <c r="K7" s="761"/>
      <c r="L7" s="761"/>
    </row>
    <row r="8" spans="1:12" ht="14">
      <c r="A8" s="1071" t="s">
        <v>2</v>
      </c>
      <c r="B8" s="1071"/>
      <c r="C8" s="800" t="s">
        <v>3</v>
      </c>
      <c r="D8" s="1071" t="str">
        <f>LH!E4</f>
        <v>gsi</v>
      </c>
      <c r="E8" s="1071"/>
      <c r="F8" s="1071"/>
      <c r="G8" s="761"/>
      <c r="H8" s="761"/>
      <c r="I8" s="1087"/>
      <c r="J8" s="1087"/>
      <c r="K8" s="761"/>
      <c r="L8" s="761"/>
    </row>
    <row r="9" spans="1:12" ht="14">
      <c r="A9" s="1071" t="s">
        <v>352</v>
      </c>
      <c r="B9" s="1071"/>
      <c r="C9" s="800" t="s">
        <v>3</v>
      </c>
      <c r="D9" s="1071" t="str">
        <f>LH!E5</f>
        <v>GSI 18</v>
      </c>
      <c r="E9" s="1071"/>
      <c r="F9" s="1071"/>
      <c r="G9" s="761"/>
      <c r="H9" s="761"/>
      <c r="I9" s="1087"/>
      <c r="J9" s="1087"/>
      <c r="K9" s="761"/>
      <c r="L9" s="761"/>
    </row>
    <row r="10" spans="1:12" ht="14.5">
      <c r="A10" s="1071" t="s">
        <v>353</v>
      </c>
      <c r="B10" s="1071"/>
      <c r="C10" s="800" t="s">
        <v>3</v>
      </c>
      <c r="D10" s="1071" t="str">
        <f>LH!E6</f>
        <v>650051202</v>
      </c>
      <c r="E10" s="1071"/>
      <c r="F10" s="1071"/>
      <c r="G10" s="761"/>
      <c r="H10" s="761"/>
      <c r="I10" s="1088"/>
      <c r="J10" s="1078"/>
      <c r="K10" s="761"/>
      <c r="L10" s="761"/>
    </row>
    <row r="11" spans="1:12" ht="14.5">
      <c r="A11" s="801"/>
      <c r="B11" s="801"/>
      <c r="C11" s="799"/>
      <c r="D11" s="796"/>
      <c r="E11" s="796"/>
      <c r="F11" s="796"/>
      <c r="G11" s="761"/>
      <c r="H11" s="761"/>
      <c r="I11" s="1077"/>
      <c r="J11" s="1077"/>
      <c r="K11" s="761"/>
      <c r="L11" s="761"/>
    </row>
    <row r="12" spans="1:12" ht="14.5">
      <c r="A12" s="802" t="s">
        <v>354</v>
      </c>
      <c r="B12" s="808" t="s">
        <v>355</v>
      </c>
      <c r="C12" s="799"/>
      <c r="D12" s="1080" t="s">
        <v>356</v>
      </c>
      <c r="E12" s="1081"/>
      <c r="F12" s="812" t="s">
        <v>357</v>
      </c>
      <c r="G12" s="761"/>
      <c r="H12" s="761"/>
      <c r="I12" s="1078"/>
      <c r="J12" s="1078"/>
      <c r="K12" s="761"/>
      <c r="L12" s="761"/>
    </row>
    <row r="13" spans="1:12" ht="14.5">
      <c r="A13" s="803"/>
      <c r="B13" s="799"/>
      <c r="C13" s="799"/>
      <c r="D13" s="799"/>
      <c r="E13" s="799"/>
      <c r="F13" s="796"/>
      <c r="G13" s="761"/>
      <c r="H13" s="761"/>
      <c r="I13" s="1079"/>
      <c r="J13" s="1079"/>
      <c r="K13" s="761"/>
      <c r="L13" s="761"/>
    </row>
    <row r="14" spans="1:12" ht="14.5">
      <c r="A14" s="1083" t="s">
        <v>358</v>
      </c>
      <c r="B14" s="1083"/>
      <c r="C14" s="804" t="s">
        <v>3</v>
      </c>
      <c r="D14" s="1084" t="s">
        <v>359</v>
      </c>
      <c r="E14" s="1084"/>
      <c r="F14" s="1084"/>
      <c r="G14" s="762"/>
      <c r="H14" s="763"/>
      <c r="I14" s="1085"/>
      <c r="J14" s="1086"/>
      <c r="K14" s="762"/>
      <c r="L14" s="762"/>
    </row>
    <row r="15" spans="1:12" ht="14.5">
      <c r="A15" s="1071" t="str">
        <f>"Nama Ruang "&amp;H18</f>
        <v xml:space="preserve">Nama Ruang </v>
      </c>
      <c r="B15" s="1071"/>
      <c r="C15" s="800" t="s">
        <v>3</v>
      </c>
      <c r="D15" s="1074" t="str">
        <f>LH!E10</f>
        <v>-</v>
      </c>
      <c r="E15" s="1074"/>
      <c r="F15" s="1074"/>
      <c r="G15" s="761"/>
      <c r="H15" s="1082"/>
      <c r="I15" s="1082"/>
      <c r="J15" s="1082"/>
      <c r="K15" s="761"/>
      <c r="L15" s="761"/>
    </row>
    <row r="16" spans="1:12" ht="14.5">
      <c r="A16" s="1071" t="s">
        <v>6</v>
      </c>
      <c r="B16" s="1071"/>
      <c r="C16" s="800" t="s">
        <v>3</v>
      </c>
      <c r="D16" s="1072" t="str">
        <f>LH!E7</f>
        <v>12 Mei 2022</v>
      </c>
      <c r="E16" s="1072"/>
      <c r="F16" s="1072"/>
      <c r="G16" s="761"/>
      <c r="H16" s="817"/>
      <c r="I16" s="817"/>
      <c r="J16" s="817"/>
      <c r="K16" s="761"/>
      <c r="L16" s="761"/>
    </row>
    <row r="17" spans="1:12" ht="14">
      <c r="A17" s="1071" t="str">
        <f>"Tanggal "&amp;H18</f>
        <v xml:space="preserve">Tanggal </v>
      </c>
      <c r="B17" s="1071"/>
      <c r="C17" s="800" t="s">
        <v>3</v>
      </c>
      <c r="D17" s="1072" t="str">
        <f>LH!E8</f>
        <v>12 Mei 2022</v>
      </c>
      <c r="E17" s="1072"/>
      <c r="F17" s="1072"/>
      <c r="G17" s="761"/>
      <c r="H17" s="761"/>
      <c r="I17" s="761"/>
      <c r="J17" s="761"/>
      <c r="K17" s="761"/>
      <c r="L17" s="761"/>
    </row>
    <row r="18" spans="1:12" ht="14">
      <c r="A18" s="1071" t="str">
        <f>"Penanggungjawab "&amp;H18</f>
        <v xml:space="preserve">Penanggungjawab </v>
      </c>
      <c r="B18" s="1071"/>
      <c r="C18" s="800" t="s">
        <v>3</v>
      </c>
      <c r="D18" s="1071" t="str">
        <f>LH!B176</f>
        <v>Gusti Arya Dinata</v>
      </c>
      <c r="E18" s="1071"/>
      <c r="F18" s="1071"/>
      <c r="G18" s="761"/>
      <c r="H18" s="761"/>
      <c r="I18" s="761"/>
      <c r="J18" s="761"/>
      <c r="K18" s="761"/>
      <c r="L18" s="761"/>
    </row>
    <row r="19" spans="1:12" ht="14.5">
      <c r="A19" s="1071" t="str">
        <f>"Lokasi "&amp;H18</f>
        <v xml:space="preserve">Lokasi </v>
      </c>
      <c r="B19" s="1071"/>
      <c r="C19" s="800" t="s">
        <v>3</v>
      </c>
      <c r="D19" s="1074" t="str">
        <f>LH!E9</f>
        <v>Laboratorium Kalibrasi LPFK Banjarbaru</v>
      </c>
      <c r="E19" s="1074"/>
      <c r="F19" s="1074"/>
      <c r="G19" s="761"/>
      <c r="H19" s="764"/>
      <c r="I19" s="761"/>
      <c r="J19" s="761"/>
      <c r="K19" s="761"/>
      <c r="L19" s="761"/>
    </row>
    <row r="20" spans="1:12" ht="46.5" customHeight="1">
      <c r="A20" s="1074" t="str">
        <f>"Hasil "&amp;H18</f>
        <v xml:space="preserve">Hasil </v>
      </c>
      <c r="B20" s="1074"/>
      <c r="C20" s="805" t="s">
        <v>3</v>
      </c>
      <c r="D20" s="1075" t="s">
        <v>718</v>
      </c>
      <c r="E20" s="1075"/>
      <c r="F20" s="1075"/>
      <c r="G20" s="761"/>
      <c r="H20" s="761"/>
      <c r="I20" s="761"/>
      <c r="J20" s="761"/>
      <c r="K20" s="761"/>
      <c r="L20" s="761"/>
    </row>
    <row r="21" spans="1:12" ht="14">
      <c r="A21" s="1071" t="s">
        <v>360</v>
      </c>
      <c r="B21" s="1071"/>
      <c r="C21" s="800" t="s">
        <v>3</v>
      </c>
      <c r="D21" s="1071" t="str">
        <f>LH!E11</f>
        <v>MK 007 - 18</v>
      </c>
      <c r="E21" s="1071"/>
      <c r="F21" s="1071"/>
      <c r="G21" s="761"/>
      <c r="H21" s="761"/>
      <c r="I21" s="761"/>
      <c r="J21" s="761"/>
      <c r="K21" s="761"/>
      <c r="L21" s="761"/>
    </row>
    <row r="22" spans="1:12">
      <c r="A22" s="796"/>
      <c r="B22" s="796"/>
      <c r="C22" s="796"/>
      <c r="D22" s="796"/>
      <c r="E22" s="796"/>
      <c r="F22" s="796"/>
      <c r="G22" s="761"/>
      <c r="H22" s="761"/>
      <c r="I22" s="761"/>
      <c r="J22" s="761"/>
      <c r="K22" s="761"/>
      <c r="L22" s="761"/>
    </row>
    <row r="23" spans="1:12">
      <c r="A23" s="796"/>
      <c r="B23" s="796"/>
      <c r="C23" s="796"/>
      <c r="D23" s="796"/>
      <c r="E23" s="796"/>
      <c r="F23" s="796"/>
      <c r="G23" s="761"/>
      <c r="H23" s="761"/>
      <c r="I23" s="761"/>
      <c r="J23" s="761"/>
      <c r="K23" s="761"/>
      <c r="L23" s="761"/>
    </row>
    <row r="24" spans="1:12" ht="14">
      <c r="A24" s="796"/>
      <c r="B24" s="796"/>
      <c r="C24" s="796"/>
      <c r="D24" s="806" t="s">
        <v>361</v>
      </c>
      <c r="E24" s="1073">
        <f ca="1">TODAY()</f>
        <v>45264</v>
      </c>
      <c r="F24" s="1073"/>
      <c r="G24" s="761"/>
      <c r="H24" s="761"/>
      <c r="I24" s="761"/>
      <c r="J24" s="761"/>
      <c r="K24" s="761"/>
      <c r="L24" s="761"/>
    </row>
    <row r="25" spans="1:12" ht="14">
      <c r="A25" s="796"/>
      <c r="B25" s="796"/>
      <c r="C25" s="796"/>
      <c r="D25" s="1071" t="s">
        <v>362</v>
      </c>
      <c r="E25" s="1071"/>
      <c r="F25" s="1071"/>
      <c r="G25" s="761"/>
      <c r="H25" s="761"/>
      <c r="I25" s="761"/>
      <c r="J25" s="761"/>
      <c r="K25" s="761"/>
      <c r="L25" s="761"/>
    </row>
    <row r="26" spans="1:12" ht="14">
      <c r="A26" s="796"/>
      <c r="B26" s="796"/>
      <c r="C26" s="796"/>
      <c r="D26" s="1071" t="s">
        <v>363</v>
      </c>
      <c r="E26" s="1071"/>
      <c r="F26" s="1071"/>
      <c r="G26" s="761"/>
      <c r="H26" s="761"/>
      <c r="I26" s="761"/>
      <c r="J26" s="761"/>
      <c r="K26" s="761"/>
      <c r="L26" s="761"/>
    </row>
    <row r="27" spans="1:12" ht="14">
      <c r="A27" s="796"/>
      <c r="B27" s="796"/>
      <c r="C27" s="796"/>
      <c r="D27" s="818"/>
      <c r="E27" s="818"/>
      <c r="F27" s="796"/>
      <c r="G27" s="761"/>
      <c r="H27" s="761"/>
      <c r="I27" s="761"/>
      <c r="J27" s="761"/>
      <c r="K27" s="761"/>
      <c r="L27" s="761"/>
    </row>
    <row r="28" spans="1:12" ht="14">
      <c r="A28" s="796"/>
      <c r="B28" s="796"/>
      <c r="C28" s="796"/>
      <c r="D28" s="818"/>
      <c r="E28" s="818"/>
      <c r="F28" s="796"/>
      <c r="G28" s="761"/>
      <c r="H28" s="761"/>
      <c r="I28" s="761"/>
      <c r="J28" s="761"/>
      <c r="K28" s="761"/>
      <c r="L28" s="761"/>
    </row>
    <row r="29" spans="1:12" ht="14">
      <c r="A29" s="796"/>
      <c r="B29" s="796"/>
      <c r="C29" s="796"/>
      <c r="D29" s="818"/>
      <c r="E29" s="818"/>
      <c r="F29" s="796"/>
      <c r="G29" s="761"/>
      <c r="H29" s="761"/>
      <c r="I29" s="761"/>
      <c r="J29" s="761"/>
      <c r="K29" s="761"/>
      <c r="L29" s="761"/>
    </row>
    <row r="30" spans="1:12" ht="14">
      <c r="A30" s="796"/>
      <c r="B30" s="796"/>
      <c r="C30" s="796"/>
      <c r="D30" s="1071" t="s">
        <v>364</v>
      </c>
      <c r="E30" s="1071"/>
      <c r="F30" s="1071"/>
      <c r="G30" s="761"/>
      <c r="H30" s="761"/>
      <c r="I30" s="761"/>
      <c r="J30" s="761"/>
      <c r="K30" s="761"/>
      <c r="L30" s="761"/>
    </row>
    <row r="31" spans="1:12" ht="14">
      <c r="A31" s="796"/>
      <c r="B31" s="796"/>
      <c r="C31" s="796"/>
      <c r="D31" s="1076" t="s">
        <v>365</v>
      </c>
      <c r="E31" s="1076"/>
      <c r="F31" s="1076"/>
      <c r="G31" s="761"/>
      <c r="H31" s="761"/>
      <c r="I31" s="761"/>
      <c r="J31" s="761"/>
      <c r="K31" s="761"/>
      <c r="L31" s="761"/>
    </row>
  </sheetData>
  <mergeCells count="42">
    <mergeCell ref="A8:B8"/>
    <mergeCell ref="D8:F8"/>
    <mergeCell ref="I8:J8"/>
    <mergeCell ref="D6:E6"/>
    <mergeCell ref="A2:F2"/>
    <mergeCell ref="I2:J2"/>
    <mergeCell ref="A3:F3"/>
    <mergeCell ref="D4:F4"/>
    <mergeCell ref="H5:J5"/>
    <mergeCell ref="A9:B9"/>
    <mergeCell ref="D9:F9"/>
    <mergeCell ref="I9:J9"/>
    <mergeCell ref="A10:B10"/>
    <mergeCell ref="D10:F10"/>
    <mergeCell ref="I10:J10"/>
    <mergeCell ref="I11:J11"/>
    <mergeCell ref="I12:J12"/>
    <mergeCell ref="I13:J13"/>
    <mergeCell ref="D12:E12"/>
    <mergeCell ref="A15:B15"/>
    <mergeCell ref="D15:F15"/>
    <mergeCell ref="H15:J15"/>
    <mergeCell ref="A14:B14"/>
    <mergeCell ref="D14:F14"/>
    <mergeCell ref="I14:J14"/>
    <mergeCell ref="D25:F25"/>
    <mergeCell ref="D26:F26"/>
    <mergeCell ref="D30:F30"/>
    <mergeCell ref="D31:F31"/>
    <mergeCell ref="D18:F18"/>
    <mergeCell ref="A16:B16"/>
    <mergeCell ref="D16:F16"/>
    <mergeCell ref="E24:F24"/>
    <mergeCell ref="A19:B19"/>
    <mergeCell ref="D19:F19"/>
    <mergeCell ref="A20:B20"/>
    <mergeCell ref="D20:F20"/>
    <mergeCell ref="A21:B21"/>
    <mergeCell ref="D21:F21"/>
    <mergeCell ref="A18:B18"/>
    <mergeCell ref="A17:B17"/>
    <mergeCell ref="D17:F17"/>
  </mergeCells>
  <dataValidations count="2">
    <dataValidation type="list" allowBlank="1" showInputMessage="1" showErrorMessage="1" sqref="A2:F2" xr:uid="{FE4FBA94-4B23-48E0-9B1B-9632B133C3FE}">
      <formula1>"SERTIFIKAT KALIBRASI,SERTIFIKAT PENGUJIAN"</formula1>
    </dataValidation>
    <dataValidation type="list" allowBlank="1" showInputMessage="1" showErrorMessage="1" sqref="F12" xr:uid="{44D19DB0-711D-4E3B-A480-6080360B7B27}">
      <formula1>"Negeri,Swasta"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D4531F8-17C8-4902-8B55-AA10A231E0AA}">
          <x14:formula1>
            <xm:f>'DB SERTIFIKAT'!$B$2:$B$73</xm:f>
          </x14:formula1>
          <xm:sqref>B6</xm:sqref>
        </x14:dataValidation>
        <x14:dataValidation type="list" allowBlank="1" showInputMessage="1" showErrorMessage="1" xr:uid="{ECF8597C-39C1-403B-B5BC-D42B867889ED}">
          <x14:formula1>
            <xm:f>'DB SERTIFIKAT'!$F$2:$F$13</xm:f>
          </x14:formula1>
          <xm:sqref>I4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88"/>
  <sheetViews>
    <sheetView showGridLines="0" view="pageBreakPreview" topLeftCell="B10" zoomScaleNormal="100" zoomScaleSheetLayoutView="100" zoomScalePageLayoutView="42" workbookViewId="0">
      <selection activeCell="E16" sqref="E16"/>
    </sheetView>
  </sheetViews>
  <sheetFormatPr defaultColWidth="9.1796875" defaultRowHeight="15.5"/>
  <cols>
    <col min="1" max="1" width="5.54296875" style="422" customWidth="1"/>
    <col min="2" max="2" width="7.7265625" style="422" customWidth="1"/>
    <col min="3" max="3" width="22.1796875" style="422" customWidth="1"/>
    <col min="4" max="4" width="12.453125" style="422" customWidth="1"/>
    <col min="5" max="5" width="11.81640625" style="422" customWidth="1"/>
    <col min="6" max="6" width="13.1796875" style="422" customWidth="1"/>
    <col min="7" max="7" width="9.26953125" style="422" bestFit="1" customWidth="1"/>
    <col min="8" max="8" width="11.81640625" style="422" customWidth="1"/>
    <col min="9" max="9" width="17.7265625" style="422" customWidth="1"/>
    <col min="10" max="10" width="16.453125" style="422" customWidth="1"/>
    <col min="11" max="11" width="7.7265625" style="422" customWidth="1"/>
    <col min="12" max="12" width="9.54296875" style="422" bestFit="1" customWidth="1"/>
    <col min="13" max="13" width="9.1796875" style="422"/>
    <col min="14" max="14" width="9.7265625" style="422" customWidth="1"/>
    <col min="15" max="16" width="9.1796875" style="422"/>
    <col min="17" max="17" width="10.81640625" style="422" bestFit="1" customWidth="1"/>
    <col min="18" max="18" width="13.453125" style="422" customWidth="1"/>
    <col min="19" max="19" width="11" style="422" bestFit="1" customWidth="1"/>
    <col min="20" max="20" width="16.7265625" style="422" customWidth="1"/>
    <col min="21" max="22" width="9.1796875" style="422"/>
    <col min="23" max="23" width="13.7265625" style="422" customWidth="1"/>
    <col min="24" max="16384" width="9.1796875" style="422"/>
  </cols>
  <sheetData>
    <row r="1" spans="1:11" ht="18">
      <c r="A1" s="1035" t="s">
        <v>270</v>
      </c>
      <c r="B1" s="1035"/>
      <c r="C1" s="1035"/>
      <c r="D1" s="1035"/>
      <c r="E1" s="1035"/>
      <c r="F1" s="1035"/>
      <c r="G1" s="1035"/>
      <c r="H1" s="1035"/>
      <c r="I1" s="1035"/>
      <c r="J1" s="1035"/>
      <c r="K1" s="1035"/>
    </row>
    <row r="2" spans="1:11" ht="16.5">
      <c r="A2" s="1106" t="str">
        <f>ID!D2&amp;" "&amp;ID!I2</f>
        <v>Nomor Sertifikat : 4 / 1 / V - 21 / E - 061 Dt</v>
      </c>
      <c r="B2" s="1106"/>
      <c r="C2" s="1106"/>
      <c r="D2" s="1106"/>
      <c r="E2" s="1106"/>
      <c r="F2" s="1106"/>
      <c r="G2" s="1106"/>
      <c r="H2" s="1106"/>
      <c r="I2" s="1106"/>
      <c r="J2" s="1106"/>
      <c r="K2" s="1106"/>
    </row>
    <row r="3" spans="1:11">
      <c r="A3" s="360"/>
      <c r="B3" s="413"/>
      <c r="C3" s="413"/>
      <c r="D3" s="413"/>
      <c r="E3" s="413"/>
      <c r="F3" s="413"/>
      <c r="G3" s="413"/>
      <c r="H3" s="413"/>
      <c r="I3" s="413"/>
      <c r="J3" s="413"/>
      <c r="K3" s="413"/>
    </row>
    <row r="4" spans="1:11">
      <c r="A4" s="363" t="s">
        <v>271</v>
      </c>
      <c r="B4" s="360"/>
      <c r="C4" s="360"/>
      <c r="D4" s="364" t="s">
        <v>3</v>
      </c>
      <c r="E4" s="366" t="str">
        <f>ID!D4</f>
        <v>gsi</v>
      </c>
      <c r="F4" s="360"/>
      <c r="G4" s="360"/>
      <c r="H4" s="360"/>
      <c r="I4" s="364"/>
      <c r="J4" s="364"/>
      <c r="K4" s="360"/>
    </row>
    <row r="5" spans="1:11">
      <c r="A5" s="363" t="s">
        <v>272</v>
      </c>
      <c r="B5" s="360"/>
      <c r="C5" s="360"/>
      <c r="D5" s="364" t="s">
        <v>3</v>
      </c>
      <c r="E5" s="366" t="str">
        <f>ID!D5</f>
        <v>GSI 18</v>
      </c>
      <c r="F5" s="360"/>
      <c r="G5" s="360"/>
      <c r="H5" s="360"/>
      <c r="I5" s="364"/>
      <c r="J5" s="364"/>
      <c r="K5" s="360"/>
    </row>
    <row r="6" spans="1:11">
      <c r="A6" s="363" t="s">
        <v>273</v>
      </c>
      <c r="B6" s="360"/>
      <c r="C6" s="360"/>
      <c r="D6" s="364" t="s">
        <v>3</v>
      </c>
      <c r="E6" s="366" t="str">
        <f>ID!D6</f>
        <v>650051202</v>
      </c>
      <c r="F6" s="360"/>
      <c r="G6" s="360"/>
      <c r="H6" s="360"/>
      <c r="I6" s="364"/>
      <c r="J6" s="364"/>
      <c r="K6" s="360"/>
    </row>
    <row r="7" spans="1:11">
      <c r="A7" s="363" t="s">
        <v>6</v>
      </c>
      <c r="B7" s="360"/>
      <c r="C7" s="360"/>
      <c r="D7" s="364" t="s">
        <v>3</v>
      </c>
      <c r="E7" s="366" t="str">
        <f>ID!D7</f>
        <v>12 Mei 2022</v>
      </c>
      <c r="F7" s="360"/>
      <c r="G7" s="360"/>
      <c r="H7" s="360"/>
      <c r="I7" s="364"/>
      <c r="J7" s="364"/>
      <c r="K7" s="360"/>
    </row>
    <row r="8" spans="1:11">
      <c r="A8" s="363" t="s">
        <v>274</v>
      </c>
      <c r="B8" s="360"/>
      <c r="C8" s="360"/>
      <c r="D8" s="364" t="s">
        <v>3</v>
      </c>
      <c r="E8" s="366" t="str">
        <f>ID!D8</f>
        <v>12 Mei 2022</v>
      </c>
      <c r="F8" s="360"/>
      <c r="G8" s="363"/>
      <c r="H8" s="364"/>
      <c r="I8" s="360"/>
      <c r="J8" s="360"/>
      <c r="K8" s="360"/>
    </row>
    <row r="9" spans="1:11">
      <c r="A9" s="363" t="s">
        <v>275</v>
      </c>
      <c r="B9" s="360"/>
      <c r="C9" s="360"/>
      <c r="D9" s="364" t="s">
        <v>3</v>
      </c>
      <c r="E9" s="366" t="str">
        <f>ID!D9</f>
        <v>Laboratorium Kalibrasi LPFK Banjarbaru</v>
      </c>
      <c r="F9" s="360"/>
      <c r="G9" s="363"/>
      <c r="H9" s="364"/>
      <c r="I9" s="360"/>
      <c r="J9" s="360"/>
      <c r="K9" s="360"/>
    </row>
    <row r="10" spans="1:11">
      <c r="A10" s="363" t="s">
        <v>276</v>
      </c>
      <c r="B10" s="360"/>
      <c r="C10" s="360"/>
      <c r="D10" s="364" t="s">
        <v>3</v>
      </c>
      <c r="E10" s="366" t="str">
        <f>ID!D10</f>
        <v>-</v>
      </c>
      <c r="F10" s="360"/>
      <c r="G10" s="363"/>
      <c r="H10" s="364"/>
      <c r="I10" s="360"/>
      <c r="J10" s="360"/>
      <c r="K10" s="360"/>
    </row>
    <row r="11" spans="1:11">
      <c r="A11" s="363" t="s">
        <v>140</v>
      </c>
      <c r="B11" s="360"/>
      <c r="C11" s="360"/>
      <c r="D11" s="364" t="s">
        <v>3</v>
      </c>
      <c r="E11" s="366" t="str">
        <f>ID!D11</f>
        <v>MK 007 - 18</v>
      </c>
      <c r="F11" s="360"/>
      <c r="G11" s="363"/>
      <c r="H11" s="364"/>
      <c r="I11" s="360"/>
      <c r="J11" s="360"/>
      <c r="K11" s="360"/>
    </row>
    <row r="12" spans="1:11">
      <c r="A12" s="360"/>
      <c r="B12" s="363"/>
      <c r="C12" s="363"/>
      <c r="D12" s="363"/>
      <c r="E12" s="363"/>
      <c r="F12" s="363"/>
      <c r="G12" s="363"/>
      <c r="H12" s="363"/>
      <c r="I12" s="363"/>
      <c r="J12" s="363"/>
      <c r="K12" s="366"/>
    </row>
    <row r="13" spans="1:11">
      <c r="A13" s="499" t="s">
        <v>277</v>
      </c>
      <c r="B13" s="424" t="s">
        <v>278</v>
      </c>
      <c r="C13" s="424"/>
      <c r="D13" s="425"/>
      <c r="E13" s="426"/>
      <c r="F13" s="427"/>
      <c r="G13" s="428"/>
      <c r="H13" s="428"/>
      <c r="I13" s="428"/>
      <c r="J13" s="428"/>
      <c r="K13" s="428"/>
    </row>
    <row r="14" spans="1:11" ht="18.5">
      <c r="A14" s="360"/>
      <c r="B14" s="498" t="s">
        <v>279</v>
      </c>
      <c r="C14" s="429" t="s">
        <v>280</v>
      </c>
      <c r="D14" s="430" t="s">
        <v>3</v>
      </c>
      <c r="E14" s="431" t="str">
        <f>'DB Suhu'!L344&amp;'DB Suhu'!L342&amp;'DB Suhu'!M344&amp;'DB Suhu'!M342&amp;'DB Suhu'!N344&amp;'DB Suhu'!N342</f>
        <v>( 22.9 ± 0.3 ) °C</v>
      </c>
      <c r="F14" s="432"/>
      <c r="G14" s="433"/>
      <c r="H14" s="425"/>
      <c r="I14" s="425"/>
      <c r="J14" s="425"/>
      <c r="K14" s="425"/>
    </row>
    <row r="15" spans="1:11">
      <c r="A15" s="360"/>
      <c r="B15" s="498" t="s">
        <v>281</v>
      </c>
      <c r="C15" s="429" t="s">
        <v>282</v>
      </c>
      <c r="D15" s="430" t="s">
        <v>3</v>
      </c>
      <c r="E15" s="431" t="str">
        <f>'DB Suhu'!L344&amp;'DB Suhu'!L343&amp;'DB Suhu'!M344&amp;'DB Suhu'!M343&amp;'DB Suhu'!N344&amp;'DB Suhu'!N343</f>
        <v>( 57.4 ± 1.5 ) %RH</v>
      </c>
      <c r="F15" s="434"/>
      <c r="G15" s="428"/>
      <c r="H15" s="425"/>
      <c r="I15" s="425"/>
      <c r="J15" s="425"/>
      <c r="K15" s="425"/>
    </row>
    <row r="16" spans="1:11">
      <c r="A16" s="360"/>
      <c r="B16" s="498" t="s">
        <v>283</v>
      </c>
      <c r="C16" s="429" t="s">
        <v>284</v>
      </c>
      <c r="D16" s="430" t="s">
        <v>3</v>
      </c>
      <c r="E16" s="435">
        <f>'DB ESA'!N198</f>
        <v>224.54130000000001</v>
      </c>
      <c r="F16" s="436"/>
      <c r="G16" s="428"/>
      <c r="H16" s="425"/>
      <c r="I16" s="425"/>
      <c r="J16" s="425"/>
      <c r="K16" s="425"/>
    </row>
    <row r="17" spans="1:18" ht="18.5">
      <c r="A17" s="360"/>
      <c r="B17" s="437"/>
      <c r="C17" s="437"/>
      <c r="D17" s="437"/>
      <c r="E17" s="428"/>
      <c r="F17" s="425"/>
      <c r="G17" s="425"/>
      <c r="H17" s="425"/>
      <c r="I17" s="425"/>
      <c r="J17" s="425"/>
      <c r="K17" s="438"/>
    </row>
    <row r="18" spans="1:18" ht="18.5">
      <c r="A18" s="499" t="s">
        <v>285</v>
      </c>
      <c r="B18" s="437" t="s">
        <v>286</v>
      </c>
      <c r="C18" s="425"/>
      <c r="D18" s="425"/>
      <c r="E18" s="425"/>
      <c r="F18" s="425"/>
      <c r="G18" s="438"/>
      <c r="H18" s="425"/>
      <c r="I18" s="439"/>
      <c r="J18" s="439"/>
      <c r="K18" s="472" t="s">
        <v>20</v>
      </c>
    </row>
    <row r="19" spans="1:18">
      <c r="A19" s="360"/>
      <c r="B19" s="498" t="s">
        <v>279</v>
      </c>
      <c r="C19" s="440" t="s">
        <v>287</v>
      </c>
      <c r="D19" s="430" t="s">
        <v>3</v>
      </c>
      <c r="E19" s="425" t="str">
        <f>ID!D20</f>
        <v>Baik</v>
      </c>
      <c r="F19" s="473"/>
      <c r="G19" s="473"/>
      <c r="H19" s="473"/>
      <c r="I19" s="473"/>
      <c r="J19" s="473"/>
      <c r="K19" s="503">
        <f>IF(E19="baik",5,IF(E19="Tidak Baik",0))</f>
        <v>5</v>
      </c>
    </row>
    <row r="20" spans="1:18">
      <c r="A20" s="360"/>
      <c r="B20" s="498" t="s">
        <v>281</v>
      </c>
      <c r="C20" s="440" t="s">
        <v>288</v>
      </c>
      <c r="D20" s="430" t="s">
        <v>3</v>
      </c>
      <c r="E20" s="425" t="str">
        <f>ID!D21</f>
        <v>Baik</v>
      </c>
      <c r="F20" s="473"/>
      <c r="G20" s="473"/>
      <c r="H20" s="473"/>
      <c r="I20" s="473"/>
      <c r="J20" s="473"/>
      <c r="K20" s="503">
        <f>IF(E20="baik",5,IF(E20="Tidak Baik",0))</f>
        <v>5</v>
      </c>
    </row>
    <row r="21" spans="1:18">
      <c r="A21" s="360"/>
      <c r="B21" s="440"/>
      <c r="C21" s="430"/>
      <c r="D21" s="425"/>
      <c r="E21" s="425"/>
      <c r="F21" s="441"/>
      <c r="G21" s="441"/>
      <c r="H21" s="441"/>
      <c r="I21" s="441"/>
      <c r="J21" s="441"/>
      <c r="K21" s="441"/>
    </row>
    <row r="22" spans="1:18" ht="18.5">
      <c r="A22" s="499" t="s">
        <v>289</v>
      </c>
      <c r="B22" s="437" t="s">
        <v>290</v>
      </c>
      <c r="C22" s="425"/>
      <c r="D22" s="425"/>
      <c r="E22" s="428"/>
      <c r="F22" s="425"/>
      <c r="G22" s="425"/>
      <c r="H22" s="425"/>
      <c r="I22" s="425"/>
      <c r="J22" s="425"/>
      <c r="K22" s="438"/>
    </row>
    <row r="23" spans="1:18" ht="36.75" customHeight="1">
      <c r="A23" s="360"/>
      <c r="B23" s="442" t="s">
        <v>25</v>
      </c>
      <c r="C23" s="1037" t="s">
        <v>26</v>
      </c>
      <c r="D23" s="1038"/>
      <c r="E23" s="1038"/>
      <c r="F23" s="1038"/>
      <c r="G23" s="1039"/>
      <c r="H23" s="463" t="s">
        <v>27</v>
      </c>
      <c r="I23" s="442" t="s">
        <v>28</v>
      </c>
      <c r="J23" s="521"/>
      <c r="K23" s="472" t="s">
        <v>20</v>
      </c>
    </row>
    <row r="24" spans="1:18">
      <c r="A24" s="360"/>
      <c r="B24" s="443">
        <v>1</v>
      </c>
      <c r="C24" s="444" t="str">
        <f>ID!B25</f>
        <v xml:space="preserve">Resistansi isolasi </v>
      </c>
      <c r="D24" s="445"/>
      <c r="E24" s="445"/>
      <c r="F24" s="445"/>
      <c r="G24" s="446"/>
      <c r="H24" s="466" t="str">
        <f>'DB ESA'!N199</f>
        <v>OL</v>
      </c>
      <c r="I24" s="443" t="str">
        <f>ID!I25</f>
        <v>&gt; 2 MΩ</v>
      </c>
      <c r="J24" s="522"/>
      <c r="K24" s="505">
        <f>IF(H24="-",10,IF(H24="OL",10,IF(H24="NC",10,IF(H24&gt;=2,10,IF(H24&lt;2,0)))))</f>
        <v>10</v>
      </c>
      <c r="L24" s="1095">
        <f>IF(H26="-",15,SUM(K24:K26))</f>
        <v>15</v>
      </c>
      <c r="Q24" t="s">
        <v>120</v>
      </c>
      <c r="R24" s="504">
        <v>500</v>
      </c>
    </row>
    <row r="25" spans="1:18">
      <c r="A25" s="360"/>
      <c r="B25" s="443">
        <v>2</v>
      </c>
      <c r="C25" s="444" t="str">
        <f>ID!B26</f>
        <v>Resistansi pembumian protektif</v>
      </c>
      <c r="D25" s="445"/>
      <c r="E25" s="445"/>
      <c r="F25" s="445"/>
      <c r="G25" s="446"/>
      <c r="H25" s="466">
        <f>'DB ESA'!N200</f>
        <v>0.1</v>
      </c>
      <c r="I25" s="443" t="str">
        <f>ID!I26</f>
        <v>≤ 0.2 Ω</v>
      </c>
      <c r="J25" s="522"/>
      <c r="K25" s="505">
        <f>IF(H25="-",10,IF(H25="OL",10,IF(H25="NC",10,IF(H25&lt;=0.2,10,IF(H25&gt;0.2,0)))))</f>
        <v>10</v>
      </c>
      <c r="L25" s="1095"/>
      <c r="Q25" t="s">
        <v>124</v>
      </c>
      <c r="R25" s="504">
        <v>100</v>
      </c>
    </row>
    <row r="26" spans="1:18">
      <c r="A26" s="360"/>
      <c r="B26" s="443">
        <v>3</v>
      </c>
      <c r="C26" s="444" t="str">
        <f>ID!B27</f>
        <v xml:space="preserve">Arus bocor peralatan untuk peralatan elektromedik kelas I </v>
      </c>
      <c r="D26" s="445"/>
      <c r="E26" s="445"/>
      <c r="F26" s="445"/>
      <c r="G26" s="446"/>
      <c r="H26" s="467" t="str">
        <f>'DB ESA'!N201</f>
        <v>-</v>
      </c>
      <c r="I26" s="443" t="str">
        <f>ID!I27</f>
        <v>≤ 500 µA</v>
      </c>
      <c r="J26" s="522"/>
      <c r="K26" s="506">
        <f>IF(H26="OL",20,IF(H26="-",20,IF(H26&lt;=R26,20,0)))</f>
        <v>20</v>
      </c>
      <c r="L26" s="1095"/>
      <c r="R26" s="504">
        <f>VLOOKUP(C26,Q24:R25,2,FALSE)</f>
        <v>500</v>
      </c>
    </row>
    <row r="27" spans="1:18">
      <c r="A27" s="360"/>
      <c r="B27" s="447"/>
      <c r="C27" s="425"/>
      <c r="D27" s="425"/>
      <c r="E27" s="425"/>
      <c r="F27" s="425"/>
      <c r="G27" s="426"/>
      <c r="H27" s="448"/>
      <c r="I27" s="440"/>
      <c r="J27" s="440"/>
      <c r="K27" s="449"/>
    </row>
    <row r="28" spans="1:18">
      <c r="A28" s="499" t="s">
        <v>291</v>
      </c>
      <c r="B28" s="437" t="s">
        <v>292</v>
      </c>
      <c r="C28" s="425"/>
      <c r="D28" s="425"/>
      <c r="E28" s="425"/>
      <c r="F28" s="425"/>
      <c r="G28" s="425"/>
      <c r="H28" s="425"/>
      <c r="I28" s="425"/>
      <c r="J28" s="425"/>
      <c r="K28" s="425"/>
    </row>
    <row r="29" spans="1:18">
      <c r="A29" s="437"/>
      <c r="B29" s="495" t="str">
        <f>ID!A30</f>
        <v xml:space="preserve">     A. Earphone Kanan, SN : </v>
      </c>
      <c r="D29" s="440" t="str">
        <f>ID!C30</f>
        <v>-</v>
      </c>
      <c r="E29" s="425"/>
      <c r="F29" s="425"/>
      <c r="G29" s="425"/>
      <c r="H29" s="425"/>
      <c r="I29" s="425"/>
      <c r="J29" s="425"/>
      <c r="K29" s="425"/>
    </row>
    <row r="30" spans="1:18">
      <c r="A30" s="425"/>
      <c r="C30" s="422" t="s">
        <v>41</v>
      </c>
      <c r="E30" s="425"/>
      <c r="F30" s="425"/>
      <c r="G30" s="425"/>
      <c r="H30" s="425"/>
      <c r="I30" s="425"/>
      <c r="J30" s="425"/>
      <c r="K30" s="425"/>
    </row>
    <row r="31" spans="1:18" ht="15.75" customHeight="1">
      <c r="A31" s="360"/>
      <c r="B31" s="1031"/>
      <c r="C31" s="1034" t="s">
        <v>42</v>
      </c>
      <c r="D31" s="1034" t="s">
        <v>43</v>
      </c>
      <c r="E31" s="1034"/>
      <c r="F31" s="1033" t="s">
        <v>44</v>
      </c>
      <c r="G31" s="1034" t="s">
        <v>293</v>
      </c>
      <c r="H31" s="1034" t="s">
        <v>45</v>
      </c>
      <c r="I31" s="1033" t="s">
        <v>294</v>
      </c>
      <c r="J31" s="523"/>
      <c r="K31" s="1103" t="s">
        <v>20</v>
      </c>
      <c r="L31" s="1108">
        <f>T82</f>
        <v>17.5</v>
      </c>
      <c r="M31" s="1100">
        <f>IF(T75&lt;70,0,IF(T75&gt;=70,5.8333333))</f>
        <v>5.8333332999999996</v>
      </c>
    </row>
    <row r="32" spans="1:18" ht="30" customHeight="1">
      <c r="A32" s="360"/>
      <c r="B32" s="1032"/>
      <c r="C32" s="1034"/>
      <c r="D32" s="450" t="s">
        <v>47</v>
      </c>
      <c r="E32" s="450" t="s">
        <v>48</v>
      </c>
      <c r="F32" s="1033"/>
      <c r="G32" s="1034"/>
      <c r="H32" s="1034"/>
      <c r="I32" s="1033"/>
      <c r="J32" s="523"/>
      <c r="K32" s="1103"/>
      <c r="L32" s="1109"/>
      <c r="M32" s="1100"/>
      <c r="O32" s="514" t="s">
        <v>295</v>
      </c>
      <c r="P32" s="514" t="s">
        <v>296</v>
      </c>
    </row>
    <row r="33" spans="1:16">
      <c r="A33" s="360"/>
      <c r="B33" s="1031"/>
      <c r="C33" s="1033" t="s">
        <v>52</v>
      </c>
      <c r="D33" s="443">
        <f>ID!C34</f>
        <v>125</v>
      </c>
      <c r="E33" s="443">
        <f>ID!D34</f>
        <v>70</v>
      </c>
      <c r="F33" s="451">
        <f>IFERROR('Interpolasi dB'!E19,"-")</f>
        <v>69.98</v>
      </c>
      <c r="G33" s="451">
        <f>IFERROR('Interpolasi dB'!G19,"-")</f>
        <v>-1.9999999999996021E-2</v>
      </c>
      <c r="H33" s="1034" t="str">
        <f>'Lembar Kerja'!H33:H41</f>
        <v>± 5 dBHL</v>
      </c>
      <c r="I33" s="461">
        <f>IFERROR('Interpolasi dB'!F19,"-")</f>
        <v>0.53380891459609159</v>
      </c>
      <c r="J33" s="524"/>
      <c r="K33" s="516">
        <f>IF(F33="-",N33,IF(F33&gt;O33,0,IF(F33&lt;P33,0,IF(F33&gt;=P33,N33,IF(F33&lt;=O33,N33,)))))</f>
        <v>9.0909090909090899</v>
      </c>
      <c r="L33" s="1109"/>
      <c r="M33" s="1100"/>
      <c r="N33" s="423">
        <v>9.0909090909090899</v>
      </c>
      <c r="O33" s="507">
        <f>E33+5</f>
        <v>75</v>
      </c>
      <c r="P33" s="515">
        <f>E33-5</f>
        <v>65</v>
      </c>
    </row>
    <row r="34" spans="1:16">
      <c r="A34" s="360"/>
      <c r="B34" s="1025"/>
      <c r="C34" s="1033"/>
      <c r="D34" s="443">
        <f>ID!C35</f>
        <v>250</v>
      </c>
      <c r="E34" s="443">
        <f>ID!D35</f>
        <v>90</v>
      </c>
      <c r="F34" s="451">
        <f>IFERROR('Interpolasi dB'!E20,"-")</f>
        <v>90.04</v>
      </c>
      <c r="G34" s="451">
        <f>IFERROR('Interpolasi dB'!G20,"-")</f>
        <v>4.0000000000006253E-2</v>
      </c>
      <c r="H34" s="1034"/>
      <c r="I34" s="461">
        <f>IFERROR('Interpolasi dB'!F20,"-")</f>
        <v>0.53380891459609159</v>
      </c>
      <c r="J34" s="524"/>
      <c r="K34" s="516">
        <f t="shared" ref="K34:K43" si="0">IF(F34="-",N34,IF(F34&gt;O34,0,IF(F34&lt;P34,0,IF(F34&gt;=P34,N34,IF(F34&lt;=O34,N34,)))))</f>
        <v>9.0909090909090899</v>
      </c>
      <c r="L34" s="1109"/>
      <c r="M34" s="1100"/>
      <c r="N34" s="423">
        <v>9.0909090909090899</v>
      </c>
      <c r="O34" s="507">
        <f t="shared" ref="O34:O41" si="1">E34+5</f>
        <v>95</v>
      </c>
      <c r="P34" s="515">
        <f t="shared" ref="P34:P41" si="2">E34-5</f>
        <v>85</v>
      </c>
    </row>
    <row r="35" spans="1:16">
      <c r="A35" s="360"/>
      <c r="B35" s="1025"/>
      <c r="C35" s="1033"/>
      <c r="D35" s="443">
        <f>ID!C36</f>
        <v>500</v>
      </c>
      <c r="E35" s="443">
        <f>ID!D36</f>
        <v>120</v>
      </c>
      <c r="F35" s="451">
        <f>IFERROR('Interpolasi dB'!E21,"-")</f>
        <v>120.0376</v>
      </c>
      <c r="G35" s="451">
        <f>IFERROR('Interpolasi dB'!G21,"-")</f>
        <v>3.7599999999997635E-2</v>
      </c>
      <c r="H35" s="1034"/>
      <c r="I35" s="461">
        <f>IFERROR('Interpolasi dB'!F21,"-")</f>
        <v>0.53380891459609159</v>
      </c>
      <c r="J35" s="524"/>
      <c r="K35" s="516">
        <f t="shared" si="0"/>
        <v>9.0909090909090899</v>
      </c>
      <c r="L35" s="1109"/>
      <c r="M35" s="1100"/>
      <c r="N35" s="423">
        <v>9.0909090909090899</v>
      </c>
      <c r="O35" s="507">
        <f t="shared" si="1"/>
        <v>125</v>
      </c>
      <c r="P35" s="515">
        <f t="shared" si="2"/>
        <v>115</v>
      </c>
    </row>
    <row r="36" spans="1:16">
      <c r="A36" s="360"/>
      <c r="B36" s="1025"/>
      <c r="C36" s="1033"/>
      <c r="D36" s="443">
        <f>ID!C37</f>
        <v>750</v>
      </c>
      <c r="E36" s="443">
        <f>ID!D37</f>
        <v>120</v>
      </c>
      <c r="F36" s="451">
        <f>IFERROR('Interpolasi dB'!E22,"-")</f>
        <v>120.04</v>
      </c>
      <c r="G36" s="451">
        <f>IFERROR('Interpolasi dB'!G22,"-")</f>
        <v>4.0000000000006253E-2</v>
      </c>
      <c r="H36" s="1034"/>
      <c r="I36" s="461">
        <f>IFERROR('Interpolasi dB'!F22,"-")</f>
        <v>0.62906106791079441</v>
      </c>
      <c r="J36" s="525"/>
      <c r="K36" s="516">
        <f t="shared" si="0"/>
        <v>9.0909090909090899</v>
      </c>
      <c r="L36" s="1109"/>
      <c r="M36" s="1100"/>
      <c r="N36" s="423">
        <v>9.0909090909090899</v>
      </c>
      <c r="O36" s="507">
        <f t="shared" si="1"/>
        <v>125</v>
      </c>
      <c r="P36" s="515">
        <f t="shared" si="2"/>
        <v>115</v>
      </c>
    </row>
    <row r="37" spans="1:16">
      <c r="A37" s="360"/>
      <c r="B37" s="1025"/>
      <c r="C37" s="1033"/>
      <c r="D37" s="443">
        <f>ID!C38</f>
        <v>1000</v>
      </c>
      <c r="E37" s="443">
        <f>ID!D38</f>
        <v>120</v>
      </c>
      <c r="F37" s="451">
        <f>IFERROR('Interpolasi dB'!E23,"-")</f>
        <v>120.04</v>
      </c>
      <c r="G37" s="451">
        <f>IFERROR('Interpolasi dB'!G23,"-")</f>
        <v>4.0000000000006253E-2</v>
      </c>
      <c r="H37" s="1034"/>
      <c r="I37" s="461">
        <f>IFERROR('Interpolasi dB'!F23,"-")</f>
        <v>0.62906106791079441</v>
      </c>
      <c r="J37" s="524"/>
      <c r="K37" s="516">
        <f t="shared" si="0"/>
        <v>9.0909090909090899</v>
      </c>
      <c r="L37" s="1109"/>
      <c r="M37" s="1100"/>
      <c r="N37" s="423">
        <v>9.0909090909090899</v>
      </c>
      <c r="O37" s="507">
        <f t="shared" si="1"/>
        <v>125</v>
      </c>
      <c r="P37" s="515">
        <f t="shared" si="2"/>
        <v>115</v>
      </c>
    </row>
    <row r="38" spans="1:16">
      <c r="A38" s="360"/>
      <c r="B38" s="1025"/>
      <c r="C38" s="1033"/>
      <c r="D38" s="443">
        <f>ID!C39</f>
        <v>1500</v>
      </c>
      <c r="E38" s="443">
        <f>ID!D39</f>
        <v>120</v>
      </c>
      <c r="F38" s="451">
        <f>IFERROR('Interpolasi dB'!E24,"-")</f>
        <v>120.04</v>
      </c>
      <c r="G38" s="451">
        <f>IFERROR('Interpolasi dB'!G24,"-")</f>
        <v>4.0000000000006253E-2</v>
      </c>
      <c r="H38" s="1034"/>
      <c r="I38" s="461">
        <f>IFERROR('Interpolasi dB'!F24,"-")</f>
        <v>0.21138092612805931</v>
      </c>
      <c r="J38" s="524"/>
      <c r="K38" s="516">
        <f t="shared" si="0"/>
        <v>9.0909090909090899</v>
      </c>
      <c r="L38" s="1109"/>
      <c r="M38" s="1100"/>
      <c r="N38" s="423">
        <v>9.0909090909090899</v>
      </c>
      <c r="O38" s="507">
        <f t="shared" si="1"/>
        <v>125</v>
      </c>
      <c r="P38" s="515">
        <f t="shared" si="2"/>
        <v>115</v>
      </c>
    </row>
    <row r="39" spans="1:16">
      <c r="A39" s="360"/>
      <c r="B39" s="1025"/>
      <c r="C39" s="1033"/>
      <c r="D39" s="443">
        <f>ID!C40</f>
        <v>2000</v>
      </c>
      <c r="E39" s="443">
        <f>ID!D40</f>
        <v>120</v>
      </c>
      <c r="F39" s="451">
        <f>IFERROR('Interpolasi dB'!E25,"-")</f>
        <v>120.04</v>
      </c>
      <c r="G39" s="451">
        <f>IFERROR('Interpolasi dB'!G25,"-")</f>
        <v>4.0000000000006253E-2</v>
      </c>
      <c r="H39" s="1034"/>
      <c r="I39" s="461">
        <f>IFERROR('Interpolasi dB'!F25,"-")</f>
        <v>0.82361120611612804</v>
      </c>
      <c r="J39" s="524"/>
      <c r="K39" s="516">
        <f t="shared" si="0"/>
        <v>9.0909090909090899</v>
      </c>
      <c r="L39" s="1109"/>
      <c r="M39" s="1100"/>
      <c r="N39" s="423">
        <v>9.0909090909090899</v>
      </c>
      <c r="O39" s="507">
        <f t="shared" si="1"/>
        <v>125</v>
      </c>
      <c r="P39" s="515">
        <f t="shared" si="2"/>
        <v>115</v>
      </c>
    </row>
    <row r="40" spans="1:16">
      <c r="A40" s="360"/>
      <c r="B40" s="1025"/>
      <c r="C40" s="1033"/>
      <c r="D40" s="443">
        <f>ID!C41</f>
        <v>3000</v>
      </c>
      <c r="E40" s="443">
        <f>ID!D41</f>
        <v>120</v>
      </c>
      <c r="F40" s="451">
        <f>IFERROR('Interpolasi dB'!E26,"-")</f>
        <v>120.63759999999998</v>
      </c>
      <c r="G40" s="451">
        <f>IFERROR('Interpolasi dB'!G26,"-")</f>
        <v>0.63759999999997774</v>
      </c>
      <c r="H40" s="1034"/>
      <c r="I40" s="461">
        <f>IFERROR('Interpolasi dB'!F26,"-")</f>
        <v>0.725876466154452</v>
      </c>
      <c r="J40" s="524"/>
      <c r="K40" s="516">
        <f t="shared" si="0"/>
        <v>9.0909090909090899</v>
      </c>
      <c r="L40" s="1109"/>
      <c r="M40" s="1100"/>
      <c r="N40" s="423">
        <v>9.0909090909090899</v>
      </c>
      <c r="O40" s="507">
        <f t="shared" si="1"/>
        <v>125</v>
      </c>
      <c r="P40" s="515">
        <f t="shared" si="2"/>
        <v>115</v>
      </c>
    </row>
    <row r="41" spans="1:16">
      <c r="A41" s="360"/>
      <c r="B41" s="1025"/>
      <c r="C41" s="1033"/>
      <c r="D41" s="443">
        <f>ID!C42</f>
        <v>4000</v>
      </c>
      <c r="E41" s="443">
        <f>ID!D42</f>
        <v>120</v>
      </c>
      <c r="F41" s="451">
        <f>IFERROR('Interpolasi dB'!E27,"-")</f>
        <v>120.63759999999998</v>
      </c>
      <c r="G41" s="451">
        <f>IFERROR('Interpolasi dB'!G27,"-")</f>
        <v>0.63759999999997774</v>
      </c>
      <c r="H41" s="1034"/>
      <c r="I41" s="461">
        <f>IFERROR('Interpolasi dB'!F27,"-")</f>
        <v>1.1197736458955867</v>
      </c>
      <c r="J41" s="524"/>
      <c r="K41" s="516">
        <f t="shared" si="0"/>
        <v>9.0909090909090899</v>
      </c>
      <c r="L41" s="1109"/>
      <c r="M41" s="1100"/>
      <c r="N41" s="423">
        <v>9.0909090909090899</v>
      </c>
      <c r="O41" s="507">
        <f t="shared" si="1"/>
        <v>125</v>
      </c>
      <c r="P41" s="515">
        <f t="shared" si="2"/>
        <v>115</v>
      </c>
    </row>
    <row r="42" spans="1:16">
      <c r="A42" s="360"/>
      <c r="B42" s="1025"/>
      <c r="C42" s="1033"/>
      <c r="D42" s="443">
        <f>ID!C43</f>
        <v>6000</v>
      </c>
      <c r="E42" s="443">
        <f>ID!D43</f>
        <v>110</v>
      </c>
      <c r="F42" s="451">
        <f>IFERROR('Interpolasi dB'!E28,"-")</f>
        <v>110.2106</v>
      </c>
      <c r="G42" s="451">
        <f>IFERROR('Interpolasi dB'!G28,"-")</f>
        <v>0.21059999999999945</v>
      </c>
      <c r="H42" s="1034" t="str">
        <f>'Lembar Kerja'!H42:H43</f>
        <v>± 8 dBHL</v>
      </c>
      <c r="I42" s="461">
        <f>IFERROR('Interpolasi dB'!F28,"-")</f>
        <v>1.3179866410832879</v>
      </c>
      <c r="J42" s="524"/>
      <c r="K42" s="516">
        <f t="shared" si="0"/>
        <v>9.0909090909090899</v>
      </c>
      <c r="L42" s="1109"/>
      <c r="M42" s="1100"/>
      <c r="N42" s="423">
        <v>9.0909090909090899</v>
      </c>
      <c r="O42" s="507">
        <f>E42+8</f>
        <v>118</v>
      </c>
      <c r="P42" s="515">
        <f>E42-8</f>
        <v>102</v>
      </c>
    </row>
    <row r="43" spans="1:16">
      <c r="A43" s="360"/>
      <c r="B43" s="1032"/>
      <c r="C43" s="1033"/>
      <c r="D43" s="443">
        <f>ID!C44</f>
        <v>8000</v>
      </c>
      <c r="E43" s="443">
        <f>ID!D44</f>
        <v>100</v>
      </c>
      <c r="F43" s="451">
        <f>IFERROR('Interpolasi dB'!E29,"-")</f>
        <v>99.99</v>
      </c>
      <c r="G43" s="451">
        <f>IFERROR('Interpolasi dB'!G29,"-")</f>
        <v>-1.0000000000005116E-2</v>
      </c>
      <c r="H43" s="1034"/>
      <c r="I43" s="461">
        <f>IFERROR('Interpolasi dB'!F29,"-")</f>
        <v>1.1197736458955867</v>
      </c>
      <c r="J43" s="524"/>
      <c r="K43" s="516">
        <f t="shared" si="0"/>
        <v>9.0909090909090899</v>
      </c>
      <c r="L43" s="1109"/>
      <c r="M43" s="1100"/>
      <c r="N43" s="423">
        <v>9.0909090909090899</v>
      </c>
      <c r="O43" s="507">
        <f>E43+8</f>
        <v>108</v>
      </c>
      <c r="P43" s="515">
        <f>E43-8</f>
        <v>92</v>
      </c>
    </row>
    <row r="44" spans="1:16">
      <c r="A44" s="360"/>
      <c r="B44" s="426"/>
      <c r="C44" s="452"/>
      <c r="D44" s="426"/>
      <c r="E44" s="426"/>
      <c r="F44" s="454"/>
      <c r="G44" s="454"/>
      <c r="H44" s="426"/>
      <c r="I44" s="455"/>
      <c r="J44" s="455"/>
      <c r="K44" s="474"/>
      <c r="L44" s="1109"/>
    </row>
    <row r="45" spans="1:16">
      <c r="A45" s="360"/>
      <c r="B45" s="426"/>
      <c r="C45" s="496" t="s">
        <v>56</v>
      </c>
      <c r="D45" s="426"/>
      <c r="E45" s="426"/>
      <c r="F45" s="425"/>
      <c r="G45" s="425"/>
      <c r="H45" s="425"/>
      <c r="I45" s="453"/>
      <c r="J45" s="453"/>
      <c r="K45" s="425"/>
      <c r="L45" s="1109"/>
    </row>
    <row r="46" spans="1:16" ht="15.75" customHeight="1">
      <c r="A46" s="360"/>
      <c r="B46" s="1031"/>
      <c r="C46" s="1034" t="s">
        <v>42</v>
      </c>
      <c r="D46" s="1034" t="s">
        <v>43</v>
      </c>
      <c r="E46" s="1034"/>
      <c r="F46" s="1033" t="s">
        <v>44</v>
      </c>
      <c r="G46" s="1034" t="s">
        <v>293</v>
      </c>
      <c r="H46" s="1101" t="s">
        <v>45</v>
      </c>
      <c r="I46" s="1104" t="s">
        <v>294</v>
      </c>
      <c r="J46" s="523"/>
      <c r="K46" s="1103" t="s">
        <v>20</v>
      </c>
      <c r="L46" s="1109"/>
      <c r="M46" s="1100">
        <f>IF(T85&lt;70,0,IF(T85&gt;=70,5.83333333))</f>
        <v>5.8333333300000003</v>
      </c>
    </row>
    <row r="47" spans="1:16" ht="30" customHeight="1">
      <c r="A47" s="360"/>
      <c r="B47" s="1032"/>
      <c r="C47" s="1034"/>
      <c r="D47" s="450" t="s">
        <v>47</v>
      </c>
      <c r="E47" s="450" t="s">
        <v>48</v>
      </c>
      <c r="F47" s="1033"/>
      <c r="G47" s="1034"/>
      <c r="H47" s="1102"/>
      <c r="I47" s="1105"/>
      <c r="J47" s="523"/>
      <c r="K47" s="1103"/>
      <c r="L47" s="1109"/>
      <c r="M47" s="1100"/>
    </row>
    <row r="48" spans="1:16">
      <c r="A48" s="360"/>
      <c r="B48" s="1031"/>
      <c r="C48" s="1033" t="s">
        <v>47</v>
      </c>
      <c r="D48" s="443">
        <f>ID!C48</f>
        <v>125</v>
      </c>
      <c r="E48" s="443" t="str">
        <f>ID!D48</f>
        <v>MAX</v>
      </c>
      <c r="F48" s="451">
        <f>IFERROR('Interpolasi dB'!B136,"-")</f>
        <v>125</v>
      </c>
      <c r="G48" s="451">
        <f>IFERROR('Interpolasi dB'!D136,"-")</f>
        <v>0</v>
      </c>
      <c r="H48" s="468">
        <f>'Lembar Kerja'!H48</f>
        <v>1.9</v>
      </c>
      <c r="I48" s="461">
        <f>IFERROR('Interpolasi dB'!C150,"-")</f>
        <v>0.50213977802519028</v>
      </c>
      <c r="J48" s="526"/>
      <c r="K48" s="516">
        <f>IF(F48="-",N48,IF(F48&gt;126.9,0,IF(F48&lt;123.1,0,IF(F48&gt;=123.1,N48,IF(F48&lt;=126.9,N48,)))))</f>
        <v>9.0909090909090899</v>
      </c>
      <c r="L48" s="1109"/>
      <c r="M48" s="1100"/>
      <c r="N48" s="423">
        <v>9.0909090909090899</v>
      </c>
    </row>
    <row r="49" spans="1:14">
      <c r="A49" s="360"/>
      <c r="B49" s="1025"/>
      <c r="C49" s="1033"/>
      <c r="D49" s="443">
        <f>ID!C49</f>
        <v>250</v>
      </c>
      <c r="E49" s="443" t="str">
        <f>ID!D49</f>
        <v>MAX</v>
      </c>
      <c r="F49" s="451">
        <f>IFERROR('Interpolasi dB'!B137,"-")</f>
        <v>250</v>
      </c>
      <c r="G49" s="451">
        <f>IFERROR('Interpolasi dB'!D137,"-")</f>
        <v>0</v>
      </c>
      <c r="H49" s="462">
        <f>'Lembar Kerja'!H49</f>
        <v>4</v>
      </c>
      <c r="I49" s="461">
        <f>IFERROR('Interpolasi dB'!C151,"-")</f>
        <v>0.50213977802519028</v>
      </c>
      <c r="J49" s="526"/>
      <c r="K49" s="516">
        <f>IF(F49="-",N49,IF(F49&gt;254,0,IF(F49&lt;246,0,IF(F49&gt;=246,N49,IF(F49&lt;=254,N49,)))))</f>
        <v>9.0909090909090899</v>
      </c>
      <c r="L49" s="1109"/>
      <c r="M49" s="1100"/>
      <c r="N49" s="423">
        <v>9.0909090909090899</v>
      </c>
    </row>
    <row r="50" spans="1:14">
      <c r="A50" s="360"/>
      <c r="B50" s="1025"/>
      <c r="C50" s="1033"/>
      <c r="D50" s="443">
        <f>ID!C50</f>
        <v>500</v>
      </c>
      <c r="E50" s="443" t="str">
        <f>ID!D50</f>
        <v>MAX</v>
      </c>
      <c r="F50" s="451">
        <f>IFERROR('Interpolasi dB'!B138,"-")</f>
        <v>500</v>
      </c>
      <c r="G50" s="451">
        <f>IFERROR('Interpolasi dB'!D138,"-")</f>
        <v>0</v>
      </c>
      <c r="H50" s="462">
        <f>'Lembar Kerja'!H50</f>
        <v>8</v>
      </c>
      <c r="I50" s="461">
        <f>IFERROR('Interpolasi dB'!C152,"-")</f>
        <v>0.50213977802519028</v>
      </c>
      <c r="J50" s="526"/>
      <c r="K50" s="516">
        <f>IF(F50="-",N50,IF(F50&gt;508,0,IF(F50&lt;492,0,IF(F50&gt;=492,N50,IF(F50&lt;=508,N50,)))))</f>
        <v>9.0909090909090899</v>
      </c>
      <c r="L50" s="1109"/>
      <c r="M50" s="1100"/>
      <c r="N50" s="423">
        <v>9.0909090909090899</v>
      </c>
    </row>
    <row r="51" spans="1:14">
      <c r="A51" s="360"/>
      <c r="B51" s="1025"/>
      <c r="C51" s="1033"/>
      <c r="D51" s="443">
        <f>ID!C51</f>
        <v>750</v>
      </c>
      <c r="E51" s="443" t="str">
        <f>ID!D51</f>
        <v>MAX</v>
      </c>
      <c r="F51" s="451">
        <f>IFERROR('Interpolasi dB'!B139,"-")</f>
        <v>750</v>
      </c>
      <c r="G51" s="451">
        <f>IFERROR('Interpolasi dB'!D139,"-")</f>
        <v>0</v>
      </c>
      <c r="H51" s="462">
        <f>'Lembar Kerja'!H51</f>
        <v>11</v>
      </c>
      <c r="I51" s="461">
        <f>IFERROR('Interpolasi dB'!C153,"-")</f>
        <v>0.50213977802519028</v>
      </c>
      <c r="J51" s="526"/>
      <c r="K51" s="516">
        <f>IF(F51="-",N51,IF(F51&gt;761,0,IF(F51&lt;739,0,IF(F51&gt;=739,N51,IF(F51&lt;=761,N51,)))))</f>
        <v>9.0909090909090899</v>
      </c>
      <c r="L51" s="1109"/>
      <c r="M51" s="1100"/>
      <c r="N51" s="423">
        <v>9.0909090909090899</v>
      </c>
    </row>
    <row r="52" spans="1:14">
      <c r="A52" s="360"/>
      <c r="B52" s="1025"/>
      <c r="C52" s="1033"/>
      <c r="D52" s="443">
        <f>ID!C52</f>
        <v>1000</v>
      </c>
      <c r="E52" s="443" t="str">
        <f>ID!D52</f>
        <v>MAX</v>
      </c>
      <c r="F52" s="451">
        <f>IFERROR('Interpolasi dB'!B140,"-")</f>
        <v>1000</v>
      </c>
      <c r="G52" s="451">
        <f>IFERROR('Interpolasi dB'!D140,"-")</f>
        <v>0</v>
      </c>
      <c r="H52" s="462">
        <f>'Lembar Kerja'!H52</f>
        <v>15</v>
      </c>
      <c r="I52" s="461">
        <f>IFERROR('Interpolasi dB'!C154,"-")</f>
        <v>0.50213977802519028</v>
      </c>
      <c r="J52" s="526"/>
      <c r="K52" s="516">
        <f>IF(F52="-",N52,IF(F52&gt;1015,0,IF(F52&lt;985,0,IF(F52&gt;=985,N52,IF(F52&lt;=1015,N52,)))))</f>
        <v>9.0909090909090899</v>
      </c>
      <c r="L52" s="1109"/>
      <c r="M52" s="1100"/>
      <c r="N52" s="423">
        <v>9.0909090909090899</v>
      </c>
    </row>
    <row r="53" spans="1:14">
      <c r="A53" s="360"/>
      <c r="B53" s="1025"/>
      <c r="C53" s="1033"/>
      <c r="D53" s="443">
        <f>ID!C53</f>
        <v>1500</v>
      </c>
      <c r="E53" s="443" t="str">
        <f>ID!D53</f>
        <v>MAX</v>
      </c>
      <c r="F53" s="451">
        <f>IFERROR('Interpolasi dB'!B141,"-")</f>
        <v>1500</v>
      </c>
      <c r="G53" s="451">
        <f>IFERROR('Interpolasi dB'!D141,"-")</f>
        <v>0</v>
      </c>
      <c r="H53" s="462">
        <f>'Lembar Kerja'!H53</f>
        <v>23</v>
      </c>
      <c r="I53" s="461">
        <f>IFERROR('Interpolasi dB'!C155,"-")</f>
        <v>0.50213977802519028</v>
      </c>
      <c r="J53" s="526"/>
      <c r="K53" s="516">
        <f>IF(F53="-",N53,IF(F53&gt;1523,0,IF(F53&lt;1477,0,IF(F53&gt;=1477,N53,IF(F53&lt;=1523,N53,)))))</f>
        <v>9.0909090909090899</v>
      </c>
      <c r="L53" s="1109"/>
      <c r="M53" s="1100"/>
      <c r="N53" s="423">
        <v>9.0909090909090899</v>
      </c>
    </row>
    <row r="54" spans="1:14">
      <c r="A54" s="360"/>
      <c r="B54" s="1025"/>
      <c r="C54" s="1033"/>
      <c r="D54" s="443">
        <f>ID!C54</f>
        <v>2000</v>
      </c>
      <c r="E54" s="443" t="str">
        <f>ID!D54</f>
        <v>MAX</v>
      </c>
      <c r="F54" s="451">
        <f>IFERROR('Interpolasi dB'!B142,"-")</f>
        <v>2000</v>
      </c>
      <c r="G54" s="451">
        <f>IFERROR('Interpolasi dB'!D142,"-")</f>
        <v>0</v>
      </c>
      <c r="H54" s="462">
        <f>'Lembar Kerja'!H54</f>
        <v>30</v>
      </c>
      <c r="I54" s="461">
        <f>IFERROR('Interpolasi dB'!C156,"-")</f>
        <v>0.50213977802519028</v>
      </c>
      <c r="J54" s="526"/>
      <c r="K54" s="516">
        <f>IF(F54="-",N54,IF(F54&gt;2030,0,IF(F54&lt;1970,0,IF(F54&gt;=1970,N54,IF(F54&lt;=2030,N54,)))))</f>
        <v>9.0909090909090899</v>
      </c>
      <c r="L54" s="1109"/>
      <c r="M54" s="1100"/>
      <c r="N54" s="423">
        <v>9.0909090909090899</v>
      </c>
    </row>
    <row r="55" spans="1:14">
      <c r="A55" s="360"/>
      <c r="B55" s="1025"/>
      <c r="C55" s="1033"/>
      <c r="D55" s="443">
        <f>ID!C55</f>
        <v>3000</v>
      </c>
      <c r="E55" s="443" t="str">
        <f>ID!D55</f>
        <v>MAX</v>
      </c>
      <c r="F55" s="451">
        <f>IFERROR('Interpolasi dB'!B143,"-")</f>
        <v>3000</v>
      </c>
      <c r="G55" s="451">
        <f>IFERROR('Interpolasi dB'!D143,"-")</f>
        <v>0</v>
      </c>
      <c r="H55" s="462">
        <f>'Lembar Kerja'!H55</f>
        <v>45</v>
      </c>
      <c r="I55" s="461">
        <f>IFERROR('Interpolasi dB'!C157,"-")</f>
        <v>0.50213977802519028</v>
      </c>
      <c r="J55" s="527"/>
      <c r="K55" s="516">
        <f>IF(F55="-",N55,IF(F55&gt;3045,0,IF(F55&lt;2955,0,IF(F55&gt;=2955,N55,IF(F55&lt;=3045,N55,)))))</f>
        <v>9.0909090909090899</v>
      </c>
      <c r="L55" s="1109"/>
      <c r="M55" s="1100"/>
      <c r="N55" s="423">
        <v>9.0909090909090899</v>
      </c>
    </row>
    <row r="56" spans="1:14">
      <c r="A56" s="360"/>
      <c r="B56" s="1025"/>
      <c r="C56" s="1033"/>
      <c r="D56" s="443">
        <f>ID!C56</f>
        <v>4000</v>
      </c>
      <c r="E56" s="443" t="str">
        <f>ID!D56</f>
        <v>MAX</v>
      </c>
      <c r="F56" s="451">
        <f>IFERROR('Interpolasi dB'!B144,"-")</f>
        <v>4000</v>
      </c>
      <c r="G56" s="451">
        <f>IFERROR('Interpolasi dB'!D144,"-")</f>
        <v>0</v>
      </c>
      <c r="H56" s="462">
        <f>'Lembar Kerja'!H56</f>
        <v>60</v>
      </c>
      <c r="I56" s="461">
        <f>IFERROR('Interpolasi dB'!C158,"-")</f>
        <v>0.50213977802519028</v>
      </c>
      <c r="J56" s="526"/>
      <c r="K56" s="516">
        <f>IF(F56="-",N56,IF(F56&gt;4060,0,IF(F56&lt;3940,0,IF(F56&gt;=3940,N56,IF(F56&lt;=4060,N56,)))))</f>
        <v>9.0909090909090899</v>
      </c>
      <c r="L56" s="1109"/>
      <c r="M56" s="1100"/>
      <c r="N56" s="423">
        <v>9.0909090909090899</v>
      </c>
    </row>
    <row r="57" spans="1:14">
      <c r="A57" s="360"/>
      <c r="B57" s="1025"/>
      <c r="C57" s="1033"/>
      <c r="D57" s="443">
        <f>ID!C57</f>
        <v>6000</v>
      </c>
      <c r="E57" s="443" t="str">
        <f>ID!D57</f>
        <v>MAX</v>
      </c>
      <c r="F57" s="451">
        <f>IFERROR('Interpolasi dB'!B145,"-")</f>
        <v>6000</v>
      </c>
      <c r="G57" s="451">
        <f>IFERROR('Interpolasi dB'!D145,"-")</f>
        <v>0</v>
      </c>
      <c r="H57" s="462">
        <f>'Lembar Kerja'!H57</f>
        <v>90</v>
      </c>
      <c r="I57" s="461">
        <f>IFERROR('Interpolasi dB'!C159,"-")</f>
        <v>0.50213977802519028</v>
      </c>
      <c r="J57" s="526"/>
      <c r="K57" s="516">
        <f>IF(F57="-",N57,IF(F57&gt;6090,0,IF(F57&lt;5910,0,IF(F57&gt;=5910,N57,IF(F57&lt;=6090,N57,)))))</f>
        <v>9.0909090909090899</v>
      </c>
      <c r="L57" s="1109"/>
      <c r="M57" s="1100"/>
      <c r="N57" s="423">
        <v>9.0909090909090899</v>
      </c>
    </row>
    <row r="58" spans="1:14">
      <c r="A58" s="360"/>
      <c r="B58" s="1032"/>
      <c r="C58" s="1033"/>
      <c r="D58" s="443">
        <f>ID!C58</f>
        <v>8000</v>
      </c>
      <c r="E58" s="443" t="str">
        <f>ID!D58</f>
        <v>MAX</v>
      </c>
      <c r="F58" s="451">
        <f>IFERROR('Interpolasi dB'!B146,"-")</f>
        <v>8000</v>
      </c>
      <c r="G58" s="451">
        <f>IFERROR('Interpolasi dB'!D146,"-")</f>
        <v>0</v>
      </c>
      <c r="H58" s="462">
        <f>'Lembar Kerja'!H58</f>
        <v>120</v>
      </c>
      <c r="I58" s="461">
        <f>IFERROR('Interpolasi dB'!C160,"-")</f>
        <v>0.50213977802519028</v>
      </c>
      <c r="J58" s="526"/>
      <c r="K58" s="516">
        <f>IF(F58="-",N58,IF(F58&gt;8120,0,IF(F58&lt;7880,0,IF(F58&gt;=7880,N58,IF(F58&lt;=8120,N58,)))))</f>
        <v>9.0909090909090899</v>
      </c>
      <c r="L58" s="1109"/>
      <c r="M58" s="1100"/>
      <c r="N58" s="423">
        <v>9.0909090909090899</v>
      </c>
    </row>
    <row r="59" spans="1:14" hidden="1">
      <c r="A59" s="360"/>
      <c r="B59" s="426"/>
      <c r="C59" s="452"/>
      <c r="D59" s="426"/>
      <c r="E59" s="426"/>
      <c r="F59" s="454"/>
      <c r="G59" s="454"/>
      <c r="H59" s="454"/>
      <c r="I59" s="426"/>
      <c r="J59" s="426"/>
      <c r="K59" s="455"/>
      <c r="L59" s="1109"/>
    </row>
    <row r="60" spans="1:14" hidden="1">
      <c r="A60" s="360"/>
      <c r="B60" s="426"/>
      <c r="C60" s="452"/>
      <c r="D60" s="426"/>
      <c r="E60" s="426"/>
      <c r="F60" s="454"/>
      <c r="G60" s="454"/>
      <c r="H60" s="454"/>
      <c r="I60" s="426"/>
      <c r="J60" s="426"/>
      <c r="K60" s="455"/>
      <c r="L60" s="1109"/>
    </row>
    <row r="61" spans="1:14" hidden="1">
      <c r="A61" s="360"/>
      <c r="B61" s="426"/>
      <c r="C61" s="452"/>
      <c r="D61" s="426"/>
      <c r="E61" s="426"/>
      <c r="F61" s="454"/>
      <c r="G61" s="454"/>
      <c r="H61" s="454"/>
      <c r="I61" s="426"/>
      <c r="J61" s="426"/>
      <c r="K61" s="455"/>
      <c r="L61" s="1109"/>
    </row>
    <row r="62" spans="1:14" hidden="1">
      <c r="A62" s="360"/>
      <c r="B62" s="426"/>
      <c r="C62" s="452"/>
      <c r="D62" s="426"/>
      <c r="E62" s="426"/>
      <c r="F62" s="454"/>
      <c r="G62" s="454"/>
      <c r="H62" s="454"/>
      <c r="I62" s="426"/>
      <c r="J62" s="426"/>
      <c r="K62" s="455"/>
      <c r="L62" s="1109"/>
    </row>
    <row r="63" spans="1:14" hidden="1">
      <c r="A63" s="360"/>
      <c r="B63" s="426"/>
      <c r="C63" s="452"/>
      <c r="D63" s="426"/>
      <c r="E63" s="426"/>
      <c r="F63" s="454"/>
      <c r="G63" s="454"/>
      <c r="H63" s="454"/>
      <c r="I63" s="426"/>
      <c r="J63" s="426"/>
      <c r="K63" s="455"/>
      <c r="L63" s="1109"/>
    </row>
    <row r="64" spans="1:14" hidden="1">
      <c r="A64" s="360"/>
      <c r="B64" s="426"/>
      <c r="C64" s="452"/>
      <c r="D64" s="426"/>
      <c r="E64" s="426"/>
      <c r="F64" s="454"/>
      <c r="G64" s="454"/>
      <c r="H64" s="454"/>
      <c r="I64" s="426"/>
      <c r="J64" s="426"/>
      <c r="K64" s="455"/>
      <c r="L64" s="1109"/>
    </row>
    <row r="65" spans="1:20" hidden="1">
      <c r="A65" s="360"/>
      <c r="B65" s="426"/>
      <c r="C65" s="452"/>
      <c r="D65" s="426"/>
      <c r="E65" s="426"/>
      <c r="F65" s="454"/>
      <c r="G65" s="454"/>
      <c r="H65" s="454"/>
      <c r="I65" s="426"/>
      <c r="J65" s="426"/>
      <c r="K65" s="455"/>
      <c r="L65" s="1109"/>
    </row>
    <row r="66" spans="1:20" hidden="1">
      <c r="A66" s="360"/>
      <c r="B66" s="426"/>
      <c r="C66" s="452"/>
      <c r="D66" s="426"/>
      <c r="E66" s="426"/>
      <c r="F66" s="454"/>
      <c r="G66" s="454"/>
      <c r="H66" s="454"/>
      <c r="I66" s="426"/>
      <c r="J66" s="426"/>
      <c r="K66" s="455"/>
      <c r="L66" s="1109"/>
    </row>
    <row r="67" spans="1:20" hidden="1">
      <c r="A67" s="360"/>
      <c r="B67" s="426"/>
      <c r="C67" s="452"/>
      <c r="D67" s="426"/>
      <c r="E67" s="426"/>
      <c r="F67" s="454"/>
      <c r="G67" s="454"/>
      <c r="H67" s="454"/>
      <c r="I67" s="426"/>
      <c r="J67" s="426"/>
      <c r="K67" s="455"/>
      <c r="L67" s="1109"/>
    </row>
    <row r="68" spans="1:20" hidden="1">
      <c r="A68" s="360"/>
      <c r="B68" s="426"/>
      <c r="C68" s="452"/>
      <c r="D68" s="426"/>
      <c r="E68" s="426"/>
      <c r="F68" s="454"/>
      <c r="G68" s="454"/>
      <c r="H68" s="454"/>
      <c r="I68" s="426"/>
      <c r="J68" s="426"/>
      <c r="K68" s="455"/>
      <c r="L68" s="1109"/>
    </row>
    <row r="69" spans="1:20" hidden="1">
      <c r="A69" s="360"/>
      <c r="B69" s="426"/>
      <c r="C69" s="452"/>
      <c r="D69" s="426"/>
      <c r="E69" s="426"/>
      <c r="F69" s="454"/>
      <c r="G69" s="454"/>
      <c r="H69" s="454"/>
      <c r="I69" s="426"/>
      <c r="J69" s="426"/>
      <c r="K69" s="455"/>
      <c r="L69" s="1109"/>
    </row>
    <row r="70" spans="1:20" hidden="1">
      <c r="A70" s="360"/>
      <c r="B70" s="426"/>
      <c r="C70" s="452"/>
      <c r="D70" s="426"/>
      <c r="E70" s="426"/>
      <c r="F70" s="454"/>
      <c r="G70" s="454"/>
      <c r="H70" s="454"/>
      <c r="I70" s="426"/>
      <c r="J70" s="426"/>
      <c r="K70" s="455"/>
      <c r="L70" s="1109"/>
    </row>
    <row r="71" spans="1:20" hidden="1">
      <c r="A71" s="360"/>
      <c r="B71" s="426"/>
      <c r="C71" s="452"/>
      <c r="D71" s="426"/>
      <c r="E71" s="426"/>
      <c r="F71" s="454"/>
      <c r="G71" s="454"/>
      <c r="H71" s="454"/>
      <c r="I71" s="426"/>
      <c r="J71" s="426"/>
      <c r="K71" s="455"/>
      <c r="L71" s="1109"/>
    </row>
    <row r="72" spans="1:20" hidden="1">
      <c r="A72" s="360"/>
      <c r="B72" s="426"/>
      <c r="C72" s="440" t="s">
        <v>59</v>
      </c>
      <c r="D72" s="426"/>
      <c r="E72" s="426"/>
      <c r="F72" s="454"/>
      <c r="G72" s="454"/>
      <c r="H72" s="454"/>
      <c r="I72" s="426"/>
      <c r="J72" s="426"/>
      <c r="K72" s="455"/>
      <c r="L72" s="1109"/>
    </row>
    <row r="73" spans="1:20" ht="30" hidden="1" customHeight="1">
      <c r="A73" s="360"/>
      <c r="B73" s="1046"/>
      <c r="C73" s="941" t="s">
        <v>42</v>
      </c>
      <c r="D73" s="941" t="s">
        <v>43</v>
      </c>
      <c r="E73" s="941"/>
      <c r="F73" s="1022" t="s">
        <v>44</v>
      </c>
      <c r="G73" s="1023" t="s">
        <v>293</v>
      </c>
      <c r="H73" s="1022" t="s">
        <v>297</v>
      </c>
      <c r="I73" s="1022" t="s">
        <v>45</v>
      </c>
      <c r="J73" s="1026" t="s">
        <v>294</v>
      </c>
      <c r="K73" s="1103" t="s">
        <v>20</v>
      </c>
      <c r="L73" s="1109"/>
      <c r="M73" s="1100">
        <f>IF(S75&lt;70,0,IF(S75&gt;=70,5.83333333))</f>
        <v>5.8333333300000003</v>
      </c>
      <c r="R73" s="508" t="s">
        <v>298</v>
      </c>
    </row>
    <row r="74" spans="1:20" ht="30" hidden="1" customHeight="1">
      <c r="A74" s="360"/>
      <c r="B74" s="1048"/>
      <c r="C74" s="939"/>
      <c r="D74" s="349" t="s">
        <v>47</v>
      </c>
      <c r="E74" s="349" t="s">
        <v>48</v>
      </c>
      <c r="F74" s="1022"/>
      <c r="G74" s="1023"/>
      <c r="H74" s="1022"/>
      <c r="I74" s="1022"/>
      <c r="J74" s="1027"/>
      <c r="K74" s="1103"/>
      <c r="L74" s="1109"/>
      <c r="M74" s="1100"/>
      <c r="O74" s="514" t="s">
        <v>295</v>
      </c>
      <c r="P74" s="514" t="s">
        <v>296</v>
      </c>
      <c r="R74" s="423"/>
      <c r="S74" s="509" t="s">
        <v>299</v>
      </c>
      <c r="T74" s="509" t="s">
        <v>300</v>
      </c>
    </row>
    <row r="75" spans="1:20" hidden="1">
      <c r="A75" s="360"/>
      <c r="B75" s="953"/>
      <c r="C75" s="943" t="s">
        <v>160</v>
      </c>
      <c r="D75" s="464">
        <f>ID!C63</f>
        <v>125</v>
      </c>
      <c r="E75" s="464">
        <f>ID!D63</f>
        <v>75</v>
      </c>
      <c r="F75" s="451" t="str">
        <f>IFERROR('Interpolasi dB'!E66,"-")</f>
        <v>-</v>
      </c>
      <c r="G75" s="451" t="str">
        <f>IFERROR('Interpolasi dB'!G66,"-")</f>
        <v>-</v>
      </c>
      <c r="H75" s="515" t="e">
        <f>'Interpolasi dB'!H66</f>
        <v>#DIV/0!</v>
      </c>
      <c r="I75" s="1050">
        <f>'Lembar Kerja'!H64</f>
        <v>3</v>
      </c>
      <c r="J75" s="465" t="str">
        <f>IFERROR('Interpolasi dB'!F66,"-")</f>
        <v>-</v>
      </c>
      <c r="K75" s="516">
        <f>IF(F75="-",N75,IF(F75&gt;O75,0,IF(F75&lt;P75,0,IF(F75&gt;=P75,N75,IF(F75&lt;=O75,N75,)))))</f>
        <v>9.0909090909090899</v>
      </c>
      <c r="L75" s="1109"/>
      <c r="M75" s="1100"/>
      <c r="N75" s="423">
        <v>9.0909090909090899</v>
      </c>
      <c r="O75" s="507">
        <f>D75+3.75</f>
        <v>128.75</v>
      </c>
      <c r="P75" s="515">
        <f>D75-3.75</f>
        <v>121.25</v>
      </c>
      <c r="R75" s="423" t="s">
        <v>301</v>
      </c>
      <c r="S75" s="510">
        <f>SUM($K$75:$K$85)</f>
        <v>100.00000000000001</v>
      </c>
      <c r="T75" s="510">
        <f>SUM($K$33:$K$43)</f>
        <v>100.00000000000001</v>
      </c>
    </row>
    <row r="76" spans="1:20" hidden="1">
      <c r="A76" s="360"/>
      <c r="B76" s="953"/>
      <c r="C76" s="1049"/>
      <c r="D76" s="464">
        <f>ID!C64</f>
        <v>250</v>
      </c>
      <c r="E76" s="464">
        <f>ID!D64</f>
        <v>90</v>
      </c>
      <c r="F76" s="451" t="str">
        <f>IFERROR('Interpolasi dB'!E67,"-")</f>
        <v>-</v>
      </c>
      <c r="G76" s="451" t="str">
        <f>IFERROR('Interpolasi dB'!G67,"-")</f>
        <v>-</v>
      </c>
      <c r="H76" s="515" t="e">
        <f>'Interpolasi dB'!H67</f>
        <v>#DIV/0!</v>
      </c>
      <c r="I76" s="1051"/>
      <c r="J76" s="465" t="str">
        <f>IFERROR('Interpolasi dB'!F67,"-")</f>
        <v>-</v>
      </c>
      <c r="K76" s="516">
        <f t="shared" ref="K76:K85" si="3">IF(F76="-",N76,IF(F76&gt;O76,0,IF(F76&lt;P76,0,IF(F76&gt;=P76,N76,IF(F76&lt;=O76,N76,)))))</f>
        <v>9.0909090909090899</v>
      </c>
      <c r="L76" s="1109"/>
      <c r="M76" s="1100"/>
      <c r="N76" s="423">
        <v>9.0909090909090899</v>
      </c>
      <c r="O76" s="507">
        <f>D76+7.5</f>
        <v>257.5</v>
      </c>
      <c r="P76" s="515">
        <f>D76-7.5</f>
        <v>242.5</v>
      </c>
      <c r="R76" s="423" t="s">
        <v>302</v>
      </c>
      <c r="S76" s="423">
        <v>100</v>
      </c>
      <c r="T76" s="423">
        <v>100</v>
      </c>
    </row>
    <row r="77" spans="1:20" hidden="1">
      <c r="A77" s="360"/>
      <c r="B77" s="953"/>
      <c r="C77" s="1049"/>
      <c r="D77" s="464">
        <f>ID!C65</f>
        <v>500</v>
      </c>
      <c r="E77" s="464">
        <f>ID!D65</f>
        <v>110</v>
      </c>
      <c r="F77" s="451" t="str">
        <f>IFERROR('Interpolasi dB'!E68,"-")</f>
        <v>-</v>
      </c>
      <c r="G77" s="451" t="str">
        <f>IFERROR('Interpolasi dB'!G68,"-")</f>
        <v>-</v>
      </c>
      <c r="H77" s="515" t="e">
        <f>'Interpolasi dB'!H68</f>
        <v>#DIV/0!</v>
      </c>
      <c r="I77" s="1051"/>
      <c r="J77" s="465" t="str">
        <f>IFERROR('Interpolasi dB'!F68,"-")</f>
        <v>-</v>
      </c>
      <c r="K77" s="516">
        <f t="shared" si="3"/>
        <v>9.0909090909090899</v>
      </c>
      <c r="L77" s="1109"/>
      <c r="M77" s="1100"/>
      <c r="N77" s="423">
        <v>9.0909090909090899</v>
      </c>
      <c r="O77" s="507">
        <f>D77+15</f>
        <v>515</v>
      </c>
      <c r="P77" s="515">
        <f>D77-15</f>
        <v>485</v>
      </c>
    </row>
    <row r="78" spans="1:20" hidden="1">
      <c r="A78" s="360"/>
      <c r="B78" s="953"/>
      <c r="C78" s="1049"/>
      <c r="D78" s="464">
        <f>ID!C66</f>
        <v>750</v>
      </c>
      <c r="E78" s="464">
        <f>ID!D66</f>
        <v>110</v>
      </c>
      <c r="F78" s="451" t="str">
        <f>IFERROR('Interpolasi dB'!E69,"-")</f>
        <v>-</v>
      </c>
      <c r="G78" s="451" t="str">
        <f>IFERROR('Interpolasi dB'!G69,"-")</f>
        <v>-</v>
      </c>
      <c r="H78" s="515" t="e">
        <f>'Interpolasi dB'!H69</f>
        <v>#DIV/0!</v>
      </c>
      <c r="I78" s="1051"/>
      <c r="J78" s="465" t="str">
        <f>IFERROR('Interpolasi dB'!F69,"-")</f>
        <v>-</v>
      </c>
      <c r="K78" s="516">
        <f t="shared" si="3"/>
        <v>9.0909090909090899</v>
      </c>
      <c r="L78" s="1109"/>
      <c r="M78" s="1100"/>
      <c r="N78" s="423">
        <v>9.0909090909090899</v>
      </c>
      <c r="O78" s="507">
        <f>D78+22.5</f>
        <v>772.5</v>
      </c>
      <c r="P78" s="515">
        <f>D78-22.5</f>
        <v>727.5</v>
      </c>
    </row>
    <row r="79" spans="1:20" hidden="1">
      <c r="A79" s="360"/>
      <c r="B79" s="953"/>
      <c r="C79" s="1049"/>
      <c r="D79" s="464">
        <f>ID!C67</f>
        <v>1000</v>
      </c>
      <c r="E79" s="464">
        <f>ID!D67</f>
        <v>110</v>
      </c>
      <c r="F79" s="451" t="str">
        <f>IFERROR('Interpolasi dB'!E70,"-")</f>
        <v>-</v>
      </c>
      <c r="G79" s="451" t="str">
        <f>IFERROR('Interpolasi dB'!G70,"-")</f>
        <v>-</v>
      </c>
      <c r="H79" s="515" t="e">
        <f>'Interpolasi dB'!H70</f>
        <v>#DIV/0!</v>
      </c>
      <c r="I79" s="1051"/>
      <c r="J79" s="465" t="str">
        <f>IFERROR('Interpolasi dB'!F70,"-")</f>
        <v>-</v>
      </c>
      <c r="K79" s="516">
        <f t="shared" si="3"/>
        <v>9.0909090909090899</v>
      </c>
      <c r="L79" s="1109"/>
      <c r="M79" s="1100"/>
      <c r="N79" s="423">
        <v>9.0909090909090899</v>
      </c>
      <c r="O79" s="507">
        <f>D79+30</f>
        <v>1030</v>
      </c>
      <c r="P79" s="515">
        <f>D79-30</f>
        <v>970</v>
      </c>
    </row>
    <row r="80" spans="1:20" ht="15" hidden="1" customHeight="1">
      <c r="A80" s="360"/>
      <c r="B80" s="953"/>
      <c r="C80" s="944" t="s">
        <v>158</v>
      </c>
      <c r="D80" s="464">
        <f>ID!C68</f>
        <v>1500</v>
      </c>
      <c r="E80" s="464">
        <f>ID!D68</f>
        <v>110</v>
      </c>
      <c r="F80" s="451" t="str">
        <f>IFERROR('Interpolasi dB'!E71,"-")</f>
        <v>-</v>
      </c>
      <c r="G80" s="451" t="str">
        <f>IFERROR('Interpolasi dB'!G71,"-")</f>
        <v>-</v>
      </c>
      <c r="H80" s="515" t="e">
        <f>'Interpolasi dB'!H71</f>
        <v>#DIV/0!</v>
      </c>
      <c r="I80" s="1051"/>
      <c r="J80" s="465" t="str">
        <f>IFERROR('Interpolasi dB'!F71,"-")</f>
        <v>-</v>
      </c>
      <c r="K80" s="516">
        <f t="shared" si="3"/>
        <v>9.0909090909090899</v>
      </c>
      <c r="L80" s="1109"/>
      <c r="M80" s="1100"/>
      <c r="N80" s="423">
        <v>9.0909090909090899</v>
      </c>
      <c r="O80" s="507">
        <f>D80+45</f>
        <v>1545</v>
      </c>
      <c r="P80" s="515">
        <f>D80-45</f>
        <v>1455</v>
      </c>
      <c r="R80" s="1115" t="s">
        <v>303</v>
      </c>
      <c r="S80" s="423" t="s">
        <v>304</v>
      </c>
      <c r="T80" s="565">
        <f>SUM(M31,M46)</f>
        <v>11.66666663</v>
      </c>
    </row>
    <row r="81" spans="1:20" hidden="1">
      <c r="A81" s="360"/>
      <c r="B81" s="953"/>
      <c r="C81" s="942"/>
      <c r="D81" s="464">
        <f>ID!C69</f>
        <v>2000</v>
      </c>
      <c r="E81" s="464">
        <f>ID!D69</f>
        <v>110</v>
      </c>
      <c r="F81" s="451" t="str">
        <f>IFERROR('Interpolasi dB'!E72,"-")</f>
        <v>-</v>
      </c>
      <c r="G81" s="451" t="str">
        <f>IFERROR('Interpolasi dB'!G72,"-")</f>
        <v>-</v>
      </c>
      <c r="H81" s="515" t="e">
        <f>'Interpolasi dB'!H72</f>
        <v>#DIV/0!</v>
      </c>
      <c r="I81" s="1051"/>
      <c r="J81" s="465" t="str">
        <f>IFERROR('Interpolasi dB'!F72,"-")</f>
        <v>-</v>
      </c>
      <c r="K81" s="516">
        <f t="shared" si="3"/>
        <v>9.0909090909090899</v>
      </c>
      <c r="L81" s="1109"/>
      <c r="M81" s="1100"/>
      <c r="N81" s="423">
        <v>9.0909090909090899</v>
      </c>
      <c r="O81" s="507">
        <f>D81+60</f>
        <v>2060</v>
      </c>
      <c r="P81" s="515">
        <f>D81-60</f>
        <v>1940</v>
      </c>
      <c r="R81" s="1116"/>
      <c r="S81" s="423" t="s">
        <v>155</v>
      </c>
      <c r="T81" s="423">
        <v>17.5</v>
      </c>
    </row>
    <row r="82" spans="1:20" hidden="1">
      <c r="A82" s="360"/>
      <c r="B82" s="953"/>
      <c r="C82" s="942"/>
      <c r="D82" s="464">
        <f>ID!C70</f>
        <v>3000</v>
      </c>
      <c r="E82" s="464">
        <f>ID!D70</f>
        <v>110</v>
      </c>
      <c r="F82" s="451" t="str">
        <f>IFERROR('Interpolasi dB'!E73,"-")</f>
        <v>-</v>
      </c>
      <c r="G82" s="451" t="str">
        <f>IFERROR('Interpolasi dB'!G73,"-")</f>
        <v>-</v>
      </c>
      <c r="H82" s="515" t="e">
        <f>'Interpolasi dB'!H73</f>
        <v>#DIV/0!</v>
      </c>
      <c r="I82" s="1051"/>
      <c r="J82" s="465" t="str">
        <f>IFERROR('Interpolasi dB'!F73,"-")</f>
        <v>-</v>
      </c>
      <c r="K82" s="516">
        <f t="shared" si="3"/>
        <v>9.0909090909090899</v>
      </c>
      <c r="L82" s="1109"/>
      <c r="M82" s="1100"/>
      <c r="N82" s="423">
        <v>9.0909090909090899</v>
      </c>
      <c r="O82" s="507">
        <f>D82+90</f>
        <v>3090</v>
      </c>
      <c r="P82" s="515">
        <f>D82-90</f>
        <v>2910</v>
      </c>
      <c r="R82" s="1117"/>
      <c r="S82" s="423"/>
      <c r="T82" s="423">
        <f>IF(T80&gt;=11.66666663,17.5,IF(T80&lt;11.66666663,0))</f>
        <v>17.5</v>
      </c>
    </row>
    <row r="83" spans="1:20" hidden="1">
      <c r="A83" s="360"/>
      <c r="B83" s="953"/>
      <c r="C83" s="942"/>
      <c r="D83" s="464">
        <f>ID!C71</f>
        <v>4000</v>
      </c>
      <c r="E83" s="464">
        <f>ID!D71</f>
        <v>110</v>
      </c>
      <c r="F83" s="451" t="str">
        <f>IFERROR('Interpolasi dB'!E74,"-")</f>
        <v>-</v>
      </c>
      <c r="G83" s="451" t="str">
        <f>IFERROR('Interpolasi dB'!G74,"-")</f>
        <v>-</v>
      </c>
      <c r="H83" s="515" t="e">
        <f>'Interpolasi dB'!H74</f>
        <v>#DIV/0!</v>
      </c>
      <c r="I83" s="1051"/>
      <c r="J83" s="465" t="str">
        <f>IFERROR('Interpolasi dB'!F74,"-")</f>
        <v>-</v>
      </c>
      <c r="K83" s="516">
        <f t="shared" si="3"/>
        <v>9.0909090909090899</v>
      </c>
      <c r="L83" s="1109"/>
      <c r="M83" s="1100"/>
      <c r="N83" s="423">
        <v>9.0909090909090899</v>
      </c>
      <c r="O83" s="507">
        <f>D83+120</f>
        <v>4120</v>
      </c>
      <c r="P83" s="515">
        <f>D83-120</f>
        <v>3880</v>
      </c>
    </row>
    <row r="84" spans="1:20" hidden="1">
      <c r="A84" s="360"/>
      <c r="B84" s="953"/>
      <c r="C84" s="942"/>
      <c r="D84" s="464">
        <f>ID!C72</f>
        <v>6000</v>
      </c>
      <c r="E84" s="464">
        <f>ID!D72</f>
        <v>110</v>
      </c>
      <c r="F84" s="451" t="str">
        <f>IFERROR('Interpolasi dB'!E75,"-")</f>
        <v>-</v>
      </c>
      <c r="G84" s="451" t="str">
        <f>IFERROR('Interpolasi dB'!G75,"-")</f>
        <v>-</v>
      </c>
      <c r="H84" s="515" t="e">
        <f>'Interpolasi dB'!H75</f>
        <v>#DIV/0!</v>
      </c>
      <c r="I84" s="1051"/>
      <c r="J84" s="465" t="str">
        <f>IFERROR('Interpolasi dB'!F75,"-")</f>
        <v>-</v>
      </c>
      <c r="K84" s="516">
        <f t="shared" si="3"/>
        <v>9.0909090909090899</v>
      </c>
      <c r="L84" s="1109"/>
      <c r="M84" s="1100"/>
      <c r="N84" s="423">
        <v>9.0909090909090899</v>
      </c>
      <c r="O84" s="507">
        <f>D84+180</f>
        <v>6180</v>
      </c>
      <c r="P84" s="515">
        <f>D84-180</f>
        <v>5820</v>
      </c>
    </row>
    <row r="85" spans="1:20" hidden="1">
      <c r="A85" s="360"/>
      <c r="B85" s="953"/>
      <c r="C85" s="942"/>
      <c r="D85" s="464">
        <f>ID!C73</f>
        <v>8000</v>
      </c>
      <c r="E85" s="464">
        <f>ID!D73</f>
        <v>110</v>
      </c>
      <c r="F85" s="451" t="str">
        <f>IFERROR('Interpolasi dB'!E76,"-")</f>
        <v>-</v>
      </c>
      <c r="G85" s="451" t="str">
        <f>IFERROR('Interpolasi dB'!G76,"-")</f>
        <v>-</v>
      </c>
      <c r="H85" s="515" t="e">
        <f>'Interpolasi dB'!H76</f>
        <v>#DIV/0!</v>
      </c>
      <c r="I85" s="1052"/>
      <c r="J85" s="465" t="str">
        <f>IFERROR('Interpolasi dB'!F76,"-")</f>
        <v>-</v>
      </c>
      <c r="K85" s="516">
        <f t="shared" si="3"/>
        <v>9.0909090909090899</v>
      </c>
      <c r="L85" s="1110"/>
      <c r="M85" s="1100"/>
      <c r="N85" s="423">
        <v>9.0909090909090899</v>
      </c>
      <c r="O85" s="507">
        <f>D85+240</f>
        <v>8240</v>
      </c>
      <c r="P85" s="515">
        <f>D85-240</f>
        <v>7760</v>
      </c>
      <c r="R85" s="423" t="s">
        <v>301</v>
      </c>
      <c r="S85" s="510"/>
      <c r="T85" s="510">
        <f>SUM($K$48:$K$58)</f>
        <v>100.00000000000001</v>
      </c>
    </row>
    <row r="86" spans="1:20">
      <c r="A86" s="360"/>
      <c r="B86" s="953"/>
      <c r="C86" s="484"/>
      <c r="D86" s="426"/>
      <c r="E86" s="426"/>
      <c r="F86" s="454"/>
      <c r="G86" s="454"/>
      <c r="H86" s="540"/>
      <c r="I86" s="545"/>
      <c r="J86" s="541"/>
      <c r="K86" s="542"/>
      <c r="L86" s="543"/>
      <c r="M86" s="546"/>
      <c r="O86" s="520"/>
      <c r="P86" s="540"/>
      <c r="R86" s="423" t="s">
        <v>302</v>
      </c>
      <c r="S86" s="423"/>
      <c r="T86" s="423">
        <v>100</v>
      </c>
    </row>
    <row r="87" spans="1:20">
      <c r="A87" s="360"/>
      <c r="B87" s="497" t="str">
        <f>ID!A75</f>
        <v xml:space="preserve">      B. Earphone Kiri, SN : </v>
      </c>
      <c r="D87" s="440" t="str">
        <f>ID!C75</f>
        <v>-</v>
      </c>
      <c r="E87" s="426"/>
      <c r="F87" s="454"/>
      <c r="G87" s="454"/>
      <c r="H87" s="454"/>
      <c r="I87" s="426"/>
      <c r="J87" s="426"/>
      <c r="K87" s="455"/>
    </row>
    <row r="88" spans="1:20">
      <c r="A88" s="360"/>
      <c r="B88" s="425"/>
      <c r="C88" s="422" t="s">
        <v>41</v>
      </c>
      <c r="E88" s="425"/>
      <c r="F88" s="425"/>
      <c r="G88" s="425"/>
      <c r="H88" s="425"/>
      <c r="I88" s="425"/>
      <c r="J88" s="425"/>
      <c r="K88" s="425"/>
    </row>
    <row r="89" spans="1:20" ht="15.75" customHeight="1">
      <c r="A89" s="360"/>
      <c r="B89" s="1031"/>
      <c r="C89" s="1034" t="s">
        <v>42</v>
      </c>
      <c r="D89" s="1034" t="s">
        <v>43</v>
      </c>
      <c r="E89" s="1034"/>
      <c r="F89" s="1033" t="s">
        <v>44</v>
      </c>
      <c r="G89" s="1034" t="s">
        <v>293</v>
      </c>
      <c r="H89" s="1034" t="s">
        <v>45</v>
      </c>
      <c r="I89" s="1033" t="s">
        <v>294</v>
      </c>
      <c r="J89" s="523"/>
      <c r="K89" s="1103" t="s">
        <v>20</v>
      </c>
      <c r="L89" s="1111">
        <f>T128</f>
        <v>17.5</v>
      </c>
      <c r="M89" s="1107">
        <f>IF(T121&lt;70,0,IF(T121&gt;=70,5.83333333))</f>
        <v>5.8333333300000003</v>
      </c>
    </row>
    <row r="90" spans="1:20" ht="31">
      <c r="A90" s="360"/>
      <c r="B90" s="1032"/>
      <c r="C90" s="1034"/>
      <c r="D90" s="450" t="s">
        <v>47</v>
      </c>
      <c r="E90" s="450" t="s">
        <v>48</v>
      </c>
      <c r="F90" s="1033"/>
      <c r="G90" s="1034"/>
      <c r="H90" s="1034"/>
      <c r="I90" s="1033"/>
      <c r="J90" s="528"/>
      <c r="K90" s="1103"/>
      <c r="L90" s="1109"/>
      <c r="M90" s="1107"/>
      <c r="O90" s="514" t="s">
        <v>295</v>
      </c>
      <c r="P90" s="514" t="s">
        <v>296</v>
      </c>
    </row>
    <row r="91" spans="1:20">
      <c r="A91" s="360"/>
      <c r="B91" s="1031"/>
      <c r="C91" s="1033" t="s">
        <v>52</v>
      </c>
      <c r="D91" s="443">
        <f>ID!C79</f>
        <v>125</v>
      </c>
      <c r="E91" s="443">
        <f>ID!D79</f>
        <v>70</v>
      </c>
      <c r="F91" s="451">
        <f>IFERROR('Interpolasi dB'!E41,"-")</f>
        <v>69.98</v>
      </c>
      <c r="G91" s="451">
        <f>IFERROR('Interpolasi dB'!G41,"-")</f>
        <v>-1.9999999999996021E-2</v>
      </c>
      <c r="H91" s="1034" t="str">
        <f>'Lembar Kerja'!H80</f>
        <v>± 5 dBHL</v>
      </c>
      <c r="I91" s="461">
        <f>IFERROR('Interpolasi dB'!F41,"-")</f>
        <v>0.53380891459609159</v>
      </c>
      <c r="J91" s="524"/>
      <c r="K91" s="516">
        <f>IF(F91="-",N91,IF(F91&gt;O91,0,IF(F91&lt;P91,0,IF(F91&gt;=P91,N91,IF(F91&lt;=O91,N91,)))))</f>
        <v>9.0909090909090899</v>
      </c>
      <c r="L91" s="1109"/>
      <c r="M91" s="1107"/>
      <c r="N91" s="423">
        <v>9.0909090909090899</v>
      </c>
      <c r="O91" s="507">
        <f>E91+5</f>
        <v>75</v>
      </c>
      <c r="P91" s="515">
        <f>E91-5</f>
        <v>65</v>
      </c>
    </row>
    <row r="92" spans="1:20">
      <c r="A92" s="360"/>
      <c r="B92" s="1025"/>
      <c r="C92" s="1033"/>
      <c r="D92" s="443">
        <f>ID!C80</f>
        <v>250</v>
      </c>
      <c r="E92" s="443">
        <f>ID!D80</f>
        <v>90</v>
      </c>
      <c r="F92" s="451">
        <f>IFERROR('Interpolasi dB'!E42,"-")</f>
        <v>89.98</v>
      </c>
      <c r="G92" s="451">
        <f>IFERROR('Interpolasi dB'!G42,"-")</f>
        <v>-1.9999999999996021E-2</v>
      </c>
      <c r="H92" s="1034"/>
      <c r="I92" s="461">
        <f>IFERROR('Interpolasi dB'!F42,"-")</f>
        <v>0.53380891459609159</v>
      </c>
      <c r="J92" s="524"/>
      <c r="K92" s="516">
        <f t="shared" ref="K92:K101" si="4">IF(F92="-",N92,IF(F92&gt;O92,0,IF(F92&lt;P92,0,IF(F92&gt;=P92,N92,IF(F92&lt;=O92,N92,)))))</f>
        <v>9.0909090909090899</v>
      </c>
      <c r="L92" s="1109"/>
      <c r="M92" s="1107"/>
      <c r="N92" s="423">
        <v>9.0909090909090899</v>
      </c>
      <c r="O92" s="507">
        <f t="shared" ref="O92:O99" si="5">E92+5</f>
        <v>95</v>
      </c>
      <c r="P92" s="515">
        <f t="shared" ref="P92:P99" si="6">E92-5</f>
        <v>85</v>
      </c>
    </row>
    <row r="93" spans="1:20">
      <c r="A93" s="360"/>
      <c r="B93" s="1025"/>
      <c r="C93" s="1033"/>
      <c r="D93" s="443">
        <f>ID!C81</f>
        <v>500</v>
      </c>
      <c r="E93" s="443">
        <f>ID!D81</f>
        <v>120</v>
      </c>
      <c r="F93" s="451">
        <f>IFERROR('Interpolasi dB'!E43,"-")</f>
        <v>120.04</v>
      </c>
      <c r="G93" s="451">
        <f>IFERROR('Interpolasi dB'!G43,"-")</f>
        <v>4.0000000000006253E-2</v>
      </c>
      <c r="H93" s="1034"/>
      <c r="I93" s="461">
        <f>IFERROR('Interpolasi dB'!F43,"-")</f>
        <v>0.53380891459609159</v>
      </c>
      <c r="J93" s="524"/>
      <c r="K93" s="516">
        <f t="shared" si="4"/>
        <v>9.0909090909090899</v>
      </c>
      <c r="L93" s="1109"/>
      <c r="M93" s="1107"/>
      <c r="N93" s="423">
        <v>9.0909090909090899</v>
      </c>
      <c r="O93" s="507">
        <f t="shared" si="5"/>
        <v>125</v>
      </c>
      <c r="P93" s="515">
        <f t="shared" si="6"/>
        <v>115</v>
      </c>
    </row>
    <row r="94" spans="1:20">
      <c r="A94" s="360"/>
      <c r="B94" s="1025"/>
      <c r="C94" s="1033"/>
      <c r="D94" s="443">
        <f>ID!C82</f>
        <v>750</v>
      </c>
      <c r="E94" s="443">
        <f>ID!D82</f>
        <v>120</v>
      </c>
      <c r="F94" s="451">
        <f>IFERROR('Interpolasi dB'!E44,"-")</f>
        <v>120.04</v>
      </c>
      <c r="G94" s="451">
        <f>IFERROR('Interpolasi dB'!G44,"-")</f>
        <v>4.0000000000006253E-2</v>
      </c>
      <c r="H94" s="1034"/>
      <c r="I94" s="461">
        <f>IFERROR('Interpolasi dB'!F44,"-")</f>
        <v>0.62906106791079441</v>
      </c>
      <c r="J94" s="524"/>
      <c r="K94" s="516">
        <f t="shared" si="4"/>
        <v>9.0909090909090899</v>
      </c>
      <c r="L94" s="1109"/>
      <c r="M94" s="1107"/>
      <c r="N94" s="423">
        <v>9.0909090909090899</v>
      </c>
      <c r="O94" s="507">
        <f t="shared" si="5"/>
        <v>125</v>
      </c>
      <c r="P94" s="515">
        <f t="shared" si="6"/>
        <v>115</v>
      </c>
    </row>
    <row r="95" spans="1:20">
      <c r="A95" s="360"/>
      <c r="B95" s="1025"/>
      <c r="C95" s="1033"/>
      <c r="D95" s="443">
        <f>ID!C83</f>
        <v>1000</v>
      </c>
      <c r="E95" s="443">
        <f>ID!D83</f>
        <v>120</v>
      </c>
      <c r="F95" s="451">
        <f>IFERROR('Interpolasi dB'!E45,"-")</f>
        <v>120.04</v>
      </c>
      <c r="G95" s="451">
        <f>IFERROR('Interpolasi dB'!G45,"-")</f>
        <v>4.0000000000006253E-2</v>
      </c>
      <c r="H95" s="1034"/>
      <c r="I95" s="461">
        <f>IFERROR('Interpolasi dB'!F45,"-")</f>
        <v>0.62906106791079441</v>
      </c>
      <c r="J95" s="524"/>
      <c r="K95" s="516">
        <f t="shared" si="4"/>
        <v>9.0909090909090899</v>
      </c>
      <c r="L95" s="1109"/>
      <c r="M95" s="1107"/>
      <c r="N95" s="423">
        <v>9.0909090909090899</v>
      </c>
      <c r="O95" s="507">
        <f t="shared" si="5"/>
        <v>125</v>
      </c>
      <c r="P95" s="515">
        <f t="shared" si="6"/>
        <v>115</v>
      </c>
    </row>
    <row r="96" spans="1:20">
      <c r="A96" s="360"/>
      <c r="B96" s="1025"/>
      <c r="C96" s="1033"/>
      <c r="D96" s="443">
        <f>ID!C84</f>
        <v>1500</v>
      </c>
      <c r="E96" s="443">
        <f>ID!D84</f>
        <v>120</v>
      </c>
      <c r="F96" s="451">
        <f>IFERROR('Interpolasi dB'!E46,"-")</f>
        <v>120.04</v>
      </c>
      <c r="G96" s="451">
        <f>IFERROR('Interpolasi dB'!G46,"-")</f>
        <v>4.0000000000006253E-2</v>
      </c>
      <c r="H96" s="1034"/>
      <c r="I96" s="461">
        <f>IFERROR('Interpolasi dB'!F46,"-")</f>
        <v>0.21138092612805931</v>
      </c>
      <c r="J96" s="524"/>
      <c r="K96" s="516">
        <f t="shared" si="4"/>
        <v>9.0909090909090899</v>
      </c>
      <c r="L96" s="1109"/>
      <c r="M96" s="1107"/>
      <c r="N96" s="423">
        <v>9.0909090909090899</v>
      </c>
      <c r="O96" s="507">
        <f t="shared" si="5"/>
        <v>125</v>
      </c>
      <c r="P96" s="515">
        <f t="shared" si="6"/>
        <v>115</v>
      </c>
    </row>
    <row r="97" spans="1:16">
      <c r="A97" s="360"/>
      <c r="B97" s="1025"/>
      <c r="C97" s="1033"/>
      <c r="D97" s="443">
        <f>ID!C85</f>
        <v>2000</v>
      </c>
      <c r="E97" s="443">
        <f>ID!D85</f>
        <v>120</v>
      </c>
      <c r="F97" s="451">
        <f>IFERROR('Interpolasi dB'!E47,"-")</f>
        <v>120.04</v>
      </c>
      <c r="G97" s="451">
        <f>IFERROR('Interpolasi dB'!G47,"-")</f>
        <v>4.0000000000006253E-2</v>
      </c>
      <c r="H97" s="1034"/>
      <c r="I97" s="461">
        <f>IFERROR('Interpolasi dB'!F47,"-")</f>
        <v>0.82361120611612804</v>
      </c>
      <c r="J97" s="525"/>
      <c r="K97" s="516">
        <f t="shared" si="4"/>
        <v>9.0909090909090899</v>
      </c>
      <c r="L97" s="1109"/>
      <c r="M97" s="1107"/>
      <c r="N97" s="423">
        <v>9.0909090909090899</v>
      </c>
      <c r="O97" s="507">
        <f t="shared" si="5"/>
        <v>125</v>
      </c>
      <c r="P97" s="515">
        <f t="shared" si="6"/>
        <v>115</v>
      </c>
    </row>
    <row r="98" spans="1:16">
      <c r="A98" s="360"/>
      <c r="B98" s="1025"/>
      <c r="C98" s="1033"/>
      <c r="D98" s="443">
        <f>ID!C86</f>
        <v>3000</v>
      </c>
      <c r="E98" s="443">
        <f>ID!D86</f>
        <v>120</v>
      </c>
      <c r="F98" s="451">
        <f>IFERROR('Interpolasi dB'!E48,"-")</f>
        <v>120.04</v>
      </c>
      <c r="G98" s="451">
        <f>IFERROR('Interpolasi dB'!G48,"-")</f>
        <v>4.0000000000006253E-2</v>
      </c>
      <c r="H98" s="1034"/>
      <c r="I98" s="461">
        <f>IFERROR('Interpolasi dB'!F48,"-")</f>
        <v>0.725876466154452</v>
      </c>
      <c r="J98" s="524"/>
      <c r="K98" s="516">
        <f t="shared" si="4"/>
        <v>9.0909090909090899</v>
      </c>
      <c r="L98" s="1109"/>
      <c r="M98" s="1107"/>
      <c r="N98" s="423">
        <v>9.0909090909090899</v>
      </c>
      <c r="O98" s="507">
        <f t="shared" si="5"/>
        <v>125</v>
      </c>
      <c r="P98" s="515">
        <f t="shared" si="6"/>
        <v>115</v>
      </c>
    </row>
    <row r="99" spans="1:16">
      <c r="A99" s="360"/>
      <c r="B99" s="1025"/>
      <c r="C99" s="1033"/>
      <c r="D99" s="443">
        <f>ID!C87</f>
        <v>4000</v>
      </c>
      <c r="E99" s="443">
        <f>ID!D87</f>
        <v>120</v>
      </c>
      <c r="F99" s="451">
        <f>IFERROR('Interpolasi dB'!E49,"-")</f>
        <v>120.04</v>
      </c>
      <c r="G99" s="451">
        <f>IFERROR('Interpolasi dB'!G49,"-")</f>
        <v>4.0000000000006253E-2</v>
      </c>
      <c r="H99" s="1034"/>
      <c r="I99" s="461">
        <f>IFERROR('Interpolasi dB'!F49,"-")</f>
        <v>1.1197736458955867</v>
      </c>
      <c r="J99" s="524"/>
      <c r="K99" s="516">
        <f t="shared" si="4"/>
        <v>9.0909090909090899</v>
      </c>
      <c r="L99" s="1109"/>
      <c r="M99" s="1107"/>
      <c r="N99" s="423">
        <v>9.0909090909090899</v>
      </c>
      <c r="O99" s="507">
        <f t="shared" si="5"/>
        <v>125</v>
      </c>
      <c r="P99" s="515">
        <f t="shared" si="6"/>
        <v>115</v>
      </c>
    </row>
    <row r="100" spans="1:16">
      <c r="A100" s="360"/>
      <c r="B100" s="1025"/>
      <c r="C100" s="1033"/>
      <c r="D100" s="443">
        <f>ID!C88</f>
        <v>6000</v>
      </c>
      <c r="E100" s="443">
        <f>ID!D88</f>
        <v>110</v>
      </c>
      <c r="F100" s="451">
        <f>IFERROR('Interpolasi dB'!E50,"-")</f>
        <v>109.9432</v>
      </c>
      <c r="G100" s="451">
        <f>IFERROR('Interpolasi dB'!G50,"-")</f>
        <v>-5.6799999999995521E-2</v>
      </c>
      <c r="H100" s="1034" t="str">
        <f>'Lembar Kerja'!H89</f>
        <v>± 8 dBHL</v>
      </c>
      <c r="I100" s="461">
        <f>IFERROR('Interpolasi dB'!F50,"-")</f>
        <v>1.3241637392587782</v>
      </c>
      <c r="J100" s="524"/>
      <c r="K100" s="516">
        <f t="shared" si="4"/>
        <v>9.0909090909090899</v>
      </c>
      <c r="L100" s="1109"/>
      <c r="M100" s="1107"/>
      <c r="N100" s="423">
        <v>9.0909090909090899</v>
      </c>
      <c r="O100" s="507">
        <f>E100+8</f>
        <v>118</v>
      </c>
      <c r="P100" s="515">
        <f>E100-8</f>
        <v>102</v>
      </c>
    </row>
    <row r="101" spans="1:16">
      <c r="A101" s="360"/>
      <c r="B101" s="1032"/>
      <c r="C101" s="1033"/>
      <c r="D101" s="443">
        <f>ID!C89</f>
        <v>8000</v>
      </c>
      <c r="E101" s="443">
        <f>ID!D89</f>
        <v>100</v>
      </c>
      <c r="F101" s="451">
        <f>IFERROR('Interpolasi dB'!E51,"-")</f>
        <v>99.99</v>
      </c>
      <c r="G101" s="451">
        <f>IFERROR('Interpolasi dB'!G51,"-")</f>
        <v>-1.0000000000005116E-2</v>
      </c>
      <c r="H101" s="1034"/>
      <c r="I101" s="461">
        <f>IFERROR('Interpolasi dB'!F51,"-")</f>
        <v>1.1197736458955867</v>
      </c>
      <c r="J101" s="524"/>
      <c r="K101" s="516">
        <f t="shared" si="4"/>
        <v>9.0909090909090899</v>
      </c>
      <c r="L101" s="1109"/>
      <c r="M101" s="1107"/>
      <c r="N101" s="423">
        <v>9.0909090909090899</v>
      </c>
      <c r="O101" s="507">
        <f>E101+8</f>
        <v>108</v>
      </c>
      <c r="P101" s="515">
        <f>E101-8</f>
        <v>92</v>
      </c>
    </row>
    <row r="102" spans="1:16">
      <c r="A102" s="360"/>
      <c r="B102" s="426"/>
      <c r="C102" s="452"/>
      <c r="D102" s="426"/>
      <c r="E102" s="426"/>
      <c r="F102" s="454"/>
      <c r="G102" s="454"/>
      <c r="H102" s="426"/>
      <c r="I102" s="455"/>
      <c r="J102" s="455"/>
      <c r="K102" s="453"/>
      <c r="L102" s="1109"/>
    </row>
    <row r="103" spans="1:16">
      <c r="A103" s="360"/>
      <c r="B103" s="426"/>
      <c r="C103" s="440" t="s">
        <v>56</v>
      </c>
      <c r="D103" s="426"/>
      <c r="E103" s="426"/>
      <c r="F103" s="425"/>
      <c r="G103" s="425"/>
      <c r="H103" s="425"/>
      <c r="I103" s="453"/>
      <c r="J103" s="453"/>
      <c r="K103" s="425"/>
      <c r="L103" s="1109"/>
    </row>
    <row r="104" spans="1:16" ht="15.75" customHeight="1">
      <c r="A104" s="360"/>
      <c r="B104" s="1031"/>
      <c r="C104" s="1034" t="s">
        <v>42</v>
      </c>
      <c r="D104" s="1034" t="s">
        <v>43</v>
      </c>
      <c r="E104" s="1034"/>
      <c r="F104" s="1033" t="s">
        <v>44</v>
      </c>
      <c r="G104" s="1034" t="s">
        <v>293</v>
      </c>
      <c r="H104" s="1101" t="s">
        <v>45</v>
      </c>
      <c r="I104" s="1104" t="s">
        <v>294</v>
      </c>
      <c r="J104" s="523"/>
      <c r="K104" s="1103" t="s">
        <v>20</v>
      </c>
      <c r="L104" s="1109"/>
      <c r="M104" s="1107">
        <f>IF(T130&lt;70,0,IF(T130&gt;=70,5.83333333))</f>
        <v>5.8333333300000003</v>
      </c>
    </row>
    <row r="105" spans="1:16" ht="31">
      <c r="A105" s="360"/>
      <c r="B105" s="1032"/>
      <c r="C105" s="1034"/>
      <c r="D105" s="450" t="s">
        <v>47</v>
      </c>
      <c r="E105" s="450" t="s">
        <v>48</v>
      </c>
      <c r="F105" s="1033"/>
      <c r="G105" s="1034"/>
      <c r="H105" s="1102"/>
      <c r="I105" s="1105"/>
      <c r="J105" s="523"/>
      <c r="K105" s="1103"/>
      <c r="L105" s="1109"/>
      <c r="M105" s="1107"/>
    </row>
    <row r="106" spans="1:16">
      <c r="A106" s="360"/>
      <c r="B106" s="1031"/>
      <c r="C106" s="1033" t="s">
        <v>47</v>
      </c>
      <c r="D106" s="443">
        <f>ID!C94</f>
        <v>125</v>
      </c>
      <c r="E106" s="443" t="str">
        <f>ID!D94</f>
        <v>MAX</v>
      </c>
      <c r="F106" s="451">
        <f>IFERROR('Interpolasi dB'!B150,"-")</f>
        <v>125</v>
      </c>
      <c r="G106" s="451">
        <f>IFERROR('Interpolasi dB'!D150,"-")</f>
        <v>0</v>
      </c>
      <c r="H106" s="468">
        <f>'Lembar Kerja'!H95</f>
        <v>1.9</v>
      </c>
      <c r="I106" s="461">
        <f>IFERROR('Interpolasi dB'!C150,"-")</f>
        <v>0.50213977802519028</v>
      </c>
      <c r="J106" s="527"/>
      <c r="K106" s="516">
        <f>IF(F106="-",N106,IF(F106&gt;126.9,0,IF(F106&lt;123.1,0,IF(F106&gt;=123.1,N106,IF(F106&lt;=126.9,N106,)))))</f>
        <v>9.0909090909090899</v>
      </c>
      <c r="L106" s="1109"/>
      <c r="M106" s="1107"/>
      <c r="N106" s="423">
        <v>9.0909090909090899</v>
      </c>
    </row>
    <row r="107" spans="1:16">
      <c r="A107" s="360"/>
      <c r="B107" s="1025"/>
      <c r="C107" s="1033"/>
      <c r="D107" s="443">
        <f>ID!C95</f>
        <v>250</v>
      </c>
      <c r="E107" s="443" t="str">
        <f>ID!D95</f>
        <v>MAX</v>
      </c>
      <c r="F107" s="451">
        <f>IFERROR('Interpolasi dB'!B151,"-")</f>
        <v>250</v>
      </c>
      <c r="G107" s="451">
        <f>IFERROR('Interpolasi dB'!D151,"-")</f>
        <v>0</v>
      </c>
      <c r="H107" s="462">
        <f>'Lembar Kerja'!H96</f>
        <v>4</v>
      </c>
      <c r="I107" s="461">
        <f>IFERROR('Interpolasi dB'!C151,"-")</f>
        <v>0.50213977802519028</v>
      </c>
      <c r="J107" s="526"/>
      <c r="K107" s="516">
        <f>IF(F107="-",N107,IF(F107&gt;254,0,IF(F107&lt;246,0,IF(F107&gt;=246,N107,IF(F107&lt;=254,N107,)))))</f>
        <v>9.0909090909090899</v>
      </c>
      <c r="L107" s="1109"/>
      <c r="M107" s="1107"/>
      <c r="N107" s="423">
        <v>9.0909090909090899</v>
      </c>
    </row>
    <row r="108" spans="1:16">
      <c r="A108" s="360"/>
      <c r="B108" s="1025"/>
      <c r="C108" s="1033"/>
      <c r="D108" s="443">
        <f>ID!C96</f>
        <v>500</v>
      </c>
      <c r="E108" s="443" t="str">
        <f>ID!D96</f>
        <v>MAX</v>
      </c>
      <c r="F108" s="451">
        <f>IFERROR('Interpolasi dB'!B152,"-")</f>
        <v>500</v>
      </c>
      <c r="G108" s="451">
        <f>IFERROR('Interpolasi dB'!D152,"-")</f>
        <v>0</v>
      </c>
      <c r="H108" s="462">
        <f>'Lembar Kerja'!H97</f>
        <v>8</v>
      </c>
      <c r="I108" s="461">
        <f>IFERROR('Interpolasi dB'!C152,"-")</f>
        <v>0.50213977802519028</v>
      </c>
      <c r="J108" s="526"/>
      <c r="K108" s="516">
        <f>IF(F108="-",N108,IF(F108&gt;508,0,IF(F108&lt;492,0,IF(F108&gt;=492,N108,IF(F108&lt;=508,N108,)))))</f>
        <v>9.0909090909090899</v>
      </c>
      <c r="L108" s="1109"/>
      <c r="M108" s="1107"/>
      <c r="N108" s="423">
        <v>9.0909090909090899</v>
      </c>
    </row>
    <row r="109" spans="1:16">
      <c r="A109" s="360"/>
      <c r="B109" s="1025"/>
      <c r="C109" s="1033"/>
      <c r="D109" s="443">
        <f>ID!C97</f>
        <v>750</v>
      </c>
      <c r="E109" s="443" t="str">
        <f>ID!D97</f>
        <v>MAX</v>
      </c>
      <c r="F109" s="451">
        <f>IFERROR('Interpolasi dB'!B153,"-")</f>
        <v>750</v>
      </c>
      <c r="G109" s="451">
        <f>IFERROR('Interpolasi dB'!D153,"-")</f>
        <v>0</v>
      </c>
      <c r="H109" s="462">
        <f>'Lembar Kerja'!H98</f>
        <v>11</v>
      </c>
      <c r="I109" s="461">
        <f>IFERROR('Interpolasi dB'!C153,"-")</f>
        <v>0.50213977802519028</v>
      </c>
      <c r="J109" s="527"/>
      <c r="K109" s="516">
        <f>IF(F109="-",N109,IF(F109&gt;761,0,IF(F109&lt;739,0,IF(F109&gt;=739,N109,IF(F109&lt;=761,N109,)))))</f>
        <v>9.0909090909090899</v>
      </c>
      <c r="L109" s="1109"/>
      <c r="M109" s="1107"/>
      <c r="N109" s="423">
        <v>9.0909090909090899</v>
      </c>
    </row>
    <row r="110" spans="1:16">
      <c r="A110" s="360"/>
      <c r="B110" s="1025"/>
      <c r="C110" s="1033"/>
      <c r="D110" s="443">
        <f>ID!C98</f>
        <v>1000</v>
      </c>
      <c r="E110" s="443" t="str">
        <f>ID!D98</f>
        <v>MAX</v>
      </c>
      <c r="F110" s="451">
        <f>IFERROR('Interpolasi dB'!B154,"-")</f>
        <v>1000</v>
      </c>
      <c r="G110" s="451">
        <f>IFERROR('Interpolasi dB'!D154,"-")</f>
        <v>0</v>
      </c>
      <c r="H110" s="462">
        <f>'Lembar Kerja'!H99</f>
        <v>15</v>
      </c>
      <c r="I110" s="461">
        <f>IFERROR('Interpolasi dB'!C154,"-")</f>
        <v>0.50213977802519028</v>
      </c>
      <c r="J110" s="526"/>
      <c r="K110" s="516">
        <f>IF(F110="-",N110,IF(F110&gt;1015,0,IF(F110&lt;985,0,IF(F110&gt;=985,N110,IF(F110&lt;=1015,N110,)))))</f>
        <v>9.0909090909090899</v>
      </c>
      <c r="L110" s="1109"/>
      <c r="M110" s="1107"/>
      <c r="N110" s="423">
        <v>9.0909090909090899</v>
      </c>
    </row>
    <row r="111" spans="1:16">
      <c r="A111" s="360"/>
      <c r="B111" s="1025"/>
      <c r="C111" s="1033"/>
      <c r="D111" s="443">
        <f>ID!C99</f>
        <v>1500</v>
      </c>
      <c r="E111" s="443" t="str">
        <f>ID!D99</f>
        <v>MAX</v>
      </c>
      <c r="F111" s="451">
        <f>IFERROR('Interpolasi dB'!B155,"-")</f>
        <v>1500</v>
      </c>
      <c r="G111" s="451">
        <f>IFERROR('Interpolasi dB'!D155,"-")</f>
        <v>0</v>
      </c>
      <c r="H111" s="462">
        <f>'Lembar Kerja'!H100</f>
        <v>23</v>
      </c>
      <c r="I111" s="461">
        <f>IFERROR('Interpolasi dB'!C155,"-")</f>
        <v>0.50213977802519028</v>
      </c>
      <c r="J111" s="526"/>
      <c r="K111" s="516">
        <f>IF(F111="-",N111,IF(F111&gt;1523,0,IF(F111&lt;1477,0,IF(F111&gt;=1477,N111,IF(F111&lt;=1523,N111,)))))</f>
        <v>9.0909090909090899</v>
      </c>
      <c r="L111" s="1109"/>
      <c r="M111" s="1107"/>
      <c r="N111" s="423">
        <v>9.0909090909090899</v>
      </c>
    </row>
    <row r="112" spans="1:16">
      <c r="A112" s="360"/>
      <c r="B112" s="1025"/>
      <c r="C112" s="1033"/>
      <c r="D112" s="443">
        <f>ID!C100</f>
        <v>2000</v>
      </c>
      <c r="E112" s="443" t="str">
        <f>ID!D100</f>
        <v>MAX</v>
      </c>
      <c r="F112" s="451">
        <f>IFERROR('Interpolasi dB'!B156,"-")</f>
        <v>2000</v>
      </c>
      <c r="G112" s="451">
        <f>IFERROR('Interpolasi dB'!D156,"-")</f>
        <v>0</v>
      </c>
      <c r="H112" s="462">
        <f>'Lembar Kerja'!H101</f>
        <v>30</v>
      </c>
      <c r="I112" s="461">
        <f>IFERROR('Interpolasi dB'!C156,"-")</f>
        <v>0.50213977802519028</v>
      </c>
      <c r="J112" s="527"/>
      <c r="K112" s="516">
        <f>IF(F112="-",N112,IF(F112&gt;2030,0,IF(F112&lt;1970,0,IF(F112&gt;=1970,N112,IF(F112&lt;=2030,N112,)))))</f>
        <v>9.0909090909090899</v>
      </c>
      <c r="L112" s="1109"/>
      <c r="M112" s="1107"/>
      <c r="N112" s="423">
        <v>9.0909090909090899</v>
      </c>
    </row>
    <row r="113" spans="1:20">
      <c r="A113" s="360"/>
      <c r="B113" s="1025"/>
      <c r="C113" s="1033"/>
      <c r="D113" s="443">
        <f>ID!C101</f>
        <v>3000</v>
      </c>
      <c r="E113" s="443" t="str">
        <f>ID!D101</f>
        <v>MAX</v>
      </c>
      <c r="F113" s="451">
        <f>IFERROR('Interpolasi dB'!B157,"-")</f>
        <v>3000</v>
      </c>
      <c r="G113" s="451">
        <f>IFERROR('Interpolasi dB'!D157,"-")</f>
        <v>0</v>
      </c>
      <c r="H113" s="462">
        <f>'Lembar Kerja'!H102</f>
        <v>45</v>
      </c>
      <c r="I113" s="461">
        <f>IFERROR('Interpolasi dB'!C157,"-")</f>
        <v>0.50213977802519028</v>
      </c>
      <c r="J113" s="526"/>
      <c r="K113" s="516">
        <f>IF(F113="-",N113,IF(F113&gt;3045,0,IF(F113&lt;2955,0,IF(F113&gt;=2955,N113,IF(F113&lt;=3045,N113,)))))</f>
        <v>9.0909090909090899</v>
      </c>
      <c r="L113" s="1109"/>
      <c r="M113" s="1107"/>
      <c r="N113" s="423">
        <v>9.0909090909090899</v>
      </c>
    </row>
    <row r="114" spans="1:20">
      <c r="A114" s="360"/>
      <c r="B114" s="1025"/>
      <c r="C114" s="1033"/>
      <c r="D114" s="443">
        <f>ID!C102</f>
        <v>4000</v>
      </c>
      <c r="E114" s="443" t="str">
        <f>ID!D102</f>
        <v>MAX</v>
      </c>
      <c r="F114" s="451">
        <f>IFERROR('Interpolasi dB'!B158,"-")</f>
        <v>3999</v>
      </c>
      <c r="G114" s="451">
        <f>IFERROR('Interpolasi dB'!D158,"-")</f>
        <v>-1</v>
      </c>
      <c r="H114" s="462">
        <f>'Lembar Kerja'!H103</f>
        <v>60</v>
      </c>
      <c r="I114" s="461">
        <f>IFERROR('Interpolasi dB'!C158,"-")</f>
        <v>0.50213977802519028</v>
      </c>
      <c r="J114" s="526"/>
      <c r="K114" s="516">
        <f>IF(F114="-",N114,IF(F114&gt;4060,0,IF(F114&lt;3940,0,IF(F114&gt;=3940,N114,IF(F114&lt;=4060,N114)))))</f>
        <v>9.0909090909090899</v>
      </c>
      <c r="L114" s="1109"/>
      <c r="M114" s="1107"/>
      <c r="N114" s="423">
        <v>9.0909090909090899</v>
      </c>
    </row>
    <row r="115" spans="1:20">
      <c r="A115" s="360"/>
      <c r="B115" s="1025"/>
      <c r="C115" s="1033"/>
      <c r="D115" s="443">
        <f>ID!C103</f>
        <v>6000</v>
      </c>
      <c r="E115" s="443" t="str">
        <f>ID!D103</f>
        <v>MAX</v>
      </c>
      <c r="F115" s="451">
        <f>IFERROR('Interpolasi dB'!B159,"-")</f>
        <v>6000</v>
      </c>
      <c r="G115" s="451">
        <f>IFERROR('Interpolasi dB'!D159,"-")</f>
        <v>0</v>
      </c>
      <c r="H115" s="462">
        <f>'Lembar Kerja'!H104</f>
        <v>90</v>
      </c>
      <c r="I115" s="461">
        <f>IFERROR('Interpolasi dB'!C159,"-")</f>
        <v>0.50213977802519028</v>
      </c>
      <c r="J115" s="527"/>
      <c r="K115" s="516">
        <f>IF(F115="-",N115,IF(F115&gt;6090,0,IF(F115&lt;5910,0,IF(F115&gt;=5910,N115,IF(F115&lt;=6090,N115,)))))</f>
        <v>9.0909090909090899</v>
      </c>
      <c r="L115" s="1109"/>
      <c r="M115" s="1107"/>
      <c r="N115" s="423">
        <v>9.0909090909090899</v>
      </c>
    </row>
    <row r="116" spans="1:20">
      <c r="A116" s="360"/>
      <c r="B116" s="1032"/>
      <c r="C116" s="1033"/>
      <c r="D116" s="443">
        <f>ID!C104</f>
        <v>8000</v>
      </c>
      <c r="E116" s="443" t="str">
        <f>ID!D104</f>
        <v>MAX</v>
      </c>
      <c r="F116" s="451">
        <f>IFERROR('Interpolasi dB'!B160,"-")</f>
        <v>8000</v>
      </c>
      <c r="G116" s="451">
        <f>IFERROR('Interpolasi dB'!D160,"-")</f>
        <v>0</v>
      </c>
      <c r="H116" s="462">
        <f>'Lembar Kerja'!H105</f>
        <v>120</v>
      </c>
      <c r="I116" s="461">
        <f>IFERROR('Interpolasi dB'!C160,"-")</f>
        <v>0.50213977802519028</v>
      </c>
      <c r="J116" s="526"/>
      <c r="K116" s="516">
        <f>IF(F116="-",N116,IF(F116&gt;8120,0,IF(F116&lt;7880,0,IF(F116&gt;=7880,N116,IF(F116&lt;=8120,N116,)))))</f>
        <v>9.0909090909090899</v>
      </c>
      <c r="L116" s="1109"/>
      <c r="M116" s="1107"/>
      <c r="N116" s="423">
        <v>9.0909090909090899</v>
      </c>
    </row>
    <row r="117" spans="1:20" hidden="1">
      <c r="A117" s="360"/>
      <c r="B117" s="426"/>
      <c r="C117" s="452"/>
      <c r="D117" s="426"/>
      <c r="E117" s="426"/>
      <c r="F117" s="454"/>
      <c r="G117" s="454"/>
      <c r="H117" s="471"/>
      <c r="I117" s="455"/>
      <c r="J117" s="455"/>
      <c r="K117" s="425"/>
      <c r="L117" s="1109"/>
    </row>
    <row r="118" spans="1:20" hidden="1">
      <c r="A118" s="360"/>
      <c r="B118" s="426"/>
      <c r="C118" s="440" t="s">
        <v>59</v>
      </c>
      <c r="D118" s="426"/>
      <c r="E118" s="426"/>
      <c r="F118" s="454"/>
      <c r="G118" s="454"/>
      <c r="H118" s="471"/>
      <c r="I118" s="455"/>
      <c r="J118" s="455"/>
      <c r="K118" s="425"/>
      <c r="L118" s="1109"/>
    </row>
    <row r="119" spans="1:20" hidden="1">
      <c r="A119" s="360"/>
      <c r="B119" s="1046"/>
      <c r="C119" s="941" t="s">
        <v>42</v>
      </c>
      <c r="D119" s="941" t="s">
        <v>43</v>
      </c>
      <c r="E119" s="941"/>
      <c r="F119" s="1022" t="s">
        <v>44</v>
      </c>
      <c r="G119" s="1023" t="s">
        <v>293</v>
      </c>
      <c r="H119" s="1022" t="s">
        <v>297</v>
      </c>
      <c r="I119" s="1023" t="s">
        <v>45</v>
      </c>
      <c r="J119" s="1022" t="s">
        <v>294</v>
      </c>
      <c r="K119" s="1103" t="s">
        <v>20</v>
      </c>
      <c r="L119" s="1109"/>
      <c r="M119" s="1100">
        <f>IF(S121&lt;70,0,IF(S121&gt;=70,5.83333333))</f>
        <v>5.8333333300000003</v>
      </c>
      <c r="R119" s="508" t="s">
        <v>305</v>
      </c>
    </row>
    <row r="120" spans="1:20" ht="31" hidden="1">
      <c r="A120" s="360"/>
      <c r="B120" s="1048"/>
      <c r="C120" s="939"/>
      <c r="D120" s="349" t="s">
        <v>47</v>
      </c>
      <c r="E120" s="349" t="s">
        <v>48</v>
      </c>
      <c r="F120" s="1022"/>
      <c r="G120" s="1023"/>
      <c r="H120" s="1022"/>
      <c r="I120" s="1023"/>
      <c r="J120" s="1022"/>
      <c r="K120" s="1103"/>
      <c r="L120" s="1109"/>
      <c r="M120" s="1100"/>
      <c r="O120" s="514" t="s">
        <v>295</v>
      </c>
      <c r="P120" s="514" t="s">
        <v>296</v>
      </c>
      <c r="R120" s="423"/>
      <c r="S120" s="509" t="s">
        <v>299</v>
      </c>
      <c r="T120" s="509" t="s">
        <v>300</v>
      </c>
    </row>
    <row r="121" spans="1:20" hidden="1">
      <c r="A121" s="360"/>
      <c r="B121" s="552"/>
      <c r="C121" s="943" t="s">
        <v>160</v>
      </c>
      <c r="D121" s="464">
        <f>ID!C116</f>
        <v>125</v>
      </c>
      <c r="E121" s="464">
        <f>ID!D116</f>
        <v>75</v>
      </c>
      <c r="F121" s="451" t="str">
        <f>IFERROR('Interpolasi dB'!E90,"-")</f>
        <v>-</v>
      </c>
      <c r="G121" s="451" t="str">
        <f>IFERROR('Interpolasi dB'!G90,"-")</f>
        <v>-</v>
      </c>
      <c r="H121" s="515" t="e">
        <f>'Interpolasi dB'!H90</f>
        <v>#DIV/0!</v>
      </c>
      <c r="I121" s="1050">
        <f>'Lembar Kerja'!H110</f>
        <v>3</v>
      </c>
      <c r="J121" s="572" t="str">
        <f>IFERROR('Interpolasi dB'!F90,"-")</f>
        <v>-</v>
      </c>
      <c r="K121" s="516">
        <f>IF(F121="-",N121,IF(F121&gt;O121,0,IF(F121&lt;P121,0,IF(F121&gt;=P121,N121,IF(F121&lt;=O121,N121)))))</f>
        <v>9.0909090909090899</v>
      </c>
      <c r="L121" s="1109"/>
      <c r="M121" s="1100"/>
      <c r="N121" s="423">
        <v>9.0909090909090899</v>
      </c>
      <c r="O121" s="507">
        <f>D121+3.75</f>
        <v>128.75</v>
      </c>
      <c r="P121" s="515">
        <f>D121-3.75</f>
        <v>121.25</v>
      </c>
      <c r="R121" s="423" t="s">
        <v>301</v>
      </c>
      <c r="S121" s="510">
        <f>SUM(K121:K131)</f>
        <v>100.00000000000001</v>
      </c>
      <c r="T121" s="510">
        <f>SUM(K91:K101)</f>
        <v>100.00000000000001</v>
      </c>
    </row>
    <row r="122" spans="1:20" hidden="1">
      <c r="A122" s="360"/>
      <c r="B122" s="552"/>
      <c r="C122" s="1049"/>
      <c r="D122" s="464">
        <f>ID!C117</f>
        <v>250</v>
      </c>
      <c r="E122" s="464">
        <f>ID!D117</f>
        <v>90</v>
      </c>
      <c r="F122" s="451" t="str">
        <f>IFERROR('Interpolasi dB'!E91,"-")</f>
        <v>-</v>
      </c>
      <c r="G122" s="451" t="str">
        <f>IFERROR('Interpolasi dB'!G91,"-")</f>
        <v>-</v>
      </c>
      <c r="H122" s="515" t="e">
        <f>'Interpolasi dB'!H91</f>
        <v>#DIV/0!</v>
      </c>
      <c r="I122" s="1051"/>
      <c r="J122" s="572" t="str">
        <f>IFERROR('Interpolasi dB'!F91,"-")</f>
        <v>-</v>
      </c>
      <c r="K122" s="516">
        <f t="shared" ref="K122:K131" si="7">IF(F122="-",N122,IF(F122&gt;O122,0,IF(F122&lt;P122,0,IF(F122&gt;=P122,N122,IF(F122&lt;=O122,N122)))))</f>
        <v>9.0909090909090899</v>
      </c>
      <c r="L122" s="1109"/>
      <c r="M122" s="1100"/>
      <c r="N122" s="423">
        <v>9.0909090909090899</v>
      </c>
      <c r="O122" s="507">
        <f>D122+7.5</f>
        <v>257.5</v>
      </c>
      <c r="P122" s="515">
        <f>D122-7.5</f>
        <v>242.5</v>
      </c>
      <c r="R122" s="423" t="s">
        <v>302</v>
      </c>
      <c r="S122" s="423">
        <v>100</v>
      </c>
      <c r="T122" s="423">
        <v>100</v>
      </c>
    </row>
    <row r="123" spans="1:20" hidden="1">
      <c r="A123" s="360"/>
      <c r="B123" s="552"/>
      <c r="C123" s="1049"/>
      <c r="D123" s="464">
        <f>ID!C118</f>
        <v>500</v>
      </c>
      <c r="E123" s="464">
        <f>ID!D118</f>
        <v>110</v>
      </c>
      <c r="F123" s="451" t="str">
        <f>IFERROR('Interpolasi dB'!E92,"-")</f>
        <v>-</v>
      </c>
      <c r="G123" s="451" t="str">
        <f>IFERROR('Interpolasi dB'!G92,"-")</f>
        <v>-</v>
      </c>
      <c r="H123" s="515" t="e">
        <f>'Interpolasi dB'!H92</f>
        <v>#DIV/0!</v>
      </c>
      <c r="I123" s="1051"/>
      <c r="J123" s="572" t="str">
        <f>IFERROR('Interpolasi dB'!F92,"-")</f>
        <v>-</v>
      </c>
      <c r="K123" s="516">
        <f t="shared" si="7"/>
        <v>9.0909090909090899</v>
      </c>
      <c r="L123" s="1109"/>
      <c r="M123" s="1100"/>
      <c r="N123" s="423">
        <v>9.0909090909090899</v>
      </c>
      <c r="O123" s="507">
        <f>D123+15</f>
        <v>515</v>
      </c>
      <c r="P123" s="515">
        <f>D123-15</f>
        <v>485</v>
      </c>
    </row>
    <row r="124" spans="1:20" hidden="1">
      <c r="A124" s="360"/>
      <c r="B124" s="552"/>
      <c r="C124" s="1049"/>
      <c r="D124" s="464">
        <f>ID!C119</f>
        <v>750</v>
      </c>
      <c r="E124" s="464">
        <f>ID!D119</f>
        <v>110</v>
      </c>
      <c r="F124" s="451" t="str">
        <f>IFERROR('Interpolasi dB'!E93,"-")</f>
        <v>-</v>
      </c>
      <c r="G124" s="451" t="str">
        <f>IFERROR('Interpolasi dB'!G93,"-")</f>
        <v>-</v>
      </c>
      <c r="H124" s="515" t="e">
        <f>'Interpolasi dB'!H93</f>
        <v>#DIV/0!</v>
      </c>
      <c r="I124" s="1051"/>
      <c r="J124" s="572" t="str">
        <f>IFERROR('Interpolasi dB'!F93,"-")</f>
        <v>-</v>
      </c>
      <c r="K124" s="516">
        <f t="shared" si="7"/>
        <v>9.0909090909090899</v>
      </c>
      <c r="L124" s="1109"/>
      <c r="M124" s="1100"/>
      <c r="N124" s="423">
        <v>9.0909090909090899</v>
      </c>
      <c r="O124" s="507">
        <f>D124+22.5</f>
        <v>772.5</v>
      </c>
      <c r="P124" s="515">
        <f>D124-22.5</f>
        <v>727.5</v>
      </c>
    </row>
    <row r="125" spans="1:20" hidden="1">
      <c r="A125" s="360"/>
      <c r="B125" s="552"/>
      <c r="C125" s="1049"/>
      <c r="D125" s="464">
        <f>ID!C120</f>
        <v>1000</v>
      </c>
      <c r="E125" s="464">
        <f>ID!D120</f>
        <v>110</v>
      </c>
      <c r="F125" s="451" t="str">
        <f>IFERROR('Interpolasi dB'!E94,"-")</f>
        <v>-</v>
      </c>
      <c r="G125" s="451" t="str">
        <f>IFERROR('Interpolasi dB'!G94,"-")</f>
        <v>-</v>
      </c>
      <c r="H125" s="515" t="e">
        <f>'Interpolasi dB'!H94</f>
        <v>#DIV/0!</v>
      </c>
      <c r="I125" s="1051"/>
      <c r="J125" s="572" t="str">
        <f>IFERROR('Interpolasi dB'!F94,"-")</f>
        <v>-</v>
      </c>
      <c r="K125" s="516">
        <f t="shared" si="7"/>
        <v>9.0909090909090899</v>
      </c>
      <c r="L125" s="1109"/>
      <c r="M125" s="1100"/>
      <c r="N125" s="423">
        <v>9.0909090909090899</v>
      </c>
      <c r="O125" s="507">
        <f>D125+30</f>
        <v>1030</v>
      </c>
      <c r="P125" s="515">
        <f>D125-30</f>
        <v>970</v>
      </c>
    </row>
    <row r="126" spans="1:20" hidden="1">
      <c r="A126" s="360"/>
      <c r="B126" s="552"/>
      <c r="C126" s="944" t="s">
        <v>158</v>
      </c>
      <c r="D126" s="464">
        <f>ID!C121</f>
        <v>1500</v>
      </c>
      <c r="E126" s="464">
        <f>ID!D121</f>
        <v>110</v>
      </c>
      <c r="F126" s="451" t="str">
        <f>IFERROR('Interpolasi dB'!E95,"-")</f>
        <v>-</v>
      </c>
      <c r="G126" s="451" t="str">
        <f>IFERROR('Interpolasi dB'!G95,"-")</f>
        <v>-</v>
      </c>
      <c r="H126" s="515" t="e">
        <f>'Interpolasi dB'!H95</f>
        <v>#DIV/0!</v>
      </c>
      <c r="I126" s="1051"/>
      <c r="J126" s="572" t="str">
        <f>IFERROR('Interpolasi dB'!F95,"-")</f>
        <v>-</v>
      </c>
      <c r="K126" s="516">
        <f t="shared" si="7"/>
        <v>9.0909090909090899</v>
      </c>
      <c r="L126" s="1109"/>
      <c r="M126" s="1100"/>
      <c r="N126" s="423">
        <v>9.0909090909090899</v>
      </c>
      <c r="O126" s="507">
        <f>D126+45</f>
        <v>1545</v>
      </c>
      <c r="P126" s="515">
        <f>D126-45</f>
        <v>1455</v>
      </c>
      <c r="R126" s="1118" t="s">
        <v>306</v>
      </c>
      <c r="S126" s="423" t="s">
        <v>304</v>
      </c>
      <c r="T126" s="565">
        <f>SUM(M89,M104)</f>
        <v>11.666666660000001</v>
      </c>
    </row>
    <row r="127" spans="1:20" hidden="1">
      <c r="A127" s="360"/>
      <c r="B127" s="552"/>
      <c r="C127" s="942"/>
      <c r="D127" s="464">
        <f>ID!C122</f>
        <v>2000</v>
      </c>
      <c r="E127" s="464">
        <f>ID!D122</f>
        <v>110</v>
      </c>
      <c r="F127" s="451" t="str">
        <f>IFERROR('Interpolasi dB'!E96,"-")</f>
        <v>-</v>
      </c>
      <c r="G127" s="451" t="str">
        <f>IFERROR('Interpolasi dB'!G96,"-")</f>
        <v>-</v>
      </c>
      <c r="H127" s="515" t="e">
        <f>'Interpolasi dB'!H96</f>
        <v>#DIV/0!</v>
      </c>
      <c r="I127" s="1051"/>
      <c r="J127" s="572" t="str">
        <f>IFERROR('Interpolasi dB'!F96,"-")</f>
        <v>-</v>
      </c>
      <c r="K127" s="516">
        <f t="shared" si="7"/>
        <v>9.0909090909090899</v>
      </c>
      <c r="L127" s="1109"/>
      <c r="M127" s="1100"/>
      <c r="N127" s="423">
        <v>9.0909090909090899</v>
      </c>
      <c r="O127" s="507">
        <f>D127+60</f>
        <v>2060</v>
      </c>
      <c r="P127" s="515">
        <f>D127-60</f>
        <v>1940</v>
      </c>
      <c r="R127" s="1119"/>
      <c r="S127" s="423" t="s">
        <v>155</v>
      </c>
      <c r="T127" s="423">
        <v>17.5</v>
      </c>
    </row>
    <row r="128" spans="1:20" hidden="1">
      <c r="A128" s="360"/>
      <c r="B128" s="552"/>
      <c r="C128" s="942"/>
      <c r="D128" s="464">
        <f>ID!C123</f>
        <v>3000</v>
      </c>
      <c r="E128" s="464">
        <f>ID!D123</f>
        <v>110</v>
      </c>
      <c r="F128" s="451" t="str">
        <f>IFERROR('Interpolasi dB'!E97,"-")</f>
        <v>-</v>
      </c>
      <c r="G128" s="451" t="str">
        <f>IFERROR('Interpolasi dB'!G97,"-")</f>
        <v>-</v>
      </c>
      <c r="H128" s="515" t="e">
        <f>'Interpolasi dB'!H97</f>
        <v>#DIV/0!</v>
      </c>
      <c r="I128" s="1051"/>
      <c r="J128" s="572" t="str">
        <f>IFERROR('Interpolasi dB'!F97,"-")</f>
        <v>-</v>
      </c>
      <c r="K128" s="516">
        <f t="shared" si="7"/>
        <v>9.0909090909090899</v>
      </c>
      <c r="L128" s="1109"/>
      <c r="M128" s="1100"/>
      <c r="N128" s="423">
        <v>9.0909090909090899</v>
      </c>
      <c r="O128" s="507">
        <f>D128+90</f>
        <v>3090</v>
      </c>
      <c r="P128" s="515">
        <f>D128-90</f>
        <v>2910</v>
      </c>
      <c r="R128" s="1120"/>
      <c r="S128" s="423"/>
      <c r="T128" s="423">
        <f>IF(T126&gt;=11.66666666,17.5,IF(T126&lt;11.66666666,0))</f>
        <v>17.5</v>
      </c>
    </row>
    <row r="129" spans="1:20" hidden="1">
      <c r="A129" s="360"/>
      <c r="B129" s="552"/>
      <c r="C129" s="942"/>
      <c r="D129" s="464">
        <f>ID!C124</f>
        <v>4000</v>
      </c>
      <c r="E129" s="464">
        <f>ID!D124</f>
        <v>110</v>
      </c>
      <c r="F129" s="451" t="str">
        <f>IFERROR('Interpolasi dB'!E98,"-")</f>
        <v>-</v>
      </c>
      <c r="G129" s="451" t="str">
        <f>IFERROR('Interpolasi dB'!G98,"-")</f>
        <v>-</v>
      </c>
      <c r="H129" s="515" t="e">
        <f>'Interpolasi dB'!H98</f>
        <v>#DIV/0!</v>
      </c>
      <c r="I129" s="1051"/>
      <c r="J129" s="572" t="str">
        <f>IFERROR('Interpolasi dB'!F98,"-")</f>
        <v>-</v>
      </c>
      <c r="K129" s="516">
        <f t="shared" si="7"/>
        <v>9.0909090909090899</v>
      </c>
      <c r="L129" s="1109"/>
      <c r="M129" s="1100"/>
      <c r="N129" s="423">
        <v>9.0909090909090899</v>
      </c>
      <c r="O129" s="507">
        <f>D129+120</f>
        <v>4120</v>
      </c>
      <c r="P129" s="515">
        <f>D129-120</f>
        <v>3880</v>
      </c>
    </row>
    <row r="130" spans="1:20" hidden="1">
      <c r="A130" s="360"/>
      <c r="B130" s="552"/>
      <c r="C130" s="942"/>
      <c r="D130" s="464">
        <f>ID!C125</f>
        <v>6000</v>
      </c>
      <c r="E130" s="464">
        <f>ID!D125</f>
        <v>110</v>
      </c>
      <c r="F130" s="451" t="str">
        <f>IFERROR('Interpolasi dB'!E99,"-")</f>
        <v>-</v>
      </c>
      <c r="G130" s="451" t="str">
        <f>IFERROR('Interpolasi dB'!G99,"-")</f>
        <v>-</v>
      </c>
      <c r="H130" s="515" t="e">
        <f>'Interpolasi dB'!H99</f>
        <v>#DIV/0!</v>
      </c>
      <c r="I130" s="1051"/>
      <c r="J130" s="572" t="str">
        <f>IFERROR('Interpolasi dB'!F99,"-")</f>
        <v>-</v>
      </c>
      <c r="K130" s="516">
        <f t="shared" si="7"/>
        <v>9.0909090909090899</v>
      </c>
      <c r="L130" s="1109"/>
      <c r="M130" s="1100"/>
      <c r="N130" s="423">
        <v>9.0909090909090899</v>
      </c>
      <c r="O130" s="507">
        <f>D130+180</f>
        <v>6180</v>
      </c>
      <c r="P130" s="515">
        <f>D130-180</f>
        <v>5820</v>
      </c>
      <c r="S130" s="423" t="s">
        <v>301</v>
      </c>
      <c r="T130" s="510">
        <f>SUM(K106:K116)</f>
        <v>100.00000000000001</v>
      </c>
    </row>
    <row r="131" spans="1:20" hidden="1">
      <c r="A131" s="360"/>
      <c r="B131" s="552"/>
      <c r="C131" s="943"/>
      <c r="D131" s="464">
        <f>ID!C126</f>
        <v>8000</v>
      </c>
      <c r="E131" s="464">
        <f>ID!D126</f>
        <v>110</v>
      </c>
      <c r="F131" s="451" t="str">
        <f>IFERROR('Interpolasi dB'!E100,"-")</f>
        <v>-</v>
      </c>
      <c r="G131" s="451" t="str">
        <f>IFERROR('Interpolasi dB'!G100,"-")</f>
        <v>-</v>
      </c>
      <c r="H131" s="515" t="e">
        <f>'Interpolasi dB'!H100</f>
        <v>#DIV/0!</v>
      </c>
      <c r="I131" s="1052"/>
      <c r="J131" s="572" t="str">
        <f>IFERROR('Interpolasi dB'!F100,"-")</f>
        <v>-</v>
      </c>
      <c r="K131" s="516">
        <f t="shared" si="7"/>
        <v>9.0909090909090899</v>
      </c>
      <c r="L131" s="1110"/>
      <c r="M131" s="1100"/>
      <c r="N131" s="423">
        <v>9.0909090909090899</v>
      </c>
      <c r="O131" s="507">
        <f>D131+240</f>
        <v>8240</v>
      </c>
      <c r="P131" s="515">
        <f>D131-240</f>
        <v>7760</v>
      </c>
      <c r="S131" s="423" t="s">
        <v>302</v>
      </c>
      <c r="T131" s="423">
        <v>100</v>
      </c>
    </row>
    <row r="132" spans="1:20" hidden="1">
      <c r="A132" s="360"/>
      <c r="B132" s="320"/>
      <c r="C132" s="484"/>
      <c r="D132" s="547"/>
      <c r="E132" s="547"/>
      <c r="F132" s="548"/>
      <c r="G132" s="548"/>
      <c r="H132" s="549"/>
      <c r="I132" s="545"/>
      <c r="J132" s="550"/>
      <c r="K132" s="551"/>
      <c r="L132" s="554"/>
      <c r="M132" s="546"/>
      <c r="O132" s="520"/>
      <c r="P132" s="540"/>
    </row>
    <row r="133" spans="1:20" hidden="1">
      <c r="A133" s="360"/>
      <c r="B133" s="320"/>
      <c r="C133" s="351"/>
      <c r="D133" s="426"/>
      <c r="E133" s="426"/>
      <c r="F133" s="454"/>
      <c r="G133" s="454"/>
      <c r="H133" s="540"/>
      <c r="I133" s="544"/>
      <c r="J133" s="541"/>
      <c r="K133" s="542"/>
      <c r="M133" s="520"/>
      <c r="O133" s="520"/>
      <c r="P133" s="540"/>
    </row>
    <row r="134" spans="1:20" hidden="1">
      <c r="A134" s="360"/>
      <c r="B134" s="320"/>
      <c r="C134" s="351"/>
      <c r="D134" s="426"/>
      <c r="E134" s="426"/>
      <c r="F134" s="454"/>
      <c r="G134" s="454"/>
      <c r="H134" s="540"/>
      <c r="I134" s="544"/>
      <c r="J134" s="541"/>
      <c r="K134" s="542"/>
      <c r="M134" s="520"/>
      <c r="O134" s="520"/>
      <c r="P134" s="540"/>
    </row>
    <row r="135" spans="1:20" hidden="1">
      <c r="A135" s="360"/>
      <c r="B135" s="320"/>
      <c r="C135" s="351"/>
      <c r="D135" s="426"/>
      <c r="E135" s="426"/>
      <c r="F135" s="454"/>
      <c r="G135" s="454"/>
      <c r="H135" s="540"/>
      <c r="I135" s="544"/>
      <c r="J135" s="541"/>
      <c r="K135" s="542"/>
      <c r="M135" s="520"/>
      <c r="O135" s="520"/>
      <c r="P135" s="540"/>
    </row>
    <row r="136" spans="1:20" hidden="1">
      <c r="A136" s="360"/>
      <c r="B136" s="320"/>
      <c r="C136" s="351"/>
      <c r="D136" s="426"/>
      <c r="E136" s="426"/>
      <c r="F136" s="454"/>
      <c r="G136" s="454"/>
      <c r="H136" s="540"/>
      <c r="I136" s="544"/>
      <c r="J136" s="541"/>
      <c r="K136" s="542"/>
      <c r="M136" s="520"/>
      <c r="O136" s="520"/>
      <c r="P136" s="540"/>
    </row>
    <row r="137" spans="1:20" hidden="1">
      <c r="A137" s="360"/>
      <c r="B137" s="320"/>
      <c r="C137" s="351"/>
      <c r="D137" s="426"/>
      <c r="E137" s="426"/>
      <c r="F137" s="454"/>
      <c r="G137" s="454"/>
      <c r="H137" s="540"/>
      <c r="I137" s="544"/>
      <c r="J137" s="541"/>
      <c r="K137" s="542"/>
      <c r="M137" s="520"/>
      <c r="O137" s="520"/>
      <c r="P137" s="540"/>
    </row>
    <row r="138" spans="1:20" hidden="1">
      <c r="A138" s="360"/>
      <c r="B138" s="320"/>
      <c r="C138" s="351"/>
      <c r="D138" s="426"/>
      <c r="E138" s="426"/>
      <c r="F138" s="454"/>
      <c r="G138" s="454"/>
      <c r="H138" s="540"/>
      <c r="I138" s="544"/>
      <c r="J138" s="541"/>
      <c r="K138" s="542"/>
      <c r="M138" s="520"/>
      <c r="O138" s="520"/>
      <c r="P138" s="540"/>
    </row>
    <row r="139" spans="1:20" hidden="1">
      <c r="A139" s="360"/>
      <c r="B139" s="320"/>
      <c r="C139" s="351"/>
      <c r="D139" s="426"/>
      <c r="E139" s="426"/>
      <c r="F139" s="454"/>
      <c r="G139" s="454"/>
      <c r="H139" s="540"/>
      <c r="I139" s="544"/>
      <c r="J139" s="541"/>
      <c r="K139" s="542"/>
      <c r="M139" s="520"/>
      <c r="O139" s="520"/>
      <c r="P139" s="540"/>
    </row>
    <row r="140" spans="1:20" hidden="1">
      <c r="A140" s="360"/>
      <c r="B140" s="320"/>
      <c r="C140" s="351"/>
      <c r="D140" s="426"/>
      <c r="E140" s="426"/>
      <c r="F140" s="454"/>
      <c r="G140" s="454"/>
      <c r="H140" s="540"/>
      <c r="I140" s="544"/>
      <c r="J140" s="541"/>
      <c r="K140" s="542"/>
      <c r="M140" s="520"/>
      <c r="O140" s="520"/>
      <c r="P140" s="540"/>
    </row>
    <row r="141" spans="1:20" hidden="1">
      <c r="A141" s="360"/>
      <c r="B141" s="320"/>
      <c r="C141" s="351"/>
      <c r="D141" s="426"/>
      <c r="E141" s="426"/>
      <c r="F141" s="454"/>
      <c r="G141" s="454"/>
      <c r="H141" s="540"/>
      <c r="I141" s="544"/>
      <c r="J141" s="541"/>
      <c r="K141" s="542"/>
      <c r="M141" s="520"/>
      <c r="O141" s="520"/>
      <c r="P141" s="540"/>
    </row>
    <row r="142" spans="1:20" hidden="1">
      <c r="A142" s="360"/>
      <c r="B142" s="335" t="str">
        <f>ID!A128</f>
        <v xml:space="preserve">      C. Bone Conduction</v>
      </c>
      <c r="C142" s="351"/>
      <c r="D142" s="426"/>
      <c r="E142" s="426"/>
      <c r="F142" s="454"/>
      <c r="G142" s="454"/>
      <c r="H142" s="540"/>
      <c r="I142" s="544"/>
      <c r="J142" s="541"/>
      <c r="K142" s="542"/>
      <c r="M142" s="520"/>
      <c r="O142" s="520"/>
      <c r="P142" s="540"/>
    </row>
    <row r="143" spans="1:20" hidden="1">
      <c r="A143" s="360"/>
      <c r="B143" s="320"/>
      <c r="C143" s="941" t="s">
        <v>42</v>
      </c>
      <c r="D143" s="941" t="s">
        <v>43</v>
      </c>
      <c r="E143" s="941"/>
      <c r="F143" s="1022" t="s">
        <v>44</v>
      </c>
      <c r="G143" s="1023" t="s">
        <v>293</v>
      </c>
      <c r="H143" s="1022" t="s">
        <v>297</v>
      </c>
      <c r="I143" s="1023" t="s">
        <v>45</v>
      </c>
      <c r="J143" s="1022" t="s">
        <v>294</v>
      </c>
      <c r="K143" s="1124" t="s">
        <v>20</v>
      </c>
      <c r="M143" s="520"/>
      <c r="O143" s="520"/>
      <c r="P143" s="540"/>
    </row>
    <row r="144" spans="1:20" ht="31" hidden="1">
      <c r="A144" s="360"/>
      <c r="B144" s="320"/>
      <c r="C144" s="939"/>
      <c r="D144" s="349" t="s">
        <v>47</v>
      </c>
      <c r="E144" s="349" t="s">
        <v>48</v>
      </c>
      <c r="F144" s="1022"/>
      <c r="G144" s="1023"/>
      <c r="H144" s="1022"/>
      <c r="I144" s="1023"/>
      <c r="J144" s="1022"/>
      <c r="K144" s="1124"/>
      <c r="M144" s="520"/>
      <c r="O144" s="520"/>
      <c r="P144" s="540"/>
    </row>
    <row r="145" spans="1:23" hidden="1">
      <c r="A145" s="360"/>
      <c r="B145" s="552"/>
      <c r="C145" s="943" t="s">
        <v>160</v>
      </c>
      <c r="D145" s="464">
        <f>ID!C131</f>
        <v>250</v>
      </c>
      <c r="E145" s="464">
        <f>ID!D131</f>
        <v>20</v>
      </c>
      <c r="F145" s="451" t="str">
        <f>IFERROR('Interpolasi dB'!E112,"-")</f>
        <v>-</v>
      </c>
      <c r="G145" s="451" t="str">
        <f>IFERROR('Interpolasi dB'!G112,"-")</f>
        <v>-</v>
      </c>
      <c r="H145" s="515" t="str">
        <f>IFERROR('Interpolasi dB'!H112,"-")</f>
        <v>-</v>
      </c>
      <c r="I145" s="1050">
        <f>'Lembar Kerja'!H125</f>
        <v>6</v>
      </c>
      <c r="J145" s="465" t="str">
        <f>IFERROR('Interpolasi dB'!F112,"-")</f>
        <v>-</v>
      </c>
      <c r="K145" s="564">
        <f>IF(F145="-",N145,IF(F145&gt;O145,0,IF(F145&lt;P145,0,IF(F145&gt;=P145,N145,IF(F145&lt;=O145,N145)))))</f>
        <v>12.5</v>
      </c>
      <c r="L145" s="553"/>
      <c r="M145" s="1100">
        <f>IF(R145&lt;70,0,IF(R145&gt;=70,15))</f>
        <v>15</v>
      </c>
      <c r="N145" s="423">
        <v>12.5</v>
      </c>
      <c r="O145" s="507">
        <f>D145+15</f>
        <v>265</v>
      </c>
      <c r="P145" s="515">
        <f>D145-15</f>
        <v>235</v>
      </c>
      <c r="R145" s="510">
        <f>SUM(K145:K152)</f>
        <v>100</v>
      </c>
    </row>
    <row r="146" spans="1:23" hidden="1">
      <c r="A146" s="360"/>
      <c r="B146" s="552"/>
      <c r="C146" s="1049"/>
      <c r="D146" s="464">
        <f>ID!C132</f>
        <v>500</v>
      </c>
      <c r="E146" s="464">
        <f>ID!D132</f>
        <v>50</v>
      </c>
      <c r="F146" s="451" t="str">
        <f>IFERROR('Interpolasi dB'!E113,"-")</f>
        <v>-</v>
      </c>
      <c r="G146" s="451" t="str">
        <f>IFERROR('Interpolasi dB'!G113,"-")</f>
        <v>-</v>
      </c>
      <c r="H146" s="515" t="str">
        <f>IFERROR('Interpolasi dB'!H113,"-")</f>
        <v>-</v>
      </c>
      <c r="I146" s="1051"/>
      <c r="J146" s="465" t="str">
        <f>IFERROR('Interpolasi dB'!F113,"-")</f>
        <v>-</v>
      </c>
      <c r="K146" s="564">
        <f t="shared" ref="K146:K152" si="8">IF(F146="-",N146,IF(F146&gt;O146,0,IF(F146&lt;P146,0,IF(F146&gt;=P146,N146,IF(F146&lt;=O146,N146)))))</f>
        <v>12.5</v>
      </c>
      <c r="L146" s="553"/>
      <c r="M146" s="1100"/>
      <c r="N146" s="423">
        <v>12.5</v>
      </c>
      <c r="O146" s="507">
        <f>D146+30</f>
        <v>530</v>
      </c>
      <c r="P146" s="515">
        <f>D146-30</f>
        <v>470</v>
      </c>
      <c r="R146" s="423">
        <v>10</v>
      </c>
    </row>
    <row r="147" spans="1:23" hidden="1">
      <c r="A147" s="360"/>
      <c r="B147" s="552"/>
      <c r="C147" s="1049"/>
      <c r="D147" s="464">
        <f>ID!C133</f>
        <v>750</v>
      </c>
      <c r="E147" s="464">
        <f>ID!D133</f>
        <v>50</v>
      </c>
      <c r="F147" s="451" t="str">
        <f>IFERROR('Interpolasi dB'!E114,"-")</f>
        <v>-</v>
      </c>
      <c r="G147" s="451" t="str">
        <f>IFERROR('Interpolasi dB'!G114,"-")</f>
        <v>-</v>
      </c>
      <c r="H147" s="515" t="str">
        <f>IFERROR('Interpolasi dB'!H114,"-")</f>
        <v>-</v>
      </c>
      <c r="I147" s="1051"/>
      <c r="J147" s="465" t="str">
        <f>IFERROR('Interpolasi dB'!F114,"-")</f>
        <v>-</v>
      </c>
      <c r="K147" s="564">
        <f t="shared" si="8"/>
        <v>12.5</v>
      </c>
      <c r="L147" s="553"/>
      <c r="M147" s="1100"/>
      <c r="N147" s="423">
        <v>12.5</v>
      </c>
      <c r="O147" s="507">
        <f>D147+45</f>
        <v>795</v>
      </c>
      <c r="P147" s="515">
        <f>D147-45</f>
        <v>705</v>
      </c>
    </row>
    <row r="148" spans="1:23" hidden="1">
      <c r="A148" s="360"/>
      <c r="B148" s="552"/>
      <c r="C148" s="1049"/>
      <c r="D148" s="464">
        <f>ID!C134</f>
        <v>1000</v>
      </c>
      <c r="E148" s="464">
        <f>ID!D134</f>
        <v>60</v>
      </c>
      <c r="F148" s="451" t="str">
        <f>IFERROR('Interpolasi dB'!E115,"-")</f>
        <v>-</v>
      </c>
      <c r="G148" s="451" t="str">
        <f>IFERROR('Interpolasi dB'!G115,"-")</f>
        <v>-</v>
      </c>
      <c r="H148" s="515" t="str">
        <f>IFERROR('Interpolasi dB'!H115,"-")</f>
        <v>-</v>
      </c>
      <c r="I148" s="1051"/>
      <c r="J148" s="465" t="str">
        <f>IFERROR('Interpolasi dB'!F115,"-")</f>
        <v>-</v>
      </c>
      <c r="K148" s="564">
        <f t="shared" si="8"/>
        <v>12.5</v>
      </c>
      <c r="L148" s="553"/>
      <c r="M148" s="1100"/>
      <c r="N148" s="423">
        <v>12.5</v>
      </c>
      <c r="O148" s="507">
        <f>D148+60</f>
        <v>1060</v>
      </c>
      <c r="P148" s="515">
        <f>D148-60</f>
        <v>940</v>
      </c>
    </row>
    <row r="149" spans="1:23" hidden="1">
      <c r="A149" s="360"/>
      <c r="B149" s="552"/>
      <c r="C149" s="1049" t="s">
        <v>69</v>
      </c>
      <c r="D149" s="464">
        <f>ID!C135</f>
        <v>1500</v>
      </c>
      <c r="E149" s="464">
        <f>ID!D135</f>
        <v>60</v>
      </c>
      <c r="F149" s="451" t="str">
        <f>IFERROR('Interpolasi dB'!E116,"-")</f>
        <v>-</v>
      </c>
      <c r="G149" s="451" t="str">
        <f>IFERROR('Interpolasi dB'!G116,"-")</f>
        <v>-</v>
      </c>
      <c r="H149" s="515" t="str">
        <f>IFERROR('Interpolasi dB'!H116,"-")</f>
        <v>-</v>
      </c>
      <c r="I149" s="1051"/>
      <c r="J149" s="465" t="str">
        <f>IFERROR('Interpolasi dB'!F116,"-")</f>
        <v>-</v>
      </c>
      <c r="K149" s="564">
        <f t="shared" si="8"/>
        <v>12.5</v>
      </c>
      <c r="L149" s="553"/>
      <c r="M149" s="1100"/>
      <c r="N149" s="423">
        <v>12.5</v>
      </c>
      <c r="O149" s="507">
        <f>D149+90</f>
        <v>1590</v>
      </c>
      <c r="P149" s="515">
        <f>D149-90</f>
        <v>1410</v>
      </c>
      <c r="R149" s="423"/>
      <c r="S149" s="423"/>
      <c r="T149" s="423" t="s">
        <v>307</v>
      </c>
    </row>
    <row r="150" spans="1:23" hidden="1">
      <c r="A150" s="360"/>
      <c r="B150" s="552"/>
      <c r="C150" s="1049"/>
      <c r="D150" s="464">
        <f>ID!C136</f>
        <v>2000</v>
      </c>
      <c r="E150" s="464">
        <f>ID!D136</f>
        <v>60</v>
      </c>
      <c r="F150" s="451" t="str">
        <f>IFERROR('Interpolasi dB'!E117,"-")</f>
        <v>-</v>
      </c>
      <c r="G150" s="451" t="str">
        <f>IFERROR('Interpolasi dB'!G117,"-")</f>
        <v>-</v>
      </c>
      <c r="H150" s="515" t="str">
        <f>IFERROR('Interpolasi dB'!H117,"-")</f>
        <v>-</v>
      </c>
      <c r="I150" s="1051"/>
      <c r="J150" s="465" t="str">
        <f>IFERROR('Interpolasi dB'!F117,"-")</f>
        <v>-</v>
      </c>
      <c r="K150" s="564">
        <f t="shared" si="8"/>
        <v>12.5</v>
      </c>
      <c r="L150" s="553"/>
      <c r="M150" s="1100"/>
      <c r="N150" s="423">
        <v>12.5</v>
      </c>
      <c r="O150" s="507">
        <f>D150+120</f>
        <v>2120</v>
      </c>
      <c r="P150" s="515">
        <f>D150-120</f>
        <v>1880</v>
      </c>
      <c r="R150" s="423" t="s">
        <v>308</v>
      </c>
      <c r="S150" s="555">
        <f>L31</f>
        <v>17.5</v>
      </c>
      <c r="T150" s="555">
        <f>IF(S151=0,0,IF(S151&gt;0,S150))</f>
        <v>17.5</v>
      </c>
    </row>
    <row r="151" spans="1:23" hidden="1">
      <c r="A151" s="360"/>
      <c r="B151" s="552"/>
      <c r="C151" s="1049"/>
      <c r="D151" s="464">
        <f>ID!C137</f>
        <v>3000</v>
      </c>
      <c r="E151" s="464">
        <f>ID!D137</f>
        <v>60</v>
      </c>
      <c r="F151" s="451" t="str">
        <f>IFERROR('Interpolasi dB'!E118,"-")</f>
        <v>-</v>
      </c>
      <c r="G151" s="451" t="str">
        <f>IFERROR('Interpolasi dB'!G118,"-")</f>
        <v>-</v>
      </c>
      <c r="H151" s="515" t="str">
        <f>IFERROR('Interpolasi dB'!H118,"-")</f>
        <v>-</v>
      </c>
      <c r="I151" s="1051"/>
      <c r="J151" s="465" t="str">
        <f>IFERROR('Interpolasi dB'!F118,"-")</f>
        <v>-</v>
      </c>
      <c r="K151" s="564">
        <f t="shared" si="8"/>
        <v>12.5</v>
      </c>
      <c r="L151" s="553"/>
      <c r="M151" s="1100"/>
      <c r="N151" s="423">
        <v>12.5</v>
      </c>
      <c r="O151" s="507">
        <f>D151+180</f>
        <v>3180</v>
      </c>
      <c r="P151" s="515">
        <f>D151-180</f>
        <v>2820</v>
      </c>
      <c r="R151" s="423" t="s">
        <v>309</v>
      </c>
      <c r="S151" s="555">
        <f>L89</f>
        <v>17.5</v>
      </c>
      <c r="T151" s="555">
        <f>IF(S150=0,0,IF(S150&gt;0,S151))</f>
        <v>17.5</v>
      </c>
    </row>
    <row r="152" spans="1:23" hidden="1">
      <c r="A152" s="360"/>
      <c r="B152" s="552"/>
      <c r="C152" s="944"/>
      <c r="D152" s="464">
        <f>ID!C138</f>
        <v>4000</v>
      </c>
      <c r="E152" s="464">
        <f>ID!D138</f>
        <v>60</v>
      </c>
      <c r="F152" s="451" t="str">
        <f>IFERROR('Interpolasi dB'!E119,"-")</f>
        <v>-</v>
      </c>
      <c r="G152" s="451" t="str">
        <f>IFERROR('Interpolasi dB'!G119,"-")</f>
        <v>-</v>
      </c>
      <c r="H152" s="515" t="str">
        <f>IFERROR('Interpolasi dB'!H119,"-")</f>
        <v>-</v>
      </c>
      <c r="I152" s="1052"/>
      <c r="J152" s="465" t="str">
        <f>IFERROR('Interpolasi dB'!F119,"-")</f>
        <v>-</v>
      </c>
      <c r="K152" s="564">
        <f t="shared" si="8"/>
        <v>12.5</v>
      </c>
      <c r="L152" s="553"/>
      <c r="M152" s="1100"/>
      <c r="N152" s="423">
        <v>12.5</v>
      </c>
      <c r="O152" s="507">
        <f>D152+240</f>
        <v>4240</v>
      </c>
      <c r="P152" s="515">
        <f>D152-240</f>
        <v>3760</v>
      </c>
    </row>
    <row r="153" spans="1:23" hidden="1">
      <c r="A153" s="360"/>
      <c r="B153" s="426"/>
      <c r="C153" s="452"/>
      <c r="D153" s="426"/>
      <c r="E153" s="426"/>
      <c r="F153" s="454"/>
      <c r="G153" s="454"/>
      <c r="H153" s="471"/>
      <c r="I153" s="455"/>
      <c r="J153" s="455"/>
      <c r="K153" s="425"/>
      <c r="M153" s="511"/>
      <c r="N153" s="511"/>
      <c r="O153" s="511"/>
      <c r="P153" s="511"/>
      <c r="R153" s="1123" t="s">
        <v>310</v>
      </c>
      <c r="S153" s="1123"/>
      <c r="T153" s="1123"/>
      <c r="U153" s="1123"/>
      <c r="V153" s="1123"/>
      <c r="W153" s="507" t="s">
        <v>311</v>
      </c>
    </row>
    <row r="154" spans="1:23">
      <c r="A154" s="360"/>
      <c r="B154" s="426"/>
      <c r="C154" s="452"/>
      <c r="D154" s="426"/>
      <c r="E154" s="426"/>
      <c r="F154" s="454"/>
      <c r="G154" s="454"/>
      <c r="H154" s="471"/>
      <c r="I154" s="455"/>
      <c r="J154" s="455"/>
      <c r="K154" s="425"/>
      <c r="M154" s="511"/>
      <c r="N154" s="511"/>
      <c r="O154" s="511"/>
      <c r="P154" s="511"/>
      <c r="R154" s="513" t="s">
        <v>312</v>
      </c>
      <c r="S154" s="517" t="s">
        <v>313</v>
      </c>
      <c r="T154" s="518"/>
      <c r="U154" s="518"/>
      <c r="V154" s="519"/>
      <c r="W154" s="512">
        <f>SUM(K19:K20)</f>
        <v>10</v>
      </c>
    </row>
    <row r="155" spans="1:23">
      <c r="A155" s="499" t="s">
        <v>314</v>
      </c>
      <c r="B155" s="410" t="s">
        <v>315</v>
      </c>
      <c r="C155" s="365"/>
      <c r="D155" s="374"/>
      <c r="E155" s="379"/>
      <c r="F155" s="360"/>
      <c r="G155" s="360"/>
      <c r="H155" s="360"/>
      <c r="I155" s="360"/>
      <c r="J155" s="360"/>
      <c r="K155" s="360"/>
      <c r="R155" s="513" t="s">
        <v>316</v>
      </c>
      <c r="S155" s="517" t="s">
        <v>290</v>
      </c>
      <c r="T155" s="518"/>
      <c r="U155" s="518"/>
      <c r="V155" s="519"/>
      <c r="W155" s="512">
        <f>ID!N147</f>
        <v>15</v>
      </c>
    </row>
    <row r="156" spans="1:23">
      <c r="A156" s="360"/>
      <c r="B156" s="369" t="str">
        <f>ID!A141</f>
        <v>Ketidakpastian pengukuran dilaporkan pada tingkat kepercayaan 95% dengan faktor cakupan k=2</v>
      </c>
      <c r="C156" s="360"/>
      <c r="D156" s="365"/>
      <c r="E156" s="379"/>
      <c r="F156" s="360"/>
      <c r="G156" s="360"/>
      <c r="H156" s="360"/>
      <c r="I156" s="360"/>
      <c r="J156" s="360"/>
      <c r="K156" s="360"/>
      <c r="M156" s="512">
        <f>L24</f>
        <v>15</v>
      </c>
      <c r="R156" s="513" t="s">
        <v>317</v>
      </c>
      <c r="S156" s="517" t="s">
        <v>318</v>
      </c>
      <c r="T156" s="518"/>
      <c r="U156" s="518"/>
      <c r="V156" s="519"/>
      <c r="W156" s="512">
        <f>T150</f>
        <v>17.5</v>
      </c>
    </row>
    <row r="157" spans="1:23">
      <c r="A157" s="360"/>
      <c r="B157" s="369" t="str">
        <f>ID!A142</f>
        <v>Hasil pengujian Keselamatan Listrik tertelusur ke Satuan Internasional ( SI ) melalui PT. Kaliman (LK-032-IDN)</v>
      </c>
      <c r="C157" s="360"/>
      <c r="D157" s="365"/>
      <c r="E157" s="379"/>
      <c r="F157" s="360"/>
      <c r="G157" s="360"/>
      <c r="H157" s="360"/>
      <c r="I157" s="360"/>
      <c r="J157" s="360"/>
      <c r="K157" s="360"/>
      <c r="L157" s="1121"/>
      <c r="M157" s="1122"/>
      <c r="R157" s="513" t="s">
        <v>319</v>
      </c>
      <c r="S157" s="1112" t="s">
        <v>320</v>
      </c>
      <c r="T157" s="1113"/>
      <c r="U157" s="1113"/>
      <c r="V157" s="1114"/>
      <c r="W157" s="512">
        <f>T151</f>
        <v>17.5</v>
      </c>
    </row>
    <row r="158" spans="1:23">
      <c r="A158" s="360"/>
      <c r="B158" s="369" t="str">
        <f>ID!A143</f>
        <v>Hasil Kalibrasi Hearing tertelusur ke Satuan Internasional ( SI ) melalui Puslit Metrologi - LIPI</v>
      </c>
      <c r="C158" s="360"/>
      <c r="D158" s="365"/>
      <c r="E158" s="379"/>
      <c r="F158" s="360"/>
      <c r="G158" s="360"/>
      <c r="H158" s="360"/>
      <c r="I158" s="360"/>
      <c r="J158" s="360"/>
      <c r="K158" s="360"/>
      <c r="L158" s="1121"/>
      <c r="M158" s="1122"/>
      <c r="R158" s="513" t="s">
        <v>321</v>
      </c>
      <c r="S158" s="1112" t="s">
        <v>322</v>
      </c>
      <c r="T158" s="1113"/>
      <c r="U158" s="1113"/>
      <c r="V158" s="1114"/>
      <c r="W158" s="512">
        <f>M145</f>
        <v>15</v>
      </c>
    </row>
    <row r="159" spans="1:23">
      <c r="A159" s="360"/>
      <c r="B159" s="369" t="str">
        <f>ID!A144</f>
        <v>Hasil Kalibrasi Frekuensi tertelusur ke Satuan Internasional ( SI ) melalui Puslit Metrologi - LIPI</v>
      </c>
      <c r="C159" s="360"/>
      <c r="D159" s="365"/>
      <c r="E159" s="379"/>
      <c r="F159" s="360"/>
      <c r="G159" s="360"/>
      <c r="H159" s="360"/>
      <c r="I159" s="360"/>
      <c r="J159" s="360"/>
      <c r="K159" s="360"/>
      <c r="L159" s="1121"/>
      <c r="M159" s="1122"/>
    </row>
    <row r="160" spans="1:23">
      <c r="A160" s="360"/>
      <c r="B160" s="369" t="str">
        <f>ID!A145</f>
        <v>Hasil Kalibrasi Total Harmonic Distortion tertelusur ke Satuan Internasional ( SI ) melalui Puslit Metrologi - LIPI</v>
      </c>
      <c r="C160" s="360"/>
      <c r="D160" s="365"/>
      <c r="E160" s="379"/>
      <c r="F160" s="360"/>
      <c r="G160" s="360"/>
      <c r="H160" s="360"/>
      <c r="I160" s="360"/>
      <c r="J160" s="360"/>
      <c r="K160" s="360"/>
    </row>
    <row r="161" spans="1:11">
      <c r="A161" s="360"/>
      <c r="B161" s="369" t="str">
        <f>ID!A146</f>
        <v>Type earphone : DD 45</v>
      </c>
      <c r="C161" s="360"/>
      <c r="D161" s="365"/>
      <c r="E161" s="379"/>
      <c r="F161" s="360"/>
      <c r="G161" s="360"/>
      <c r="H161" s="360"/>
      <c r="I161" s="360"/>
      <c r="J161" s="360"/>
      <c r="K161" s="360"/>
    </row>
    <row r="162" spans="1:11">
      <c r="A162" s="360"/>
      <c r="B162" s="369" t="str">
        <f>ID!A147</f>
        <v>-</v>
      </c>
      <c r="C162" s="360"/>
      <c r="D162" s="365"/>
      <c r="E162" s="379"/>
      <c r="F162" s="360"/>
      <c r="G162" s="360"/>
      <c r="H162" s="360"/>
      <c r="I162" s="360"/>
      <c r="J162" s="360"/>
      <c r="K162" s="360"/>
    </row>
    <row r="163" spans="1:11">
      <c r="A163" s="360"/>
      <c r="B163" s="369" t="str">
        <f>ID!A148</f>
        <v>Tidak terdapat grounding di ruangan</v>
      </c>
      <c r="C163" s="360"/>
      <c r="D163" s="365"/>
      <c r="E163" s="379"/>
      <c r="F163" s="360"/>
      <c r="G163" s="360"/>
      <c r="H163" s="360"/>
      <c r="I163" s="360"/>
      <c r="J163" s="360"/>
      <c r="K163" s="360"/>
    </row>
    <row r="164" spans="1:11">
      <c r="A164" s="360"/>
      <c r="B164" s="369"/>
      <c r="C164" s="360"/>
      <c r="D164" s="365"/>
      <c r="E164" s="379"/>
      <c r="F164" s="360"/>
      <c r="G164" s="360"/>
      <c r="H164" s="360"/>
      <c r="I164" s="360"/>
      <c r="J164" s="360"/>
      <c r="K164" s="360"/>
    </row>
    <row r="165" spans="1:11">
      <c r="A165" s="499" t="s">
        <v>323</v>
      </c>
      <c r="B165" s="361" t="s">
        <v>324</v>
      </c>
      <c r="C165" s="360"/>
      <c r="D165" s="363"/>
      <c r="E165" s="360"/>
      <c r="F165" s="360"/>
      <c r="G165" s="360"/>
      <c r="H165" s="360"/>
      <c r="I165" s="360"/>
      <c r="J165" s="360"/>
      <c r="K165" s="360"/>
    </row>
    <row r="166" spans="1:11">
      <c r="A166" s="360"/>
      <c r="B166" s="371" t="str">
        <f>ID!A151</f>
        <v>Audiometer Analyzer, Merek : Larson Davis, Model : 831C, SN : 11418</v>
      </c>
      <c r="C166" s="365"/>
      <c r="D166" s="379"/>
      <c r="E166" s="360"/>
      <c r="F166" s="360"/>
      <c r="G166" s="360"/>
      <c r="H166" s="360"/>
      <c r="I166" s="360"/>
      <c r="J166" s="360"/>
      <c r="K166" s="419"/>
    </row>
    <row r="167" spans="1:11">
      <c r="A167" s="360"/>
      <c r="B167" s="371" t="str">
        <f>ID!A152</f>
        <v>Electrical Safety Analyzer, Merek : Fluke, Model : ESA 615, SN : 3699030</v>
      </c>
      <c r="C167" s="365"/>
      <c r="D167" s="379"/>
      <c r="E167" s="360"/>
      <c r="F167" s="360"/>
      <c r="G167" s="360"/>
      <c r="H167" s="360"/>
      <c r="I167" s="360"/>
      <c r="J167" s="360"/>
      <c r="K167" s="419"/>
    </row>
    <row r="168" spans="1:11">
      <c r="A168" s="360"/>
      <c r="B168" s="371" t="str">
        <f>ID!A153</f>
        <v>Thermohygrolight, Merek : Sekonic, Model : ST-50A, SN : HE-21.000669</v>
      </c>
      <c r="C168" s="365"/>
      <c r="D168" s="379"/>
      <c r="E168" s="360"/>
      <c r="F168" s="360"/>
      <c r="G168" s="360"/>
      <c r="H168" s="360"/>
      <c r="I168" s="360"/>
      <c r="J168" s="360"/>
      <c r="K168" s="419"/>
    </row>
    <row r="169" spans="1:11">
      <c r="A169" s="360"/>
      <c r="B169" s="371"/>
      <c r="C169" s="365"/>
      <c r="D169" s="379"/>
      <c r="E169" s="360"/>
      <c r="F169" s="360"/>
      <c r="G169" s="360"/>
      <c r="H169" s="360"/>
      <c r="I169" s="360"/>
      <c r="J169" s="360"/>
      <c r="K169" s="419"/>
    </row>
    <row r="170" spans="1:11">
      <c r="A170" s="499" t="s">
        <v>325</v>
      </c>
      <c r="B170" s="411" t="s">
        <v>326</v>
      </c>
      <c r="C170" s="365"/>
      <c r="D170" s="379"/>
      <c r="E170" s="360"/>
      <c r="F170" s="360"/>
      <c r="G170" s="360"/>
      <c r="H170" s="360"/>
      <c r="I170" s="360"/>
      <c r="J170" s="360"/>
      <c r="K170" s="419"/>
    </row>
    <row r="171" spans="1:11" ht="15.75" customHeight="1">
      <c r="A171" s="360"/>
      <c r="B171" s="1066" t="str">
        <f>ID!A156</f>
        <v>Alat yang dikalibrasi dalam batas toleransi dan dinyatakan LAIK PAKAI, dimana hasil atau skor akhir sama dengan atau melampaui 70 % berdasarkan Keputusan Direktur Jenderal Pelayanan Kesehatan No : HK.02.02/V/0412/2020</v>
      </c>
      <c r="C171" s="1066"/>
      <c r="D171" s="1066"/>
      <c r="E171" s="1066"/>
      <c r="F171" s="1066"/>
      <c r="G171" s="1066"/>
      <c r="H171" s="1066"/>
      <c r="I171" s="1066"/>
      <c r="J171" s="1066"/>
      <c r="K171" s="1066"/>
    </row>
    <row r="172" spans="1:11">
      <c r="A172" s="360"/>
      <c r="B172" s="1066"/>
      <c r="C172" s="1066"/>
      <c r="D172" s="1066"/>
      <c r="E172" s="1066"/>
      <c r="F172" s="1066"/>
      <c r="G172" s="1066"/>
      <c r="H172" s="1066"/>
      <c r="I172" s="1066"/>
      <c r="J172" s="1066"/>
      <c r="K172" s="1066"/>
    </row>
    <row r="173" spans="1:11">
      <c r="A173" s="360"/>
      <c r="B173" s="411"/>
      <c r="C173" s="365"/>
      <c r="D173" s="379"/>
      <c r="E173" s="360"/>
      <c r="F173" s="360"/>
      <c r="G173" s="360"/>
      <c r="H173" s="360"/>
      <c r="I173" s="360"/>
      <c r="J173" s="360"/>
      <c r="K173" s="419"/>
    </row>
    <row r="174" spans="1:11">
      <c r="A174" s="499" t="s">
        <v>327</v>
      </c>
      <c r="B174" s="412" t="s">
        <v>328</v>
      </c>
      <c r="C174" s="372"/>
      <c r="D174" s="456"/>
      <c r="E174" s="360"/>
      <c r="F174" s="360"/>
      <c r="G174" s="360"/>
      <c r="H174" s="360"/>
      <c r="I174" s="360"/>
      <c r="J174" s="360"/>
      <c r="K174" s="360"/>
    </row>
    <row r="175" spans="1:11">
      <c r="A175" s="360"/>
      <c r="B175" s="372" t="str">
        <f>ID!A160</f>
        <v>Gusti Arya Dinata</v>
      </c>
      <c r="C175" s="365"/>
      <c r="D175" s="379"/>
      <c r="E175" s="379"/>
      <c r="F175" s="360"/>
      <c r="G175" s="360"/>
      <c r="H175" s="360"/>
      <c r="I175" s="360"/>
      <c r="J175" s="360"/>
      <c r="K175" s="360"/>
    </row>
    <row r="176" spans="1:11">
      <c r="A176" s="360"/>
      <c r="B176" s="360"/>
      <c r="C176" s="360"/>
      <c r="D176" s="360"/>
      <c r="E176" s="360"/>
      <c r="F176" s="360"/>
      <c r="G176" s="360"/>
      <c r="H176" s="360"/>
      <c r="I176" s="360"/>
      <c r="J176" s="360"/>
      <c r="K176" s="360"/>
    </row>
    <row r="177" spans="1:11">
      <c r="A177" s="360"/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</row>
    <row r="178" spans="1:11">
      <c r="A178" s="360"/>
      <c r="B178" s="360"/>
      <c r="C178" s="360"/>
      <c r="D178" s="360"/>
      <c r="E178" s="360"/>
      <c r="F178" s="360"/>
      <c r="G178" s="360"/>
      <c r="H178" s="360"/>
      <c r="I178" s="420"/>
      <c r="J178" s="420"/>
      <c r="K178" s="360"/>
    </row>
    <row r="179" spans="1:11">
      <c r="A179" s="360"/>
      <c r="B179" s="360"/>
      <c r="C179" s="360"/>
      <c r="D179" s="360"/>
      <c r="E179" s="360"/>
      <c r="F179" s="360"/>
      <c r="G179" s="360"/>
      <c r="H179" s="360"/>
      <c r="I179" s="420"/>
      <c r="J179" s="420"/>
      <c r="K179" s="360"/>
    </row>
    <row r="180" spans="1:11">
      <c r="A180" s="360"/>
      <c r="B180" s="360"/>
      <c r="C180" s="360"/>
      <c r="D180" s="360"/>
      <c r="E180" s="360"/>
      <c r="F180" s="360"/>
      <c r="G180" s="360"/>
      <c r="H180" s="360"/>
    </row>
    <row r="181" spans="1:11">
      <c r="A181" s="360"/>
      <c r="B181" s="360"/>
      <c r="C181" s="360"/>
      <c r="D181" s="360"/>
      <c r="E181" s="360"/>
      <c r="F181" s="360"/>
      <c r="G181" s="360"/>
      <c r="H181" s="360"/>
    </row>
    <row r="182" spans="1:11">
      <c r="A182" s="360"/>
      <c r="B182" s="374"/>
      <c r="C182" s="1067"/>
      <c r="D182" s="1067"/>
      <c r="E182" s="1067"/>
      <c r="F182" s="458"/>
      <c r="G182" s="458"/>
      <c r="H182" s="374"/>
    </row>
    <row r="183" spans="1:11" ht="15.75" customHeight="1">
      <c r="A183" s="1096" t="s">
        <v>329</v>
      </c>
      <c r="B183" s="1096"/>
      <c r="C183" s="1096"/>
      <c r="D183" s="1096"/>
      <c r="E183" s="1099" t="s">
        <v>90</v>
      </c>
      <c r="F183" s="1099"/>
      <c r="G183" s="380" t="s">
        <v>330</v>
      </c>
      <c r="H183" s="380" t="s">
        <v>331</v>
      </c>
    </row>
    <row r="184" spans="1:11" ht="15.75" customHeight="1">
      <c r="A184" s="423"/>
      <c r="B184" s="459" t="s">
        <v>332</v>
      </c>
      <c r="C184" s="1099" t="str">
        <f>ID!A160</f>
        <v>Gusti Arya Dinata</v>
      </c>
      <c r="D184" s="1099"/>
      <c r="E184" s="1099" t="str">
        <f>ID!A163</f>
        <v>30 Mei 2022</v>
      </c>
      <c r="F184" s="1099"/>
      <c r="G184" s="460"/>
      <c r="H184" s="905">
        <f>SUM(W154:W158)</f>
        <v>75</v>
      </c>
    </row>
    <row r="185" spans="1:11" ht="15.75" customHeight="1">
      <c r="A185" s="423"/>
      <c r="B185" s="459" t="s">
        <v>333</v>
      </c>
      <c r="C185" s="1100"/>
      <c r="D185" s="1100"/>
      <c r="E185" s="1097"/>
      <c r="F185" s="1098"/>
      <c r="G185" s="460"/>
      <c r="H185" s="906"/>
      <c r="I185" s="360"/>
      <c r="J185" s="360"/>
    </row>
    <row r="186" spans="1:11">
      <c r="A186" s="360"/>
      <c r="B186" s="360"/>
      <c r="C186" s="360"/>
      <c r="D186" s="360"/>
      <c r="E186" s="360"/>
      <c r="F186" s="360"/>
      <c r="G186" s="360"/>
      <c r="H186" s="360"/>
      <c r="I186" s="360"/>
      <c r="J186" s="360"/>
      <c r="K186" s="360"/>
    </row>
    <row r="187" spans="1:11">
      <c r="A187" s="360"/>
      <c r="B187" s="360"/>
      <c r="C187" s="360"/>
      <c r="D187" s="360"/>
      <c r="E187" s="360"/>
      <c r="F187" s="360"/>
      <c r="G187" s="360"/>
      <c r="H187" s="360"/>
      <c r="I187" s="360"/>
      <c r="J187" s="360"/>
      <c r="K187" s="360"/>
    </row>
    <row r="188" spans="1:11">
      <c r="A188" s="360"/>
      <c r="B188" s="360"/>
      <c r="C188" s="360"/>
      <c r="D188" s="360"/>
      <c r="E188" s="360"/>
      <c r="F188" s="360"/>
      <c r="G188" s="360"/>
      <c r="H188" s="360"/>
      <c r="I188" s="360"/>
      <c r="J188" s="360"/>
      <c r="K188" s="360"/>
    </row>
  </sheetData>
  <sheetProtection formatCells="0" formatColumns="0" formatRows="0" insertColumns="0" insertRows="0" deleteColumns="0" deleteRows="0"/>
  <mergeCells count="108">
    <mergeCell ref="K73:K74"/>
    <mergeCell ref="K89:K90"/>
    <mergeCell ref="K104:K105"/>
    <mergeCell ref="I89:I90"/>
    <mergeCell ref="S158:V158"/>
    <mergeCell ref="R80:R82"/>
    <mergeCell ref="R126:R128"/>
    <mergeCell ref="L157:L159"/>
    <mergeCell ref="M157:M159"/>
    <mergeCell ref="S157:V157"/>
    <mergeCell ref="R153:V153"/>
    <mergeCell ref="J119:J120"/>
    <mergeCell ref="K143:K144"/>
    <mergeCell ref="M31:M43"/>
    <mergeCell ref="M46:M58"/>
    <mergeCell ref="M73:M85"/>
    <mergeCell ref="M89:M101"/>
    <mergeCell ref="M104:M116"/>
    <mergeCell ref="M119:M131"/>
    <mergeCell ref="M145:M152"/>
    <mergeCell ref="L31:L85"/>
    <mergeCell ref="L89:L131"/>
    <mergeCell ref="F119:F120"/>
    <mergeCell ref="G119:G120"/>
    <mergeCell ref="D89:E89"/>
    <mergeCell ref="H73:H74"/>
    <mergeCell ref="I73:I74"/>
    <mergeCell ref="B73:B74"/>
    <mergeCell ref="B75:B86"/>
    <mergeCell ref="C73:C74"/>
    <mergeCell ref="C75:C79"/>
    <mergeCell ref="C80:C85"/>
    <mergeCell ref="I75:I85"/>
    <mergeCell ref="D73:E73"/>
    <mergeCell ref="F73:F74"/>
    <mergeCell ref="G73:G74"/>
    <mergeCell ref="B119:B120"/>
    <mergeCell ref="A1:K1"/>
    <mergeCell ref="A2:K2"/>
    <mergeCell ref="C23:G23"/>
    <mergeCell ref="K31:K32"/>
    <mergeCell ref="K46:K47"/>
    <mergeCell ref="G46:G47"/>
    <mergeCell ref="H46:H47"/>
    <mergeCell ref="C46:C47"/>
    <mergeCell ref="B46:B47"/>
    <mergeCell ref="I46:I47"/>
    <mergeCell ref="D46:E46"/>
    <mergeCell ref="F46:F47"/>
    <mergeCell ref="I31:I32"/>
    <mergeCell ref="F31:F32"/>
    <mergeCell ref="G31:G32"/>
    <mergeCell ref="H31:H32"/>
    <mergeCell ref="H33:H41"/>
    <mergeCell ref="H42:H43"/>
    <mergeCell ref="B31:B32"/>
    <mergeCell ref="C31:C32"/>
    <mergeCell ref="D31:E31"/>
    <mergeCell ref="B33:B43"/>
    <mergeCell ref="C33:C43"/>
    <mergeCell ref="C48:C58"/>
    <mergeCell ref="I145:I152"/>
    <mergeCell ref="C149:C152"/>
    <mergeCell ref="K119:K120"/>
    <mergeCell ref="B106:B116"/>
    <mergeCell ref="C106:C116"/>
    <mergeCell ref="H91:H99"/>
    <mergeCell ref="I104:I105"/>
    <mergeCell ref="C104:C105"/>
    <mergeCell ref="D104:E104"/>
    <mergeCell ref="F104:F105"/>
    <mergeCell ref="G104:G105"/>
    <mergeCell ref="B91:B101"/>
    <mergeCell ref="C91:C101"/>
    <mergeCell ref="B104:B105"/>
    <mergeCell ref="C143:C144"/>
    <mergeCell ref="D143:E143"/>
    <mergeCell ref="F143:F144"/>
    <mergeCell ref="G143:G144"/>
    <mergeCell ref="H143:H144"/>
    <mergeCell ref="I143:I144"/>
    <mergeCell ref="J143:J144"/>
    <mergeCell ref="C119:C120"/>
    <mergeCell ref="D119:E119"/>
    <mergeCell ref="L24:L26"/>
    <mergeCell ref="A183:D183"/>
    <mergeCell ref="E185:F185"/>
    <mergeCell ref="C184:D184"/>
    <mergeCell ref="C185:D185"/>
    <mergeCell ref="E183:F183"/>
    <mergeCell ref="E184:F184"/>
    <mergeCell ref="J73:J74"/>
    <mergeCell ref="H119:H120"/>
    <mergeCell ref="B89:B90"/>
    <mergeCell ref="C89:C90"/>
    <mergeCell ref="C182:E182"/>
    <mergeCell ref="H89:H90"/>
    <mergeCell ref="F89:F90"/>
    <mergeCell ref="G89:G90"/>
    <mergeCell ref="H104:H105"/>
    <mergeCell ref="H100:H101"/>
    <mergeCell ref="B171:K172"/>
    <mergeCell ref="I119:I120"/>
    <mergeCell ref="C121:C125"/>
    <mergeCell ref="I121:I131"/>
    <mergeCell ref="C126:C131"/>
    <mergeCell ref="C145:C148"/>
    <mergeCell ref="B48:B58"/>
  </mergeCells>
  <phoneticPr fontId="17" type="noConversion"/>
  <printOptions horizontalCentered="1"/>
  <pageMargins left="0.511811023622047" right="0.23622047244094499" top="0.511811023622047" bottom="0.23622047244094499" header="0.23622047244094499" footer="0.23622047244094499"/>
  <pageSetup paperSize="9" scale="49" orientation="portrait" horizontalDpi="4294967294" r:id="rId1"/>
  <headerFooter>
    <oddHeader>&amp;R&amp;"-,Regular"&amp;8OA.LP - 007 - 18 / REV. 0</oddHeader>
    <oddFooter>&amp;R&amp;K00-031Audiometer 25.1.2023</oddFooter>
  </headerFooter>
  <rowBreaks count="1" manualBreakCount="1">
    <brk id="116" max="1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F0"/>
  </sheetPr>
  <dimension ref="A1:P372"/>
  <sheetViews>
    <sheetView tabSelected="1" view="pageBreakPreview" topLeftCell="A94" zoomScale="92" zoomScaleNormal="100" zoomScaleSheetLayoutView="92" workbookViewId="0">
      <selection activeCell="L40" sqref="L40"/>
    </sheetView>
  </sheetViews>
  <sheetFormatPr defaultColWidth="9" defaultRowHeight="12.5"/>
  <cols>
    <col min="1" max="5" width="9" style="85"/>
    <col min="6" max="6" width="11.453125" style="85" customWidth="1"/>
    <col min="7" max="11" width="9" style="85"/>
    <col min="12" max="12" width="11.36328125" style="85" bestFit="1" customWidth="1"/>
    <col min="13" max="16384" width="9" style="85"/>
  </cols>
  <sheetData>
    <row r="1" spans="1:16" ht="18" thickBot="1">
      <c r="A1" s="1132" t="s">
        <v>662</v>
      </c>
      <c r="B1" s="1133"/>
      <c r="C1" s="1133"/>
      <c r="D1" s="1133"/>
      <c r="E1" s="1133"/>
      <c r="F1" s="1133"/>
      <c r="G1" s="1134"/>
      <c r="H1" s="1133"/>
      <c r="I1" s="1133"/>
      <c r="J1" s="1133"/>
      <c r="K1" s="1133"/>
      <c r="L1" s="1133"/>
      <c r="M1" s="1134"/>
      <c r="N1" s="1133"/>
      <c r="O1" s="1135"/>
      <c r="P1" s="84"/>
    </row>
    <row r="2" spans="1:16" ht="13">
      <c r="A2" s="1128">
        <v>1</v>
      </c>
      <c r="B2" s="1131" t="s">
        <v>663</v>
      </c>
      <c r="C2" s="1131"/>
      <c r="D2" s="1131"/>
      <c r="E2" s="1131"/>
      <c r="F2" s="1131"/>
      <c r="G2" s="86"/>
      <c r="H2" s="1131" t="str">
        <f>B2</f>
        <v>KOREKSI KIMO THERMOHYGROMETER 15062873</v>
      </c>
      <c r="I2" s="1131"/>
      <c r="J2" s="1131"/>
      <c r="K2" s="1131"/>
      <c r="L2" s="1131"/>
      <c r="M2" s="86"/>
      <c r="N2" s="1136" t="s">
        <v>607</v>
      </c>
      <c r="O2" s="1136"/>
      <c r="P2" s="84"/>
    </row>
    <row r="3" spans="1:16" ht="13">
      <c r="A3" s="1129"/>
      <c r="B3" s="1125" t="s">
        <v>664</v>
      </c>
      <c r="C3" s="1125"/>
      <c r="D3" s="1125" t="s">
        <v>346</v>
      </c>
      <c r="E3" s="1125"/>
      <c r="F3" s="1125" t="s">
        <v>665</v>
      </c>
      <c r="G3" s="87"/>
      <c r="H3" s="1125" t="s">
        <v>666</v>
      </c>
      <c r="I3" s="1125"/>
      <c r="J3" s="1125" t="s">
        <v>346</v>
      </c>
      <c r="K3" s="1125"/>
      <c r="L3" s="1125" t="s">
        <v>665</v>
      </c>
      <c r="M3" s="87"/>
      <c r="N3" s="88" t="s">
        <v>664</v>
      </c>
      <c r="O3" s="89">
        <v>0.6</v>
      </c>
      <c r="P3" s="84"/>
    </row>
    <row r="4" spans="1:16" ht="14.5">
      <c r="A4" s="1129"/>
      <c r="B4" s="1126" t="s">
        <v>667</v>
      </c>
      <c r="C4" s="1126"/>
      <c r="D4" s="90">
        <v>2020</v>
      </c>
      <c r="E4" s="90">
        <v>2017</v>
      </c>
      <c r="F4" s="1125"/>
      <c r="G4" s="87"/>
      <c r="H4" s="1127" t="s">
        <v>16</v>
      </c>
      <c r="I4" s="1126"/>
      <c r="J4" s="91">
        <f>D4</f>
        <v>2020</v>
      </c>
      <c r="K4" s="91">
        <v>2021</v>
      </c>
      <c r="L4" s="1125"/>
      <c r="M4" s="87"/>
      <c r="N4" s="88" t="s">
        <v>16</v>
      </c>
      <c r="O4" s="89">
        <v>3.1</v>
      </c>
      <c r="P4" s="84"/>
    </row>
    <row r="5" spans="1:16" ht="13">
      <c r="A5" s="1129"/>
      <c r="B5" s="92"/>
      <c r="C5" s="93">
        <v>15</v>
      </c>
      <c r="D5" s="93">
        <v>-0.5</v>
      </c>
      <c r="E5" s="93">
        <v>0.3</v>
      </c>
      <c r="F5" s="94">
        <f t="shared" ref="F5:F11" si="0">0.5*(MAX(D5:E5)-MIN(D5:E5))</f>
        <v>0.4</v>
      </c>
      <c r="G5" s="87"/>
      <c r="H5" s="92"/>
      <c r="I5" s="93">
        <v>35</v>
      </c>
      <c r="J5" s="93">
        <v>-6</v>
      </c>
      <c r="K5" s="93">
        <v>1.0000000000000001E-5</v>
      </c>
      <c r="L5" s="94">
        <f t="shared" ref="L5:L11" si="1">0.5*(MAX(J5:K5)-MIN(J5:K5))</f>
        <v>3.0000049999999998</v>
      </c>
      <c r="M5" s="87"/>
      <c r="N5" s="87"/>
      <c r="O5" s="95"/>
      <c r="P5" s="84"/>
    </row>
    <row r="6" spans="1:16" ht="13">
      <c r="A6" s="1129"/>
      <c r="B6" s="92"/>
      <c r="C6" s="93">
        <v>20</v>
      </c>
      <c r="D6" s="93">
        <v>-0.2</v>
      </c>
      <c r="E6" s="93">
        <v>0.2</v>
      </c>
      <c r="F6" s="94">
        <f>0.5*(MAX(D6:E6)-MIN(D6:E6))</f>
        <v>0.2</v>
      </c>
      <c r="G6" s="87"/>
      <c r="H6" s="92"/>
      <c r="I6" s="93">
        <v>40</v>
      </c>
      <c r="J6" s="93">
        <v>-5.8</v>
      </c>
      <c r="K6" s="93">
        <v>1.0000000000000001E-5</v>
      </c>
      <c r="L6" s="94">
        <f t="shared" si="1"/>
        <v>2.9000049999999997</v>
      </c>
      <c r="M6" s="87"/>
      <c r="N6" s="87"/>
      <c r="O6" s="95"/>
      <c r="P6" s="84"/>
    </row>
    <row r="7" spans="1:16" ht="13">
      <c r="A7" s="1129"/>
      <c r="B7" s="92"/>
      <c r="C7" s="93">
        <v>25</v>
      </c>
      <c r="D7" s="93">
        <v>1.0000000000000001E-5</v>
      </c>
      <c r="E7" s="93">
        <v>0.1</v>
      </c>
      <c r="F7" s="94">
        <f t="shared" si="0"/>
        <v>4.9995000000000005E-2</v>
      </c>
      <c r="G7" s="87"/>
      <c r="H7" s="92"/>
      <c r="I7" s="93">
        <v>50</v>
      </c>
      <c r="J7" s="93">
        <v>-5.3</v>
      </c>
      <c r="K7" s="93">
        <v>1.0000000000000001E-5</v>
      </c>
      <c r="L7" s="94">
        <f t="shared" si="1"/>
        <v>2.6500049999999997</v>
      </c>
      <c r="M7" s="87"/>
      <c r="N7" s="87"/>
      <c r="O7" s="95"/>
      <c r="P7" s="84"/>
    </row>
    <row r="8" spans="1:16" ht="13">
      <c r="A8" s="1129"/>
      <c r="B8" s="92"/>
      <c r="C8" s="96">
        <v>30</v>
      </c>
      <c r="D8" s="93">
        <v>1.0000000000000001E-5</v>
      </c>
      <c r="E8" s="98">
        <v>-0.2</v>
      </c>
      <c r="F8" s="94">
        <f t="shared" si="0"/>
        <v>0.10000500000000001</v>
      </c>
      <c r="G8" s="87"/>
      <c r="H8" s="92"/>
      <c r="I8" s="96">
        <v>60</v>
      </c>
      <c r="J8" s="97">
        <v>-4.4000000000000004</v>
      </c>
      <c r="K8" s="93">
        <v>1.0000000000000001E-5</v>
      </c>
      <c r="L8" s="94">
        <f t="shared" si="1"/>
        <v>2.200005</v>
      </c>
      <c r="M8" s="87"/>
      <c r="N8" s="87"/>
      <c r="O8" s="95"/>
      <c r="P8" s="84"/>
    </row>
    <row r="9" spans="1:16" ht="13">
      <c r="A9" s="1129"/>
      <c r="B9" s="92"/>
      <c r="C9" s="96">
        <v>35</v>
      </c>
      <c r="D9" s="97">
        <v>-0.1</v>
      </c>
      <c r="E9" s="98">
        <v>-0.5</v>
      </c>
      <c r="F9" s="94">
        <f t="shared" si="0"/>
        <v>0.2</v>
      </c>
      <c r="G9" s="87"/>
      <c r="H9" s="92"/>
      <c r="I9" s="96">
        <v>70</v>
      </c>
      <c r="J9" s="97">
        <v>-3.2</v>
      </c>
      <c r="K9" s="93">
        <v>1.0000000000000001E-5</v>
      </c>
      <c r="L9" s="94">
        <f t="shared" si="1"/>
        <v>1.6000050000000001</v>
      </c>
      <c r="M9" s="87"/>
      <c r="N9" s="87"/>
      <c r="O9" s="95"/>
      <c r="P9" s="84"/>
    </row>
    <row r="10" spans="1:16" ht="13">
      <c r="A10" s="1129"/>
      <c r="B10" s="92"/>
      <c r="C10" s="96">
        <v>37</v>
      </c>
      <c r="D10" s="97">
        <v>-0.2</v>
      </c>
      <c r="E10" s="98">
        <v>-0.6</v>
      </c>
      <c r="F10" s="94">
        <f t="shared" si="0"/>
        <v>0.19999999999999998</v>
      </c>
      <c r="G10" s="87"/>
      <c r="H10" s="92"/>
      <c r="I10" s="96">
        <v>80</v>
      </c>
      <c r="J10" s="97">
        <v>-1.6</v>
      </c>
      <c r="K10" s="93">
        <v>1.0000000000000001E-5</v>
      </c>
      <c r="L10" s="94">
        <f t="shared" si="1"/>
        <v>0.80000500000000008</v>
      </c>
      <c r="M10" s="87"/>
      <c r="N10" s="87"/>
      <c r="O10" s="95"/>
      <c r="P10" s="84"/>
    </row>
    <row r="11" spans="1:16" ht="13.5" thickBot="1">
      <c r="A11" s="1130"/>
      <c r="B11" s="92"/>
      <c r="C11" s="96">
        <v>40</v>
      </c>
      <c r="D11" s="97">
        <v>-0.3</v>
      </c>
      <c r="E11" s="98">
        <v>-0.8</v>
      </c>
      <c r="F11" s="94">
        <f t="shared" si="0"/>
        <v>0.25</v>
      </c>
      <c r="G11" s="99"/>
      <c r="H11" s="92"/>
      <c r="I11" s="96">
        <v>90</v>
      </c>
      <c r="J11" s="97">
        <v>0.3</v>
      </c>
      <c r="K11" s="93">
        <v>1.0000000000000001E-5</v>
      </c>
      <c r="L11" s="94">
        <f t="shared" si="1"/>
        <v>0.14999499999999999</v>
      </c>
      <c r="M11" s="99"/>
      <c r="N11" s="99"/>
      <c r="O11" s="100"/>
      <c r="P11" s="84"/>
    </row>
    <row r="12" spans="1:16" ht="13.5" thickBot="1">
      <c r="A12" s="101"/>
      <c r="B12" s="101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95"/>
      <c r="P12" s="84"/>
    </row>
    <row r="13" spans="1:16" ht="13">
      <c r="A13" s="1128">
        <v>2</v>
      </c>
      <c r="B13" s="1131" t="s">
        <v>668</v>
      </c>
      <c r="C13" s="1131"/>
      <c r="D13" s="1131"/>
      <c r="E13" s="1131"/>
      <c r="F13" s="1131"/>
      <c r="G13" s="86"/>
      <c r="H13" s="1131" t="str">
        <f>B13</f>
        <v>KOREKSI KIMO THERMOHYGROMETER 15062874</v>
      </c>
      <c r="I13" s="1131"/>
      <c r="J13" s="1131"/>
      <c r="K13" s="1131"/>
      <c r="L13" s="1131"/>
      <c r="M13" s="86"/>
      <c r="N13" s="1136" t="s">
        <v>607</v>
      </c>
      <c r="O13" s="1136"/>
      <c r="P13" s="84"/>
    </row>
    <row r="14" spans="1:16" ht="13">
      <c r="A14" s="1129"/>
      <c r="B14" s="1125" t="s">
        <v>664</v>
      </c>
      <c r="C14" s="1125"/>
      <c r="D14" s="1125" t="s">
        <v>346</v>
      </c>
      <c r="E14" s="1125"/>
      <c r="F14" s="1125" t="s">
        <v>665</v>
      </c>
      <c r="G14" s="87"/>
      <c r="H14" s="1125" t="s">
        <v>666</v>
      </c>
      <c r="I14" s="1125"/>
      <c r="J14" s="1125" t="s">
        <v>346</v>
      </c>
      <c r="K14" s="1125"/>
      <c r="L14" s="1125" t="s">
        <v>665</v>
      </c>
      <c r="M14" s="87"/>
      <c r="N14" s="88" t="s">
        <v>664</v>
      </c>
      <c r="O14" s="102">
        <v>0.3</v>
      </c>
      <c r="P14" s="84"/>
    </row>
    <row r="15" spans="1:16" ht="14.5">
      <c r="A15" s="1129"/>
      <c r="B15" s="1126" t="s">
        <v>667</v>
      </c>
      <c r="C15" s="1126"/>
      <c r="D15" s="90">
        <v>2018</v>
      </c>
      <c r="E15" s="90">
        <v>2017</v>
      </c>
      <c r="F15" s="1125"/>
      <c r="G15" s="87"/>
      <c r="H15" s="1127" t="s">
        <v>16</v>
      </c>
      <c r="I15" s="1126"/>
      <c r="J15" s="91">
        <f>D15</f>
        <v>2018</v>
      </c>
      <c r="K15" s="91">
        <f>E15</f>
        <v>2017</v>
      </c>
      <c r="L15" s="1125"/>
      <c r="M15" s="87"/>
      <c r="N15" s="88" t="s">
        <v>16</v>
      </c>
      <c r="O15" s="102">
        <v>3.3</v>
      </c>
      <c r="P15" s="84"/>
    </row>
    <row r="16" spans="1:16" ht="13">
      <c r="A16" s="1129"/>
      <c r="B16" s="92"/>
      <c r="C16" s="93">
        <v>15</v>
      </c>
      <c r="D16" s="93">
        <v>1.0000000000000001E-5</v>
      </c>
      <c r="E16" s="93">
        <v>0.5</v>
      </c>
      <c r="F16" s="94">
        <f t="shared" ref="F16:F22" si="2">0.5*(MAX(D16:E16)-MIN(D16:E16))</f>
        <v>0.24999499999999999</v>
      </c>
      <c r="G16" s="87"/>
      <c r="H16" s="92"/>
      <c r="I16" s="93">
        <v>35</v>
      </c>
      <c r="J16" s="93">
        <v>-1.6</v>
      </c>
      <c r="K16" s="93">
        <v>-0.9</v>
      </c>
      <c r="L16" s="94">
        <f t="shared" ref="L16:L22" si="3">0.5*(MAX(J16:K16)-MIN(J16:K16))</f>
        <v>0.35000000000000003</v>
      </c>
      <c r="M16" s="87"/>
      <c r="N16" s="87"/>
      <c r="O16" s="95"/>
      <c r="P16" s="84"/>
    </row>
    <row r="17" spans="1:16" ht="13">
      <c r="A17" s="1129"/>
      <c r="B17" s="92"/>
      <c r="C17" s="93">
        <v>20</v>
      </c>
      <c r="D17" s="93">
        <v>-0.1</v>
      </c>
      <c r="E17" s="93">
        <v>1.0000000000000001E-5</v>
      </c>
      <c r="F17" s="94">
        <f t="shared" si="2"/>
        <v>5.0005000000000001E-2</v>
      </c>
      <c r="G17" s="87"/>
      <c r="H17" s="92"/>
      <c r="I17" s="93">
        <v>40</v>
      </c>
      <c r="J17" s="93">
        <v>-1.6</v>
      </c>
      <c r="K17" s="93">
        <v>-1.1000000000000001</v>
      </c>
      <c r="L17" s="94">
        <f t="shared" si="3"/>
        <v>0.25</v>
      </c>
      <c r="M17" s="87"/>
      <c r="N17" s="87"/>
      <c r="O17" s="95"/>
      <c r="P17" s="84"/>
    </row>
    <row r="18" spans="1:16" ht="13">
      <c r="A18" s="1129"/>
      <c r="B18" s="92"/>
      <c r="C18" s="93">
        <v>25</v>
      </c>
      <c r="D18" s="93">
        <v>-0.2</v>
      </c>
      <c r="E18" s="93">
        <v>-0.5</v>
      </c>
      <c r="F18" s="94">
        <f t="shared" si="2"/>
        <v>0.15</v>
      </c>
      <c r="G18" s="87"/>
      <c r="H18" s="92"/>
      <c r="I18" s="93">
        <v>50</v>
      </c>
      <c r="J18" s="93">
        <v>-1.5</v>
      </c>
      <c r="K18" s="93">
        <v>-1.4</v>
      </c>
      <c r="L18" s="94">
        <f t="shared" si="3"/>
        <v>5.0000000000000044E-2</v>
      </c>
      <c r="M18" s="87"/>
      <c r="N18" s="87"/>
      <c r="O18" s="95"/>
      <c r="P18" s="84"/>
    </row>
    <row r="19" spans="1:16" ht="13">
      <c r="A19" s="1129"/>
      <c r="B19" s="92"/>
      <c r="C19" s="96">
        <v>30</v>
      </c>
      <c r="D19" s="98">
        <v>-0.3</v>
      </c>
      <c r="E19" s="96">
        <v>-1</v>
      </c>
      <c r="F19" s="94">
        <f t="shared" si="2"/>
        <v>0.35</v>
      </c>
      <c r="G19" s="87"/>
      <c r="H19" s="92"/>
      <c r="I19" s="96">
        <v>60</v>
      </c>
      <c r="J19" s="98">
        <v>-1.3000100000000001</v>
      </c>
      <c r="K19" s="96">
        <v>-1.3</v>
      </c>
      <c r="L19" s="94">
        <f t="shared" si="3"/>
        <v>5.000000000032756E-6</v>
      </c>
      <c r="M19" s="87"/>
      <c r="N19" s="87"/>
      <c r="O19" s="95"/>
      <c r="P19" s="84"/>
    </row>
    <row r="20" spans="1:16" ht="13">
      <c r="A20" s="1129"/>
      <c r="B20" s="92"/>
      <c r="C20" s="96">
        <v>35</v>
      </c>
      <c r="D20" s="98">
        <v>-0.3</v>
      </c>
      <c r="E20" s="96">
        <v>-1.6</v>
      </c>
      <c r="F20" s="94">
        <f t="shared" si="2"/>
        <v>0.65</v>
      </c>
      <c r="G20" s="87"/>
      <c r="H20" s="92"/>
      <c r="I20" s="96">
        <v>70</v>
      </c>
      <c r="J20" s="98">
        <v>-1.1000000000000001</v>
      </c>
      <c r="K20" s="96">
        <v>-1</v>
      </c>
      <c r="L20" s="94">
        <f t="shared" si="3"/>
        <v>5.0000000000000044E-2</v>
      </c>
      <c r="M20" s="87"/>
      <c r="N20" s="87"/>
      <c r="O20" s="95"/>
      <c r="P20" s="84"/>
    </row>
    <row r="21" spans="1:16" ht="13">
      <c r="A21" s="1129"/>
      <c r="B21" s="92"/>
      <c r="C21" s="96">
        <v>37</v>
      </c>
      <c r="D21" s="98">
        <v>-0.3</v>
      </c>
      <c r="E21" s="96">
        <v>-1.8</v>
      </c>
      <c r="F21" s="94">
        <f t="shared" si="2"/>
        <v>0.75</v>
      </c>
      <c r="G21" s="87"/>
      <c r="H21" s="92"/>
      <c r="I21" s="96">
        <v>80</v>
      </c>
      <c r="J21" s="98">
        <v>-0.7</v>
      </c>
      <c r="K21" s="96">
        <v>-0.4</v>
      </c>
      <c r="L21" s="94">
        <f t="shared" si="3"/>
        <v>0.14999999999999997</v>
      </c>
      <c r="M21" s="87"/>
      <c r="N21" s="87"/>
      <c r="O21" s="95"/>
      <c r="P21" s="84"/>
    </row>
    <row r="22" spans="1:16" ht="13.5" thickBot="1">
      <c r="A22" s="1130"/>
      <c r="B22" s="92"/>
      <c r="C22" s="96">
        <v>40</v>
      </c>
      <c r="D22" s="98">
        <v>-0.3</v>
      </c>
      <c r="E22" s="96">
        <v>-2.1</v>
      </c>
      <c r="F22" s="94">
        <f t="shared" si="2"/>
        <v>0.9</v>
      </c>
      <c r="G22" s="99"/>
      <c r="H22" s="92"/>
      <c r="I22" s="96">
        <v>90</v>
      </c>
      <c r="J22" s="98">
        <v>-0.3</v>
      </c>
      <c r="K22" s="96">
        <v>0.6</v>
      </c>
      <c r="L22" s="94">
        <f t="shared" si="3"/>
        <v>0.44999999999999996</v>
      </c>
      <c r="M22" s="99"/>
      <c r="N22" s="99"/>
      <c r="O22" s="100"/>
      <c r="P22" s="84"/>
    </row>
    <row r="23" spans="1:16" ht="13.5" thickBot="1">
      <c r="A23" s="101"/>
      <c r="B23" s="101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95"/>
      <c r="P23" s="84"/>
    </row>
    <row r="24" spans="1:16" ht="13">
      <c r="A24" s="1128">
        <v>3</v>
      </c>
      <c r="B24" s="1131" t="s">
        <v>669</v>
      </c>
      <c r="C24" s="1131"/>
      <c r="D24" s="1131"/>
      <c r="E24" s="1131"/>
      <c r="F24" s="1131"/>
      <c r="G24" s="86"/>
      <c r="H24" s="1131" t="str">
        <f>B24</f>
        <v>KOREKSI KIMO THERMOHYGROMETER 14082463</v>
      </c>
      <c r="I24" s="1131"/>
      <c r="J24" s="1131"/>
      <c r="K24" s="1131"/>
      <c r="L24" s="1131"/>
      <c r="M24" s="86"/>
      <c r="N24" s="1136" t="s">
        <v>607</v>
      </c>
      <c r="O24" s="1136"/>
      <c r="P24" s="84"/>
    </row>
    <row r="25" spans="1:16" ht="13">
      <c r="A25" s="1129"/>
      <c r="B25" s="1125" t="s">
        <v>664</v>
      </c>
      <c r="C25" s="1125"/>
      <c r="D25" s="1125" t="s">
        <v>346</v>
      </c>
      <c r="E25" s="1125"/>
      <c r="F25" s="1125" t="s">
        <v>665</v>
      </c>
      <c r="G25" s="87"/>
      <c r="H25" s="1125" t="s">
        <v>666</v>
      </c>
      <c r="I25" s="1125"/>
      <c r="J25" s="1125" t="s">
        <v>346</v>
      </c>
      <c r="K25" s="1125"/>
      <c r="L25" s="1125" t="s">
        <v>665</v>
      </c>
      <c r="M25" s="87"/>
      <c r="N25" s="88" t="s">
        <v>664</v>
      </c>
      <c r="O25" s="102">
        <v>0.3</v>
      </c>
      <c r="P25" s="84"/>
    </row>
    <row r="26" spans="1:16" ht="14.5">
      <c r="A26" s="1129"/>
      <c r="B26" s="1126" t="s">
        <v>667</v>
      </c>
      <c r="C26" s="1126"/>
      <c r="D26" s="90">
        <v>2018</v>
      </c>
      <c r="E26" s="90">
        <v>2017</v>
      </c>
      <c r="F26" s="1125"/>
      <c r="G26" s="87"/>
      <c r="H26" s="1127" t="s">
        <v>16</v>
      </c>
      <c r="I26" s="1126"/>
      <c r="J26" s="91">
        <f>D26</f>
        <v>2018</v>
      </c>
      <c r="K26" s="91">
        <f>E26</f>
        <v>2017</v>
      </c>
      <c r="L26" s="1125"/>
      <c r="M26" s="87"/>
      <c r="N26" s="88" t="s">
        <v>16</v>
      </c>
      <c r="O26" s="102">
        <v>3.1</v>
      </c>
      <c r="P26" s="84"/>
    </row>
    <row r="27" spans="1:16" ht="13">
      <c r="A27" s="1129"/>
      <c r="B27" s="92"/>
      <c r="C27" s="93">
        <v>15</v>
      </c>
      <c r="D27" s="93">
        <v>1.0000000000000001E-5</v>
      </c>
      <c r="E27" s="93">
        <v>0.2</v>
      </c>
      <c r="F27" s="94">
        <f t="shared" ref="F27:F33" si="4">0.5*(MAX(D27:E27)-MIN(D27:E27))</f>
        <v>9.9995000000000001E-2</v>
      </c>
      <c r="G27" s="87"/>
      <c r="H27" s="92"/>
      <c r="I27" s="93">
        <v>30</v>
      </c>
      <c r="J27" s="93">
        <v>-5.7</v>
      </c>
      <c r="K27" s="93">
        <v>-1.1000000000000001</v>
      </c>
      <c r="L27" s="94">
        <f t="shared" ref="L27:L33" si="5">0.5*(MAX(J27:K27)-MIN(J27:K27))</f>
        <v>2.2999999999999998</v>
      </c>
      <c r="M27" s="87"/>
      <c r="N27" s="87"/>
      <c r="O27" s="95"/>
      <c r="P27" s="84"/>
    </row>
    <row r="28" spans="1:16" ht="13">
      <c r="A28" s="1129"/>
      <c r="B28" s="92"/>
      <c r="C28" s="93">
        <v>20</v>
      </c>
      <c r="D28" s="93">
        <v>1.1E-5</v>
      </c>
      <c r="E28" s="93">
        <v>1.0000000000000001E-5</v>
      </c>
      <c r="F28" s="94">
        <f t="shared" si="4"/>
        <v>4.9999999999999945E-7</v>
      </c>
      <c r="G28" s="87"/>
      <c r="H28" s="92"/>
      <c r="I28" s="93">
        <v>40</v>
      </c>
      <c r="J28" s="93">
        <v>-5.3</v>
      </c>
      <c r="K28" s="93">
        <v>-1.9</v>
      </c>
      <c r="L28" s="94">
        <f t="shared" si="5"/>
        <v>1.7</v>
      </c>
      <c r="M28" s="87"/>
      <c r="N28" s="87"/>
      <c r="O28" s="95"/>
      <c r="P28" s="84"/>
    </row>
    <row r="29" spans="1:16" ht="13">
      <c r="A29" s="1129"/>
      <c r="B29" s="92"/>
      <c r="C29" s="93">
        <v>25</v>
      </c>
      <c r="D29" s="93">
        <v>-0.1</v>
      </c>
      <c r="E29" s="93">
        <v>-0.2</v>
      </c>
      <c r="F29" s="94">
        <f t="shared" si="4"/>
        <v>0.05</v>
      </c>
      <c r="G29" s="87"/>
      <c r="H29" s="92"/>
      <c r="I29" s="93">
        <v>50</v>
      </c>
      <c r="J29" s="93">
        <v>-4.9000000000000004</v>
      </c>
      <c r="K29" s="93">
        <v>-2.2999999999999998</v>
      </c>
      <c r="L29" s="94">
        <f t="shared" si="5"/>
        <v>1.3000000000000003</v>
      </c>
      <c r="M29" s="87"/>
      <c r="N29" s="87"/>
      <c r="O29" s="95"/>
      <c r="P29" s="84"/>
    </row>
    <row r="30" spans="1:16" ht="13">
      <c r="A30" s="1129"/>
      <c r="B30" s="92"/>
      <c r="C30" s="96">
        <v>30</v>
      </c>
      <c r="D30" s="98">
        <v>-0.3</v>
      </c>
      <c r="E30" s="96">
        <v>-0.3</v>
      </c>
      <c r="F30" s="94">
        <f t="shared" si="4"/>
        <v>0</v>
      </c>
      <c r="G30" s="87"/>
      <c r="H30" s="92"/>
      <c r="I30" s="96">
        <v>60</v>
      </c>
      <c r="J30" s="98">
        <v>-4.3</v>
      </c>
      <c r="K30" s="96">
        <v>-2.2000000000000002</v>
      </c>
      <c r="L30" s="94">
        <f t="shared" si="5"/>
        <v>1.0499999999999998</v>
      </c>
      <c r="M30" s="87"/>
      <c r="N30" s="87"/>
      <c r="O30" s="95"/>
      <c r="P30" s="84"/>
    </row>
    <row r="31" spans="1:16" ht="13">
      <c r="A31" s="1129"/>
      <c r="B31" s="92"/>
      <c r="C31" s="96">
        <v>35</v>
      </c>
      <c r="D31" s="98">
        <v>-0.5</v>
      </c>
      <c r="E31" s="96">
        <v>-0.4</v>
      </c>
      <c r="F31" s="94">
        <f t="shared" si="4"/>
        <v>4.9999999999999989E-2</v>
      </c>
      <c r="G31" s="87"/>
      <c r="H31" s="92"/>
      <c r="I31" s="96">
        <v>70</v>
      </c>
      <c r="J31" s="98">
        <v>-3.6</v>
      </c>
      <c r="K31" s="96">
        <v>-1.6</v>
      </c>
      <c r="L31" s="94">
        <f t="shared" si="5"/>
        <v>1</v>
      </c>
      <c r="M31" s="87"/>
      <c r="N31" s="87"/>
      <c r="O31" s="95"/>
      <c r="P31" s="84"/>
    </row>
    <row r="32" spans="1:16" ht="13">
      <c r="A32" s="1129"/>
      <c r="B32" s="92"/>
      <c r="C32" s="96">
        <v>37</v>
      </c>
      <c r="D32" s="98">
        <v>-0.6</v>
      </c>
      <c r="E32" s="96">
        <v>-0.5</v>
      </c>
      <c r="F32" s="94">
        <f t="shared" si="4"/>
        <v>4.9999999999999989E-2</v>
      </c>
      <c r="G32" s="87"/>
      <c r="H32" s="92"/>
      <c r="I32" s="96">
        <v>80</v>
      </c>
      <c r="J32" s="98">
        <v>-2.9</v>
      </c>
      <c r="K32" s="96">
        <v>-0.6</v>
      </c>
      <c r="L32" s="94">
        <f t="shared" si="5"/>
        <v>1.1499999999999999</v>
      </c>
      <c r="M32" s="87"/>
      <c r="N32" s="87"/>
      <c r="O32" s="95"/>
      <c r="P32" s="84"/>
    </row>
    <row r="33" spans="1:16" ht="13.5" thickBot="1">
      <c r="A33" s="1130"/>
      <c r="B33" s="92"/>
      <c r="C33" s="96">
        <v>40</v>
      </c>
      <c r="D33" s="98">
        <v>-0.7</v>
      </c>
      <c r="E33" s="96">
        <v>-0.5</v>
      </c>
      <c r="F33" s="94">
        <f t="shared" si="4"/>
        <v>9.9999999999999978E-2</v>
      </c>
      <c r="G33" s="99"/>
      <c r="H33" s="92"/>
      <c r="I33" s="96">
        <v>90</v>
      </c>
      <c r="J33" s="98">
        <v>-2</v>
      </c>
      <c r="K33" s="96">
        <v>0.9</v>
      </c>
      <c r="L33" s="94">
        <f t="shared" si="5"/>
        <v>1.45</v>
      </c>
      <c r="M33" s="99"/>
      <c r="N33" s="99"/>
      <c r="O33" s="100"/>
      <c r="P33" s="84"/>
    </row>
    <row r="34" spans="1:16" ht="13.5" thickBot="1">
      <c r="A34" s="101"/>
      <c r="B34" s="101"/>
      <c r="C34" s="87"/>
      <c r="D34" s="87"/>
      <c r="E34" s="87"/>
      <c r="F34" s="87"/>
      <c r="G34" s="87"/>
      <c r="H34" s="103"/>
      <c r="I34" s="87"/>
      <c r="J34" s="87"/>
      <c r="K34" s="87"/>
      <c r="L34" s="87"/>
      <c r="M34" s="87"/>
      <c r="N34" s="87"/>
      <c r="O34" s="95"/>
      <c r="P34" s="84"/>
    </row>
    <row r="35" spans="1:16" ht="13.5" thickBot="1">
      <c r="A35" s="1149">
        <v>4</v>
      </c>
      <c r="B35" s="1152" t="s">
        <v>670</v>
      </c>
      <c r="C35" s="1153"/>
      <c r="D35" s="1153"/>
      <c r="E35" s="1153"/>
      <c r="F35" s="1154"/>
      <c r="G35" s="86"/>
      <c r="H35" s="1152" t="str">
        <f>B35</f>
        <v>KOREKSI KIMO THERMOHYGROMETER 15062872</v>
      </c>
      <c r="I35" s="1153"/>
      <c r="J35" s="1153"/>
      <c r="K35" s="1153"/>
      <c r="L35" s="1154"/>
      <c r="M35" s="86"/>
      <c r="N35" s="1137" t="s">
        <v>607</v>
      </c>
      <c r="O35" s="1138"/>
      <c r="P35" s="84"/>
    </row>
    <row r="36" spans="1:16" ht="13.5" thickBot="1">
      <c r="A36" s="1150"/>
      <c r="B36" s="1139" t="s">
        <v>664</v>
      </c>
      <c r="C36" s="1140"/>
      <c r="D36" s="1141" t="s">
        <v>346</v>
      </c>
      <c r="E36" s="1142"/>
      <c r="F36" s="1143" t="s">
        <v>665</v>
      </c>
      <c r="G36" s="87"/>
      <c r="H36" s="1139" t="s">
        <v>666</v>
      </c>
      <c r="I36" s="1140"/>
      <c r="J36" s="1141" t="s">
        <v>346</v>
      </c>
      <c r="K36" s="1142"/>
      <c r="L36" s="1143" t="s">
        <v>665</v>
      </c>
      <c r="M36" s="87"/>
      <c r="N36" s="104" t="s">
        <v>664</v>
      </c>
      <c r="O36" s="105">
        <v>0.6</v>
      </c>
      <c r="P36" s="84"/>
    </row>
    <row r="37" spans="1:16" ht="15" thickBot="1">
      <c r="A37" s="1150"/>
      <c r="B37" s="1145" t="s">
        <v>667</v>
      </c>
      <c r="C37" s="1146"/>
      <c r="D37" s="106">
        <v>2017</v>
      </c>
      <c r="E37" s="106">
        <v>2015</v>
      </c>
      <c r="F37" s="1144"/>
      <c r="G37" s="87"/>
      <c r="H37" s="1147" t="s">
        <v>16</v>
      </c>
      <c r="I37" s="1148"/>
      <c r="J37" s="107">
        <f>D37</f>
        <v>2017</v>
      </c>
      <c r="K37" s="107">
        <f>E37</f>
        <v>2015</v>
      </c>
      <c r="L37" s="1144"/>
      <c r="M37" s="87"/>
      <c r="N37" s="108" t="s">
        <v>16</v>
      </c>
      <c r="O37" s="109">
        <v>2.6</v>
      </c>
      <c r="P37" s="84"/>
    </row>
    <row r="38" spans="1:16" ht="13">
      <c r="A38" s="1150"/>
      <c r="B38" s="87"/>
      <c r="C38" s="110">
        <v>15</v>
      </c>
      <c r="D38" s="111">
        <v>-0.1</v>
      </c>
      <c r="E38" s="111">
        <v>0.4</v>
      </c>
      <c r="F38" s="112">
        <f t="shared" ref="F38:F44" si="6">0.5*(MAX(D38:E38)-MIN(D38:E38))</f>
        <v>0.25</v>
      </c>
      <c r="G38" s="87"/>
      <c r="H38" s="101"/>
      <c r="I38" s="110">
        <v>35</v>
      </c>
      <c r="J38" s="111">
        <v>-1.7</v>
      </c>
      <c r="K38" s="111">
        <v>-0.8</v>
      </c>
      <c r="L38" s="112">
        <f t="shared" ref="L38:L44" si="7">0.5*(MAX(J38:K38)-MIN(J38:K38))</f>
        <v>0.44999999999999996</v>
      </c>
      <c r="M38" s="87"/>
      <c r="N38" s="87"/>
      <c r="O38" s="95"/>
      <c r="P38" s="84"/>
    </row>
    <row r="39" spans="1:16" ht="13">
      <c r="A39" s="1150"/>
      <c r="B39" s="87"/>
      <c r="C39" s="113">
        <v>20</v>
      </c>
      <c r="D39" s="93">
        <v>-0.3</v>
      </c>
      <c r="E39" s="93">
        <v>1.0000000000000001E-5</v>
      </c>
      <c r="F39" s="114">
        <f>0.5*(MAX(D39:E39)-MIN(D39:E39))</f>
        <v>0.150005</v>
      </c>
      <c r="G39" s="87"/>
      <c r="H39" s="101"/>
      <c r="I39" s="113">
        <v>40</v>
      </c>
      <c r="J39" s="93">
        <v>-1.5</v>
      </c>
      <c r="K39" s="93">
        <v>-0.9</v>
      </c>
      <c r="L39" s="114">
        <f t="shared" si="7"/>
        <v>0.3</v>
      </c>
      <c r="M39" s="87"/>
      <c r="N39" s="87"/>
      <c r="O39" s="95"/>
      <c r="P39" s="84"/>
    </row>
    <row r="40" spans="1:16" ht="13">
      <c r="A40" s="1150"/>
      <c r="B40" s="87"/>
      <c r="C40" s="113">
        <v>25</v>
      </c>
      <c r="D40" s="93">
        <v>-0.5</v>
      </c>
      <c r="E40" s="93">
        <v>-0.5</v>
      </c>
      <c r="F40" s="114">
        <f t="shared" si="6"/>
        <v>0</v>
      </c>
      <c r="G40" s="87"/>
      <c r="H40" s="101"/>
      <c r="I40" s="113">
        <v>50</v>
      </c>
      <c r="J40" s="93">
        <v>-1.0001</v>
      </c>
      <c r="K40" s="93">
        <v>-1</v>
      </c>
      <c r="L40" s="114">
        <f t="shared" si="7"/>
        <v>4.9999999999994493E-5</v>
      </c>
      <c r="M40" s="87"/>
      <c r="N40" s="87"/>
      <c r="O40" s="95"/>
      <c r="P40" s="84"/>
    </row>
    <row r="41" spans="1:16" ht="13">
      <c r="A41" s="1150"/>
      <c r="B41" s="87"/>
      <c r="C41" s="115">
        <v>30</v>
      </c>
      <c r="D41" s="97">
        <v>-0.6</v>
      </c>
      <c r="E41" s="96">
        <v>-1</v>
      </c>
      <c r="F41" s="114">
        <f t="shared" si="6"/>
        <v>0.2</v>
      </c>
      <c r="G41" s="87"/>
      <c r="H41" s="101"/>
      <c r="I41" s="115">
        <v>60</v>
      </c>
      <c r="J41" s="97">
        <v>-0.3</v>
      </c>
      <c r="K41" s="96">
        <v>-0.9</v>
      </c>
      <c r="L41" s="114">
        <f t="shared" si="7"/>
        <v>0.30000000000000004</v>
      </c>
      <c r="M41" s="87"/>
      <c r="N41" s="87"/>
      <c r="O41" s="95"/>
      <c r="P41" s="84"/>
    </row>
    <row r="42" spans="1:16" ht="13">
      <c r="A42" s="1150"/>
      <c r="B42" s="87"/>
      <c r="C42" s="115">
        <v>35</v>
      </c>
      <c r="D42" s="97">
        <v>-0.6</v>
      </c>
      <c r="E42" s="96">
        <v>-1.5</v>
      </c>
      <c r="F42" s="114">
        <f t="shared" si="6"/>
        <v>0.45</v>
      </c>
      <c r="G42" s="87"/>
      <c r="H42" s="101"/>
      <c r="I42" s="115">
        <v>70</v>
      </c>
      <c r="J42" s="97">
        <v>0.7</v>
      </c>
      <c r="K42" s="96">
        <v>-0.7</v>
      </c>
      <c r="L42" s="114">
        <f t="shared" si="7"/>
        <v>0.7</v>
      </c>
      <c r="M42" s="87"/>
      <c r="N42" s="87"/>
      <c r="O42" s="95"/>
      <c r="P42" s="84"/>
    </row>
    <row r="43" spans="1:16" ht="13">
      <c r="A43" s="1150"/>
      <c r="B43" s="87"/>
      <c r="C43" s="115">
        <v>37</v>
      </c>
      <c r="D43" s="97">
        <v>-0.6</v>
      </c>
      <c r="E43" s="96">
        <v>-1.8</v>
      </c>
      <c r="F43" s="114">
        <f t="shared" si="6"/>
        <v>0.60000000000000009</v>
      </c>
      <c r="G43" s="87"/>
      <c r="H43" s="101"/>
      <c r="I43" s="115">
        <v>80</v>
      </c>
      <c r="J43" s="97">
        <v>1.9</v>
      </c>
      <c r="K43" s="96">
        <v>-0.4</v>
      </c>
      <c r="L43" s="114">
        <f t="shared" si="7"/>
        <v>1.1499999999999999</v>
      </c>
      <c r="M43" s="87"/>
      <c r="N43" s="87"/>
      <c r="O43" s="95"/>
      <c r="P43" s="84"/>
    </row>
    <row r="44" spans="1:16" ht="13.5" thickBot="1">
      <c r="A44" s="1151"/>
      <c r="B44" s="99"/>
      <c r="C44" s="116">
        <v>40</v>
      </c>
      <c r="D44" s="97">
        <v>-0.6</v>
      </c>
      <c r="E44" s="117">
        <v>-2.1</v>
      </c>
      <c r="F44" s="118">
        <f t="shared" si="6"/>
        <v>0.75</v>
      </c>
      <c r="G44" s="99"/>
      <c r="H44" s="119"/>
      <c r="I44" s="116">
        <v>90</v>
      </c>
      <c r="J44" s="120">
        <v>3.3</v>
      </c>
      <c r="K44" s="117">
        <v>0.2</v>
      </c>
      <c r="L44" s="118">
        <f t="shared" si="7"/>
        <v>1.5499999999999998</v>
      </c>
      <c r="M44" s="99"/>
      <c r="N44" s="99"/>
      <c r="O44" s="100"/>
      <c r="P44" s="84"/>
    </row>
    <row r="45" spans="1:16" ht="13.5" thickBot="1">
      <c r="A45" s="101"/>
      <c r="B45" s="101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95"/>
      <c r="P45" s="84"/>
    </row>
    <row r="46" spans="1:16" ht="13.5" thickBot="1">
      <c r="A46" s="1149">
        <v>5</v>
      </c>
      <c r="B46" s="1152" t="s">
        <v>671</v>
      </c>
      <c r="C46" s="1153"/>
      <c r="D46" s="1153"/>
      <c r="E46" s="1153"/>
      <c r="F46" s="1154"/>
      <c r="G46" s="86"/>
      <c r="H46" s="1152" t="str">
        <f>B46</f>
        <v>KOREKSI KIMO THERMOHYGROMETER 15062875</v>
      </c>
      <c r="I46" s="1153"/>
      <c r="J46" s="1153"/>
      <c r="K46" s="1153"/>
      <c r="L46" s="1154"/>
      <c r="M46" s="86"/>
      <c r="N46" s="1137" t="s">
        <v>607</v>
      </c>
      <c r="O46" s="1138"/>
      <c r="P46" s="84"/>
    </row>
    <row r="47" spans="1:16" ht="13.5" thickBot="1">
      <c r="A47" s="1150"/>
      <c r="B47" s="1139" t="s">
        <v>664</v>
      </c>
      <c r="C47" s="1140"/>
      <c r="D47" s="1141" t="s">
        <v>346</v>
      </c>
      <c r="E47" s="1142"/>
      <c r="F47" s="1143" t="s">
        <v>665</v>
      </c>
      <c r="G47" s="87"/>
      <c r="H47" s="1139" t="s">
        <v>666</v>
      </c>
      <c r="I47" s="1140"/>
      <c r="J47" s="1141" t="s">
        <v>346</v>
      </c>
      <c r="K47" s="1142"/>
      <c r="L47" s="1143" t="s">
        <v>665</v>
      </c>
      <c r="M47" s="87"/>
      <c r="N47" s="104" t="s">
        <v>664</v>
      </c>
      <c r="O47" s="105">
        <v>0.3</v>
      </c>
      <c r="P47" s="84"/>
    </row>
    <row r="48" spans="1:16" ht="15" thickBot="1">
      <c r="A48" s="1150"/>
      <c r="B48" s="1145" t="s">
        <v>667</v>
      </c>
      <c r="C48" s="1146"/>
      <c r="D48" s="106">
        <v>2017</v>
      </c>
      <c r="E48" s="106">
        <v>2015</v>
      </c>
      <c r="F48" s="1144"/>
      <c r="G48" s="87"/>
      <c r="H48" s="1147" t="s">
        <v>16</v>
      </c>
      <c r="I48" s="1148"/>
      <c r="J48" s="107">
        <f>D48</f>
        <v>2017</v>
      </c>
      <c r="K48" s="107">
        <f>E48</f>
        <v>2015</v>
      </c>
      <c r="L48" s="1144"/>
      <c r="M48" s="87"/>
      <c r="N48" s="108" t="s">
        <v>16</v>
      </c>
      <c r="O48" s="109">
        <v>3.2</v>
      </c>
      <c r="P48" s="84"/>
    </row>
    <row r="49" spans="1:16" ht="13">
      <c r="A49" s="1150"/>
      <c r="B49" s="87"/>
      <c r="C49" s="110">
        <v>15</v>
      </c>
      <c r="D49" s="111">
        <v>0.3</v>
      </c>
      <c r="E49" s="111">
        <v>0.4</v>
      </c>
      <c r="F49" s="112">
        <f t="shared" ref="F49:F55" si="8">0.5*(MAX(D49:E49)-MIN(D49:E49))</f>
        <v>5.0000000000000017E-2</v>
      </c>
      <c r="G49" s="87"/>
      <c r="H49" s="101"/>
      <c r="I49" s="110">
        <v>35</v>
      </c>
      <c r="J49" s="111">
        <v>-9.6</v>
      </c>
      <c r="K49" s="111">
        <v>-1.6</v>
      </c>
      <c r="L49" s="112">
        <f t="shared" ref="L49:L55" si="9">0.5*(MAX(J49:K49)-MIN(J49:K49))</f>
        <v>4</v>
      </c>
      <c r="M49" s="87"/>
      <c r="N49" s="87"/>
      <c r="O49" s="95"/>
      <c r="P49" s="84"/>
    </row>
    <row r="50" spans="1:16" ht="13">
      <c r="A50" s="1150"/>
      <c r="B50" s="87"/>
      <c r="C50" s="113">
        <v>20</v>
      </c>
      <c r="D50" s="93">
        <v>0.3</v>
      </c>
      <c r="E50" s="93">
        <v>1.0000000000000001E-5</v>
      </c>
      <c r="F50" s="114">
        <f t="shared" si="8"/>
        <v>0.14999499999999999</v>
      </c>
      <c r="G50" s="87"/>
      <c r="H50" s="101"/>
      <c r="I50" s="113">
        <v>40</v>
      </c>
      <c r="J50" s="93">
        <v>-8</v>
      </c>
      <c r="K50" s="93">
        <v>-1.8</v>
      </c>
      <c r="L50" s="114">
        <f t="shared" si="9"/>
        <v>3.1</v>
      </c>
      <c r="M50" s="87"/>
      <c r="N50" s="87"/>
      <c r="O50" s="95"/>
      <c r="P50" s="84"/>
    </row>
    <row r="51" spans="1:16" ht="13">
      <c r="A51" s="1150"/>
      <c r="B51" s="87"/>
      <c r="C51" s="113">
        <v>25</v>
      </c>
      <c r="D51" s="93">
        <v>0.2</v>
      </c>
      <c r="E51" s="93">
        <v>-0.3</v>
      </c>
      <c r="F51" s="114">
        <f t="shared" si="8"/>
        <v>0.25</v>
      </c>
      <c r="G51" s="87"/>
      <c r="H51" s="101"/>
      <c r="I51" s="113">
        <v>50</v>
      </c>
      <c r="J51" s="93">
        <v>-6.2</v>
      </c>
      <c r="K51" s="93">
        <v>-2.1</v>
      </c>
      <c r="L51" s="114">
        <f t="shared" si="9"/>
        <v>2.0499999999999998</v>
      </c>
      <c r="M51" s="87"/>
      <c r="N51" s="87"/>
      <c r="O51" s="95"/>
      <c r="P51" s="84"/>
    </row>
    <row r="52" spans="1:16" ht="13">
      <c r="A52" s="1150"/>
      <c r="B52" s="87"/>
      <c r="C52" s="115">
        <v>30</v>
      </c>
      <c r="D52" s="97">
        <v>0.1</v>
      </c>
      <c r="E52" s="96">
        <v>-0.7</v>
      </c>
      <c r="F52" s="114">
        <f t="shared" si="8"/>
        <v>0.39999999999999997</v>
      </c>
      <c r="G52" s="87"/>
      <c r="H52" s="101"/>
      <c r="I52" s="115">
        <v>60</v>
      </c>
      <c r="J52" s="97">
        <v>-4.2</v>
      </c>
      <c r="K52" s="96">
        <v>-2</v>
      </c>
      <c r="L52" s="114">
        <f t="shared" si="9"/>
        <v>1.1000000000000001</v>
      </c>
      <c r="M52" s="87"/>
      <c r="N52" s="87"/>
      <c r="O52" s="95"/>
      <c r="P52" s="84"/>
    </row>
    <row r="53" spans="1:16" ht="13">
      <c r="A53" s="1150"/>
      <c r="B53" s="87"/>
      <c r="C53" s="115">
        <v>35</v>
      </c>
      <c r="D53" s="93">
        <v>1.0000000000000001E-5</v>
      </c>
      <c r="E53" s="96">
        <v>-1.1000000000000001</v>
      </c>
      <c r="F53" s="114">
        <f t="shared" si="8"/>
        <v>0.55000500000000008</v>
      </c>
      <c r="G53" s="87"/>
      <c r="H53" s="101"/>
      <c r="I53" s="115">
        <v>70</v>
      </c>
      <c r="J53" s="97">
        <v>-2.1</v>
      </c>
      <c r="K53" s="96">
        <v>-1.6</v>
      </c>
      <c r="L53" s="114">
        <f t="shared" si="9"/>
        <v>0.25</v>
      </c>
      <c r="M53" s="87"/>
      <c r="N53" s="87"/>
      <c r="O53" s="95"/>
      <c r="P53" s="84"/>
    </row>
    <row r="54" spans="1:16" ht="13">
      <c r="A54" s="1150"/>
      <c r="B54" s="87"/>
      <c r="C54" s="115">
        <v>37</v>
      </c>
      <c r="D54" s="93">
        <v>1.0000000000000001E-5</v>
      </c>
      <c r="E54" s="96">
        <v>-1.2</v>
      </c>
      <c r="F54" s="114">
        <f t="shared" si="8"/>
        <v>0.60000500000000001</v>
      </c>
      <c r="G54" s="87"/>
      <c r="H54" s="101"/>
      <c r="I54" s="115">
        <v>80</v>
      </c>
      <c r="J54" s="97">
        <v>0.2</v>
      </c>
      <c r="K54" s="96">
        <v>-0.9</v>
      </c>
      <c r="L54" s="114">
        <f t="shared" si="9"/>
        <v>0.55000000000000004</v>
      </c>
      <c r="M54" s="87"/>
      <c r="N54" s="87"/>
      <c r="O54" s="95"/>
      <c r="P54" s="84"/>
    </row>
    <row r="55" spans="1:16" ht="13.5" thickBot="1">
      <c r="A55" s="1151"/>
      <c r="B55" s="99"/>
      <c r="C55" s="116">
        <v>40</v>
      </c>
      <c r="D55" s="120">
        <v>-0.1</v>
      </c>
      <c r="E55" s="117">
        <v>-1.5</v>
      </c>
      <c r="F55" s="118">
        <f t="shared" si="8"/>
        <v>0.7</v>
      </c>
      <c r="G55" s="99"/>
      <c r="H55" s="119"/>
      <c r="I55" s="116">
        <v>90</v>
      </c>
      <c r="J55" s="120">
        <v>2.7</v>
      </c>
      <c r="K55" s="117">
        <v>0.2</v>
      </c>
      <c r="L55" s="118">
        <f t="shared" si="9"/>
        <v>1.25</v>
      </c>
      <c r="M55" s="99"/>
      <c r="N55" s="99"/>
      <c r="O55" s="100"/>
      <c r="P55" s="84"/>
    </row>
    <row r="56" spans="1:16" ht="13.5" thickBot="1">
      <c r="A56" s="121"/>
      <c r="B56" s="122"/>
      <c r="C56" s="122"/>
      <c r="D56" s="122"/>
      <c r="E56" s="123"/>
      <c r="F56" s="124"/>
      <c r="G56" s="125"/>
      <c r="H56" s="122"/>
      <c r="I56" s="122"/>
      <c r="J56" s="122"/>
      <c r="K56" s="123"/>
      <c r="L56" s="124"/>
      <c r="M56" s="87"/>
      <c r="N56" s="87"/>
      <c r="O56" s="95"/>
      <c r="P56" s="84"/>
    </row>
    <row r="57" spans="1:16" ht="13.5" thickBot="1">
      <c r="A57" s="1149">
        <v>6</v>
      </c>
      <c r="B57" s="1152" t="s">
        <v>672</v>
      </c>
      <c r="C57" s="1153"/>
      <c r="D57" s="1153"/>
      <c r="E57" s="1153"/>
      <c r="F57" s="1154"/>
      <c r="G57" s="86"/>
      <c r="H57" s="1152" t="str">
        <f>B57</f>
        <v>KOREKSI GREISINGER 34903046</v>
      </c>
      <c r="I57" s="1153"/>
      <c r="J57" s="1153"/>
      <c r="K57" s="1153"/>
      <c r="L57" s="1154"/>
      <c r="M57" s="86"/>
      <c r="N57" s="1137" t="s">
        <v>607</v>
      </c>
      <c r="O57" s="1138"/>
      <c r="P57" s="84"/>
    </row>
    <row r="58" spans="1:16" ht="13.5" thickBot="1">
      <c r="A58" s="1150"/>
      <c r="B58" s="1139" t="s">
        <v>664</v>
      </c>
      <c r="C58" s="1140"/>
      <c r="D58" s="1141" t="s">
        <v>346</v>
      </c>
      <c r="E58" s="1142"/>
      <c r="F58" s="1143" t="s">
        <v>665</v>
      </c>
      <c r="G58" s="87"/>
      <c r="H58" s="1139" t="s">
        <v>666</v>
      </c>
      <c r="I58" s="1140"/>
      <c r="J58" s="1141" t="s">
        <v>346</v>
      </c>
      <c r="K58" s="1142"/>
      <c r="L58" s="1143" t="s">
        <v>665</v>
      </c>
      <c r="M58" s="87"/>
      <c r="N58" s="104" t="s">
        <v>664</v>
      </c>
      <c r="O58" s="105">
        <v>0.5</v>
      </c>
      <c r="P58" s="84"/>
    </row>
    <row r="59" spans="1:16" ht="15" thickBot="1">
      <c r="A59" s="1150"/>
      <c r="B59" s="1145" t="s">
        <v>667</v>
      </c>
      <c r="C59" s="1146"/>
      <c r="D59" s="106">
        <v>2018</v>
      </c>
      <c r="E59" s="106">
        <v>2017</v>
      </c>
      <c r="F59" s="1144"/>
      <c r="G59" s="87"/>
      <c r="H59" s="1147" t="s">
        <v>16</v>
      </c>
      <c r="I59" s="1148"/>
      <c r="J59" s="107">
        <f>D59</f>
        <v>2018</v>
      </c>
      <c r="K59" s="107">
        <f>E59</f>
        <v>2017</v>
      </c>
      <c r="L59" s="1144"/>
      <c r="M59" s="87"/>
      <c r="N59" s="108" t="s">
        <v>16</v>
      </c>
      <c r="O59" s="126">
        <v>2</v>
      </c>
      <c r="P59" s="84"/>
    </row>
    <row r="60" spans="1:16" ht="13">
      <c r="A60" s="1150"/>
      <c r="B60" s="87"/>
      <c r="C60" s="110">
        <v>15</v>
      </c>
      <c r="D60" s="111">
        <v>0.4</v>
      </c>
      <c r="E60" s="111">
        <v>-0.2</v>
      </c>
      <c r="F60" s="112">
        <f t="shared" ref="F60:F66" si="10">0.5*(MAX(D60:E60)-MIN(D60:E60))</f>
        <v>0.30000000000000004</v>
      </c>
      <c r="G60" s="87"/>
      <c r="H60" s="101"/>
      <c r="I60" s="110">
        <v>30</v>
      </c>
      <c r="J60" s="111">
        <v>1.7</v>
      </c>
      <c r="K60" s="111">
        <v>-4.9000000000000004</v>
      </c>
      <c r="L60" s="112">
        <f t="shared" ref="L60:L66" si="11">0.5*(MAX(J60:K60)-MIN(J60:K60))</f>
        <v>3.3000000000000003</v>
      </c>
      <c r="M60" s="87"/>
      <c r="N60" s="87"/>
      <c r="O60" s="95"/>
      <c r="P60" s="84"/>
    </row>
    <row r="61" spans="1:16" ht="13">
      <c r="A61" s="1150"/>
      <c r="B61" s="87"/>
      <c r="C61" s="113">
        <v>20</v>
      </c>
      <c r="D61" s="93">
        <v>0.2</v>
      </c>
      <c r="E61" s="93">
        <v>1.0000000000000001E-5</v>
      </c>
      <c r="F61" s="114">
        <f t="shared" si="10"/>
        <v>9.9995000000000001E-2</v>
      </c>
      <c r="G61" s="87"/>
      <c r="H61" s="101"/>
      <c r="I61" s="113">
        <v>40</v>
      </c>
      <c r="J61" s="93">
        <v>1.5</v>
      </c>
      <c r="K61" s="93">
        <v>-3.4</v>
      </c>
      <c r="L61" s="114">
        <f t="shared" si="11"/>
        <v>2.4500000000000002</v>
      </c>
      <c r="M61" s="87"/>
      <c r="N61" s="87"/>
      <c r="O61" s="95"/>
      <c r="P61" s="84"/>
    </row>
    <row r="62" spans="1:16" ht="13">
      <c r="A62" s="1150"/>
      <c r="B62" s="87"/>
      <c r="C62" s="113">
        <v>25</v>
      </c>
      <c r="D62" s="93">
        <v>-0.1</v>
      </c>
      <c r="E62" s="93">
        <v>0.1</v>
      </c>
      <c r="F62" s="114">
        <f t="shared" si="10"/>
        <v>0.1</v>
      </c>
      <c r="G62" s="87"/>
      <c r="H62" s="101"/>
      <c r="I62" s="113">
        <v>50</v>
      </c>
      <c r="J62" s="93">
        <v>1.2</v>
      </c>
      <c r="K62" s="93">
        <v>-2.5</v>
      </c>
      <c r="L62" s="114">
        <f t="shared" si="11"/>
        <v>1.85</v>
      </c>
      <c r="M62" s="87"/>
      <c r="N62" s="87"/>
      <c r="O62" s="95"/>
      <c r="P62" s="84"/>
    </row>
    <row r="63" spans="1:16" ht="13">
      <c r="A63" s="1150"/>
      <c r="B63" s="87"/>
      <c r="C63" s="115">
        <v>30</v>
      </c>
      <c r="D63" s="96">
        <v>-0.5</v>
      </c>
      <c r="E63" s="96">
        <v>0.13</v>
      </c>
      <c r="F63" s="114">
        <f t="shared" si="10"/>
        <v>0.315</v>
      </c>
      <c r="G63" s="87"/>
      <c r="H63" s="101"/>
      <c r="I63" s="115">
        <v>60</v>
      </c>
      <c r="J63" s="96">
        <v>1.1000000000000001</v>
      </c>
      <c r="K63" s="96">
        <v>-2</v>
      </c>
      <c r="L63" s="114">
        <f t="shared" si="11"/>
        <v>1.55</v>
      </c>
      <c r="M63" s="87"/>
      <c r="N63" s="87"/>
      <c r="O63" s="95"/>
      <c r="P63" s="84"/>
    </row>
    <row r="64" spans="1:16" ht="13">
      <c r="A64" s="1150"/>
      <c r="B64" s="87"/>
      <c r="C64" s="115">
        <v>35</v>
      </c>
      <c r="D64" s="96">
        <v>-0.9</v>
      </c>
      <c r="E64" s="96">
        <v>0.1</v>
      </c>
      <c r="F64" s="114">
        <f t="shared" si="10"/>
        <v>0.5</v>
      </c>
      <c r="G64" s="87"/>
      <c r="H64" s="101"/>
      <c r="I64" s="115">
        <v>70</v>
      </c>
      <c r="J64" s="96">
        <v>0.9</v>
      </c>
      <c r="K64" s="96">
        <v>-2.1</v>
      </c>
      <c r="L64" s="114">
        <f t="shared" si="11"/>
        <v>1.5</v>
      </c>
      <c r="M64" s="87"/>
      <c r="N64" s="87"/>
      <c r="O64" s="95"/>
      <c r="P64" s="84"/>
    </row>
    <row r="65" spans="1:16" ht="13">
      <c r="A65" s="1150"/>
      <c r="B65" s="87"/>
      <c r="C65" s="115">
        <v>37</v>
      </c>
      <c r="D65" s="96">
        <v>-1.1000000000000001</v>
      </c>
      <c r="E65" s="93">
        <v>1.0000000000000001E-5</v>
      </c>
      <c r="F65" s="114">
        <f t="shared" si="10"/>
        <v>0.55000500000000008</v>
      </c>
      <c r="G65" s="87"/>
      <c r="H65" s="101"/>
      <c r="I65" s="115">
        <v>80</v>
      </c>
      <c r="J65" s="96">
        <v>0.8</v>
      </c>
      <c r="K65" s="96">
        <v>-2.6</v>
      </c>
      <c r="L65" s="114">
        <f t="shared" si="11"/>
        <v>1.7000000000000002</v>
      </c>
      <c r="M65" s="87"/>
      <c r="N65" s="87"/>
      <c r="O65" s="95"/>
      <c r="P65" s="84"/>
    </row>
    <row r="66" spans="1:16" ht="13.5" thickBot="1">
      <c r="A66" s="1151"/>
      <c r="B66" s="99"/>
      <c r="C66" s="116">
        <v>40</v>
      </c>
      <c r="D66" s="117">
        <v>-1.4</v>
      </c>
      <c r="E66" s="117">
        <v>-0.1</v>
      </c>
      <c r="F66" s="118">
        <f t="shared" si="10"/>
        <v>0.64999999999999991</v>
      </c>
      <c r="G66" s="99"/>
      <c r="H66" s="119"/>
      <c r="I66" s="116">
        <v>90</v>
      </c>
      <c r="J66" s="117">
        <v>0.7</v>
      </c>
      <c r="K66" s="117">
        <v>-2.6</v>
      </c>
      <c r="L66" s="118">
        <f t="shared" si="11"/>
        <v>1.65</v>
      </c>
      <c r="M66" s="99"/>
      <c r="N66" s="99"/>
      <c r="O66" s="100"/>
      <c r="P66" s="84"/>
    </row>
    <row r="67" spans="1:16" ht="13.5" thickBot="1">
      <c r="A67" s="121"/>
      <c r="B67" s="122"/>
      <c r="C67" s="122"/>
      <c r="D67" s="122"/>
      <c r="E67" s="123"/>
      <c r="F67" s="124"/>
      <c r="G67" s="125"/>
      <c r="H67" s="122"/>
      <c r="I67" s="122"/>
      <c r="J67" s="122"/>
      <c r="K67" s="123"/>
      <c r="L67" s="124"/>
      <c r="M67" s="87"/>
      <c r="N67" s="87"/>
      <c r="O67" s="95"/>
      <c r="P67" s="84"/>
    </row>
    <row r="68" spans="1:16" ht="13.5" thickBot="1">
      <c r="A68" s="1149">
        <v>7</v>
      </c>
      <c r="B68" s="1152" t="s">
        <v>673</v>
      </c>
      <c r="C68" s="1153"/>
      <c r="D68" s="1153"/>
      <c r="E68" s="1153"/>
      <c r="F68" s="1154"/>
      <c r="G68" s="86"/>
      <c r="H68" s="1152" t="str">
        <f>B68</f>
        <v>KOREKSI GREISINGER 34903053</v>
      </c>
      <c r="I68" s="1153"/>
      <c r="J68" s="1153"/>
      <c r="K68" s="1153"/>
      <c r="L68" s="1154"/>
      <c r="M68" s="86"/>
      <c r="N68" s="1137" t="s">
        <v>607</v>
      </c>
      <c r="O68" s="1138"/>
      <c r="P68" s="84"/>
    </row>
    <row r="69" spans="1:16" ht="13.5" thickBot="1">
      <c r="A69" s="1150"/>
      <c r="B69" s="1139" t="s">
        <v>664</v>
      </c>
      <c r="C69" s="1140"/>
      <c r="D69" s="1141" t="s">
        <v>346</v>
      </c>
      <c r="E69" s="1142"/>
      <c r="F69" s="1143" t="s">
        <v>665</v>
      </c>
      <c r="G69" s="87"/>
      <c r="H69" s="1139" t="s">
        <v>666</v>
      </c>
      <c r="I69" s="1140"/>
      <c r="J69" s="1141" t="s">
        <v>346</v>
      </c>
      <c r="K69" s="1142"/>
      <c r="L69" s="1143" t="s">
        <v>665</v>
      </c>
      <c r="M69" s="87"/>
      <c r="N69" s="104" t="s">
        <v>664</v>
      </c>
      <c r="O69" s="105">
        <v>0.3</v>
      </c>
      <c r="P69" s="84"/>
    </row>
    <row r="70" spans="1:16" ht="15" thickBot="1">
      <c r="A70" s="1150"/>
      <c r="B70" s="1145" t="s">
        <v>667</v>
      </c>
      <c r="C70" s="1146"/>
      <c r="D70" s="106">
        <v>2018</v>
      </c>
      <c r="E70" s="106">
        <v>2017</v>
      </c>
      <c r="F70" s="1144"/>
      <c r="G70" s="87"/>
      <c r="H70" s="1147" t="s">
        <v>16</v>
      </c>
      <c r="I70" s="1148"/>
      <c r="J70" s="107">
        <f>D70</f>
        <v>2018</v>
      </c>
      <c r="K70" s="107">
        <f>E70</f>
        <v>2017</v>
      </c>
      <c r="L70" s="1144"/>
      <c r="M70" s="87"/>
      <c r="N70" s="108" t="s">
        <v>16</v>
      </c>
      <c r="O70" s="109">
        <v>2.2999999999999998</v>
      </c>
      <c r="P70" s="84"/>
    </row>
    <row r="71" spans="1:16" ht="13">
      <c r="A71" s="1150"/>
      <c r="B71" s="87"/>
      <c r="C71" s="110">
        <v>15</v>
      </c>
      <c r="D71" s="111">
        <v>0.3</v>
      </c>
      <c r="E71" s="111">
        <v>0.2</v>
      </c>
      <c r="F71" s="112">
        <f t="shared" ref="F71:F77" si="12">0.5*(MAX(D71:E71)-MIN(D71:E71))</f>
        <v>4.9999999999999989E-2</v>
      </c>
      <c r="G71" s="87"/>
      <c r="H71" s="101"/>
      <c r="I71" s="110">
        <v>30</v>
      </c>
      <c r="J71" s="111">
        <v>1.8</v>
      </c>
      <c r="K71" s="111">
        <v>-0.1</v>
      </c>
      <c r="L71" s="112">
        <f t="shared" ref="L71:L77" si="13">0.5*(MAX(J71:K71)-MIN(J71:K71))</f>
        <v>0.95000000000000007</v>
      </c>
      <c r="M71" s="87"/>
      <c r="N71" s="87"/>
      <c r="O71" s="95"/>
      <c r="P71" s="84"/>
    </row>
    <row r="72" spans="1:16" ht="13">
      <c r="A72" s="1150"/>
      <c r="B72" s="87"/>
      <c r="C72" s="113">
        <v>20</v>
      </c>
      <c r="D72" s="93">
        <v>0.1</v>
      </c>
      <c r="E72" s="93">
        <v>0.1</v>
      </c>
      <c r="F72" s="114">
        <f t="shared" si="12"/>
        <v>0</v>
      </c>
      <c r="G72" s="87"/>
      <c r="H72" s="101"/>
      <c r="I72" s="113">
        <v>40</v>
      </c>
      <c r="J72" s="93">
        <v>1.2</v>
      </c>
      <c r="K72" s="93">
        <v>0</v>
      </c>
      <c r="L72" s="114">
        <f t="shared" si="13"/>
        <v>0.6</v>
      </c>
      <c r="M72" s="87"/>
      <c r="N72" s="87"/>
      <c r="O72" s="95"/>
      <c r="P72" s="84"/>
    </row>
    <row r="73" spans="1:16" ht="13">
      <c r="A73" s="1150"/>
      <c r="B73" s="87"/>
      <c r="C73" s="113">
        <v>25</v>
      </c>
      <c r="D73" s="93">
        <v>-0.2</v>
      </c>
      <c r="E73" s="93">
        <v>1.0000000000000001E-5</v>
      </c>
      <c r="F73" s="114">
        <f t="shared" si="12"/>
        <v>0.10000500000000001</v>
      </c>
      <c r="G73" s="87"/>
      <c r="H73" s="101"/>
      <c r="I73" s="113">
        <v>50</v>
      </c>
      <c r="J73" s="93">
        <v>0.8</v>
      </c>
      <c r="K73" s="93">
        <v>0.6</v>
      </c>
      <c r="L73" s="114">
        <f t="shared" si="13"/>
        <v>0.10000000000000003</v>
      </c>
      <c r="M73" s="87"/>
      <c r="N73" s="87"/>
      <c r="O73" s="95"/>
      <c r="P73" s="84"/>
    </row>
    <row r="74" spans="1:16" ht="13">
      <c r="A74" s="1150"/>
      <c r="B74" s="87"/>
      <c r="C74" s="115">
        <v>30</v>
      </c>
      <c r="D74" s="96">
        <v>-0.6</v>
      </c>
      <c r="E74" s="96">
        <v>-0.1</v>
      </c>
      <c r="F74" s="114">
        <f t="shared" si="12"/>
        <v>0.25</v>
      </c>
      <c r="G74" s="87"/>
      <c r="H74" s="101"/>
      <c r="I74" s="115">
        <v>60</v>
      </c>
      <c r="J74" s="96">
        <v>0.7</v>
      </c>
      <c r="K74" s="96">
        <v>1.5</v>
      </c>
      <c r="L74" s="114">
        <f t="shared" si="13"/>
        <v>0.4</v>
      </c>
      <c r="M74" s="87"/>
      <c r="N74" s="87"/>
      <c r="O74" s="95"/>
      <c r="P74" s="84"/>
    </row>
    <row r="75" spans="1:16" ht="13">
      <c r="A75" s="1150"/>
      <c r="B75" s="87"/>
      <c r="C75" s="115">
        <v>35</v>
      </c>
      <c r="D75" s="96">
        <v>-1.1000000000000001</v>
      </c>
      <c r="E75" s="96">
        <v>-0.1</v>
      </c>
      <c r="F75" s="114">
        <f t="shared" si="12"/>
        <v>0.5</v>
      </c>
      <c r="G75" s="87"/>
      <c r="H75" s="101"/>
      <c r="I75" s="115">
        <v>70</v>
      </c>
      <c r="J75" s="96">
        <v>0.9</v>
      </c>
      <c r="K75" s="96">
        <v>2.8</v>
      </c>
      <c r="L75" s="114">
        <f t="shared" si="13"/>
        <v>0.95</v>
      </c>
      <c r="M75" s="87"/>
      <c r="N75" s="87"/>
      <c r="O75" s="95"/>
      <c r="P75" s="84"/>
    </row>
    <row r="76" spans="1:16" ht="13">
      <c r="A76" s="1150"/>
      <c r="B76" s="87"/>
      <c r="C76" s="115">
        <v>37</v>
      </c>
      <c r="D76" s="96">
        <v>-1.4</v>
      </c>
      <c r="E76" s="96">
        <v>-0.1</v>
      </c>
      <c r="F76" s="114">
        <f t="shared" si="12"/>
        <v>0.64999999999999991</v>
      </c>
      <c r="G76" s="87"/>
      <c r="H76" s="101"/>
      <c r="I76" s="115">
        <v>80</v>
      </c>
      <c r="J76" s="96">
        <v>1.2</v>
      </c>
      <c r="K76" s="96">
        <v>4.4000000000000004</v>
      </c>
      <c r="L76" s="114">
        <f t="shared" si="13"/>
        <v>1.6</v>
      </c>
      <c r="M76" s="87"/>
      <c r="N76" s="87"/>
      <c r="O76" s="95"/>
      <c r="P76" s="84"/>
    </row>
    <row r="77" spans="1:16" ht="13.5" thickBot="1">
      <c r="A77" s="1151"/>
      <c r="B77" s="99"/>
      <c r="C77" s="116">
        <v>40</v>
      </c>
      <c r="D77" s="117">
        <v>-1.7</v>
      </c>
      <c r="E77" s="117">
        <v>-0.1</v>
      </c>
      <c r="F77" s="118">
        <f t="shared" si="12"/>
        <v>0.79999999999999993</v>
      </c>
      <c r="G77" s="99"/>
      <c r="H77" s="119"/>
      <c r="I77" s="116">
        <v>90</v>
      </c>
      <c r="J77" s="117">
        <v>1.8</v>
      </c>
      <c r="K77" s="117">
        <v>4.4000000000000004</v>
      </c>
      <c r="L77" s="118">
        <f t="shared" si="13"/>
        <v>1.3000000000000003</v>
      </c>
      <c r="M77" s="99"/>
      <c r="N77" s="99"/>
      <c r="O77" s="100"/>
      <c r="P77" s="84"/>
    </row>
    <row r="78" spans="1:16" ht="13.5" thickBot="1">
      <c r="A78" s="121"/>
      <c r="B78" s="122"/>
      <c r="C78" s="122"/>
      <c r="D78" s="122"/>
      <c r="E78" s="123"/>
      <c r="F78" s="124"/>
      <c r="G78" s="125"/>
      <c r="H78" s="122"/>
      <c r="I78" s="122"/>
      <c r="J78" s="122"/>
      <c r="K78" s="123"/>
      <c r="L78" s="124"/>
      <c r="M78" s="87"/>
      <c r="N78" s="87"/>
      <c r="O78" s="95"/>
      <c r="P78" s="84"/>
    </row>
    <row r="79" spans="1:16" ht="13.5" thickBot="1">
      <c r="A79" s="1149">
        <v>8</v>
      </c>
      <c r="B79" s="1152" t="s">
        <v>674</v>
      </c>
      <c r="C79" s="1153"/>
      <c r="D79" s="1153"/>
      <c r="E79" s="1153"/>
      <c r="F79" s="1154"/>
      <c r="G79" s="86"/>
      <c r="H79" s="1152" t="str">
        <f>B79</f>
        <v>KOREKSI GREISINGER 34903051</v>
      </c>
      <c r="I79" s="1153"/>
      <c r="J79" s="1153"/>
      <c r="K79" s="1153"/>
      <c r="L79" s="1154"/>
      <c r="M79" s="86"/>
      <c r="N79" s="1137" t="s">
        <v>607</v>
      </c>
      <c r="O79" s="1138"/>
      <c r="P79" s="84"/>
    </row>
    <row r="80" spans="1:16" ht="13.5" thickBot="1">
      <c r="A80" s="1150"/>
      <c r="B80" s="1139" t="s">
        <v>664</v>
      </c>
      <c r="C80" s="1140"/>
      <c r="D80" s="1141" t="s">
        <v>346</v>
      </c>
      <c r="E80" s="1142"/>
      <c r="F80" s="1143" t="s">
        <v>665</v>
      </c>
      <c r="G80" s="87"/>
      <c r="H80" s="1139" t="s">
        <v>666</v>
      </c>
      <c r="I80" s="1140"/>
      <c r="J80" s="1141" t="s">
        <v>346</v>
      </c>
      <c r="K80" s="1142"/>
      <c r="L80" s="1143" t="s">
        <v>665</v>
      </c>
      <c r="M80" s="87"/>
      <c r="N80" s="104" t="s">
        <v>664</v>
      </c>
      <c r="O80" s="127">
        <v>0.3</v>
      </c>
      <c r="P80" s="84"/>
    </row>
    <row r="81" spans="1:16" ht="15" thickBot="1">
      <c r="A81" s="1150"/>
      <c r="B81" s="1145" t="s">
        <v>667</v>
      </c>
      <c r="C81" s="1146"/>
      <c r="D81" s="106">
        <v>2019</v>
      </c>
      <c r="E81" s="106">
        <v>2017</v>
      </c>
      <c r="F81" s="1144"/>
      <c r="G81" s="87"/>
      <c r="H81" s="1147" t="s">
        <v>16</v>
      </c>
      <c r="I81" s="1148"/>
      <c r="J81" s="107">
        <f>D81</f>
        <v>2019</v>
      </c>
      <c r="K81" s="107">
        <f>E81</f>
        <v>2017</v>
      </c>
      <c r="L81" s="1144"/>
      <c r="M81" s="87"/>
      <c r="N81" s="108" t="s">
        <v>16</v>
      </c>
      <c r="O81" s="126">
        <v>2.6</v>
      </c>
      <c r="P81" s="84"/>
    </row>
    <row r="82" spans="1:16" ht="13">
      <c r="A82" s="1150"/>
      <c r="B82" s="87"/>
      <c r="C82" s="128">
        <v>15</v>
      </c>
      <c r="D82" s="93">
        <v>1.0000000000000001E-5</v>
      </c>
      <c r="E82" s="111">
        <v>-0.2</v>
      </c>
      <c r="F82" s="112">
        <f t="shared" ref="F82:F88" si="14">0.5*(MAX(D82:E82)-MIN(D82:E82))</f>
        <v>0.10000500000000001</v>
      </c>
      <c r="G82" s="87"/>
      <c r="H82" s="101"/>
      <c r="I82" s="128">
        <v>30</v>
      </c>
      <c r="J82" s="111">
        <v>-1.4</v>
      </c>
      <c r="K82" s="111">
        <v>1</v>
      </c>
      <c r="L82" s="112">
        <f t="shared" ref="L82:L88" si="15">0.5*(MAX(J82:K82)-MIN(J82:K82))</f>
        <v>1.2</v>
      </c>
      <c r="M82" s="87"/>
      <c r="N82" s="87"/>
      <c r="O82" s="95"/>
      <c r="P82" s="84"/>
    </row>
    <row r="83" spans="1:16" ht="13">
      <c r="A83" s="1150"/>
      <c r="B83" s="87"/>
      <c r="C83" s="129">
        <v>20</v>
      </c>
      <c r="D83" s="111">
        <v>-0.2</v>
      </c>
      <c r="E83" s="111">
        <v>-0.2</v>
      </c>
      <c r="F83" s="114">
        <f>0.5*(MAX(D83:E83)-MIN(D83:E83))</f>
        <v>0</v>
      </c>
      <c r="G83" s="87"/>
      <c r="H83" s="101"/>
      <c r="I83" s="129">
        <v>40</v>
      </c>
      <c r="J83" s="93">
        <v>-1.2</v>
      </c>
      <c r="K83" s="93">
        <v>1.1000000000000001</v>
      </c>
      <c r="L83" s="114">
        <f t="shared" si="15"/>
        <v>1.1499999999999999</v>
      </c>
      <c r="M83" s="87"/>
      <c r="N83" s="87"/>
      <c r="O83" s="95"/>
      <c r="P83" s="84"/>
    </row>
    <row r="84" spans="1:16" ht="13">
      <c r="A84" s="1150"/>
      <c r="B84" s="87"/>
      <c r="C84" s="129">
        <v>25</v>
      </c>
      <c r="D84" s="111">
        <v>-0.4</v>
      </c>
      <c r="E84" s="111">
        <v>-0.2</v>
      </c>
      <c r="F84" s="114">
        <f t="shared" si="14"/>
        <v>0.1</v>
      </c>
      <c r="G84" s="87"/>
      <c r="H84" s="101"/>
      <c r="I84" s="129">
        <v>50</v>
      </c>
      <c r="J84" s="93">
        <v>-1.2</v>
      </c>
      <c r="K84" s="93">
        <v>1.3</v>
      </c>
      <c r="L84" s="114">
        <f t="shared" si="15"/>
        <v>1.25</v>
      </c>
      <c r="M84" s="87"/>
      <c r="N84" s="87"/>
      <c r="O84" s="95"/>
      <c r="P84" s="84"/>
    </row>
    <row r="85" spans="1:16" ht="13">
      <c r="A85" s="1150"/>
      <c r="B85" s="87"/>
      <c r="C85" s="130">
        <v>30</v>
      </c>
      <c r="D85" s="111">
        <v>-0.4</v>
      </c>
      <c r="E85" s="111">
        <v>-0.2</v>
      </c>
      <c r="F85" s="114">
        <f t="shared" si="14"/>
        <v>0.1</v>
      </c>
      <c r="G85" s="87"/>
      <c r="H85" s="101"/>
      <c r="I85" s="130">
        <v>60</v>
      </c>
      <c r="J85" s="96">
        <v>-1.1000000000000001</v>
      </c>
      <c r="K85" s="96">
        <v>1.7</v>
      </c>
      <c r="L85" s="114">
        <f t="shared" si="15"/>
        <v>1.4</v>
      </c>
      <c r="M85" s="87"/>
      <c r="N85" s="87"/>
      <c r="O85" s="95"/>
      <c r="P85" s="84"/>
    </row>
    <row r="86" spans="1:16" ht="13">
      <c r="A86" s="1150"/>
      <c r="B86" s="87"/>
      <c r="C86" s="130">
        <v>35</v>
      </c>
      <c r="D86" s="96">
        <v>-0.5</v>
      </c>
      <c r="E86" s="96">
        <v>-0.3</v>
      </c>
      <c r="F86" s="114">
        <f t="shared" si="14"/>
        <v>0.1</v>
      </c>
      <c r="G86" s="87"/>
      <c r="H86" s="101"/>
      <c r="I86" s="130">
        <v>70</v>
      </c>
      <c r="J86" s="96">
        <v>-1.2</v>
      </c>
      <c r="K86" s="96">
        <v>2.1</v>
      </c>
      <c r="L86" s="114">
        <f t="shared" si="15"/>
        <v>1.65</v>
      </c>
      <c r="M86" s="87"/>
      <c r="N86" s="87"/>
      <c r="O86" s="95"/>
      <c r="P86" s="84"/>
    </row>
    <row r="87" spans="1:16" ht="13">
      <c r="A87" s="1150"/>
      <c r="B87" s="87"/>
      <c r="C87" s="130">
        <v>37</v>
      </c>
      <c r="D87" s="96">
        <v>-0.5</v>
      </c>
      <c r="E87" s="96">
        <v>-0.3</v>
      </c>
      <c r="F87" s="114">
        <f t="shared" si="14"/>
        <v>0.1</v>
      </c>
      <c r="G87" s="87"/>
      <c r="H87" s="101"/>
      <c r="I87" s="130">
        <v>80</v>
      </c>
      <c r="J87" s="96">
        <v>-1.2</v>
      </c>
      <c r="K87" s="96">
        <v>2.6</v>
      </c>
      <c r="L87" s="114">
        <f t="shared" si="15"/>
        <v>1.9</v>
      </c>
      <c r="M87" s="87"/>
      <c r="N87" s="87"/>
      <c r="O87" s="95"/>
      <c r="P87" s="84"/>
    </row>
    <row r="88" spans="1:16" ht="13.5" thickBot="1">
      <c r="A88" s="1151"/>
      <c r="B88" s="99"/>
      <c r="C88" s="131">
        <v>40</v>
      </c>
      <c r="D88" s="117">
        <v>-0.4</v>
      </c>
      <c r="E88" s="117">
        <v>-0.4</v>
      </c>
      <c r="F88" s="118">
        <f t="shared" si="14"/>
        <v>0</v>
      </c>
      <c r="G88" s="99"/>
      <c r="H88" s="119"/>
      <c r="I88" s="131">
        <v>90</v>
      </c>
      <c r="J88" s="117">
        <v>-1.3</v>
      </c>
      <c r="K88" s="117">
        <v>2.6</v>
      </c>
      <c r="L88" s="118">
        <f t="shared" si="15"/>
        <v>1.9500000000000002</v>
      </c>
      <c r="M88" s="99"/>
      <c r="N88" s="99"/>
      <c r="O88" s="100"/>
      <c r="P88" s="84"/>
    </row>
    <row r="89" spans="1:16" ht="13.5" thickBot="1">
      <c r="A89" s="121"/>
      <c r="B89" s="122"/>
      <c r="C89" s="122"/>
      <c r="D89" s="122"/>
      <c r="E89" s="123"/>
      <c r="F89" s="132"/>
      <c r="G89" s="125"/>
      <c r="H89" s="122"/>
      <c r="I89" s="122"/>
      <c r="J89" s="122"/>
      <c r="K89" s="123"/>
      <c r="L89" s="132"/>
      <c r="M89" s="87"/>
      <c r="N89" s="87"/>
      <c r="O89" s="95"/>
      <c r="P89" s="84"/>
    </row>
    <row r="90" spans="1:16" ht="13.5" thickBot="1">
      <c r="A90" s="1149">
        <v>9</v>
      </c>
      <c r="B90" s="1152" t="s">
        <v>675</v>
      </c>
      <c r="C90" s="1153"/>
      <c r="D90" s="1153"/>
      <c r="E90" s="1153"/>
      <c r="F90" s="1154"/>
      <c r="G90" s="86"/>
      <c r="H90" s="1152" t="str">
        <f>B90</f>
        <v>KOREKSI GREISINGER 34904091</v>
      </c>
      <c r="I90" s="1153"/>
      <c r="J90" s="1153"/>
      <c r="K90" s="1153"/>
      <c r="L90" s="1154"/>
      <c r="M90" s="86"/>
      <c r="N90" s="1137" t="s">
        <v>607</v>
      </c>
      <c r="O90" s="1138"/>
      <c r="P90" s="84"/>
    </row>
    <row r="91" spans="1:16" ht="13.5" thickBot="1">
      <c r="A91" s="1150"/>
      <c r="B91" s="1139" t="s">
        <v>664</v>
      </c>
      <c r="C91" s="1140"/>
      <c r="D91" s="1141" t="s">
        <v>346</v>
      </c>
      <c r="E91" s="1142"/>
      <c r="F91" s="1143" t="s">
        <v>665</v>
      </c>
      <c r="G91" s="87"/>
      <c r="H91" s="1139" t="s">
        <v>666</v>
      </c>
      <c r="I91" s="1140"/>
      <c r="J91" s="1141" t="s">
        <v>346</v>
      </c>
      <c r="K91" s="1142"/>
      <c r="L91" s="1143" t="s">
        <v>665</v>
      </c>
      <c r="M91" s="87"/>
      <c r="N91" s="104" t="s">
        <v>664</v>
      </c>
      <c r="O91" s="127">
        <v>0.3</v>
      </c>
      <c r="P91" s="84"/>
    </row>
    <row r="92" spans="1:16" ht="15" thickBot="1">
      <c r="A92" s="1150"/>
      <c r="B92" s="1145" t="s">
        <v>667</v>
      </c>
      <c r="C92" s="1146"/>
      <c r="D92" s="106">
        <v>2019</v>
      </c>
      <c r="E92" s="133" t="s">
        <v>139</v>
      </c>
      <c r="F92" s="1144"/>
      <c r="G92" s="87"/>
      <c r="H92" s="1147" t="s">
        <v>16</v>
      </c>
      <c r="I92" s="1148"/>
      <c r="J92" s="107">
        <f>D92</f>
        <v>2019</v>
      </c>
      <c r="K92" s="107" t="str">
        <f>E92</f>
        <v>-</v>
      </c>
      <c r="L92" s="1144"/>
      <c r="M92" s="87"/>
      <c r="N92" s="108" t="s">
        <v>16</v>
      </c>
      <c r="O92" s="126">
        <v>2.4</v>
      </c>
      <c r="P92" s="84"/>
    </row>
    <row r="93" spans="1:16" ht="13">
      <c r="A93" s="1150"/>
      <c r="B93" s="101"/>
      <c r="C93" s="128">
        <v>15</v>
      </c>
      <c r="D93" s="93">
        <v>1.0000000000000001E-5</v>
      </c>
      <c r="E93" s="134" t="s">
        <v>139</v>
      </c>
      <c r="F93" s="112">
        <f t="shared" ref="F93" si="16">0.5*(MAX(D93:E93)-MIN(D93:E93))</f>
        <v>0</v>
      </c>
      <c r="G93" s="87"/>
      <c r="H93" s="101"/>
      <c r="I93" s="128">
        <v>30</v>
      </c>
      <c r="J93" s="111">
        <v>-1.2</v>
      </c>
      <c r="K93" s="134" t="s">
        <v>139</v>
      </c>
      <c r="L93" s="112">
        <f t="shared" ref="L93:L99" si="17">0.5*(MAX(J93:K93)-MIN(J93:K93))</f>
        <v>0</v>
      </c>
      <c r="M93" s="87"/>
      <c r="N93" s="87"/>
      <c r="O93" s="95"/>
      <c r="P93" s="84"/>
    </row>
    <row r="94" spans="1:16" ht="13">
      <c r="A94" s="1150"/>
      <c r="B94" s="101"/>
      <c r="C94" s="129">
        <v>20</v>
      </c>
      <c r="D94" s="111">
        <v>-0.2</v>
      </c>
      <c r="E94" s="135" t="s">
        <v>139</v>
      </c>
      <c r="F94" s="114">
        <f>0.5*(MAX(D94:E94)-MIN(D94:E94))</f>
        <v>0</v>
      </c>
      <c r="G94" s="87"/>
      <c r="H94" s="101"/>
      <c r="I94" s="129">
        <v>40</v>
      </c>
      <c r="J94" s="111">
        <v>-1</v>
      </c>
      <c r="K94" s="135" t="s">
        <v>139</v>
      </c>
      <c r="L94" s="114">
        <f t="shared" si="17"/>
        <v>0</v>
      </c>
      <c r="M94" s="87"/>
      <c r="N94" s="87"/>
      <c r="O94" s="95"/>
      <c r="P94" s="84"/>
    </row>
    <row r="95" spans="1:16" ht="13">
      <c r="A95" s="1150"/>
      <c r="B95" s="101"/>
      <c r="C95" s="129">
        <v>25</v>
      </c>
      <c r="D95" s="111">
        <v>-0.4</v>
      </c>
      <c r="E95" s="135" t="s">
        <v>139</v>
      </c>
      <c r="F95" s="114">
        <f t="shared" ref="F95:F99" si="18">0.5*(MAX(D95:E95)-MIN(D95:E95))</f>
        <v>0</v>
      </c>
      <c r="G95" s="87"/>
      <c r="H95" s="101"/>
      <c r="I95" s="129">
        <v>50</v>
      </c>
      <c r="J95" s="111">
        <v>-0.9</v>
      </c>
      <c r="K95" s="135" t="s">
        <v>139</v>
      </c>
      <c r="L95" s="114">
        <f t="shared" si="17"/>
        <v>0</v>
      </c>
      <c r="M95" s="87"/>
      <c r="N95" s="87"/>
      <c r="O95" s="95"/>
      <c r="P95" s="84"/>
    </row>
    <row r="96" spans="1:16" ht="13">
      <c r="A96" s="1150"/>
      <c r="B96" s="101"/>
      <c r="C96" s="130">
        <v>30</v>
      </c>
      <c r="D96" s="111">
        <v>-0.5</v>
      </c>
      <c r="E96" s="97" t="s">
        <v>139</v>
      </c>
      <c r="F96" s="114">
        <f t="shared" si="18"/>
        <v>0</v>
      </c>
      <c r="G96" s="87"/>
      <c r="H96" s="101"/>
      <c r="I96" s="130">
        <v>60</v>
      </c>
      <c r="J96" s="111">
        <v>-0.8</v>
      </c>
      <c r="K96" s="97" t="s">
        <v>139</v>
      </c>
      <c r="L96" s="114">
        <f t="shared" si="17"/>
        <v>0</v>
      </c>
      <c r="M96" s="87"/>
      <c r="N96" s="87"/>
      <c r="O96" s="95"/>
      <c r="P96" s="84"/>
    </row>
    <row r="97" spans="1:16" ht="13">
      <c r="A97" s="1150"/>
      <c r="B97" s="101"/>
      <c r="C97" s="130">
        <v>35</v>
      </c>
      <c r="D97" s="111">
        <v>-0.5</v>
      </c>
      <c r="E97" s="97" t="s">
        <v>139</v>
      </c>
      <c r="F97" s="114">
        <f t="shared" si="18"/>
        <v>0</v>
      </c>
      <c r="G97" s="87"/>
      <c r="H97" s="101"/>
      <c r="I97" s="130">
        <v>70</v>
      </c>
      <c r="J97" s="111">
        <v>-0.6</v>
      </c>
      <c r="K97" s="97" t="s">
        <v>139</v>
      </c>
      <c r="L97" s="114">
        <f t="shared" si="17"/>
        <v>0</v>
      </c>
      <c r="M97" s="87"/>
      <c r="N97" s="87"/>
      <c r="O97" s="95"/>
      <c r="P97" s="84"/>
    </row>
    <row r="98" spans="1:16" ht="13">
      <c r="A98" s="1150"/>
      <c r="B98" s="101"/>
      <c r="C98" s="130">
        <v>37</v>
      </c>
      <c r="D98" s="111">
        <v>-0.5</v>
      </c>
      <c r="E98" s="97" t="s">
        <v>139</v>
      </c>
      <c r="F98" s="114">
        <f t="shared" si="18"/>
        <v>0</v>
      </c>
      <c r="G98" s="87"/>
      <c r="H98" s="101"/>
      <c r="I98" s="130">
        <v>80</v>
      </c>
      <c r="J98" s="111">
        <v>-0.5</v>
      </c>
      <c r="K98" s="97" t="s">
        <v>139</v>
      </c>
      <c r="L98" s="114">
        <f t="shared" si="17"/>
        <v>0</v>
      </c>
      <c r="M98" s="87"/>
      <c r="N98" s="87"/>
      <c r="O98" s="95"/>
      <c r="P98" s="84"/>
    </row>
    <row r="99" spans="1:16" ht="13.5" thickBot="1">
      <c r="A99" s="1151"/>
      <c r="B99" s="119"/>
      <c r="C99" s="131">
        <v>40</v>
      </c>
      <c r="D99" s="136">
        <v>-0.4</v>
      </c>
      <c r="E99" s="120" t="s">
        <v>139</v>
      </c>
      <c r="F99" s="118">
        <f t="shared" si="18"/>
        <v>0</v>
      </c>
      <c r="G99" s="99"/>
      <c r="H99" s="119"/>
      <c r="I99" s="131">
        <v>90</v>
      </c>
      <c r="J99" s="136">
        <v>-0.2</v>
      </c>
      <c r="K99" s="120" t="s">
        <v>139</v>
      </c>
      <c r="L99" s="118">
        <f t="shared" si="17"/>
        <v>0</v>
      </c>
      <c r="M99" s="99"/>
      <c r="N99" s="99"/>
      <c r="O99" s="100"/>
      <c r="P99" s="84"/>
    </row>
    <row r="100" spans="1:16" ht="13.5" thickBot="1">
      <c r="A100" s="121"/>
      <c r="B100" s="122"/>
      <c r="C100" s="122"/>
      <c r="D100" s="122"/>
      <c r="E100" s="123"/>
      <c r="F100" s="132"/>
      <c r="G100" s="125"/>
      <c r="H100" s="122"/>
      <c r="I100" s="122"/>
      <c r="J100" s="122"/>
      <c r="K100" s="123"/>
      <c r="L100" s="132"/>
      <c r="M100" s="125"/>
      <c r="N100" s="87"/>
      <c r="O100" s="95"/>
      <c r="P100" s="84"/>
    </row>
    <row r="101" spans="1:16" ht="13.5" thickBot="1">
      <c r="A101" s="1149">
        <v>10</v>
      </c>
      <c r="B101" s="1152" t="s">
        <v>676</v>
      </c>
      <c r="C101" s="1153"/>
      <c r="D101" s="1153"/>
      <c r="E101" s="1153"/>
      <c r="F101" s="1154"/>
      <c r="G101" s="86"/>
      <c r="H101" s="1155" t="str">
        <f>B101</f>
        <v>KOREKSI Sekonic HE-21.000669</v>
      </c>
      <c r="I101" s="1156"/>
      <c r="J101" s="1156"/>
      <c r="K101" s="1156"/>
      <c r="L101" s="1157"/>
      <c r="M101" s="86"/>
      <c r="N101" s="1137" t="s">
        <v>607</v>
      </c>
      <c r="O101" s="1138"/>
      <c r="P101" s="84"/>
    </row>
    <row r="102" spans="1:16" ht="13.5" thickBot="1">
      <c r="A102" s="1150"/>
      <c r="B102" s="1139" t="s">
        <v>664</v>
      </c>
      <c r="C102" s="1140"/>
      <c r="D102" s="1141" t="s">
        <v>346</v>
      </c>
      <c r="E102" s="1142"/>
      <c r="F102" s="1143" t="s">
        <v>665</v>
      </c>
      <c r="G102" s="87"/>
      <c r="H102" s="1139" t="s">
        <v>666</v>
      </c>
      <c r="I102" s="1140"/>
      <c r="J102" s="1141" t="s">
        <v>346</v>
      </c>
      <c r="K102" s="1142"/>
      <c r="L102" s="1143" t="s">
        <v>665</v>
      </c>
      <c r="M102" s="87"/>
      <c r="N102" s="104" t="s">
        <v>664</v>
      </c>
      <c r="O102" s="127">
        <v>0.3</v>
      </c>
      <c r="P102" s="84"/>
    </row>
    <row r="103" spans="1:16" ht="15" thickBot="1">
      <c r="A103" s="1150"/>
      <c r="B103" s="1145" t="s">
        <v>667</v>
      </c>
      <c r="C103" s="1146"/>
      <c r="D103" s="106">
        <v>2019</v>
      </c>
      <c r="E103" s="106">
        <v>2016</v>
      </c>
      <c r="F103" s="1144"/>
      <c r="G103" s="87"/>
      <c r="H103" s="1147" t="s">
        <v>16</v>
      </c>
      <c r="I103" s="1148"/>
      <c r="J103" s="107">
        <f>D103</f>
        <v>2019</v>
      </c>
      <c r="K103" s="107">
        <f>E103</f>
        <v>2016</v>
      </c>
      <c r="L103" s="1144"/>
      <c r="M103" s="87"/>
      <c r="N103" s="108" t="s">
        <v>16</v>
      </c>
      <c r="O103" s="126">
        <v>1.5</v>
      </c>
      <c r="P103" s="84"/>
    </row>
    <row r="104" spans="1:16" ht="13">
      <c r="A104" s="1150"/>
      <c r="B104" s="87"/>
      <c r="C104" s="128">
        <v>15</v>
      </c>
      <c r="D104" s="111">
        <v>0.2</v>
      </c>
      <c r="E104" s="111">
        <v>0.2</v>
      </c>
      <c r="F104" s="112">
        <f t="shared" ref="F104:F110" si="19">0.5*(MAX(D104:E104)-MIN(D104:E104))</f>
        <v>0</v>
      </c>
      <c r="G104" s="87"/>
      <c r="H104" s="101"/>
      <c r="I104" s="128">
        <v>30</v>
      </c>
      <c r="J104" s="111">
        <v>-2.9</v>
      </c>
      <c r="K104" s="111">
        <v>-5.8</v>
      </c>
      <c r="L104" s="112">
        <f t="shared" ref="L104:L107" si="20">0.5*(MAX(J104:K104)-MIN(J104:K104))</f>
        <v>1.45</v>
      </c>
      <c r="M104" s="87"/>
      <c r="N104" s="87"/>
      <c r="O104" s="95"/>
      <c r="P104" s="84"/>
    </row>
    <row r="105" spans="1:16" ht="13">
      <c r="A105" s="1150"/>
      <c r="B105" s="87"/>
      <c r="C105" s="129">
        <v>20</v>
      </c>
      <c r="D105" s="93">
        <v>0.2</v>
      </c>
      <c r="E105" s="93">
        <v>-0.7</v>
      </c>
      <c r="F105" s="114">
        <f t="shared" si="19"/>
        <v>0.44999999999999996</v>
      </c>
      <c r="G105" s="87"/>
      <c r="H105" s="101"/>
      <c r="I105" s="129">
        <v>40</v>
      </c>
      <c r="J105" s="93">
        <v>-3.3</v>
      </c>
      <c r="K105" s="93">
        <v>-6.4</v>
      </c>
      <c r="L105" s="114">
        <f t="shared" si="20"/>
        <v>1.5500000000000003</v>
      </c>
      <c r="M105" s="87"/>
      <c r="N105" s="87"/>
      <c r="O105" s="95"/>
      <c r="P105" s="84"/>
    </row>
    <row r="106" spans="1:16" ht="13">
      <c r="A106" s="1150"/>
      <c r="B106" s="87"/>
      <c r="C106" s="129">
        <v>25</v>
      </c>
      <c r="D106" s="93">
        <v>0.1</v>
      </c>
      <c r="E106" s="93">
        <v>-0.5</v>
      </c>
      <c r="F106" s="114">
        <f t="shared" si="19"/>
        <v>0.3</v>
      </c>
      <c r="G106" s="87"/>
      <c r="H106" s="101"/>
      <c r="I106" s="129">
        <v>50</v>
      </c>
      <c r="J106" s="93">
        <v>-3.1</v>
      </c>
      <c r="K106" s="93">
        <v>-6.1</v>
      </c>
      <c r="L106" s="114">
        <f t="shared" si="20"/>
        <v>1.4999999999999998</v>
      </c>
      <c r="M106" s="87"/>
      <c r="N106" s="87"/>
      <c r="O106" s="95"/>
      <c r="P106" s="84"/>
    </row>
    <row r="107" spans="1:16" ht="13">
      <c r="A107" s="1150"/>
      <c r="B107" s="87"/>
      <c r="C107" s="130">
        <v>30</v>
      </c>
      <c r="D107" s="96">
        <v>0.1</v>
      </c>
      <c r="E107" s="96">
        <v>0.2</v>
      </c>
      <c r="F107" s="114">
        <f t="shared" si="19"/>
        <v>0.05</v>
      </c>
      <c r="G107" s="87"/>
      <c r="H107" s="101"/>
      <c r="I107" s="130">
        <v>60</v>
      </c>
      <c r="J107" s="96">
        <v>-2.1</v>
      </c>
      <c r="K107" s="96">
        <v>-5.6</v>
      </c>
      <c r="L107" s="114">
        <f t="shared" si="20"/>
        <v>1.7499999999999998</v>
      </c>
      <c r="M107" s="87"/>
      <c r="N107" s="87"/>
      <c r="O107" s="95"/>
      <c r="P107" s="84"/>
    </row>
    <row r="108" spans="1:16" ht="13">
      <c r="A108" s="1150"/>
      <c r="B108" s="87"/>
      <c r="C108" s="130">
        <v>35</v>
      </c>
      <c r="D108" s="96">
        <v>0.2</v>
      </c>
      <c r="E108" s="96">
        <v>0.8</v>
      </c>
      <c r="F108" s="114">
        <f t="shared" si="19"/>
        <v>0.30000000000000004</v>
      </c>
      <c r="G108" s="87"/>
      <c r="H108" s="101"/>
      <c r="I108" s="130">
        <v>70</v>
      </c>
      <c r="J108" s="96">
        <v>-0.3</v>
      </c>
      <c r="K108" s="96">
        <v>-5.0999999999999996</v>
      </c>
      <c r="L108" s="114">
        <f>0.5*(MAX(J108:K108)-MIN(J108:K108))</f>
        <v>2.4</v>
      </c>
      <c r="M108" s="87"/>
      <c r="N108" s="87"/>
      <c r="O108" s="95"/>
      <c r="P108" s="84"/>
    </row>
    <row r="109" spans="1:16" ht="13">
      <c r="A109" s="1150"/>
      <c r="B109" s="87"/>
      <c r="C109" s="130">
        <v>37</v>
      </c>
      <c r="D109" s="96">
        <v>0.2</v>
      </c>
      <c r="E109" s="96">
        <v>0.4</v>
      </c>
      <c r="F109" s="114">
        <f t="shared" si="19"/>
        <v>0.1</v>
      </c>
      <c r="G109" s="87"/>
      <c r="H109" s="101"/>
      <c r="I109" s="130">
        <v>80</v>
      </c>
      <c r="J109" s="96">
        <v>2.2000000000000002</v>
      </c>
      <c r="K109" s="96">
        <v>-4.7</v>
      </c>
      <c r="L109" s="114">
        <f t="shared" ref="L109:L110" si="21">0.5*(MAX(J109:K109)-MIN(J109:K109))</f>
        <v>3.45</v>
      </c>
      <c r="M109" s="87"/>
      <c r="N109" s="87"/>
      <c r="O109" s="95"/>
      <c r="P109" s="84"/>
    </row>
    <row r="110" spans="1:16" ht="13.5" thickBot="1">
      <c r="A110" s="1151"/>
      <c r="B110" s="99"/>
      <c r="C110" s="131">
        <v>40</v>
      </c>
      <c r="D110" s="137">
        <v>0.2</v>
      </c>
      <c r="E110" s="93">
        <v>1.0000000000000001E-5</v>
      </c>
      <c r="F110" s="118">
        <f t="shared" si="19"/>
        <v>9.9995000000000001E-2</v>
      </c>
      <c r="G110" s="99"/>
      <c r="H110" s="119"/>
      <c r="I110" s="131">
        <v>90</v>
      </c>
      <c r="J110" s="116">
        <v>5.4</v>
      </c>
      <c r="K110" s="116">
        <v>0</v>
      </c>
      <c r="L110" s="118">
        <f t="shared" si="21"/>
        <v>2.7</v>
      </c>
      <c r="M110" s="99"/>
      <c r="N110" s="99"/>
      <c r="O110" s="100"/>
      <c r="P110" s="84"/>
    </row>
    <row r="111" spans="1:16" ht="13.5" thickBot="1">
      <c r="A111" s="121"/>
      <c r="B111" s="122"/>
      <c r="C111" s="122"/>
      <c r="D111" s="122"/>
      <c r="E111" s="123"/>
      <c r="F111" s="132"/>
      <c r="G111" s="125"/>
      <c r="H111" s="122"/>
      <c r="I111" s="122"/>
      <c r="J111" s="122"/>
      <c r="K111" s="123"/>
      <c r="L111" s="132"/>
      <c r="M111" s="125"/>
      <c r="N111" s="87"/>
      <c r="O111" s="95"/>
      <c r="P111" s="84"/>
    </row>
    <row r="112" spans="1:16" ht="13.5" thickBot="1">
      <c r="A112" s="1149">
        <v>11</v>
      </c>
      <c r="B112" s="1152" t="s">
        <v>677</v>
      </c>
      <c r="C112" s="1153"/>
      <c r="D112" s="1153"/>
      <c r="E112" s="1153"/>
      <c r="F112" s="1154"/>
      <c r="G112" s="86"/>
      <c r="H112" s="1155" t="str">
        <f>B112</f>
        <v>KOREKSI Sekonic HE-21.000670</v>
      </c>
      <c r="I112" s="1156"/>
      <c r="J112" s="1156"/>
      <c r="K112" s="1156"/>
      <c r="L112" s="1157"/>
      <c r="M112" s="86"/>
      <c r="N112" s="1137" t="s">
        <v>607</v>
      </c>
      <c r="O112" s="1138"/>
      <c r="P112" s="84"/>
    </row>
    <row r="113" spans="1:16" ht="13.5" thickBot="1">
      <c r="A113" s="1150"/>
      <c r="B113" s="1139" t="s">
        <v>664</v>
      </c>
      <c r="C113" s="1140"/>
      <c r="D113" s="1141" t="s">
        <v>346</v>
      </c>
      <c r="E113" s="1142"/>
      <c r="F113" s="1143" t="s">
        <v>665</v>
      </c>
      <c r="G113" s="87"/>
      <c r="H113" s="1139" t="s">
        <v>666</v>
      </c>
      <c r="I113" s="1140"/>
      <c r="J113" s="1141" t="s">
        <v>346</v>
      </c>
      <c r="K113" s="1142"/>
      <c r="L113" s="1143" t="s">
        <v>665</v>
      </c>
      <c r="M113" s="87"/>
      <c r="N113" s="104" t="s">
        <v>664</v>
      </c>
      <c r="O113" s="127">
        <v>0.3</v>
      </c>
      <c r="P113" s="84"/>
    </row>
    <row r="114" spans="1:16" ht="15" thickBot="1">
      <c r="A114" s="1150"/>
      <c r="B114" s="1145" t="s">
        <v>667</v>
      </c>
      <c r="C114" s="1146"/>
      <c r="D114" s="106">
        <v>2020</v>
      </c>
      <c r="E114" s="133" t="s">
        <v>139</v>
      </c>
      <c r="F114" s="1144"/>
      <c r="G114" s="87"/>
      <c r="H114" s="1147" t="s">
        <v>16</v>
      </c>
      <c r="I114" s="1148"/>
      <c r="J114" s="107">
        <f>D114</f>
        <v>2020</v>
      </c>
      <c r="K114" s="107" t="str">
        <f>E114</f>
        <v>-</v>
      </c>
      <c r="L114" s="1144"/>
      <c r="M114" s="87"/>
      <c r="N114" s="108" t="s">
        <v>16</v>
      </c>
      <c r="O114" s="126">
        <v>1.8</v>
      </c>
      <c r="P114" s="84"/>
    </row>
    <row r="115" spans="1:16" ht="13">
      <c r="A115" s="1150"/>
      <c r="B115" s="87"/>
      <c r="C115" s="128">
        <v>15</v>
      </c>
      <c r="D115" s="111">
        <v>0.3</v>
      </c>
      <c r="E115" s="134" t="s">
        <v>139</v>
      </c>
      <c r="F115" s="112">
        <f t="shared" ref="F115:F121" si="22">0.5*(MAX(D115:E115)-MIN(D115:E115))</f>
        <v>0</v>
      </c>
      <c r="G115" s="87"/>
      <c r="H115" s="101"/>
      <c r="I115" s="128">
        <v>30</v>
      </c>
      <c r="J115" s="111">
        <v>-5.2</v>
      </c>
      <c r="K115" s="134" t="s">
        <v>139</v>
      </c>
      <c r="L115" s="112">
        <f t="shared" ref="L115:L121" si="23">0.5*(MAX(J115:K115)-MIN(J115:K115))</f>
        <v>0</v>
      </c>
      <c r="M115" s="87"/>
      <c r="N115" s="87"/>
      <c r="O115" s="95"/>
      <c r="P115" s="84"/>
    </row>
    <row r="116" spans="1:16" ht="13">
      <c r="A116" s="1150"/>
      <c r="B116" s="87"/>
      <c r="C116" s="129">
        <v>20</v>
      </c>
      <c r="D116" s="93">
        <v>0.4</v>
      </c>
      <c r="E116" s="135" t="s">
        <v>139</v>
      </c>
      <c r="F116" s="114">
        <f t="shared" si="22"/>
        <v>0</v>
      </c>
      <c r="G116" s="87"/>
      <c r="H116" s="101"/>
      <c r="I116" s="129">
        <v>40</v>
      </c>
      <c r="J116" s="93">
        <v>-5.5</v>
      </c>
      <c r="K116" s="135" t="s">
        <v>139</v>
      </c>
      <c r="L116" s="114">
        <f t="shared" si="23"/>
        <v>0</v>
      </c>
      <c r="M116" s="87"/>
      <c r="N116" s="87"/>
      <c r="O116" s="95"/>
      <c r="P116" s="84"/>
    </row>
    <row r="117" spans="1:16" ht="13">
      <c r="A117" s="1150"/>
      <c r="B117" s="87"/>
      <c r="C117" s="129">
        <v>25</v>
      </c>
      <c r="D117" s="93">
        <v>0.4</v>
      </c>
      <c r="E117" s="135" t="s">
        <v>139</v>
      </c>
      <c r="F117" s="114">
        <f t="shared" si="22"/>
        <v>0</v>
      </c>
      <c r="G117" s="87"/>
      <c r="H117" s="101"/>
      <c r="I117" s="129">
        <v>50</v>
      </c>
      <c r="J117" s="93">
        <v>-5.5</v>
      </c>
      <c r="K117" s="135" t="s">
        <v>139</v>
      </c>
      <c r="L117" s="114">
        <f t="shared" si="23"/>
        <v>0</v>
      </c>
      <c r="M117" s="87"/>
      <c r="N117" s="87"/>
      <c r="O117" s="95"/>
      <c r="P117" s="84"/>
    </row>
    <row r="118" spans="1:16" ht="13">
      <c r="A118" s="1150"/>
      <c r="B118" s="87"/>
      <c r="C118" s="130">
        <v>30</v>
      </c>
      <c r="D118" s="96">
        <v>0.5</v>
      </c>
      <c r="E118" s="97" t="s">
        <v>139</v>
      </c>
      <c r="F118" s="114">
        <f t="shared" si="22"/>
        <v>0</v>
      </c>
      <c r="G118" s="87"/>
      <c r="H118" s="101"/>
      <c r="I118" s="130">
        <v>60</v>
      </c>
      <c r="J118" s="96">
        <v>-4.8</v>
      </c>
      <c r="K118" s="97" t="s">
        <v>139</v>
      </c>
      <c r="L118" s="114">
        <f t="shared" si="23"/>
        <v>0</v>
      </c>
      <c r="M118" s="87"/>
      <c r="N118" s="87"/>
      <c r="O118" s="95"/>
      <c r="P118" s="84"/>
    </row>
    <row r="119" spans="1:16" ht="13">
      <c r="A119" s="1150"/>
      <c r="B119" s="87"/>
      <c r="C119" s="130">
        <v>35</v>
      </c>
      <c r="D119" s="96">
        <v>0.5</v>
      </c>
      <c r="E119" s="97" t="s">
        <v>139</v>
      </c>
      <c r="F119" s="114">
        <f t="shared" si="22"/>
        <v>0</v>
      </c>
      <c r="G119" s="87"/>
      <c r="H119" s="101"/>
      <c r="I119" s="130">
        <v>70</v>
      </c>
      <c r="J119" s="96">
        <v>-3.4</v>
      </c>
      <c r="K119" s="97" t="s">
        <v>139</v>
      </c>
      <c r="L119" s="114">
        <f t="shared" si="23"/>
        <v>0</v>
      </c>
      <c r="M119" s="87"/>
      <c r="N119" s="87"/>
      <c r="O119" s="95"/>
      <c r="P119" s="84"/>
    </row>
    <row r="120" spans="1:16" ht="13">
      <c r="A120" s="1150"/>
      <c r="B120" s="87"/>
      <c r="C120" s="130">
        <v>37</v>
      </c>
      <c r="D120" s="96">
        <v>0.5</v>
      </c>
      <c r="E120" s="97" t="s">
        <v>139</v>
      </c>
      <c r="F120" s="114">
        <f t="shared" si="22"/>
        <v>0</v>
      </c>
      <c r="G120" s="87"/>
      <c r="H120" s="101"/>
      <c r="I120" s="130">
        <v>80</v>
      </c>
      <c r="J120" s="96">
        <v>-1.4</v>
      </c>
      <c r="K120" s="97" t="s">
        <v>139</v>
      </c>
      <c r="L120" s="114">
        <f t="shared" si="23"/>
        <v>0</v>
      </c>
      <c r="M120" s="87"/>
      <c r="N120" s="87"/>
      <c r="O120" s="95"/>
      <c r="P120" s="84"/>
    </row>
    <row r="121" spans="1:16" ht="13.5" thickBot="1">
      <c r="A121" s="1151"/>
      <c r="B121" s="99"/>
      <c r="C121" s="131">
        <v>40</v>
      </c>
      <c r="D121" s="117">
        <v>0.5</v>
      </c>
      <c r="E121" s="120" t="s">
        <v>139</v>
      </c>
      <c r="F121" s="118">
        <f t="shared" si="22"/>
        <v>0</v>
      </c>
      <c r="G121" s="99"/>
      <c r="H121" s="119"/>
      <c r="I121" s="131">
        <v>90</v>
      </c>
      <c r="J121" s="117">
        <v>1.3</v>
      </c>
      <c r="K121" s="120" t="s">
        <v>139</v>
      </c>
      <c r="L121" s="118">
        <f t="shared" si="23"/>
        <v>0</v>
      </c>
      <c r="M121" s="99"/>
      <c r="N121" s="99"/>
      <c r="O121" s="100"/>
      <c r="P121" s="84"/>
    </row>
    <row r="122" spans="1:16" ht="13.5" thickBot="1">
      <c r="A122" s="121"/>
      <c r="B122" s="122"/>
      <c r="C122" s="122"/>
      <c r="D122" s="122"/>
      <c r="E122" s="123"/>
      <c r="F122" s="132"/>
      <c r="G122" s="125"/>
      <c r="H122" s="122"/>
      <c r="I122" s="122"/>
      <c r="J122" s="122"/>
      <c r="K122" s="123"/>
      <c r="L122" s="132"/>
      <c r="M122" s="87"/>
      <c r="N122" s="87"/>
      <c r="O122" s="95"/>
      <c r="P122" s="84"/>
    </row>
    <row r="123" spans="1:16" ht="13.5" thickBot="1">
      <c r="A123" s="1149">
        <v>12</v>
      </c>
      <c r="B123" s="1152" t="s">
        <v>678</v>
      </c>
      <c r="C123" s="1153"/>
      <c r="D123" s="1153"/>
      <c r="E123" s="1153"/>
      <c r="F123" s="1154"/>
      <c r="G123" s="86"/>
      <c r="H123" s="1152" t="str">
        <f>B123</f>
        <v>KOREKSI Extech SD700/A.100609</v>
      </c>
      <c r="I123" s="1153"/>
      <c r="J123" s="1153"/>
      <c r="K123" s="1153"/>
      <c r="L123" s="1154"/>
      <c r="M123" s="86"/>
      <c r="N123" s="1137" t="s">
        <v>607</v>
      </c>
      <c r="O123" s="1138"/>
      <c r="P123" s="84"/>
    </row>
    <row r="124" spans="1:16" ht="13.5" thickBot="1">
      <c r="A124" s="1150"/>
      <c r="B124" s="1139" t="s">
        <v>664</v>
      </c>
      <c r="C124" s="1140"/>
      <c r="D124" s="1141" t="s">
        <v>346</v>
      </c>
      <c r="E124" s="1142"/>
      <c r="F124" s="1143" t="s">
        <v>665</v>
      </c>
      <c r="G124" s="87"/>
      <c r="H124" s="1139" t="s">
        <v>666</v>
      </c>
      <c r="I124" s="1140"/>
      <c r="J124" s="1141" t="s">
        <v>346</v>
      </c>
      <c r="K124" s="1142"/>
      <c r="L124" s="1143" t="s">
        <v>665</v>
      </c>
      <c r="M124" s="87"/>
      <c r="N124" s="104" t="s">
        <v>664</v>
      </c>
      <c r="O124" s="127">
        <v>0.4</v>
      </c>
      <c r="P124" s="84"/>
    </row>
    <row r="125" spans="1:16" ht="15" thickBot="1">
      <c r="A125" s="1150"/>
      <c r="B125" s="1145" t="s">
        <v>667</v>
      </c>
      <c r="C125" s="1146"/>
      <c r="D125" s="106">
        <v>2020</v>
      </c>
      <c r="E125" s="133" t="s">
        <v>139</v>
      </c>
      <c r="F125" s="1144"/>
      <c r="G125" s="87"/>
      <c r="H125" s="1147" t="s">
        <v>16</v>
      </c>
      <c r="I125" s="1148"/>
      <c r="J125" s="107">
        <f>D125</f>
        <v>2020</v>
      </c>
      <c r="K125" s="107" t="str">
        <f>E125</f>
        <v>-</v>
      </c>
      <c r="L125" s="1144"/>
      <c r="M125" s="87"/>
      <c r="N125" s="108" t="s">
        <v>16</v>
      </c>
      <c r="O125" s="126">
        <v>2.2000000000000002</v>
      </c>
      <c r="P125" s="84"/>
    </row>
    <row r="126" spans="1:16" ht="13">
      <c r="A126" s="1150"/>
      <c r="B126" s="87"/>
      <c r="C126" s="128">
        <v>15</v>
      </c>
      <c r="D126" s="111">
        <v>-2</v>
      </c>
      <c r="E126" s="134" t="s">
        <v>139</v>
      </c>
      <c r="F126" s="112">
        <f t="shared" ref="F126:F132" si="24">0.5*(MAX(D126:E126)-MIN(D126:E126))</f>
        <v>0</v>
      </c>
      <c r="G126" s="87"/>
      <c r="H126" s="101"/>
      <c r="I126" s="128">
        <v>30</v>
      </c>
      <c r="J126" s="111">
        <v>1</v>
      </c>
      <c r="K126" s="134" t="s">
        <v>139</v>
      </c>
      <c r="L126" s="112">
        <f t="shared" ref="L126:L132" si="25">0.5*(MAX(J126:K126)-MIN(J126:K126))</f>
        <v>0</v>
      </c>
      <c r="M126" s="87"/>
      <c r="N126" s="87"/>
      <c r="O126" s="95"/>
      <c r="P126" s="84"/>
    </row>
    <row r="127" spans="1:16" ht="13">
      <c r="A127" s="1150"/>
      <c r="B127" s="87"/>
      <c r="C127" s="129">
        <v>20</v>
      </c>
      <c r="D127" s="93">
        <v>-0.1</v>
      </c>
      <c r="E127" s="135" t="s">
        <v>139</v>
      </c>
      <c r="F127" s="114">
        <f t="shared" si="24"/>
        <v>0</v>
      </c>
      <c r="G127" s="87"/>
      <c r="H127" s="101"/>
      <c r="I127" s="129">
        <v>40</v>
      </c>
      <c r="J127" s="93">
        <v>0.3</v>
      </c>
      <c r="K127" s="135" t="s">
        <v>139</v>
      </c>
      <c r="L127" s="114">
        <f t="shared" si="25"/>
        <v>0</v>
      </c>
      <c r="M127" s="87"/>
      <c r="N127" s="87"/>
      <c r="O127" s="95"/>
      <c r="P127" s="84"/>
    </row>
    <row r="128" spans="1:16" ht="13">
      <c r="A128" s="1150"/>
      <c r="B128" s="87"/>
      <c r="C128" s="129">
        <v>25</v>
      </c>
      <c r="D128" s="93">
        <v>-0.1</v>
      </c>
      <c r="E128" s="135" t="s">
        <v>139</v>
      </c>
      <c r="F128" s="114">
        <f t="shared" si="24"/>
        <v>0</v>
      </c>
      <c r="G128" s="87"/>
      <c r="H128" s="101"/>
      <c r="I128" s="129">
        <v>50</v>
      </c>
      <c r="J128" s="93">
        <v>-0.2</v>
      </c>
      <c r="K128" s="135" t="s">
        <v>139</v>
      </c>
      <c r="L128" s="114">
        <f t="shared" si="25"/>
        <v>0</v>
      </c>
      <c r="M128" s="87"/>
      <c r="N128" s="87"/>
      <c r="O128" s="95"/>
      <c r="P128" s="84"/>
    </row>
    <row r="129" spans="1:16" ht="13">
      <c r="A129" s="1150"/>
      <c r="B129" s="87"/>
      <c r="C129" s="130">
        <v>30</v>
      </c>
      <c r="D129" s="96">
        <v>-0.3</v>
      </c>
      <c r="E129" s="97" t="s">
        <v>139</v>
      </c>
      <c r="F129" s="114">
        <f t="shared" si="24"/>
        <v>0</v>
      </c>
      <c r="G129" s="87"/>
      <c r="H129" s="101"/>
      <c r="I129" s="130">
        <v>60</v>
      </c>
      <c r="J129" s="96">
        <v>-0.6</v>
      </c>
      <c r="K129" s="97" t="s">
        <v>139</v>
      </c>
      <c r="L129" s="114">
        <f t="shared" si="25"/>
        <v>0</v>
      </c>
      <c r="M129" s="87"/>
      <c r="N129" s="87"/>
      <c r="O129" s="95"/>
      <c r="P129" s="84"/>
    </row>
    <row r="130" spans="1:16" ht="13">
      <c r="A130" s="1150"/>
      <c r="B130" s="87"/>
      <c r="C130" s="130">
        <v>35</v>
      </c>
      <c r="D130" s="96">
        <v>-0.6</v>
      </c>
      <c r="E130" s="97" t="s">
        <v>139</v>
      </c>
      <c r="F130" s="114">
        <f t="shared" si="24"/>
        <v>0</v>
      </c>
      <c r="G130" s="87"/>
      <c r="H130" s="101"/>
      <c r="I130" s="130">
        <v>70</v>
      </c>
      <c r="J130" s="96">
        <v>-0.8</v>
      </c>
      <c r="K130" s="97" t="s">
        <v>139</v>
      </c>
      <c r="L130" s="114">
        <f t="shared" si="25"/>
        <v>0</v>
      </c>
      <c r="M130" s="87"/>
      <c r="N130" s="87"/>
      <c r="O130" s="95"/>
      <c r="P130" s="84"/>
    </row>
    <row r="131" spans="1:16" ht="13">
      <c r="A131" s="1150"/>
      <c r="B131" s="87"/>
      <c r="C131" s="130">
        <v>37</v>
      </c>
      <c r="D131" s="96">
        <v>-0.8</v>
      </c>
      <c r="E131" s="97" t="s">
        <v>139</v>
      </c>
      <c r="F131" s="114">
        <f t="shared" si="24"/>
        <v>0</v>
      </c>
      <c r="G131" s="87"/>
      <c r="H131" s="101"/>
      <c r="I131" s="130">
        <v>80</v>
      </c>
      <c r="J131" s="96">
        <v>-0.9</v>
      </c>
      <c r="K131" s="97" t="s">
        <v>139</v>
      </c>
      <c r="L131" s="114">
        <f t="shared" si="25"/>
        <v>0</v>
      </c>
      <c r="M131" s="87"/>
      <c r="N131" s="87"/>
      <c r="O131" s="95"/>
      <c r="P131" s="84"/>
    </row>
    <row r="132" spans="1:16" ht="13.5" thickBot="1">
      <c r="A132" s="1151"/>
      <c r="B132" s="99"/>
      <c r="C132" s="131">
        <v>40</v>
      </c>
      <c r="D132" s="117">
        <v>-1.1000000000000001</v>
      </c>
      <c r="E132" s="120" t="s">
        <v>139</v>
      </c>
      <c r="F132" s="118">
        <f t="shared" si="24"/>
        <v>0</v>
      </c>
      <c r="G132" s="99"/>
      <c r="H132" s="119"/>
      <c r="I132" s="131">
        <v>90</v>
      </c>
      <c r="J132" s="117">
        <v>-0.8</v>
      </c>
      <c r="K132" s="120" t="s">
        <v>139</v>
      </c>
      <c r="L132" s="118">
        <f t="shared" si="25"/>
        <v>0</v>
      </c>
      <c r="M132" s="99"/>
      <c r="N132" s="99"/>
      <c r="O132" s="590"/>
      <c r="P132" s="84"/>
    </row>
    <row r="133" spans="1:16" ht="13.5" thickBot="1">
      <c r="A133" s="585"/>
      <c r="B133" s="87"/>
      <c r="C133" s="587"/>
      <c r="D133" s="587"/>
      <c r="E133" s="588"/>
      <c r="F133" s="589"/>
      <c r="G133" s="87"/>
      <c r="H133" s="87"/>
      <c r="I133" s="587"/>
      <c r="J133" s="587"/>
      <c r="K133" s="588"/>
      <c r="L133" s="589"/>
      <c r="M133" s="87"/>
      <c r="N133" s="87"/>
      <c r="O133" s="87"/>
      <c r="P133" s="84"/>
    </row>
    <row r="134" spans="1:16" ht="13.5" thickBot="1">
      <c r="A134" s="1149">
        <v>13</v>
      </c>
      <c r="B134" s="1152" t="s">
        <v>679</v>
      </c>
      <c r="C134" s="1153"/>
      <c r="D134" s="1153"/>
      <c r="E134" s="1153"/>
      <c r="F134" s="1154"/>
      <c r="G134" s="86"/>
      <c r="H134" s="1152" t="str">
        <f>B134</f>
        <v>KOREKSI Extech SD700/A.100605</v>
      </c>
      <c r="I134" s="1153"/>
      <c r="J134" s="1153"/>
      <c r="K134" s="1153"/>
      <c r="L134" s="1154"/>
      <c r="M134" s="86"/>
      <c r="N134" s="1137" t="s">
        <v>607</v>
      </c>
      <c r="O134" s="1138"/>
      <c r="P134" s="84"/>
    </row>
    <row r="135" spans="1:16" ht="13.5" thickBot="1">
      <c r="A135" s="1150"/>
      <c r="B135" s="1139" t="s">
        <v>664</v>
      </c>
      <c r="C135" s="1140"/>
      <c r="D135" s="1141" t="s">
        <v>346</v>
      </c>
      <c r="E135" s="1142"/>
      <c r="F135" s="1143" t="s">
        <v>665</v>
      </c>
      <c r="G135" s="87"/>
      <c r="H135" s="1139" t="s">
        <v>666</v>
      </c>
      <c r="I135" s="1140"/>
      <c r="J135" s="1141" t="s">
        <v>346</v>
      </c>
      <c r="K135" s="1142"/>
      <c r="L135" s="1143" t="s">
        <v>665</v>
      </c>
      <c r="M135" s="87"/>
      <c r="N135" s="104" t="s">
        <v>664</v>
      </c>
      <c r="O135" s="127">
        <v>0.3</v>
      </c>
      <c r="P135" s="84"/>
    </row>
    <row r="136" spans="1:16" ht="15" thickBot="1">
      <c r="A136" s="1150"/>
      <c r="B136" s="1145" t="s">
        <v>667</v>
      </c>
      <c r="C136" s="1146"/>
      <c r="D136" s="106">
        <v>2020</v>
      </c>
      <c r="E136" s="133" t="s">
        <v>139</v>
      </c>
      <c r="F136" s="1144"/>
      <c r="G136" s="87"/>
      <c r="H136" s="1147" t="s">
        <v>16</v>
      </c>
      <c r="I136" s="1148"/>
      <c r="J136" s="107">
        <f>D136</f>
        <v>2020</v>
      </c>
      <c r="K136" s="107" t="str">
        <f>E136</f>
        <v>-</v>
      </c>
      <c r="L136" s="1144"/>
      <c r="M136" s="87"/>
      <c r="N136" s="108" t="s">
        <v>16</v>
      </c>
      <c r="O136" s="126">
        <v>2.7</v>
      </c>
      <c r="P136" s="84"/>
    </row>
    <row r="137" spans="1:16" ht="13">
      <c r="A137" s="1150"/>
      <c r="B137" s="87"/>
      <c r="C137" s="128">
        <v>15</v>
      </c>
      <c r="D137" s="111">
        <v>-0.7</v>
      </c>
      <c r="E137" s="134" t="s">
        <v>139</v>
      </c>
      <c r="F137" s="112">
        <f t="shared" ref="F137:F143" si="26">0.5*(MAX(D137:E137)-MIN(D137:E137))</f>
        <v>0</v>
      </c>
      <c r="G137" s="87"/>
      <c r="H137" s="101"/>
      <c r="I137" s="128">
        <v>30</v>
      </c>
      <c r="J137" s="111">
        <v>-1.5</v>
      </c>
      <c r="K137" s="134" t="s">
        <v>139</v>
      </c>
      <c r="L137" s="112">
        <f t="shared" ref="L137:L143" si="27">0.5*(MAX(J137:K137)-MIN(J137:K137))</f>
        <v>0</v>
      </c>
      <c r="M137" s="87"/>
      <c r="N137" s="87"/>
      <c r="O137" s="95"/>
      <c r="P137" s="84"/>
    </row>
    <row r="138" spans="1:16" ht="13">
      <c r="A138" s="1150"/>
      <c r="B138" s="87"/>
      <c r="C138" s="129">
        <v>20</v>
      </c>
      <c r="D138" s="93">
        <v>-0.4</v>
      </c>
      <c r="E138" s="135" t="s">
        <v>139</v>
      </c>
      <c r="F138" s="114">
        <f t="shared" si="26"/>
        <v>0</v>
      </c>
      <c r="G138" s="87"/>
      <c r="H138" s="101"/>
      <c r="I138" s="129">
        <v>40</v>
      </c>
      <c r="J138" s="93">
        <v>-1.3</v>
      </c>
      <c r="K138" s="135" t="s">
        <v>139</v>
      </c>
      <c r="L138" s="114">
        <f t="shared" si="27"/>
        <v>0</v>
      </c>
      <c r="M138" s="87"/>
      <c r="N138" s="87"/>
      <c r="O138" s="95"/>
      <c r="P138" s="84"/>
    </row>
    <row r="139" spans="1:16" ht="13">
      <c r="A139" s="1150"/>
      <c r="B139" s="87"/>
      <c r="C139" s="129">
        <v>25</v>
      </c>
      <c r="D139" s="93">
        <v>-0.2</v>
      </c>
      <c r="E139" s="135" t="s">
        <v>139</v>
      </c>
      <c r="F139" s="114">
        <f t="shared" si="26"/>
        <v>0</v>
      </c>
      <c r="G139" s="87"/>
      <c r="H139" s="101"/>
      <c r="I139" s="129">
        <v>50</v>
      </c>
      <c r="J139" s="93">
        <v>-1.3</v>
      </c>
      <c r="K139" s="135" t="s">
        <v>139</v>
      </c>
      <c r="L139" s="114">
        <f t="shared" si="27"/>
        <v>0</v>
      </c>
      <c r="M139" s="87"/>
      <c r="N139" s="87"/>
      <c r="O139" s="95"/>
      <c r="P139" s="84"/>
    </row>
    <row r="140" spans="1:16" ht="13">
      <c r="A140" s="1150"/>
      <c r="B140" s="87"/>
      <c r="C140" s="130">
        <v>30</v>
      </c>
      <c r="D140" s="96">
        <v>0.1</v>
      </c>
      <c r="E140" s="97" t="s">
        <v>139</v>
      </c>
      <c r="F140" s="114">
        <f t="shared" si="26"/>
        <v>0</v>
      </c>
      <c r="G140" s="87"/>
      <c r="H140" s="101"/>
      <c r="I140" s="130">
        <v>60</v>
      </c>
      <c r="J140" s="96">
        <v>-1.5</v>
      </c>
      <c r="K140" s="97" t="s">
        <v>139</v>
      </c>
      <c r="L140" s="114">
        <f t="shared" si="27"/>
        <v>0</v>
      </c>
      <c r="M140" s="87"/>
      <c r="N140" s="87"/>
      <c r="O140" s="95"/>
      <c r="P140" s="84"/>
    </row>
    <row r="141" spans="1:16" ht="13">
      <c r="A141" s="1150"/>
      <c r="B141" s="87"/>
      <c r="C141" s="130">
        <v>35</v>
      </c>
      <c r="D141" s="96">
        <v>0.3</v>
      </c>
      <c r="E141" s="97" t="s">
        <v>139</v>
      </c>
      <c r="F141" s="114">
        <f t="shared" si="26"/>
        <v>0</v>
      </c>
      <c r="G141" s="87"/>
      <c r="H141" s="101"/>
      <c r="I141" s="130">
        <v>70</v>
      </c>
      <c r="J141" s="96">
        <v>-1.9</v>
      </c>
      <c r="K141" s="97" t="s">
        <v>139</v>
      </c>
      <c r="L141" s="114">
        <f t="shared" si="27"/>
        <v>0</v>
      </c>
      <c r="M141" s="87"/>
      <c r="N141" s="87"/>
      <c r="O141" s="95"/>
      <c r="P141" s="84"/>
    </row>
    <row r="142" spans="1:16" ht="13">
      <c r="A142" s="1150"/>
      <c r="B142" s="87"/>
      <c r="C142" s="130">
        <v>37</v>
      </c>
      <c r="D142" s="96">
        <v>0.4</v>
      </c>
      <c r="E142" s="97" t="s">
        <v>139</v>
      </c>
      <c r="F142" s="114">
        <f t="shared" si="26"/>
        <v>0</v>
      </c>
      <c r="G142" s="87"/>
      <c r="H142" s="101"/>
      <c r="I142" s="130">
        <v>80</v>
      </c>
      <c r="J142" s="96">
        <v>-2.5</v>
      </c>
      <c r="K142" s="97" t="s">
        <v>139</v>
      </c>
      <c r="L142" s="114">
        <f t="shared" si="27"/>
        <v>0</v>
      </c>
      <c r="M142" s="87"/>
      <c r="N142" s="87"/>
      <c r="O142" s="95"/>
      <c r="P142" s="84"/>
    </row>
    <row r="143" spans="1:16" ht="13.5" thickBot="1">
      <c r="A143" s="1151"/>
      <c r="B143" s="99"/>
      <c r="C143" s="131">
        <v>40</v>
      </c>
      <c r="D143" s="117">
        <v>0.5</v>
      </c>
      <c r="E143" s="120" t="s">
        <v>139</v>
      </c>
      <c r="F143" s="118">
        <f t="shared" si="26"/>
        <v>0</v>
      </c>
      <c r="G143" s="99"/>
      <c r="H143" s="119"/>
      <c r="I143" s="131">
        <v>90</v>
      </c>
      <c r="J143" s="117">
        <v>-3.2</v>
      </c>
      <c r="K143" s="120" t="s">
        <v>139</v>
      </c>
      <c r="L143" s="118">
        <f t="shared" si="27"/>
        <v>0</v>
      </c>
      <c r="M143" s="99"/>
      <c r="N143" s="99"/>
      <c r="O143" s="590"/>
      <c r="P143" s="84"/>
    </row>
    <row r="144" spans="1:16" ht="13.5" thickBot="1">
      <c r="A144" s="585"/>
      <c r="B144" s="87"/>
      <c r="C144" s="587"/>
      <c r="D144" s="587"/>
      <c r="E144" s="588"/>
      <c r="F144" s="589"/>
      <c r="G144" s="87"/>
      <c r="H144" s="87"/>
      <c r="I144" s="587"/>
      <c r="J144" s="587"/>
      <c r="K144" s="588"/>
      <c r="L144" s="589"/>
      <c r="M144" s="87"/>
      <c r="N144" s="87"/>
      <c r="O144" s="87"/>
      <c r="P144" s="84"/>
    </row>
    <row r="145" spans="1:16" ht="13.5" thickBot="1">
      <c r="A145" s="1149">
        <v>14</v>
      </c>
      <c r="B145" s="1152" t="s">
        <v>680</v>
      </c>
      <c r="C145" s="1153"/>
      <c r="D145" s="1153"/>
      <c r="E145" s="1153"/>
      <c r="F145" s="1154"/>
      <c r="G145" s="86"/>
      <c r="H145" s="1152" t="str">
        <f>B145</f>
        <v>KOREKSI Extech SD700/A.100611</v>
      </c>
      <c r="I145" s="1153"/>
      <c r="J145" s="1153"/>
      <c r="K145" s="1153"/>
      <c r="L145" s="1154"/>
      <c r="M145" s="86"/>
      <c r="N145" s="1137" t="s">
        <v>607</v>
      </c>
      <c r="O145" s="1138"/>
      <c r="P145" s="84"/>
    </row>
    <row r="146" spans="1:16" ht="13.5" thickBot="1">
      <c r="A146" s="1150"/>
      <c r="B146" s="1139" t="s">
        <v>664</v>
      </c>
      <c r="C146" s="1140"/>
      <c r="D146" s="1141" t="s">
        <v>346</v>
      </c>
      <c r="E146" s="1142"/>
      <c r="F146" s="1143" t="s">
        <v>665</v>
      </c>
      <c r="G146" s="87"/>
      <c r="H146" s="1139" t="s">
        <v>666</v>
      </c>
      <c r="I146" s="1140"/>
      <c r="J146" s="1141" t="s">
        <v>346</v>
      </c>
      <c r="K146" s="1142"/>
      <c r="L146" s="1143" t="s">
        <v>665</v>
      </c>
      <c r="M146" s="87"/>
      <c r="N146" s="104" t="s">
        <v>664</v>
      </c>
      <c r="O146" s="127">
        <v>0.3</v>
      </c>
      <c r="P146" s="84"/>
    </row>
    <row r="147" spans="1:16" ht="15" thickBot="1">
      <c r="A147" s="1150"/>
      <c r="B147" s="1145" t="s">
        <v>667</v>
      </c>
      <c r="C147" s="1146"/>
      <c r="D147" s="106">
        <v>2017</v>
      </c>
      <c r="E147" s="133" t="s">
        <v>139</v>
      </c>
      <c r="F147" s="1144"/>
      <c r="G147" s="87"/>
      <c r="H147" s="1147" t="s">
        <v>16</v>
      </c>
      <c r="I147" s="1148"/>
      <c r="J147" s="107">
        <f>D147</f>
        <v>2017</v>
      </c>
      <c r="K147" s="107" t="str">
        <f>E147</f>
        <v>-</v>
      </c>
      <c r="L147" s="1144"/>
      <c r="M147" s="87"/>
      <c r="N147" s="108" t="s">
        <v>16</v>
      </c>
      <c r="O147" s="126">
        <v>2.7</v>
      </c>
      <c r="P147" s="84"/>
    </row>
    <row r="148" spans="1:16" ht="13">
      <c r="A148" s="1150"/>
      <c r="B148" s="87"/>
      <c r="C148" s="128">
        <v>15</v>
      </c>
      <c r="D148" s="111">
        <v>-0.6</v>
      </c>
      <c r="E148" s="134" t="s">
        <v>139</v>
      </c>
      <c r="F148" s="112">
        <f t="shared" ref="F148:F154" si="28">0.5*(MAX(D148:E148)-MIN(D148:E148))</f>
        <v>0</v>
      </c>
      <c r="G148" s="87"/>
      <c r="H148" s="101"/>
      <c r="I148" s="128">
        <v>30</v>
      </c>
      <c r="J148" s="111">
        <v>-0.5</v>
      </c>
      <c r="K148" s="134" t="s">
        <v>139</v>
      </c>
      <c r="L148" s="112">
        <f t="shared" ref="L148:L154" si="29">0.5*(MAX(J148:K148)-MIN(J148:K148))</f>
        <v>0</v>
      </c>
      <c r="M148" s="87"/>
      <c r="N148" s="87"/>
      <c r="O148" s="95"/>
      <c r="P148" s="84"/>
    </row>
    <row r="149" spans="1:16" ht="13">
      <c r="A149" s="1150"/>
      <c r="B149" s="87"/>
      <c r="C149" s="129">
        <v>20</v>
      </c>
      <c r="D149" s="93">
        <v>-0.5</v>
      </c>
      <c r="E149" s="135" t="s">
        <v>139</v>
      </c>
      <c r="F149" s="114">
        <f t="shared" si="28"/>
        <v>0</v>
      </c>
      <c r="G149" s="87"/>
      <c r="H149" s="101"/>
      <c r="I149" s="129">
        <v>40</v>
      </c>
      <c r="J149" s="93">
        <v>-0.3</v>
      </c>
      <c r="K149" s="135" t="s">
        <v>139</v>
      </c>
      <c r="L149" s="114">
        <f t="shared" si="29"/>
        <v>0</v>
      </c>
      <c r="M149" s="87"/>
      <c r="N149" s="87"/>
      <c r="O149" s="95"/>
      <c r="P149" s="84"/>
    </row>
    <row r="150" spans="1:16" ht="13">
      <c r="A150" s="1150"/>
      <c r="B150" s="87"/>
      <c r="C150" s="129">
        <v>25</v>
      </c>
      <c r="D150" s="93">
        <v>-0.4</v>
      </c>
      <c r="E150" s="135" t="s">
        <v>139</v>
      </c>
      <c r="F150" s="114">
        <f t="shared" si="28"/>
        <v>0</v>
      </c>
      <c r="G150" s="87"/>
      <c r="H150" s="101"/>
      <c r="I150" s="129">
        <v>50</v>
      </c>
      <c r="J150" s="93">
        <v>-0.3</v>
      </c>
      <c r="K150" s="135" t="s">
        <v>139</v>
      </c>
      <c r="L150" s="114">
        <f t="shared" si="29"/>
        <v>0</v>
      </c>
      <c r="M150" s="87"/>
      <c r="N150" s="87"/>
      <c r="O150" s="95"/>
      <c r="P150" s="84"/>
    </row>
    <row r="151" spans="1:16" ht="13">
      <c r="A151" s="1150"/>
      <c r="B151" s="87"/>
      <c r="C151" s="130">
        <v>30</v>
      </c>
      <c r="D151" s="96">
        <v>-0.2</v>
      </c>
      <c r="E151" s="97" t="s">
        <v>139</v>
      </c>
      <c r="F151" s="114">
        <f t="shared" si="28"/>
        <v>0</v>
      </c>
      <c r="G151" s="87"/>
      <c r="H151" s="101"/>
      <c r="I151" s="130">
        <v>60</v>
      </c>
      <c r="J151" s="96">
        <v>-0.5</v>
      </c>
      <c r="K151" s="97" t="s">
        <v>139</v>
      </c>
      <c r="L151" s="114">
        <f t="shared" si="29"/>
        <v>0</v>
      </c>
      <c r="M151" s="87"/>
      <c r="N151" s="87"/>
      <c r="O151" s="95"/>
      <c r="P151" s="84"/>
    </row>
    <row r="152" spans="1:16" ht="13">
      <c r="A152" s="1150"/>
      <c r="B152" s="87"/>
      <c r="C152" s="130">
        <v>35</v>
      </c>
      <c r="D152" s="96">
        <v>-0.1</v>
      </c>
      <c r="E152" s="97" t="s">
        <v>139</v>
      </c>
      <c r="F152" s="114">
        <f t="shared" si="28"/>
        <v>0</v>
      </c>
      <c r="G152" s="87"/>
      <c r="H152" s="101"/>
      <c r="I152" s="130">
        <v>70</v>
      </c>
      <c r="J152" s="96">
        <v>-0.8</v>
      </c>
      <c r="K152" s="97" t="s">
        <v>139</v>
      </c>
      <c r="L152" s="114">
        <f t="shared" si="29"/>
        <v>0</v>
      </c>
      <c r="M152" s="87"/>
      <c r="N152" s="87"/>
      <c r="O152" s="95"/>
      <c r="P152" s="84"/>
    </row>
    <row r="153" spans="1:16" ht="13">
      <c r="A153" s="1150"/>
      <c r="B153" s="87"/>
      <c r="C153" s="130">
        <v>37</v>
      </c>
      <c r="D153" s="96">
        <v>-0.1</v>
      </c>
      <c r="E153" s="97" t="s">
        <v>139</v>
      </c>
      <c r="F153" s="114">
        <f t="shared" si="28"/>
        <v>0</v>
      </c>
      <c r="G153" s="87"/>
      <c r="H153" s="101"/>
      <c r="I153" s="130">
        <v>80</v>
      </c>
      <c r="J153" s="96">
        <v>-1.3</v>
      </c>
      <c r="K153" s="97" t="s">
        <v>139</v>
      </c>
      <c r="L153" s="114">
        <f t="shared" si="29"/>
        <v>0</v>
      </c>
      <c r="M153" s="87"/>
      <c r="N153" s="87"/>
      <c r="O153" s="95"/>
      <c r="P153" s="84"/>
    </row>
    <row r="154" spans="1:16" ht="13.5" thickBot="1">
      <c r="A154" s="1151"/>
      <c r="B154" s="99"/>
      <c r="C154" s="131">
        <v>40</v>
      </c>
      <c r="D154" s="93">
        <v>1.0000000000000001E-5</v>
      </c>
      <c r="E154" s="120" t="s">
        <v>139</v>
      </c>
      <c r="F154" s="118">
        <f t="shared" si="28"/>
        <v>0</v>
      </c>
      <c r="G154" s="99"/>
      <c r="H154" s="119"/>
      <c r="I154" s="131">
        <v>90</v>
      </c>
      <c r="J154" s="117">
        <v>-2</v>
      </c>
      <c r="K154" s="120" t="s">
        <v>139</v>
      </c>
      <c r="L154" s="118">
        <f t="shared" si="29"/>
        <v>0</v>
      </c>
      <c r="M154" s="99"/>
      <c r="N154" s="99"/>
      <c r="O154" s="590"/>
      <c r="P154" s="84"/>
    </row>
    <row r="155" spans="1:16" ht="13.5" thickBot="1">
      <c r="A155" s="585"/>
      <c r="B155" s="87"/>
      <c r="C155" s="587"/>
      <c r="D155" s="587"/>
      <c r="E155" s="588"/>
      <c r="F155" s="589"/>
      <c r="G155" s="87"/>
      <c r="H155" s="87"/>
      <c r="I155" s="587"/>
      <c r="J155" s="587"/>
      <c r="K155" s="588"/>
      <c r="L155" s="589"/>
      <c r="M155" s="87"/>
      <c r="N155" s="87"/>
      <c r="O155" s="87"/>
      <c r="P155" s="84"/>
    </row>
    <row r="156" spans="1:16" ht="13.5" thickBot="1">
      <c r="A156" s="1149">
        <v>15</v>
      </c>
      <c r="B156" s="1152" t="s">
        <v>681</v>
      </c>
      <c r="C156" s="1153"/>
      <c r="D156" s="1153"/>
      <c r="E156" s="1153"/>
      <c r="F156" s="1154"/>
      <c r="G156" s="86"/>
      <c r="H156" s="1152" t="str">
        <f>B156</f>
        <v>KOREKSI Extech SD700/A.100616</v>
      </c>
      <c r="I156" s="1153"/>
      <c r="J156" s="1153"/>
      <c r="K156" s="1153"/>
      <c r="L156" s="1154"/>
      <c r="M156" s="86"/>
      <c r="N156" s="1137" t="s">
        <v>607</v>
      </c>
      <c r="O156" s="1138"/>
      <c r="P156" s="84"/>
    </row>
    <row r="157" spans="1:16" ht="13.5" thickBot="1">
      <c r="A157" s="1150"/>
      <c r="B157" s="1139" t="s">
        <v>664</v>
      </c>
      <c r="C157" s="1140"/>
      <c r="D157" s="1141" t="s">
        <v>346</v>
      </c>
      <c r="E157" s="1142"/>
      <c r="F157" s="1143" t="s">
        <v>665</v>
      </c>
      <c r="G157" s="87"/>
      <c r="H157" s="1139" t="s">
        <v>666</v>
      </c>
      <c r="I157" s="1140"/>
      <c r="J157" s="1141" t="s">
        <v>346</v>
      </c>
      <c r="K157" s="1142"/>
      <c r="L157" s="1143" t="s">
        <v>665</v>
      </c>
      <c r="M157" s="87"/>
      <c r="N157" s="104" t="s">
        <v>664</v>
      </c>
      <c r="O157" s="127">
        <v>0.4</v>
      </c>
      <c r="P157" s="84"/>
    </row>
    <row r="158" spans="1:16" ht="15" thickBot="1">
      <c r="A158" s="1150"/>
      <c r="B158" s="1145" t="s">
        <v>667</v>
      </c>
      <c r="C158" s="1146"/>
      <c r="D158" s="106">
        <v>2020</v>
      </c>
      <c r="E158" s="133" t="s">
        <v>139</v>
      </c>
      <c r="F158" s="1144"/>
      <c r="G158" s="87"/>
      <c r="H158" s="1147" t="s">
        <v>16</v>
      </c>
      <c r="I158" s="1148"/>
      <c r="J158" s="107">
        <f>D158</f>
        <v>2020</v>
      </c>
      <c r="K158" s="107" t="str">
        <f>E158</f>
        <v>-</v>
      </c>
      <c r="L158" s="1144"/>
      <c r="M158" s="87"/>
      <c r="N158" s="108" t="s">
        <v>16</v>
      </c>
      <c r="O158" s="126">
        <v>2.2000000000000002</v>
      </c>
      <c r="P158" s="84"/>
    </row>
    <row r="159" spans="1:16" ht="13">
      <c r="A159" s="1150"/>
      <c r="B159" s="87"/>
      <c r="C159" s="128">
        <v>15</v>
      </c>
      <c r="D159" s="111">
        <v>0.1</v>
      </c>
      <c r="E159" s="134" t="s">
        <v>139</v>
      </c>
      <c r="F159" s="112">
        <f t="shared" ref="F159:F165" si="30">0.5*(MAX(D159:E159)-MIN(D159:E159))</f>
        <v>0</v>
      </c>
      <c r="G159" s="87"/>
      <c r="H159" s="101"/>
      <c r="I159" s="128">
        <v>30</v>
      </c>
      <c r="J159" s="111">
        <v>-1.6</v>
      </c>
      <c r="K159" s="134" t="s">
        <v>139</v>
      </c>
      <c r="L159" s="112">
        <f t="shared" ref="L159:L165" si="31">0.5*(MAX(J159:K159)-MIN(J159:K159))</f>
        <v>0</v>
      </c>
      <c r="M159" s="87"/>
      <c r="N159" s="87"/>
      <c r="O159" s="95"/>
      <c r="P159" s="84"/>
    </row>
    <row r="160" spans="1:16" ht="13">
      <c r="A160" s="1150"/>
      <c r="B160" s="87"/>
      <c r="C160" s="129">
        <v>20</v>
      </c>
      <c r="D160" s="93">
        <v>0.2</v>
      </c>
      <c r="E160" s="135" t="s">
        <v>139</v>
      </c>
      <c r="F160" s="114">
        <f t="shared" si="30"/>
        <v>0</v>
      </c>
      <c r="G160" s="87"/>
      <c r="H160" s="101"/>
      <c r="I160" s="129">
        <v>40</v>
      </c>
      <c r="J160" s="93">
        <v>-1.4</v>
      </c>
      <c r="K160" s="135" t="s">
        <v>139</v>
      </c>
      <c r="L160" s="114">
        <f t="shared" si="31"/>
        <v>0</v>
      </c>
      <c r="M160" s="87"/>
      <c r="N160" s="87"/>
      <c r="O160" s="95"/>
      <c r="P160" s="84"/>
    </row>
    <row r="161" spans="1:16" ht="13">
      <c r="A161" s="1150"/>
      <c r="B161" s="87"/>
      <c r="C161" s="129">
        <v>25</v>
      </c>
      <c r="D161" s="93">
        <v>0.2</v>
      </c>
      <c r="E161" s="135" t="s">
        <v>139</v>
      </c>
      <c r="F161" s="114">
        <f t="shared" si="30"/>
        <v>0</v>
      </c>
      <c r="G161" s="87"/>
      <c r="H161" s="101"/>
      <c r="I161" s="129">
        <v>50</v>
      </c>
      <c r="J161" s="93">
        <v>-1.4</v>
      </c>
      <c r="K161" s="135" t="s">
        <v>139</v>
      </c>
      <c r="L161" s="114">
        <f t="shared" si="31"/>
        <v>0</v>
      </c>
      <c r="M161" s="87"/>
      <c r="N161" s="87"/>
      <c r="O161" s="95"/>
      <c r="P161" s="84"/>
    </row>
    <row r="162" spans="1:16" ht="13">
      <c r="A162" s="1150"/>
      <c r="B162" s="87"/>
      <c r="C162" s="130">
        <v>30</v>
      </c>
      <c r="D162" s="96">
        <v>0.2</v>
      </c>
      <c r="E162" s="97" t="s">
        <v>139</v>
      </c>
      <c r="F162" s="114">
        <f t="shared" si="30"/>
        <v>0</v>
      </c>
      <c r="G162" s="87"/>
      <c r="H162" s="101"/>
      <c r="I162" s="130">
        <v>60</v>
      </c>
      <c r="J162" s="96">
        <v>-1.5</v>
      </c>
      <c r="K162" s="97" t="s">
        <v>139</v>
      </c>
      <c r="L162" s="114">
        <f t="shared" si="31"/>
        <v>0</v>
      </c>
      <c r="M162" s="87"/>
      <c r="N162" s="87"/>
      <c r="O162" s="95"/>
      <c r="P162" s="84"/>
    </row>
    <row r="163" spans="1:16" ht="13">
      <c r="A163" s="1150"/>
      <c r="B163" s="87"/>
      <c r="C163" s="130">
        <v>35</v>
      </c>
      <c r="D163" s="96">
        <v>0.1</v>
      </c>
      <c r="E163" s="97" t="s">
        <v>139</v>
      </c>
      <c r="F163" s="114">
        <f t="shared" si="30"/>
        <v>0</v>
      </c>
      <c r="G163" s="87"/>
      <c r="H163" s="101"/>
      <c r="I163" s="130">
        <v>70</v>
      </c>
      <c r="J163" s="96">
        <v>-1.8</v>
      </c>
      <c r="K163" s="97" t="s">
        <v>139</v>
      </c>
      <c r="L163" s="114">
        <f t="shared" si="31"/>
        <v>0</v>
      </c>
      <c r="M163" s="87"/>
      <c r="N163" s="87"/>
      <c r="O163" s="95"/>
      <c r="P163" s="84"/>
    </row>
    <row r="164" spans="1:16" ht="13">
      <c r="A164" s="1150"/>
      <c r="B164" s="87"/>
      <c r="C164" s="130">
        <v>37</v>
      </c>
      <c r="D164" s="93">
        <v>1.0000000000000001E-5</v>
      </c>
      <c r="E164" s="97" t="s">
        <v>139</v>
      </c>
      <c r="F164" s="114">
        <f t="shared" si="30"/>
        <v>0</v>
      </c>
      <c r="G164" s="87"/>
      <c r="H164" s="101"/>
      <c r="I164" s="130">
        <v>80</v>
      </c>
      <c r="J164" s="96">
        <v>-2.2999999999999998</v>
      </c>
      <c r="K164" s="97" t="s">
        <v>139</v>
      </c>
      <c r="L164" s="114">
        <f t="shared" si="31"/>
        <v>0</v>
      </c>
      <c r="M164" s="87"/>
      <c r="N164" s="87"/>
      <c r="O164" s="95"/>
      <c r="P164" s="84"/>
    </row>
    <row r="165" spans="1:16" ht="13.5" thickBot="1">
      <c r="A165" s="1151"/>
      <c r="B165" s="99"/>
      <c r="C165" s="131">
        <v>40</v>
      </c>
      <c r="D165" s="93">
        <v>1.0000000000000001E-5</v>
      </c>
      <c r="E165" s="120" t="s">
        <v>139</v>
      </c>
      <c r="F165" s="118">
        <f t="shared" si="30"/>
        <v>0</v>
      </c>
      <c r="G165" s="99"/>
      <c r="H165" s="119"/>
      <c r="I165" s="131">
        <v>90</v>
      </c>
      <c r="J165" s="117">
        <v>-3</v>
      </c>
      <c r="K165" s="120" t="s">
        <v>139</v>
      </c>
      <c r="L165" s="118">
        <f t="shared" si="31"/>
        <v>0</v>
      </c>
      <c r="M165" s="99"/>
      <c r="N165" s="99"/>
      <c r="O165" s="590"/>
      <c r="P165" s="84"/>
    </row>
    <row r="166" spans="1:16" ht="13.5" thickBot="1">
      <c r="A166" s="585"/>
      <c r="B166" s="87"/>
      <c r="C166" s="587"/>
      <c r="D166" s="587"/>
      <c r="E166" s="588"/>
      <c r="F166" s="589"/>
      <c r="G166" s="87"/>
      <c r="H166" s="87"/>
      <c r="I166" s="587"/>
      <c r="J166" s="587"/>
      <c r="K166" s="588"/>
      <c r="L166" s="589"/>
      <c r="M166" s="87"/>
      <c r="N166" s="87"/>
      <c r="O166" s="87"/>
      <c r="P166" s="84"/>
    </row>
    <row r="167" spans="1:16" ht="13.5" thickBot="1">
      <c r="A167" s="1149">
        <v>16</v>
      </c>
      <c r="B167" s="1152" t="s">
        <v>682</v>
      </c>
      <c r="C167" s="1153"/>
      <c r="D167" s="1153"/>
      <c r="E167" s="1153"/>
      <c r="F167" s="1154"/>
      <c r="G167" s="86"/>
      <c r="H167" s="1152" t="str">
        <f>B167</f>
        <v>KOREKSI Extech SD700/A.100617</v>
      </c>
      <c r="I167" s="1153"/>
      <c r="J167" s="1153"/>
      <c r="K167" s="1153"/>
      <c r="L167" s="1154"/>
      <c r="M167" s="86"/>
      <c r="N167" s="1137" t="s">
        <v>607</v>
      </c>
      <c r="O167" s="1138"/>
      <c r="P167" s="84"/>
    </row>
    <row r="168" spans="1:16" ht="13.5" thickBot="1">
      <c r="A168" s="1150"/>
      <c r="B168" s="1139" t="s">
        <v>664</v>
      </c>
      <c r="C168" s="1140"/>
      <c r="D168" s="1141" t="s">
        <v>346</v>
      </c>
      <c r="E168" s="1142"/>
      <c r="F168" s="1143" t="s">
        <v>665</v>
      </c>
      <c r="G168" s="87"/>
      <c r="H168" s="1139" t="s">
        <v>666</v>
      </c>
      <c r="I168" s="1140"/>
      <c r="J168" s="1141" t="s">
        <v>346</v>
      </c>
      <c r="K168" s="1142"/>
      <c r="L168" s="1143" t="s">
        <v>665</v>
      </c>
      <c r="M168" s="87"/>
      <c r="N168" s="104" t="s">
        <v>664</v>
      </c>
      <c r="O168" s="127">
        <v>0.3</v>
      </c>
      <c r="P168" s="84"/>
    </row>
    <row r="169" spans="1:16" ht="15" thickBot="1">
      <c r="A169" s="1150"/>
      <c r="B169" s="1145" t="s">
        <v>667</v>
      </c>
      <c r="C169" s="1146"/>
      <c r="D169" s="106">
        <v>2020</v>
      </c>
      <c r="E169" s="133" t="s">
        <v>139</v>
      </c>
      <c r="F169" s="1144"/>
      <c r="G169" s="87"/>
      <c r="H169" s="1147" t="s">
        <v>16</v>
      </c>
      <c r="I169" s="1148"/>
      <c r="J169" s="107">
        <f>D169</f>
        <v>2020</v>
      </c>
      <c r="K169" s="107" t="str">
        <f>E169</f>
        <v>-</v>
      </c>
      <c r="L169" s="1144"/>
      <c r="M169" s="87"/>
      <c r="N169" s="108" t="s">
        <v>16</v>
      </c>
      <c r="O169" s="126">
        <v>2.8</v>
      </c>
      <c r="P169" s="84"/>
    </row>
    <row r="170" spans="1:16" ht="13">
      <c r="A170" s="1150"/>
      <c r="B170" s="87"/>
      <c r="C170" s="128">
        <v>15</v>
      </c>
      <c r="D170" s="111">
        <v>0.1</v>
      </c>
      <c r="E170" s="134" t="s">
        <v>139</v>
      </c>
      <c r="F170" s="112">
        <f t="shared" ref="F170:F176" si="32">0.5*(MAX(D170:E170)-MIN(D170:E170))</f>
        <v>0</v>
      </c>
      <c r="G170" s="87"/>
      <c r="H170" s="101"/>
      <c r="I170" s="128">
        <v>30</v>
      </c>
      <c r="J170" s="111">
        <v>0.1</v>
      </c>
      <c r="K170" s="134" t="s">
        <v>139</v>
      </c>
      <c r="L170" s="112">
        <f t="shared" ref="L170:L176" si="33">0.5*(MAX(J170:K170)-MIN(J170:K170))</f>
        <v>0</v>
      </c>
      <c r="M170" s="87"/>
      <c r="N170" s="87"/>
      <c r="O170" s="95"/>
      <c r="P170" s="84"/>
    </row>
    <row r="171" spans="1:16" ht="13">
      <c r="A171" s="1150"/>
      <c r="B171" s="87"/>
      <c r="C171" s="129">
        <v>20</v>
      </c>
      <c r="D171" s="93">
        <v>0.1</v>
      </c>
      <c r="E171" s="135" t="s">
        <v>139</v>
      </c>
      <c r="F171" s="114">
        <f t="shared" si="32"/>
        <v>0</v>
      </c>
      <c r="G171" s="87"/>
      <c r="H171" s="101"/>
      <c r="I171" s="129">
        <v>40</v>
      </c>
      <c r="J171" s="93">
        <v>0.2</v>
      </c>
      <c r="K171" s="135" t="s">
        <v>139</v>
      </c>
      <c r="L171" s="114">
        <f t="shared" si="33"/>
        <v>0</v>
      </c>
      <c r="M171" s="87"/>
      <c r="N171" s="87"/>
      <c r="O171" s="95"/>
      <c r="P171" s="84"/>
    </row>
    <row r="172" spans="1:16" ht="13">
      <c r="A172" s="1150"/>
      <c r="B172" s="87"/>
      <c r="C172" s="129">
        <v>25</v>
      </c>
      <c r="D172" s="93">
        <v>1.0000000000000001E-5</v>
      </c>
      <c r="E172" s="135" t="s">
        <v>139</v>
      </c>
      <c r="F172" s="114">
        <f t="shared" si="32"/>
        <v>0</v>
      </c>
      <c r="G172" s="87"/>
      <c r="H172" s="101"/>
      <c r="I172" s="129">
        <v>50</v>
      </c>
      <c r="J172" s="93">
        <v>0.2</v>
      </c>
      <c r="K172" s="135" t="s">
        <v>139</v>
      </c>
      <c r="L172" s="114">
        <f t="shared" si="33"/>
        <v>0</v>
      </c>
      <c r="M172" s="87"/>
      <c r="N172" s="87"/>
      <c r="O172" s="95"/>
      <c r="P172" s="84"/>
    </row>
    <row r="173" spans="1:16" ht="13">
      <c r="A173" s="1150"/>
      <c r="B173" s="87"/>
      <c r="C173" s="130">
        <v>30</v>
      </c>
      <c r="D173" s="96">
        <v>-0.2</v>
      </c>
      <c r="E173" s="97" t="s">
        <v>139</v>
      </c>
      <c r="F173" s="114">
        <f t="shared" si="32"/>
        <v>0</v>
      </c>
      <c r="G173" s="87"/>
      <c r="H173" s="101"/>
      <c r="I173" s="130">
        <v>60</v>
      </c>
      <c r="J173" s="93">
        <v>1.0000000000000001E-5</v>
      </c>
      <c r="K173" s="97" t="s">
        <v>139</v>
      </c>
      <c r="L173" s="114">
        <f t="shared" si="33"/>
        <v>0</v>
      </c>
      <c r="M173" s="87"/>
      <c r="N173" s="87"/>
      <c r="O173" s="95"/>
      <c r="P173" s="84"/>
    </row>
    <row r="174" spans="1:16" ht="13">
      <c r="A174" s="1150"/>
      <c r="B174" s="87"/>
      <c r="C174" s="130">
        <v>35</v>
      </c>
      <c r="D174" s="96">
        <v>-0.5</v>
      </c>
      <c r="E174" s="97" t="s">
        <v>139</v>
      </c>
      <c r="F174" s="114">
        <f t="shared" si="32"/>
        <v>0</v>
      </c>
      <c r="G174" s="87"/>
      <c r="H174" s="101"/>
      <c r="I174" s="130">
        <v>70</v>
      </c>
      <c r="J174" s="96">
        <v>-0.3</v>
      </c>
      <c r="K174" s="97" t="s">
        <v>139</v>
      </c>
      <c r="L174" s="114">
        <f t="shared" si="33"/>
        <v>0</v>
      </c>
      <c r="M174" s="87"/>
      <c r="N174" s="87"/>
      <c r="O174" s="95"/>
      <c r="P174" s="84"/>
    </row>
    <row r="175" spans="1:16" ht="13">
      <c r="A175" s="1150"/>
      <c r="B175" s="87"/>
      <c r="C175" s="130">
        <v>37</v>
      </c>
      <c r="D175" s="96">
        <v>-0.6</v>
      </c>
      <c r="E175" s="97" t="s">
        <v>139</v>
      </c>
      <c r="F175" s="114">
        <f t="shared" si="32"/>
        <v>0</v>
      </c>
      <c r="G175" s="87"/>
      <c r="H175" s="101"/>
      <c r="I175" s="130">
        <v>80</v>
      </c>
      <c r="J175" s="96">
        <v>-0.8</v>
      </c>
      <c r="K175" s="97" t="s">
        <v>139</v>
      </c>
      <c r="L175" s="114">
        <f t="shared" si="33"/>
        <v>0</v>
      </c>
      <c r="M175" s="87"/>
      <c r="N175" s="87"/>
      <c r="O175" s="95"/>
      <c r="P175" s="84"/>
    </row>
    <row r="176" spans="1:16" ht="13.5" thickBot="1">
      <c r="A176" s="1151"/>
      <c r="B176" s="99"/>
      <c r="C176" s="131">
        <v>40</v>
      </c>
      <c r="D176" s="117">
        <v>-0.8</v>
      </c>
      <c r="E176" s="120" t="s">
        <v>139</v>
      </c>
      <c r="F176" s="118">
        <f t="shared" si="32"/>
        <v>0</v>
      </c>
      <c r="G176" s="99"/>
      <c r="H176" s="119"/>
      <c r="I176" s="131">
        <v>90</v>
      </c>
      <c r="J176" s="117">
        <v>-1.4</v>
      </c>
      <c r="K176" s="120" t="s">
        <v>139</v>
      </c>
      <c r="L176" s="118">
        <f t="shared" si="33"/>
        <v>0</v>
      </c>
      <c r="M176" s="99"/>
      <c r="N176" s="99"/>
      <c r="O176" s="590"/>
      <c r="P176" s="84"/>
    </row>
    <row r="177" spans="1:16" ht="13.5" thickBot="1">
      <c r="A177" s="1149">
        <v>17</v>
      </c>
      <c r="B177" s="1152" t="s">
        <v>683</v>
      </c>
      <c r="C177" s="1153"/>
      <c r="D177" s="1153"/>
      <c r="E177" s="1153"/>
      <c r="F177" s="1154"/>
      <c r="G177" s="86"/>
      <c r="H177" s="1152">
        <v>13</v>
      </c>
      <c r="I177" s="1153"/>
      <c r="J177" s="1153"/>
      <c r="K177" s="1153"/>
      <c r="L177" s="1154"/>
      <c r="M177" s="86"/>
      <c r="N177" s="1137" t="s">
        <v>607</v>
      </c>
      <c r="O177" s="1138"/>
      <c r="P177" s="84"/>
    </row>
    <row r="178" spans="1:16" ht="13.5" thickBot="1">
      <c r="A178" s="1150"/>
      <c r="B178" s="1139" t="s">
        <v>664</v>
      </c>
      <c r="C178" s="1140"/>
      <c r="D178" s="1141" t="s">
        <v>346</v>
      </c>
      <c r="E178" s="1142"/>
      <c r="F178" s="1143" t="s">
        <v>665</v>
      </c>
      <c r="G178" s="87"/>
      <c r="H178" s="1139" t="s">
        <v>666</v>
      </c>
      <c r="I178" s="1140"/>
      <c r="J178" s="1141" t="s">
        <v>346</v>
      </c>
      <c r="K178" s="1142"/>
      <c r="L178" s="1143" t="s">
        <v>665</v>
      </c>
      <c r="M178" s="87"/>
      <c r="N178" s="104" t="s">
        <v>664</v>
      </c>
      <c r="O178" s="127">
        <v>0.3</v>
      </c>
      <c r="P178" s="84"/>
    </row>
    <row r="179" spans="1:16" ht="15" thickBot="1">
      <c r="A179" s="1150"/>
      <c r="B179" s="1145" t="s">
        <v>667</v>
      </c>
      <c r="C179" s="1146"/>
      <c r="D179" s="106">
        <v>2020</v>
      </c>
      <c r="E179" s="133" t="s">
        <v>139</v>
      </c>
      <c r="F179" s="1144"/>
      <c r="G179" s="87"/>
      <c r="H179" s="1147" t="s">
        <v>16</v>
      </c>
      <c r="I179" s="1148"/>
      <c r="J179" s="107">
        <f>D179</f>
        <v>2020</v>
      </c>
      <c r="K179" s="107" t="str">
        <f>E179</f>
        <v>-</v>
      </c>
      <c r="L179" s="1144"/>
      <c r="M179" s="87"/>
      <c r="N179" s="108" t="s">
        <v>16</v>
      </c>
      <c r="O179" s="126">
        <v>1.6</v>
      </c>
      <c r="P179" s="84"/>
    </row>
    <row r="180" spans="1:16" ht="13">
      <c r="A180" s="1150"/>
      <c r="B180" s="87"/>
      <c r="C180" s="128">
        <v>15</v>
      </c>
      <c r="D180" s="93">
        <v>1.0000000000000001E-5</v>
      </c>
      <c r="E180" s="134" t="s">
        <v>139</v>
      </c>
      <c r="F180" s="112">
        <f t="shared" ref="F180:F186" si="34">0.5*(MAX(D180:E180)-MIN(D180:E180))</f>
        <v>0</v>
      </c>
      <c r="G180" s="87"/>
      <c r="H180" s="101"/>
      <c r="I180" s="128">
        <v>30</v>
      </c>
      <c r="J180" s="111">
        <v>-0.4</v>
      </c>
      <c r="K180" s="134" t="s">
        <v>139</v>
      </c>
      <c r="L180" s="112">
        <f t="shared" ref="L180:L186" si="35">0.5*(MAX(J180:K180)-MIN(J180:K180))</f>
        <v>0</v>
      </c>
      <c r="M180" s="87"/>
      <c r="N180" s="87"/>
      <c r="O180" s="95"/>
      <c r="P180" s="84"/>
    </row>
    <row r="181" spans="1:16" ht="13">
      <c r="A181" s="1150"/>
      <c r="B181" s="87"/>
      <c r="C181" s="129">
        <v>20</v>
      </c>
      <c r="D181" s="93">
        <v>-0.1</v>
      </c>
      <c r="E181" s="135" t="s">
        <v>139</v>
      </c>
      <c r="F181" s="114">
        <f t="shared" si="34"/>
        <v>0</v>
      </c>
      <c r="G181" s="87"/>
      <c r="H181" s="101"/>
      <c r="I181" s="129">
        <v>40</v>
      </c>
      <c r="J181" s="93">
        <v>-0.2</v>
      </c>
      <c r="K181" s="135" t="s">
        <v>139</v>
      </c>
      <c r="L181" s="114">
        <f t="shared" si="35"/>
        <v>0</v>
      </c>
      <c r="M181" s="87"/>
      <c r="N181" s="87"/>
      <c r="O181" s="95"/>
      <c r="P181" s="84"/>
    </row>
    <row r="182" spans="1:16" ht="13">
      <c r="A182" s="1150"/>
      <c r="B182" s="87"/>
      <c r="C182" s="129">
        <v>25</v>
      </c>
      <c r="D182" s="93">
        <v>-0.2</v>
      </c>
      <c r="E182" s="135" t="s">
        <v>139</v>
      </c>
      <c r="F182" s="114">
        <f t="shared" si="34"/>
        <v>0</v>
      </c>
      <c r="G182" s="87"/>
      <c r="H182" s="101"/>
      <c r="I182" s="129">
        <v>50</v>
      </c>
      <c r="J182" s="93">
        <v>-0.2</v>
      </c>
      <c r="K182" s="135" t="s">
        <v>139</v>
      </c>
      <c r="L182" s="114">
        <f t="shared" si="35"/>
        <v>0</v>
      </c>
      <c r="M182" s="87"/>
      <c r="N182" s="87"/>
      <c r="O182" s="95"/>
      <c r="P182" s="84"/>
    </row>
    <row r="183" spans="1:16" ht="13">
      <c r="A183" s="1150"/>
      <c r="B183" s="87"/>
      <c r="C183" s="130">
        <v>30</v>
      </c>
      <c r="D183" s="96">
        <v>-0.2</v>
      </c>
      <c r="E183" s="97" t="s">
        <v>139</v>
      </c>
      <c r="F183" s="114">
        <f t="shared" si="34"/>
        <v>0</v>
      </c>
      <c r="G183" s="87"/>
      <c r="H183" s="101"/>
      <c r="I183" s="130">
        <v>60</v>
      </c>
      <c r="J183" s="96">
        <v>-0.2</v>
      </c>
      <c r="K183" s="97" t="s">
        <v>139</v>
      </c>
      <c r="L183" s="114">
        <f t="shared" si="35"/>
        <v>0</v>
      </c>
      <c r="M183" s="87"/>
      <c r="N183" s="87"/>
      <c r="O183" s="95"/>
      <c r="P183" s="84"/>
    </row>
    <row r="184" spans="1:16" ht="13">
      <c r="A184" s="1150"/>
      <c r="B184" s="87"/>
      <c r="C184" s="130">
        <v>35</v>
      </c>
      <c r="D184" s="96">
        <v>-0.3</v>
      </c>
      <c r="E184" s="97" t="s">
        <v>139</v>
      </c>
      <c r="F184" s="114">
        <f t="shared" si="34"/>
        <v>0</v>
      </c>
      <c r="G184" s="87"/>
      <c r="H184" s="101"/>
      <c r="I184" s="130">
        <v>70</v>
      </c>
      <c r="J184" s="96">
        <v>-0.3</v>
      </c>
      <c r="K184" s="97" t="s">
        <v>139</v>
      </c>
      <c r="L184" s="114">
        <f t="shared" si="35"/>
        <v>0</v>
      </c>
      <c r="M184" s="87"/>
      <c r="N184" s="87"/>
      <c r="O184" s="95"/>
      <c r="P184" s="84"/>
    </row>
    <row r="185" spans="1:16" ht="13">
      <c r="A185" s="1150"/>
      <c r="B185" s="87"/>
      <c r="C185" s="130">
        <v>37</v>
      </c>
      <c r="D185" s="96">
        <v>-0.3</v>
      </c>
      <c r="E185" s="97" t="s">
        <v>139</v>
      </c>
      <c r="F185" s="114">
        <f t="shared" si="34"/>
        <v>0</v>
      </c>
      <c r="G185" s="87"/>
      <c r="H185" s="101"/>
      <c r="I185" s="130">
        <v>80</v>
      </c>
      <c r="J185" s="96">
        <v>-0.5</v>
      </c>
      <c r="K185" s="97" t="s">
        <v>139</v>
      </c>
      <c r="L185" s="114">
        <f t="shared" si="35"/>
        <v>0</v>
      </c>
      <c r="M185" s="87"/>
      <c r="N185" s="87"/>
      <c r="O185" s="95"/>
      <c r="P185" s="84"/>
    </row>
    <row r="186" spans="1:16" ht="13.5" thickBot="1">
      <c r="A186" s="1151"/>
      <c r="B186" s="99"/>
      <c r="C186" s="131">
        <v>40</v>
      </c>
      <c r="D186" s="117">
        <v>-0.4</v>
      </c>
      <c r="E186" s="120" t="s">
        <v>139</v>
      </c>
      <c r="F186" s="118">
        <f t="shared" si="34"/>
        <v>0</v>
      </c>
      <c r="G186" s="99"/>
      <c r="H186" s="119"/>
      <c r="I186" s="131">
        <v>90</v>
      </c>
      <c r="J186" s="117">
        <v>-0.8</v>
      </c>
      <c r="K186" s="120" t="s">
        <v>139</v>
      </c>
      <c r="L186" s="118">
        <f t="shared" si="35"/>
        <v>0</v>
      </c>
      <c r="M186" s="99"/>
      <c r="N186" s="99"/>
      <c r="O186" s="590"/>
      <c r="P186" s="84"/>
    </row>
    <row r="187" spans="1:16" ht="13.5" thickBot="1">
      <c r="A187" s="1149">
        <v>18</v>
      </c>
      <c r="B187" s="1152" t="s">
        <v>684</v>
      </c>
      <c r="C187" s="1153"/>
      <c r="D187" s="1153"/>
      <c r="E187" s="1153"/>
      <c r="F187" s="1154"/>
      <c r="G187" s="86"/>
      <c r="H187" s="1152" t="str">
        <f>B187</f>
        <v>KOREKSI Extech SD700/A.100586</v>
      </c>
      <c r="I187" s="1153"/>
      <c r="J187" s="1153"/>
      <c r="K187" s="1153"/>
      <c r="L187" s="1154"/>
      <c r="M187" s="86"/>
      <c r="N187" s="1137" t="s">
        <v>607</v>
      </c>
      <c r="O187" s="1138"/>
      <c r="P187" s="84"/>
    </row>
    <row r="188" spans="1:16" ht="13.5" thickBot="1">
      <c r="A188" s="1150"/>
      <c r="B188" s="1139" t="s">
        <v>664</v>
      </c>
      <c r="C188" s="1140"/>
      <c r="D188" s="1141" t="s">
        <v>346</v>
      </c>
      <c r="E188" s="1142"/>
      <c r="F188" s="1143" t="s">
        <v>665</v>
      </c>
      <c r="G188" s="87"/>
      <c r="H188" s="1139" t="s">
        <v>666</v>
      </c>
      <c r="I188" s="1140"/>
      <c r="J188" s="1141" t="s">
        <v>346</v>
      </c>
      <c r="K188" s="1142"/>
      <c r="L188" s="1143" t="s">
        <v>665</v>
      </c>
      <c r="M188" s="87"/>
      <c r="N188" s="104" t="s">
        <v>664</v>
      </c>
      <c r="O188" s="127">
        <v>0.3</v>
      </c>
      <c r="P188" s="84"/>
    </row>
    <row r="189" spans="1:16" ht="15" thickBot="1">
      <c r="A189" s="1150"/>
      <c r="B189" s="1145" t="s">
        <v>667</v>
      </c>
      <c r="C189" s="1146"/>
      <c r="D189" s="106">
        <v>2020</v>
      </c>
      <c r="E189" s="133" t="s">
        <v>139</v>
      </c>
      <c r="F189" s="1144"/>
      <c r="G189" s="87"/>
      <c r="H189" s="1147" t="s">
        <v>16</v>
      </c>
      <c r="I189" s="1148"/>
      <c r="J189" s="107">
        <f>D189</f>
        <v>2020</v>
      </c>
      <c r="K189" s="107" t="str">
        <f>E189</f>
        <v>-</v>
      </c>
      <c r="L189" s="1144"/>
      <c r="M189" s="87"/>
      <c r="N189" s="108" t="s">
        <v>16</v>
      </c>
      <c r="O189" s="126">
        <v>2</v>
      </c>
      <c r="P189" s="84"/>
    </row>
    <row r="190" spans="1:16" ht="13">
      <c r="A190" s="1150"/>
      <c r="B190" s="87"/>
      <c r="C190" s="128">
        <v>15</v>
      </c>
      <c r="D190" s="93">
        <v>1.0000000000000001E-5</v>
      </c>
      <c r="E190" s="134" t="s">
        <v>139</v>
      </c>
      <c r="F190" s="112">
        <f t="shared" ref="F190:F196" si="36">0.5*(MAX(D190:E190)-MIN(D190:E190))</f>
        <v>0</v>
      </c>
      <c r="G190" s="87"/>
      <c r="H190" s="101"/>
      <c r="I190" s="128">
        <v>30</v>
      </c>
      <c r="J190" s="111">
        <v>-0.4</v>
      </c>
      <c r="K190" s="134" t="s">
        <v>139</v>
      </c>
      <c r="L190" s="112">
        <f t="shared" ref="L190:L196" si="37">0.5*(MAX(J190:K190)-MIN(J190:K190))</f>
        <v>0</v>
      </c>
      <c r="M190" s="87"/>
      <c r="N190" s="87"/>
      <c r="O190" s="95"/>
      <c r="P190" s="84"/>
    </row>
    <row r="191" spans="1:16" ht="13">
      <c r="A191" s="1150"/>
      <c r="B191" s="87"/>
      <c r="C191" s="129">
        <v>20</v>
      </c>
      <c r="D191" s="93">
        <v>1.0000000000000001E-5</v>
      </c>
      <c r="E191" s="135" t="s">
        <v>139</v>
      </c>
      <c r="F191" s="114">
        <f t="shared" si="36"/>
        <v>0</v>
      </c>
      <c r="G191" s="87"/>
      <c r="H191" s="101"/>
      <c r="I191" s="129">
        <v>40</v>
      </c>
      <c r="J191" s="93">
        <v>-0.1</v>
      </c>
      <c r="K191" s="135" t="s">
        <v>139</v>
      </c>
      <c r="L191" s="114">
        <f t="shared" si="37"/>
        <v>0</v>
      </c>
      <c r="M191" s="87"/>
      <c r="N191" s="87"/>
      <c r="O191" s="95"/>
      <c r="P191" s="84"/>
    </row>
    <row r="192" spans="1:16" ht="13">
      <c r="A192" s="1150"/>
      <c r="B192" s="87"/>
      <c r="C192" s="129">
        <v>25</v>
      </c>
      <c r="D192" s="93">
        <v>1.0000000000000001E-5</v>
      </c>
      <c r="E192" s="135" t="s">
        <v>139</v>
      </c>
      <c r="F192" s="114">
        <f t="shared" si="36"/>
        <v>0</v>
      </c>
      <c r="G192" s="87"/>
      <c r="H192" s="101"/>
      <c r="I192" s="129">
        <v>50</v>
      </c>
      <c r="J192" s="93">
        <v>1.0000000000000001E-5</v>
      </c>
      <c r="K192" s="135" t="s">
        <v>139</v>
      </c>
      <c r="L192" s="114">
        <f t="shared" si="37"/>
        <v>0</v>
      </c>
      <c r="M192" s="87"/>
      <c r="N192" s="87"/>
      <c r="O192" s="95"/>
      <c r="P192" s="84"/>
    </row>
    <row r="193" spans="1:16" ht="13">
      <c r="A193" s="1150"/>
      <c r="B193" s="87"/>
      <c r="C193" s="130">
        <v>30</v>
      </c>
      <c r="D193" s="96">
        <v>-0.1</v>
      </c>
      <c r="E193" s="97" t="s">
        <v>139</v>
      </c>
      <c r="F193" s="114">
        <f t="shared" si="36"/>
        <v>0</v>
      </c>
      <c r="G193" s="87"/>
      <c r="H193" s="101"/>
      <c r="I193" s="130">
        <v>60</v>
      </c>
      <c r="J193" s="93">
        <v>1.0000000000000001E-5</v>
      </c>
      <c r="K193" s="97" t="s">
        <v>139</v>
      </c>
      <c r="L193" s="114">
        <f t="shared" si="37"/>
        <v>0</v>
      </c>
      <c r="M193" s="87"/>
      <c r="N193" s="87"/>
      <c r="O193" s="95"/>
      <c r="P193" s="84"/>
    </row>
    <row r="194" spans="1:16" ht="13">
      <c r="A194" s="1150"/>
      <c r="B194" s="87"/>
      <c r="C194" s="130">
        <v>35</v>
      </c>
      <c r="D194" s="96">
        <v>-0.2</v>
      </c>
      <c r="E194" s="97" t="s">
        <v>139</v>
      </c>
      <c r="F194" s="114">
        <f t="shared" si="36"/>
        <v>0</v>
      </c>
      <c r="G194" s="87"/>
      <c r="H194" s="101"/>
      <c r="I194" s="130">
        <v>70</v>
      </c>
      <c r="J194" s="96">
        <v>-0.1</v>
      </c>
      <c r="K194" s="97" t="s">
        <v>139</v>
      </c>
      <c r="L194" s="114">
        <f t="shared" si="37"/>
        <v>0</v>
      </c>
      <c r="M194" s="87"/>
      <c r="N194" s="87"/>
      <c r="O194" s="95"/>
      <c r="P194" s="84"/>
    </row>
    <row r="195" spans="1:16" ht="13">
      <c r="A195" s="1150"/>
      <c r="B195" s="87"/>
      <c r="C195" s="130">
        <v>37</v>
      </c>
      <c r="D195" s="96">
        <v>-0.3</v>
      </c>
      <c r="E195" s="97" t="s">
        <v>139</v>
      </c>
      <c r="F195" s="114">
        <f t="shared" si="36"/>
        <v>0</v>
      </c>
      <c r="G195" s="87"/>
      <c r="H195" s="101"/>
      <c r="I195" s="130">
        <v>80</v>
      </c>
      <c r="J195" s="96">
        <v>-0.5</v>
      </c>
      <c r="K195" s="97" t="s">
        <v>139</v>
      </c>
      <c r="L195" s="114">
        <f t="shared" si="37"/>
        <v>0</v>
      </c>
      <c r="M195" s="87"/>
      <c r="N195" s="87"/>
      <c r="O195" s="95"/>
      <c r="P195" s="84"/>
    </row>
    <row r="196" spans="1:16" ht="13.5" thickBot="1">
      <c r="A196" s="1151"/>
      <c r="B196" s="99"/>
      <c r="C196" s="131">
        <v>40</v>
      </c>
      <c r="D196" s="117">
        <v>-0.4</v>
      </c>
      <c r="E196" s="120" t="s">
        <v>139</v>
      </c>
      <c r="F196" s="118">
        <f t="shared" si="36"/>
        <v>0</v>
      </c>
      <c r="G196" s="99"/>
      <c r="H196" s="119"/>
      <c r="I196" s="131">
        <v>90</v>
      </c>
      <c r="J196" s="117">
        <v>-0.9</v>
      </c>
      <c r="K196" s="120" t="s">
        <v>139</v>
      </c>
      <c r="L196" s="118">
        <f t="shared" si="37"/>
        <v>0</v>
      </c>
      <c r="M196" s="99"/>
      <c r="N196" s="99"/>
      <c r="O196" s="590"/>
      <c r="P196" s="84"/>
    </row>
    <row r="197" spans="1:16" ht="13.5" thickBot="1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</row>
    <row r="198" spans="1:16">
      <c r="A198" s="1170" t="s">
        <v>25</v>
      </c>
      <c r="B198" s="1172" t="s">
        <v>647</v>
      </c>
      <c r="C198" s="1164" t="s">
        <v>685</v>
      </c>
      <c r="D198" s="1164"/>
      <c r="E198" s="1164"/>
      <c r="F198" s="1164"/>
      <c r="G198" s="138"/>
      <c r="H198" s="1174" t="s">
        <v>25</v>
      </c>
      <c r="I198" s="1172" t="s">
        <v>647</v>
      </c>
      <c r="J198" s="1164" t="s">
        <v>685</v>
      </c>
      <c r="K198" s="1164"/>
      <c r="L198" s="1164"/>
      <c r="M198" s="1164"/>
      <c r="N198" s="139"/>
      <c r="O198" s="1165" t="s">
        <v>607</v>
      </c>
      <c r="P198" s="1166"/>
    </row>
    <row r="199" spans="1:16" ht="13.5">
      <c r="A199" s="1171"/>
      <c r="B199" s="1173"/>
      <c r="C199" s="140" t="s">
        <v>664</v>
      </c>
      <c r="D199" s="1167" t="s">
        <v>346</v>
      </c>
      <c r="E199" s="1167"/>
      <c r="F199" s="1167" t="s">
        <v>665</v>
      </c>
      <c r="G199" s="84"/>
      <c r="H199" s="1175"/>
      <c r="I199" s="1173"/>
      <c r="J199" s="140" t="s">
        <v>666</v>
      </c>
      <c r="K199" s="1167" t="s">
        <v>346</v>
      </c>
      <c r="L199" s="1167"/>
      <c r="M199" s="1167" t="s">
        <v>665</v>
      </c>
      <c r="N199" s="84"/>
      <c r="O199" s="1168" t="s">
        <v>664</v>
      </c>
      <c r="P199" s="1169"/>
    </row>
    <row r="200" spans="1:16" ht="14">
      <c r="A200" s="1171"/>
      <c r="B200" s="1173"/>
      <c r="C200" s="141" t="s">
        <v>686</v>
      </c>
      <c r="D200" s="140"/>
      <c r="E200" s="140"/>
      <c r="F200" s="1167"/>
      <c r="G200" s="84"/>
      <c r="H200" s="1175"/>
      <c r="I200" s="1173"/>
      <c r="J200" s="141" t="s">
        <v>16</v>
      </c>
      <c r="K200" s="140"/>
      <c r="L200" s="140"/>
      <c r="M200" s="1167"/>
      <c r="N200" s="84"/>
      <c r="O200" s="142">
        <v>1</v>
      </c>
      <c r="P200" s="143">
        <f>O3</f>
        <v>0.6</v>
      </c>
    </row>
    <row r="201" spans="1:16" ht="13">
      <c r="A201" s="1158" t="s">
        <v>621</v>
      </c>
      <c r="B201" s="144">
        <v>1</v>
      </c>
      <c r="C201" s="145">
        <f>C5</f>
        <v>15</v>
      </c>
      <c r="D201" s="145">
        <f t="shared" ref="D201:F201" si="38">D5</f>
        <v>-0.5</v>
      </c>
      <c r="E201" s="145">
        <f t="shared" si="38"/>
        <v>0.3</v>
      </c>
      <c r="F201" s="145">
        <f t="shared" si="38"/>
        <v>0.4</v>
      </c>
      <c r="G201" s="84"/>
      <c r="H201" s="1159" t="s">
        <v>621</v>
      </c>
      <c r="I201" s="144">
        <v>1</v>
      </c>
      <c r="J201" s="145">
        <f>I5</f>
        <v>35</v>
      </c>
      <c r="K201" s="145">
        <f t="shared" ref="K201:M201" si="39">J5</f>
        <v>-6</v>
      </c>
      <c r="L201" s="145">
        <f t="shared" si="39"/>
        <v>1.0000000000000001E-5</v>
      </c>
      <c r="M201" s="145">
        <f t="shared" si="39"/>
        <v>3.0000049999999998</v>
      </c>
      <c r="N201" s="84"/>
      <c r="O201" s="146">
        <v>2</v>
      </c>
      <c r="P201" s="147">
        <f>O14</f>
        <v>0.3</v>
      </c>
    </row>
    <row r="202" spans="1:16" ht="13">
      <c r="A202" s="1158"/>
      <c r="B202" s="144">
        <v>2</v>
      </c>
      <c r="C202" s="145">
        <f>C16</f>
        <v>15</v>
      </c>
      <c r="D202" s="145">
        <f t="shared" ref="D202:F202" si="40">D16</f>
        <v>1.0000000000000001E-5</v>
      </c>
      <c r="E202" s="145">
        <f t="shared" si="40"/>
        <v>0.5</v>
      </c>
      <c r="F202" s="145">
        <f t="shared" si="40"/>
        <v>0.24999499999999999</v>
      </c>
      <c r="G202" s="84"/>
      <c r="H202" s="1159"/>
      <c r="I202" s="144">
        <v>2</v>
      </c>
      <c r="J202" s="145">
        <f>I16</f>
        <v>35</v>
      </c>
      <c r="K202" s="145">
        <f t="shared" ref="K202:M202" si="41">J16</f>
        <v>-1.6</v>
      </c>
      <c r="L202" s="145">
        <f t="shared" si="41"/>
        <v>-0.9</v>
      </c>
      <c r="M202" s="145">
        <f t="shared" si="41"/>
        <v>0.35000000000000003</v>
      </c>
      <c r="N202" s="84"/>
      <c r="O202" s="146">
        <v>3</v>
      </c>
      <c r="P202" s="148">
        <f>O25</f>
        <v>0.3</v>
      </c>
    </row>
    <row r="203" spans="1:16" ht="13">
      <c r="A203" s="1158"/>
      <c r="B203" s="144">
        <v>3</v>
      </c>
      <c r="C203" s="145">
        <f>C27</f>
        <v>15</v>
      </c>
      <c r="D203" s="145">
        <f t="shared" ref="D203:F203" si="42">D27</f>
        <v>1.0000000000000001E-5</v>
      </c>
      <c r="E203" s="145">
        <f t="shared" si="42"/>
        <v>0.2</v>
      </c>
      <c r="F203" s="145">
        <f t="shared" si="42"/>
        <v>9.9995000000000001E-2</v>
      </c>
      <c r="G203" s="84"/>
      <c r="H203" s="1159"/>
      <c r="I203" s="144">
        <v>3</v>
      </c>
      <c r="J203" s="145">
        <f>I27</f>
        <v>30</v>
      </c>
      <c r="K203" s="145">
        <f t="shared" ref="K203:M203" si="43">J27</f>
        <v>-5.7</v>
      </c>
      <c r="L203" s="145">
        <f t="shared" si="43"/>
        <v>-1.1000000000000001</v>
      </c>
      <c r="M203" s="145">
        <f t="shared" si="43"/>
        <v>2.2999999999999998</v>
      </c>
      <c r="N203" s="84"/>
      <c r="O203" s="146">
        <v>4</v>
      </c>
      <c r="P203" s="148">
        <f>O36</f>
        <v>0.6</v>
      </c>
    </row>
    <row r="204" spans="1:16" ht="13">
      <c r="A204" s="1158"/>
      <c r="B204" s="144">
        <v>4</v>
      </c>
      <c r="C204" s="149">
        <f>C38</f>
        <v>15</v>
      </c>
      <c r="D204" s="149">
        <f t="shared" ref="D204:F204" si="44">D38</f>
        <v>-0.1</v>
      </c>
      <c r="E204" s="149">
        <f t="shared" si="44"/>
        <v>0.4</v>
      </c>
      <c r="F204" s="149">
        <f t="shared" si="44"/>
        <v>0.25</v>
      </c>
      <c r="G204" s="84"/>
      <c r="H204" s="1159"/>
      <c r="I204" s="144">
        <v>4</v>
      </c>
      <c r="J204" s="149">
        <f>I38</f>
        <v>35</v>
      </c>
      <c r="K204" s="149">
        <f t="shared" ref="K204:M204" si="45">J38</f>
        <v>-1.7</v>
      </c>
      <c r="L204" s="149">
        <f t="shared" si="45"/>
        <v>-0.8</v>
      </c>
      <c r="M204" s="149">
        <f t="shared" si="45"/>
        <v>0.44999999999999996</v>
      </c>
      <c r="N204" s="84"/>
      <c r="O204" s="146">
        <v>5</v>
      </c>
      <c r="P204" s="148">
        <f>O47</f>
        <v>0.3</v>
      </c>
    </row>
    <row r="205" spans="1:16" ht="13">
      <c r="A205" s="1158"/>
      <c r="B205" s="144">
        <v>5</v>
      </c>
      <c r="C205" s="149">
        <f>C49</f>
        <v>15</v>
      </c>
      <c r="D205" s="149">
        <f t="shared" ref="D205:F205" si="46">D49</f>
        <v>0.3</v>
      </c>
      <c r="E205" s="149">
        <f t="shared" si="46"/>
        <v>0.4</v>
      </c>
      <c r="F205" s="149">
        <f t="shared" si="46"/>
        <v>5.0000000000000017E-2</v>
      </c>
      <c r="G205" s="84"/>
      <c r="H205" s="1159"/>
      <c r="I205" s="144">
        <v>5</v>
      </c>
      <c r="J205" s="149">
        <f>I49</f>
        <v>35</v>
      </c>
      <c r="K205" s="149">
        <f t="shared" ref="K205:M205" si="47">J49</f>
        <v>-9.6</v>
      </c>
      <c r="L205" s="149">
        <f t="shared" si="47"/>
        <v>-1.6</v>
      </c>
      <c r="M205" s="149">
        <f t="shared" si="47"/>
        <v>4</v>
      </c>
      <c r="N205" s="84"/>
      <c r="O205" s="142">
        <v>6</v>
      </c>
      <c r="P205" s="143">
        <f>O58</f>
        <v>0.5</v>
      </c>
    </row>
    <row r="206" spans="1:16" ht="13">
      <c r="A206" s="1158"/>
      <c r="B206" s="144">
        <v>6</v>
      </c>
      <c r="C206" s="149">
        <f>C60</f>
        <v>15</v>
      </c>
      <c r="D206" s="149">
        <f t="shared" ref="D206:F206" si="48">D60</f>
        <v>0.4</v>
      </c>
      <c r="E206" s="149">
        <f t="shared" si="48"/>
        <v>-0.2</v>
      </c>
      <c r="F206" s="149">
        <f t="shared" si="48"/>
        <v>0.30000000000000004</v>
      </c>
      <c r="G206" s="84"/>
      <c r="H206" s="1159"/>
      <c r="I206" s="144">
        <v>6</v>
      </c>
      <c r="J206" s="149">
        <f>I60</f>
        <v>30</v>
      </c>
      <c r="K206" s="149">
        <f t="shared" ref="K206:M206" si="49">J60</f>
        <v>1.7</v>
      </c>
      <c r="L206" s="149">
        <f t="shared" si="49"/>
        <v>-4.9000000000000004</v>
      </c>
      <c r="M206" s="149">
        <f t="shared" si="49"/>
        <v>3.3000000000000003</v>
      </c>
      <c r="N206" s="84"/>
      <c r="O206" s="142">
        <v>7</v>
      </c>
      <c r="P206" s="143">
        <f>O69</f>
        <v>0.3</v>
      </c>
    </row>
    <row r="207" spans="1:16" ht="13">
      <c r="A207" s="1158"/>
      <c r="B207" s="144">
        <v>7</v>
      </c>
      <c r="C207" s="149">
        <f>C71</f>
        <v>15</v>
      </c>
      <c r="D207" s="149">
        <f t="shared" ref="D207:F207" si="50">D71</f>
        <v>0.3</v>
      </c>
      <c r="E207" s="149">
        <f t="shared" si="50"/>
        <v>0.2</v>
      </c>
      <c r="F207" s="149">
        <f t="shared" si="50"/>
        <v>4.9999999999999989E-2</v>
      </c>
      <c r="G207" s="84"/>
      <c r="H207" s="1159"/>
      <c r="I207" s="144">
        <v>7</v>
      </c>
      <c r="J207" s="149">
        <f>I71</f>
        <v>30</v>
      </c>
      <c r="K207" s="149">
        <f t="shared" ref="K207:M207" si="51">J71</f>
        <v>1.8</v>
      </c>
      <c r="L207" s="149">
        <f t="shared" si="51"/>
        <v>-0.1</v>
      </c>
      <c r="M207" s="149">
        <f t="shared" si="51"/>
        <v>0.95000000000000007</v>
      </c>
      <c r="N207" s="84"/>
      <c r="O207" s="142">
        <v>8</v>
      </c>
      <c r="P207" s="143">
        <f>O80</f>
        <v>0.3</v>
      </c>
    </row>
    <row r="208" spans="1:16" ht="13">
      <c r="A208" s="1158"/>
      <c r="B208" s="144">
        <v>8</v>
      </c>
      <c r="C208" s="149">
        <f>C82</f>
        <v>15</v>
      </c>
      <c r="D208" s="149">
        <f t="shared" ref="D208:F208" si="52">D82</f>
        <v>1.0000000000000001E-5</v>
      </c>
      <c r="E208" s="149">
        <f t="shared" si="52"/>
        <v>-0.2</v>
      </c>
      <c r="F208" s="149">
        <f t="shared" si="52"/>
        <v>0.10000500000000001</v>
      </c>
      <c r="G208" s="84"/>
      <c r="H208" s="1159"/>
      <c r="I208" s="144">
        <v>8</v>
      </c>
      <c r="J208" s="149">
        <f>I82</f>
        <v>30</v>
      </c>
      <c r="K208" s="149">
        <f t="shared" ref="K208:M208" si="53">J82</f>
        <v>-1.4</v>
      </c>
      <c r="L208" s="149">
        <f t="shared" si="53"/>
        <v>1</v>
      </c>
      <c r="M208" s="149">
        <f t="shared" si="53"/>
        <v>1.2</v>
      </c>
      <c r="N208" s="84"/>
      <c r="O208" s="142">
        <v>9</v>
      </c>
      <c r="P208" s="143">
        <f>O91</f>
        <v>0.3</v>
      </c>
    </row>
    <row r="209" spans="1:16" ht="13">
      <c r="A209" s="1158"/>
      <c r="B209" s="144">
        <v>9</v>
      </c>
      <c r="C209" s="149">
        <f>C93</f>
        <v>15</v>
      </c>
      <c r="D209" s="149">
        <f t="shared" ref="D209:F209" si="54">D93</f>
        <v>1.0000000000000001E-5</v>
      </c>
      <c r="E209" s="149" t="str">
        <f t="shared" si="54"/>
        <v>-</v>
      </c>
      <c r="F209" s="149">
        <f t="shared" si="54"/>
        <v>0</v>
      </c>
      <c r="G209" s="84"/>
      <c r="H209" s="1159"/>
      <c r="I209" s="144">
        <v>9</v>
      </c>
      <c r="J209" s="149">
        <f>I93</f>
        <v>30</v>
      </c>
      <c r="K209" s="149">
        <f t="shared" ref="K209:M209" si="55">J93</f>
        <v>-1.2</v>
      </c>
      <c r="L209" s="149" t="str">
        <f t="shared" si="55"/>
        <v>-</v>
      </c>
      <c r="M209" s="149">
        <f t="shared" si="55"/>
        <v>0</v>
      </c>
      <c r="N209" s="84"/>
      <c r="O209" s="142">
        <v>10</v>
      </c>
      <c r="P209" s="143">
        <f>O102</f>
        <v>0.3</v>
      </c>
    </row>
    <row r="210" spans="1:16" ht="13">
      <c r="A210" s="1158"/>
      <c r="B210" s="144">
        <v>10</v>
      </c>
      <c r="C210" s="149">
        <f>C104</f>
        <v>15</v>
      </c>
      <c r="D210" s="149">
        <f t="shared" ref="D210:F210" si="56">D104</f>
        <v>0.2</v>
      </c>
      <c r="E210" s="149">
        <f t="shared" si="56"/>
        <v>0.2</v>
      </c>
      <c r="F210" s="149">
        <f t="shared" si="56"/>
        <v>0</v>
      </c>
      <c r="G210" s="84"/>
      <c r="H210" s="1159"/>
      <c r="I210" s="144">
        <v>10</v>
      </c>
      <c r="J210" s="149">
        <f>I104</f>
        <v>30</v>
      </c>
      <c r="K210" s="149">
        <f t="shared" ref="K210:M210" si="57">J104</f>
        <v>-2.9</v>
      </c>
      <c r="L210" s="149">
        <f t="shared" si="57"/>
        <v>-5.8</v>
      </c>
      <c r="M210" s="149">
        <f t="shared" si="57"/>
        <v>1.45</v>
      </c>
      <c r="N210" s="84"/>
      <c r="O210" s="142">
        <v>11</v>
      </c>
      <c r="P210" s="143">
        <f>O113</f>
        <v>0.3</v>
      </c>
    </row>
    <row r="211" spans="1:16" ht="13">
      <c r="A211" s="1158"/>
      <c r="B211" s="144">
        <v>11</v>
      </c>
      <c r="C211" s="149">
        <f>C115</f>
        <v>15</v>
      </c>
      <c r="D211" s="149">
        <f t="shared" ref="D211:F211" si="58">D115</f>
        <v>0.3</v>
      </c>
      <c r="E211" s="149" t="str">
        <f t="shared" si="58"/>
        <v>-</v>
      </c>
      <c r="F211" s="149">
        <f t="shared" si="58"/>
        <v>0</v>
      </c>
      <c r="G211" s="84"/>
      <c r="H211" s="1159"/>
      <c r="I211" s="144">
        <v>11</v>
      </c>
      <c r="J211" s="149">
        <f>I115</f>
        <v>30</v>
      </c>
      <c r="K211" s="149">
        <f t="shared" ref="K211:M211" si="59">J115</f>
        <v>-5.2</v>
      </c>
      <c r="L211" s="149" t="str">
        <f t="shared" si="59"/>
        <v>-</v>
      </c>
      <c r="M211" s="149">
        <f t="shared" si="59"/>
        <v>0</v>
      </c>
      <c r="N211" s="84"/>
      <c r="O211" s="142">
        <v>12</v>
      </c>
      <c r="P211" s="143">
        <f>O124</f>
        <v>0.4</v>
      </c>
    </row>
    <row r="212" spans="1:16" ht="13">
      <c r="A212" s="1158"/>
      <c r="B212" s="144">
        <v>12</v>
      </c>
      <c r="C212" s="149">
        <f>C126</f>
        <v>15</v>
      </c>
      <c r="D212" s="149">
        <f t="shared" ref="D212:F212" si="60">D126</f>
        <v>-2</v>
      </c>
      <c r="E212" s="149" t="str">
        <f t="shared" si="60"/>
        <v>-</v>
      </c>
      <c r="F212" s="149">
        <f t="shared" si="60"/>
        <v>0</v>
      </c>
      <c r="G212" s="84"/>
      <c r="H212" s="1159"/>
      <c r="I212" s="144">
        <v>12</v>
      </c>
      <c r="J212" s="149">
        <f>I126</f>
        <v>30</v>
      </c>
      <c r="K212" s="149">
        <f t="shared" ref="K212:M212" si="61">J126</f>
        <v>1</v>
      </c>
      <c r="L212" s="149" t="str">
        <f t="shared" si="61"/>
        <v>-</v>
      </c>
      <c r="M212" s="149">
        <f t="shared" si="61"/>
        <v>0</v>
      </c>
      <c r="N212" s="84"/>
      <c r="O212" s="142">
        <v>13</v>
      </c>
      <c r="P212" s="143">
        <f>O135</f>
        <v>0.3</v>
      </c>
    </row>
    <row r="213" spans="1:16" ht="13">
      <c r="A213" s="1158"/>
      <c r="B213" s="144">
        <v>13</v>
      </c>
      <c r="C213" s="149">
        <f>C137</f>
        <v>15</v>
      </c>
      <c r="D213" s="149">
        <f t="shared" ref="D213:F213" si="62">D137</f>
        <v>-0.7</v>
      </c>
      <c r="E213" s="149" t="str">
        <f t="shared" si="62"/>
        <v>-</v>
      </c>
      <c r="F213" s="149">
        <f t="shared" si="62"/>
        <v>0</v>
      </c>
      <c r="G213" s="84"/>
      <c r="H213" s="1159"/>
      <c r="I213" s="144">
        <v>13</v>
      </c>
      <c r="J213" s="149">
        <f>I137</f>
        <v>30</v>
      </c>
      <c r="K213" s="149">
        <f t="shared" ref="K213:M213" si="63">J137</f>
        <v>-1.5</v>
      </c>
      <c r="L213" s="149" t="str">
        <f t="shared" si="63"/>
        <v>-</v>
      </c>
      <c r="M213" s="149">
        <f t="shared" si="63"/>
        <v>0</v>
      </c>
      <c r="N213" s="84"/>
      <c r="O213" s="142">
        <v>14</v>
      </c>
      <c r="P213" s="143">
        <f>O146</f>
        <v>0.3</v>
      </c>
    </row>
    <row r="214" spans="1:16" ht="13">
      <c r="A214" s="1158"/>
      <c r="B214" s="144">
        <v>14</v>
      </c>
      <c r="C214" s="149">
        <f>C148</f>
        <v>15</v>
      </c>
      <c r="D214" s="149">
        <f t="shared" ref="D214:F214" si="64">D148</f>
        <v>-0.6</v>
      </c>
      <c r="E214" s="149" t="str">
        <f t="shared" si="64"/>
        <v>-</v>
      </c>
      <c r="F214" s="149">
        <f t="shared" si="64"/>
        <v>0</v>
      </c>
      <c r="G214" s="84"/>
      <c r="H214" s="1159"/>
      <c r="I214" s="144">
        <v>14</v>
      </c>
      <c r="J214" s="149">
        <f>I148</f>
        <v>30</v>
      </c>
      <c r="K214" s="149">
        <f t="shared" ref="K214:M214" si="65">J148</f>
        <v>-0.5</v>
      </c>
      <c r="L214" s="149" t="str">
        <f t="shared" si="65"/>
        <v>-</v>
      </c>
      <c r="M214" s="149">
        <f t="shared" si="65"/>
        <v>0</v>
      </c>
      <c r="N214" s="84"/>
      <c r="O214" s="142">
        <v>15</v>
      </c>
      <c r="P214" s="143">
        <f>O157</f>
        <v>0.4</v>
      </c>
    </row>
    <row r="215" spans="1:16" ht="13">
      <c r="A215" s="1158"/>
      <c r="B215" s="144">
        <v>15</v>
      </c>
      <c r="C215" s="149">
        <f>C159</f>
        <v>15</v>
      </c>
      <c r="D215" s="149">
        <f t="shared" ref="D215:F215" si="66">D159</f>
        <v>0.1</v>
      </c>
      <c r="E215" s="149" t="str">
        <f t="shared" si="66"/>
        <v>-</v>
      </c>
      <c r="F215" s="149">
        <f t="shared" si="66"/>
        <v>0</v>
      </c>
      <c r="G215" s="84"/>
      <c r="H215" s="1159"/>
      <c r="I215" s="144">
        <v>15</v>
      </c>
      <c r="J215" s="149">
        <f>I159</f>
        <v>30</v>
      </c>
      <c r="K215" s="149">
        <f t="shared" ref="K215:M215" si="67">J159</f>
        <v>-1.6</v>
      </c>
      <c r="L215" s="149" t="str">
        <f t="shared" si="67"/>
        <v>-</v>
      </c>
      <c r="M215" s="149">
        <f t="shared" si="67"/>
        <v>0</v>
      </c>
      <c r="N215" s="84"/>
      <c r="O215" s="142">
        <v>16</v>
      </c>
      <c r="P215" s="143">
        <f>O168</f>
        <v>0.3</v>
      </c>
    </row>
    <row r="216" spans="1:16" ht="13">
      <c r="A216" s="1158"/>
      <c r="B216" s="144">
        <v>16</v>
      </c>
      <c r="C216" s="149">
        <f>C170</f>
        <v>15</v>
      </c>
      <c r="D216" s="149">
        <f t="shared" ref="D216:F216" si="68">D170</f>
        <v>0.1</v>
      </c>
      <c r="E216" s="149" t="str">
        <f t="shared" si="68"/>
        <v>-</v>
      </c>
      <c r="F216" s="149">
        <f t="shared" si="68"/>
        <v>0</v>
      </c>
      <c r="G216" s="84"/>
      <c r="H216" s="1159"/>
      <c r="I216" s="144">
        <v>16</v>
      </c>
      <c r="J216" s="149">
        <f>I170</f>
        <v>30</v>
      </c>
      <c r="K216" s="149">
        <f t="shared" ref="K216:M216" si="69">J170</f>
        <v>0.1</v>
      </c>
      <c r="L216" s="149" t="str">
        <f t="shared" si="69"/>
        <v>-</v>
      </c>
      <c r="M216" s="149">
        <f t="shared" si="69"/>
        <v>0</v>
      </c>
      <c r="N216" s="84"/>
      <c r="O216" s="142">
        <v>17</v>
      </c>
      <c r="P216" s="143">
        <f>O178</f>
        <v>0.3</v>
      </c>
    </row>
    <row r="217" spans="1:16" ht="13">
      <c r="A217" s="1158"/>
      <c r="B217" s="144">
        <v>17</v>
      </c>
      <c r="C217" s="149">
        <f>C180</f>
        <v>15</v>
      </c>
      <c r="D217" s="149">
        <f t="shared" ref="D217:F217" si="70">D180</f>
        <v>1.0000000000000001E-5</v>
      </c>
      <c r="E217" s="149" t="str">
        <f t="shared" si="70"/>
        <v>-</v>
      </c>
      <c r="F217" s="149">
        <f t="shared" si="70"/>
        <v>0</v>
      </c>
      <c r="G217" s="84"/>
      <c r="H217" s="1159"/>
      <c r="I217" s="144">
        <v>17</v>
      </c>
      <c r="J217" s="149">
        <f>I180</f>
        <v>30</v>
      </c>
      <c r="K217" s="149">
        <f t="shared" ref="K217:M217" si="71">J180</f>
        <v>-0.4</v>
      </c>
      <c r="L217" s="149" t="str">
        <f t="shared" si="71"/>
        <v>-</v>
      </c>
      <c r="M217" s="149">
        <f t="shared" si="71"/>
        <v>0</v>
      </c>
      <c r="N217" s="84"/>
      <c r="O217" s="142">
        <v>18</v>
      </c>
      <c r="P217" s="143">
        <f>O188</f>
        <v>0.3</v>
      </c>
    </row>
    <row r="218" spans="1:16" ht="13">
      <c r="A218" s="1158"/>
      <c r="B218" s="144">
        <v>18</v>
      </c>
      <c r="C218" s="149">
        <f>C190</f>
        <v>15</v>
      </c>
      <c r="D218" s="149">
        <f t="shared" ref="D218:F218" si="72">D190</f>
        <v>1.0000000000000001E-5</v>
      </c>
      <c r="E218" s="149" t="str">
        <f t="shared" si="72"/>
        <v>-</v>
      </c>
      <c r="F218" s="149">
        <f t="shared" si="72"/>
        <v>0</v>
      </c>
      <c r="G218" s="84"/>
      <c r="H218" s="1159"/>
      <c r="I218" s="144">
        <v>18</v>
      </c>
      <c r="J218" s="149">
        <f>I190</f>
        <v>30</v>
      </c>
      <c r="K218" s="149">
        <f t="shared" ref="K218:M218" si="73">J190</f>
        <v>-0.4</v>
      </c>
      <c r="L218" s="149" t="str">
        <f t="shared" si="73"/>
        <v>-</v>
      </c>
      <c r="M218" s="149">
        <f t="shared" si="73"/>
        <v>0</v>
      </c>
      <c r="N218" s="84"/>
    </row>
    <row r="219" spans="1:16" ht="13">
      <c r="A219" s="151"/>
      <c r="B219" s="152"/>
      <c r="C219" s="153"/>
      <c r="D219" s="153"/>
      <c r="E219" s="153"/>
      <c r="F219" s="154"/>
      <c r="G219" s="155"/>
      <c r="H219" s="156"/>
      <c r="I219" s="156"/>
      <c r="J219" s="157"/>
      <c r="K219" s="157"/>
      <c r="L219" s="157"/>
      <c r="M219" s="157"/>
      <c r="N219" s="155"/>
    </row>
    <row r="220" spans="1:16" ht="13">
      <c r="A220" s="1158" t="s">
        <v>623</v>
      </c>
      <c r="B220" s="144">
        <v>1</v>
      </c>
      <c r="C220" s="149">
        <f>C6</f>
        <v>20</v>
      </c>
      <c r="D220" s="149">
        <f t="shared" ref="D220:F220" si="74">D6</f>
        <v>-0.2</v>
      </c>
      <c r="E220" s="149">
        <f t="shared" si="74"/>
        <v>0.2</v>
      </c>
      <c r="F220" s="149">
        <f t="shared" si="74"/>
        <v>0.2</v>
      </c>
      <c r="G220" s="84"/>
      <c r="H220" s="1159" t="s">
        <v>623</v>
      </c>
      <c r="I220" s="144">
        <v>1</v>
      </c>
      <c r="J220" s="149">
        <f>I6</f>
        <v>40</v>
      </c>
      <c r="K220" s="149">
        <f t="shared" ref="K220:M220" si="75">J50</f>
        <v>-8</v>
      </c>
      <c r="L220" s="149">
        <f t="shared" si="75"/>
        <v>-1.8</v>
      </c>
      <c r="M220" s="149">
        <f t="shared" si="75"/>
        <v>3.1</v>
      </c>
      <c r="N220" s="84"/>
      <c r="O220" s="1160" t="s">
        <v>607</v>
      </c>
      <c r="P220" s="1161"/>
    </row>
    <row r="221" spans="1:16" ht="13">
      <c r="A221" s="1158"/>
      <c r="B221" s="144">
        <v>2</v>
      </c>
      <c r="C221" s="149">
        <f>C17</f>
        <v>20</v>
      </c>
      <c r="D221" s="149">
        <f t="shared" ref="D221:F221" si="76">D17</f>
        <v>-0.1</v>
      </c>
      <c r="E221" s="149">
        <f t="shared" si="76"/>
        <v>1.0000000000000001E-5</v>
      </c>
      <c r="F221" s="149">
        <f t="shared" si="76"/>
        <v>5.0005000000000001E-2</v>
      </c>
      <c r="G221" s="84"/>
      <c r="H221" s="1159"/>
      <c r="I221" s="144">
        <v>2</v>
      </c>
      <c r="J221" s="149">
        <f>I17</f>
        <v>40</v>
      </c>
      <c r="K221" s="149">
        <f t="shared" ref="K221:M221" si="77">J17</f>
        <v>-1.6</v>
      </c>
      <c r="L221" s="149">
        <f t="shared" si="77"/>
        <v>-1.1000000000000001</v>
      </c>
      <c r="M221" s="149">
        <f t="shared" si="77"/>
        <v>0.25</v>
      </c>
      <c r="N221" s="84"/>
      <c r="O221" s="1162" t="s">
        <v>666</v>
      </c>
      <c r="P221" s="1163"/>
    </row>
    <row r="222" spans="1:16" ht="13">
      <c r="A222" s="1158"/>
      <c r="B222" s="144">
        <v>3</v>
      </c>
      <c r="C222" s="145">
        <f>C28</f>
        <v>20</v>
      </c>
      <c r="D222" s="145">
        <f t="shared" ref="D222:F222" si="78">D28</f>
        <v>1.1E-5</v>
      </c>
      <c r="E222" s="145">
        <f t="shared" si="78"/>
        <v>1.0000000000000001E-5</v>
      </c>
      <c r="F222" s="145">
        <f t="shared" si="78"/>
        <v>4.9999999999999945E-7</v>
      </c>
      <c r="G222" s="84"/>
      <c r="H222" s="1159"/>
      <c r="I222" s="144">
        <v>3</v>
      </c>
      <c r="J222" s="145">
        <f>I28</f>
        <v>40</v>
      </c>
      <c r="K222" s="145">
        <f t="shared" ref="K222:M222" si="79">J28</f>
        <v>-5.3</v>
      </c>
      <c r="L222" s="145">
        <f t="shared" si="79"/>
        <v>-1.9</v>
      </c>
      <c r="M222" s="145">
        <f t="shared" si="79"/>
        <v>1.7</v>
      </c>
      <c r="N222" s="84"/>
      <c r="O222" s="142">
        <v>1</v>
      </c>
      <c r="P222" s="143">
        <f>O4</f>
        <v>3.1</v>
      </c>
    </row>
    <row r="223" spans="1:16" ht="13">
      <c r="A223" s="1158"/>
      <c r="B223" s="144">
        <v>4</v>
      </c>
      <c r="C223" s="145">
        <f>C39</f>
        <v>20</v>
      </c>
      <c r="D223" s="145">
        <f t="shared" ref="D223:F223" si="80">D39</f>
        <v>-0.3</v>
      </c>
      <c r="E223" s="145">
        <f t="shared" si="80"/>
        <v>1.0000000000000001E-5</v>
      </c>
      <c r="F223" s="145">
        <f t="shared" si="80"/>
        <v>0.150005</v>
      </c>
      <c r="G223" s="84"/>
      <c r="H223" s="1159"/>
      <c r="I223" s="144">
        <v>4</v>
      </c>
      <c r="J223" s="145">
        <f>I39</f>
        <v>40</v>
      </c>
      <c r="K223" s="145">
        <f t="shared" ref="K223:M223" si="81">J39</f>
        <v>-1.5</v>
      </c>
      <c r="L223" s="145">
        <f t="shared" si="81"/>
        <v>-0.9</v>
      </c>
      <c r="M223" s="145">
        <f t="shared" si="81"/>
        <v>0.3</v>
      </c>
      <c r="N223" s="84"/>
      <c r="O223" s="146">
        <v>2</v>
      </c>
      <c r="P223" s="147">
        <f>O15</f>
        <v>3.3</v>
      </c>
    </row>
    <row r="224" spans="1:16" ht="13">
      <c r="A224" s="1158"/>
      <c r="B224" s="144">
        <v>5</v>
      </c>
      <c r="C224" s="145">
        <f>C50</f>
        <v>20</v>
      </c>
      <c r="D224" s="145">
        <f t="shared" ref="D224:F224" si="82">D50</f>
        <v>0.3</v>
      </c>
      <c r="E224" s="145">
        <f t="shared" si="82"/>
        <v>1.0000000000000001E-5</v>
      </c>
      <c r="F224" s="145">
        <f t="shared" si="82"/>
        <v>0.14999499999999999</v>
      </c>
      <c r="G224" s="84"/>
      <c r="H224" s="1159"/>
      <c r="I224" s="144">
        <v>5</v>
      </c>
      <c r="J224" s="145">
        <f>I50</f>
        <v>40</v>
      </c>
      <c r="K224" s="145">
        <f t="shared" ref="K224:M224" si="83">J50</f>
        <v>-8</v>
      </c>
      <c r="L224" s="145">
        <f t="shared" si="83"/>
        <v>-1.8</v>
      </c>
      <c r="M224" s="145">
        <f t="shared" si="83"/>
        <v>3.1</v>
      </c>
      <c r="N224" s="84"/>
      <c r="O224" s="146">
        <v>3</v>
      </c>
      <c r="P224" s="148">
        <f>O26</f>
        <v>3.1</v>
      </c>
    </row>
    <row r="225" spans="1:16" ht="13">
      <c r="A225" s="1158"/>
      <c r="B225" s="144">
        <v>6</v>
      </c>
      <c r="C225" s="145">
        <f>C61</f>
        <v>20</v>
      </c>
      <c r="D225" s="145">
        <f t="shared" ref="D225:F225" si="84">D61</f>
        <v>0.2</v>
      </c>
      <c r="E225" s="145">
        <f t="shared" si="84"/>
        <v>1.0000000000000001E-5</v>
      </c>
      <c r="F225" s="145">
        <f t="shared" si="84"/>
        <v>9.9995000000000001E-2</v>
      </c>
      <c r="G225" s="84"/>
      <c r="H225" s="1159"/>
      <c r="I225" s="144">
        <v>6</v>
      </c>
      <c r="J225" s="145">
        <f>I61</f>
        <v>40</v>
      </c>
      <c r="K225" s="145">
        <f t="shared" ref="K225:M225" si="85">J61</f>
        <v>1.5</v>
      </c>
      <c r="L225" s="145">
        <f t="shared" si="85"/>
        <v>-3.4</v>
      </c>
      <c r="M225" s="145">
        <f t="shared" si="85"/>
        <v>2.4500000000000002</v>
      </c>
      <c r="N225" s="84"/>
      <c r="O225" s="146">
        <v>4</v>
      </c>
      <c r="P225" s="148">
        <f>O37</f>
        <v>2.6</v>
      </c>
    </row>
    <row r="226" spans="1:16" ht="13">
      <c r="A226" s="1158"/>
      <c r="B226" s="144">
        <v>7</v>
      </c>
      <c r="C226" s="145">
        <f>C72</f>
        <v>20</v>
      </c>
      <c r="D226" s="145">
        <f t="shared" ref="D226:F226" si="86">D72</f>
        <v>0.1</v>
      </c>
      <c r="E226" s="145">
        <f t="shared" si="86"/>
        <v>0.1</v>
      </c>
      <c r="F226" s="145">
        <f t="shared" si="86"/>
        <v>0</v>
      </c>
      <c r="G226" s="84"/>
      <c r="H226" s="1159"/>
      <c r="I226" s="144">
        <v>7</v>
      </c>
      <c r="J226" s="145">
        <f>I72</f>
        <v>40</v>
      </c>
      <c r="K226" s="145">
        <f t="shared" ref="K226:M226" si="87">J72</f>
        <v>1.2</v>
      </c>
      <c r="L226" s="145">
        <f t="shared" si="87"/>
        <v>0</v>
      </c>
      <c r="M226" s="145">
        <f t="shared" si="87"/>
        <v>0.6</v>
      </c>
      <c r="N226" s="84"/>
      <c r="O226" s="146">
        <v>5</v>
      </c>
      <c r="P226" s="148">
        <f>O48</f>
        <v>3.2</v>
      </c>
    </row>
    <row r="227" spans="1:16" ht="13">
      <c r="A227" s="1158"/>
      <c r="B227" s="144">
        <v>8</v>
      </c>
      <c r="C227" s="145">
        <f>C83</f>
        <v>20</v>
      </c>
      <c r="D227" s="145">
        <f t="shared" ref="D227:F227" si="88">D83</f>
        <v>-0.2</v>
      </c>
      <c r="E227" s="145">
        <f t="shared" si="88"/>
        <v>-0.2</v>
      </c>
      <c r="F227" s="145">
        <f t="shared" si="88"/>
        <v>0</v>
      </c>
      <c r="G227" s="84"/>
      <c r="H227" s="1159"/>
      <c r="I227" s="144">
        <v>8</v>
      </c>
      <c r="J227" s="145">
        <f>I83</f>
        <v>40</v>
      </c>
      <c r="K227" s="145">
        <f t="shared" ref="K227:M227" si="89">J83</f>
        <v>-1.2</v>
      </c>
      <c r="L227" s="145">
        <f t="shared" si="89"/>
        <v>1.1000000000000001</v>
      </c>
      <c r="M227" s="145">
        <f t="shared" si="89"/>
        <v>1.1499999999999999</v>
      </c>
      <c r="N227" s="84"/>
      <c r="O227" s="142">
        <v>6</v>
      </c>
      <c r="P227" s="143">
        <f>O59</f>
        <v>2</v>
      </c>
    </row>
    <row r="228" spans="1:16" ht="13">
      <c r="A228" s="1158"/>
      <c r="B228" s="144">
        <v>9</v>
      </c>
      <c r="C228" s="145">
        <f>C94</f>
        <v>20</v>
      </c>
      <c r="D228" s="145">
        <f t="shared" ref="D228:F228" si="90">D94</f>
        <v>-0.2</v>
      </c>
      <c r="E228" s="145" t="str">
        <f t="shared" si="90"/>
        <v>-</v>
      </c>
      <c r="F228" s="145">
        <f t="shared" si="90"/>
        <v>0</v>
      </c>
      <c r="G228" s="84"/>
      <c r="H228" s="1159"/>
      <c r="I228" s="144">
        <v>9</v>
      </c>
      <c r="J228" s="145">
        <f>I94</f>
        <v>40</v>
      </c>
      <c r="K228" s="145">
        <f t="shared" ref="K228:M228" si="91">J94</f>
        <v>-1</v>
      </c>
      <c r="L228" s="145" t="str">
        <f t="shared" si="91"/>
        <v>-</v>
      </c>
      <c r="M228" s="145">
        <f t="shared" si="91"/>
        <v>0</v>
      </c>
      <c r="N228" s="84"/>
      <c r="O228" s="142">
        <v>7</v>
      </c>
      <c r="P228" s="143">
        <f>O70</f>
        <v>2.2999999999999998</v>
      </c>
    </row>
    <row r="229" spans="1:16" ht="13">
      <c r="A229" s="1158"/>
      <c r="B229" s="144">
        <v>10</v>
      </c>
      <c r="C229" s="145">
        <f>C105</f>
        <v>20</v>
      </c>
      <c r="D229" s="145">
        <f t="shared" ref="D229:F229" si="92">D105</f>
        <v>0.2</v>
      </c>
      <c r="E229" s="145">
        <f t="shared" si="92"/>
        <v>-0.7</v>
      </c>
      <c r="F229" s="145">
        <f t="shared" si="92"/>
        <v>0.44999999999999996</v>
      </c>
      <c r="G229" s="84"/>
      <c r="H229" s="1159"/>
      <c r="I229" s="144">
        <v>10</v>
      </c>
      <c r="J229" s="145">
        <f>I105</f>
        <v>40</v>
      </c>
      <c r="K229" s="145">
        <f t="shared" ref="K229:M229" si="93">J105</f>
        <v>-3.3</v>
      </c>
      <c r="L229" s="145">
        <f t="shared" si="93"/>
        <v>-6.4</v>
      </c>
      <c r="M229" s="145">
        <f t="shared" si="93"/>
        <v>1.5500000000000003</v>
      </c>
      <c r="N229" s="84"/>
      <c r="O229" s="142">
        <v>8</v>
      </c>
      <c r="P229" s="143">
        <f>O81</f>
        <v>2.6</v>
      </c>
    </row>
    <row r="230" spans="1:16" ht="13">
      <c r="A230" s="1158"/>
      <c r="B230" s="144">
        <v>11</v>
      </c>
      <c r="C230" s="145">
        <f>C116</f>
        <v>20</v>
      </c>
      <c r="D230" s="145">
        <f t="shared" ref="D230:F230" si="94">D116</f>
        <v>0.4</v>
      </c>
      <c r="E230" s="145" t="str">
        <f t="shared" si="94"/>
        <v>-</v>
      </c>
      <c r="F230" s="145">
        <f t="shared" si="94"/>
        <v>0</v>
      </c>
      <c r="G230" s="84"/>
      <c r="H230" s="1159"/>
      <c r="I230" s="144">
        <v>11</v>
      </c>
      <c r="J230" s="145">
        <f>I116</f>
        <v>40</v>
      </c>
      <c r="K230" s="145">
        <f t="shared" ref="K230:M230" si="95">J116</f>
        <v>-5.5</v>
      </c>
      <c r="L230" s="145" t="str">
        <f t="shared" si="95"/>
        <v>-</v>
      </c>
      <c r="M230" s="145">
        <f t="shared" si="95"/>
        <v>0</v>
      </c>
      <c r="N230" s="84"/>
      <c r="O230" s="142">
        <v>9</v>
      </c>
      <c r="P230" s="143">
        <f>O92</f>
        <v>2.4</v>
      </c>
    </row>
    <row r="231" spans="1:16" ht="13">
      <c r="A231" s="1158"/>
      <c r="B231" s="144">
        <v>12</v>
      </c>
      <c r="C231" s="145">
        <f>C127</f>
        <v>20</v>
      </c>
      <c r="D231" s="145">
        <f t="shared" ref="D231:F231" si="96">D127</f>
        <v>-0.1</v>
      </c>
      <c r="E231" s="145" t="str">
        <f t="shared" si="96"/>
        <v>-</v>
      </c>
      <c r="F231" s="145">
        <f t="shared" si="96"/>
        <v>0</v>
      </c>
      <c r="G231" s="84"/>
      <c r="H231" s="1159"/>
      <c r="I231" s="144">
        <v>12</v>
      </c>
      <c r="J231" s="145">
        <f>I127</f>
        <v>40</v>
      </c>
      <c r="K231" s="145">
        <f t="shared" ref="K231:M231" si="97">J127</f>
        <v>0.3</v>
      </c>
      <c r="L231" s="145" t="str">
        <f t="shared" si="97"/>
        <v>-</v>
      </c>
      <c r="M231" s="145">
        <f t="shared" si="97"/>
        <v>0</v>
      </c>
      <c r="N231" s="84"/>
      <c r="O231" s="142">
        <v>10</v>
      </c>
      <c r="P231" s="143">
        <f>O103</f>
        <v>1.5</v>
      </c>
    </row>
    <row r="232" spans="1:16" ht="13">
      <c r="A232" s="1158"/>
      <c r="B232" s="144">
        <v>13</v>
      </c>
      <c r="C232" s="145">
        <f>C138</f>
        <v>20</v>
      </c>
      <c r="D232" s="145">
        <f t="shared" ref="D232:F232" si="98">D138</f>
        <v>-0.4</v>
      </c>
      <c r="E232" s="145" t="str">
        <f t="shared" si="98"/>
        <v>-</v>
      </c>
      <c r="F232" s="145">
        <f t="shared" si="98"/>
        <v>0</v>
      </c>
      <c r="G232" s="84"/>
      <c r="H232" s="1159"/>
      <c r="I232" s="144">
        <v>13</v>
      </c>
      <c r="J232" s="145">
        <f>I138</f>
        <v>40</v>
      </c>
      <c r="K232" s="145">
        <f t="shared" ref="K232:M232" si="99">J138</f>
        <v>-1.3</v>
      </c>
      <c r="L232" s="145" t="str">
        <f t="shared" si="99"/>
        <v>-</v>
      </c>
      <c r="M232" s="145">
        <f t="shared" si="99"/>
        <v>0</v>
      </c>
      <c r="N232" s="84"/>
      <c r="O232" s="142">
        <v>11</v>
      </c>
      <c r="P232" s="143">
        <f>O114</f>
        <v>1.8</v>
      </c>
    </row>
    <row r="233" spans="1:16" ht="13">
      <c r="A233" s="1158"/>
      <c r="B233" s="144">
        <v>14</v>
      </c>
      <c r="C233" s="145">
        <f>C149</f>
        <v>20</v>
      </c>
      <c r="D233" s="145">
        <f t="shared" ref="D233:F233" si="100">D149</f>
        <v>-0.5</v>
      </c>
      <c r="E233" s="145" t="str">
        <f t="shared" si="100"/>
        <v>-</v>
      </c>
      <c r="F233" s="145">
        <f t="shared" si="100"/>
        <v>0</v>
      </c>
      <c r="G233" s="84"/>
      <c r="H233" s="1159"/>
      <c r="I233" s="144">
        <v>14</v>
      </c>
      <c r="J233" s="145">
        <f>I149</f>
        <v>40</v>
      </c>
      <c r="K233" s="145">
        <f t="shared" ref="K233:M233" si="101">J149</f>
        <v>-0.3</v>
      </c>
      <c r="L233" s="145" t="str">
        <f t="shared" si="101"/>
        <v>-</v>
      </c>
      <c r="M233" s="145">
        <f t="shared" si="101"/>
        <v>0</v>
      </c>
      <c r="N233" s="84"/>
      <c r="O233" s="142">
        <v>12</v>
      </c>
      <c r="P233" s="161">
        <f>O125</f>
        <v>2.2000000000000002</v>
      </c>
    </row>
    <row r="234" spans="1:16" ht="13">
      <c r="A234" s="1158"/>
      <c r="B234" s="144">
        <v>15</v>
      </c>
      <c r="C234" s="145">
        <f>C160</f>
        <v>20</v>
      </c>
      <c r="D234" s="145">
        <f t="shared" ref="D234:F234" si="102">D160</f>
        <v>0.2</v>
      </c>
      <c r="E234" s="145" t="str">
        <f t="shared" si="102"/>
        <v>-</v>
      </c>
      <c r="F234" s="145">
        <f t="shared" si="102"/>
        <v>0</v>
      </c>
      <c r="G234" s="84"/>
      <c r="H234" s="1159"/>
      <c r="I234" s="144">
        <v>15</v>
      </c>
      <c r="J234" s="145">
        <f>I160</f>
        <v>40</v>
      </c>
      <c r="K234" s="145">
        <f t="shared" ref="K234:M234" si="103">J160</f>
        <v>-1.4</v>
      </c>
      <c r="L234" s="145" t="str">
        <f t="shared" si="103"/>
        <v>-</v>
      </c>
      <c r="M234" s="145">
        <f t="shared" si="103"/>
        <v>0</v>
      </c>
      <c r="N234" s="84"/>
      <c r="O234" s="142">
        <v>13</v>
      </c>
      <c r="P234" s="598">
        <f>O136</f>
        <v>2.7</v>
      </c>
    </row>
    <row r="235" spans="1:16" ht="13">
      <c r="A235" s="1158"/>
      <c r="B235" s="144">
        <v>16</v>
      </c>
      <c r="C235" s="145">
        <f>C171</f>
        <v>20</v>
      </c>
      <c r="D235" s="145">
        <f t="shared" ref="D235:F235" si="104">D171</f>
        <v>0.1</v>
      </c>
      <c r="E235" s="145" t="str">
        <f t="shared" si="104"/>
        <v>-</v>
      </c>
      <c r="F235" s="145">
        <f t="shared" si="104"/>
        <v>0</v>
      </c>
      <c r="G235" s="84"/>
      <c r="H235" s="1159"/>
      <c r="I235" s="144">
        <v>16</v>
      </c>
      <c r="J235" s="145">
        <f>I171</f>
        <v>40</v>
      </c>
      <c r="K235" s="145">
        <f t="shared" ref="K235:M235" si="105">J171</f>
        <v>0.2</v>
      </c>
      <c r="L235" s="145" t="str">
        <f t="shared" si="105"/>
        <v>-</v>
      </c>
      <c r="M235" s="145">
        <f t="shared" si="105"/>
        <v>0</v>
      </c>
      <c r="N235" s="84"/>
      <c r="O235" s="142">
        <v>14</v>
      </c>
      <c r="P235" s="598">
        <f>O147</f>
        <v>2.7</v>
      </c>
    </row>
    <row r="236" spans="1:16" ht="13">
      <c r="A236" s="1158"/>
      <c r="B236" s="144">
        <v>17</v>
      </c>
      <c r="C236" s="145">
        <f>C181</f>
        <v>20</v>
      </c>
      <c r="D236" s="145">
        <f t="shared" ref="D236:F236" si="106">D181</f>
        <v>-0.1</v>
      </c>
      <c r="E236" s="145" t="str">
        <f t="shared" si="106"/>
        <v>-</v>
      </c>
      <c r="F236" s="145">
        <f t="shared" si="106"/>
        <v>0</v>
      </c>
      <c r="G236" s="84"/>
      <c r="H236" s="1159"/>
      <c r="I236" s="144">
        <v>17</v>
      </c>
      <c r="J236" s="145">
        <f>I181</f>
        <v>40</v>
      </c>
      <c r="K236" s="145">
        <f t="shared" ref="K236:M236" si="107">J181</f>
        <v>-0.2</v>
      </c>
      <c r="L236" s="145" t="str">
        <f t="shared" si="107"/>
        <v>-</v>
      </c>
      <c r="M236" s="145">
        <f t="shared" si="107"/>
        <v>0</v>
      </c>
      <c r="N236" s="84"/>
      <c r="O236" s="142">
        <v>15</v>
      </c>
      <c r="P236" s="598">
        <f>O158</f>
        <v>2.2000000000000002</v>
      </c>
    </row>
    <row r="237" spans="1:16" ht="13">
      <c r="A237" s="1158"/>
      <c r="B237" s="144">
        <v>18</v>
      </c>
      <c r="C237" s="145">
        <f>C191</f>
        <v>20</v>
      </c>
      <c r="D237" s="145">
        <f t="shared" ref="D237:F237" si="108">D191</f>
        <v>1.0000000000000001E-5</v>
      </c>
      <c r="E237" s="145" t="str">
        <f t="shared" si="108"/>
        <v>-</v>
      </c>
      <c r="F237" s="145">
        <f t="shared" si="108"/>
        <v>0</v>
      </c>
      <c r="G237" s="84"/>
      <c r="H237" s="1159"/>
      <c r="I237" s="144">
        <v>18</v>
      </c>
      <c r="J237" s="145">
        <f>I191</f>
        <v>40</v>
      </c>
      <c r="K237" s="145">
        <f t="shared" ref="K237:M237" si="109">J191</f>
        <v>-0.1</v>
      </c>
      <c r="L237" s="145" t="str">
        <f t="shared" si="109"/>
        <v>-</v>
      </c>
      <c r="M237" s="145">
        <f t="shared" si="109"/>
        <v>0</v>
      </c>
      <c r="N237" s="84"/>
      <c r="O237" s="142">
        <v>16</v>
      </c>
      <c r="P237" s="598">
        <f>O169</f>
        <v>2.8</v>
      </c>
    </row>
    <row r="238" spans="1:16" ht="13">
      <c r="A238" s="151"/>
      <c r="B238" s="152"/>
      <c r="C238" s="159"/>
      <c r="D238" s="159"/>
      <c r="E238" s="159"/>
      <c r="F238" s="160"/>
      <c r="G238" s="155"/>
      <c r="H238" s="151"/>
      <c r="I238" s="152"/>
      <c r="J238" s="159"/>
      <c r="K238" s="159"/>
      <c r="L238" s="159"/>
      <c r="M238" s="160"/>
      <c r="N238" s="84"/>
      <c r="O238" s="142">
        <v>17</v>
      </c>
      <c r="P238" s="598">
        <f>O179</f>
        <v>1.6</v>
      </c>
    </row>
    <row r="239" spans="1:16" ht="13">
      <c r="A239" s="1158" t="s">
        <v>625</v>
      </c>
      <c r="B239" s="144">
        <v>1</v>
      </c>
      <c r="C239" s="145">
        <f>C7</f>
        <v>25</v>
      </c>
      <c r="D239" s="145">
        <f t="shared" ref="D239:F239" si="110">D7</f>
        <v>1.0000000000000001E-5</v>
      </c>
      <c r="E239" s="145">
        <f t="shared" si="110"/>
        <v>0.1</v>
      </c>
      <c r="F239" s="145">
        <f t="shared" si="110"/>
        <v>4.9995000000000005E-2</v>
      </c>
      <c r="G239" s="84"/>
      <c r="H239" s="1159" t="s">
        <v>625</v>
      </c>
      <c r="I239" s="144">
        <v>1</v>
      </c>
      <c r="J239" s="145">
        <f>I7</f>
        <v>50</v>
      </c>
      <c r="K239" s="145">
        <f t="shared" ref="K239:M239" si="111">J7</f>
        <v>-5.3</v>
      </c>
      <c r="L239" s="145">
        <f t="shared" si="111"/>
        <v>1.0000000000000001E-5</v>
      </c>
      <c r="M239" s="145">
        <f t="shared" si="111"/>
        <v>2.6500049999999997</v>
      </c>
      <c r="N239" s="84"/>
      <c r="O239" s="142">
        <v>18</v>
      </c>
      <c r="P239" s="598">
        <f>O189</f>
        <v>2</v>
      </c>
    </row>
    <row r="240" spans="1:16" ht="13">
      <c r="A240" s="1158"/>
      <c r="B240" s="144">
        <v>2</v>
      </c>
      <c r="C240" s="145">
        <f>C18</f>
        <v>25</v>
      </c>
      <c r="D240" s="145">
        <f t="shared" ref="D240:F240" si="112">D18</f>
        <v>-0.2</v>
      </c>
      <c r="E240" s="145">
        <f t="shared" si="112"/>
        <v>-0.5</v>
      </c>
      <c r="F240" s="145">
        <f t="shared" si="112"/>
        <v>0.15</v>
      </c>
      <c r="G240" s="84"/>
      <c r="H240" s="1159"/>
      <c r="I240" s="144">
        <v>2</v>
      </c>
      <c r="J240" s="145">
        <f>I18</f>
        <v>50</v>
      </c>
      <c r="K240" s="145">
        <f t="shared" ref="K240:M240" si="113">J18</f>
        <v>-1.5</v>
      </c>
      <c r="L240" s="145">
        <f t="shared" si="113"/>
        <v>-1.4</v>
      </c>
      <c r="M240" s="145">
        <f t="shared" si="113"/>
        <v>5.0000000000000044E-2</v>
      </c>
      <c r="N240" s="84"/>
      <c r="P240" s="162"/>
    </row>
    <row r="241" spans="1:16" ht="13">
      <c r="A241" s="1158"/>
      <c r="B241" s="144">
        <v>3</v>
      </c>
      <c r="C241" s="145">
        <f>C29</f>
        <v>25</v>
      </c>
      <c r="D241" s="145">
        <f t="shared" ref="D241:F241" si="114">D29</f>
        <v>-0.1</v>
      </c>
      <c r="E241" s="145">
        <f t="shared" si="114"/>
        <v>-0.2</v>
      </c>
      <c r="F241" s="145">
        <f t="shared" si="114"/>
        <v>0.05</v>
      </c>
      <c r="G241" s="84"/>
      <c r="H241" s="1159"/>
      <c r="I241" s="144">
        <v>3</v>
      </c>
      <c r="J241" s="145">
        <f>I29</f>
        <v>50</v>
      </c>
      <c r="K241" s="145">
        <f t="shared" ref="K241:M241" si="115">J29</f>
        <v>-4.9000000000000004</v>
      </c>
      <c r="L241" s="145">
        <f t="shared" si="115"/>
        <v>-2.2999999999999998</v>
      </c>
      <c r="M241" s="145">
        <f t="shared" si="115"/>
        <v>1.3000000000000003</v>
      </c>
      <c r="N241" s="84"/>
      <c r="O241" s="84"/>
      <c r="P241" s="150"/>
    </row>
    <row r="242" spans="1:16" ht="13">
      <c r="A242" s="1158"/>
      <c r="B242" s="144">
        <v>4</v>
      </c>
      <c r="C242" s="145">
        <f>C40</f>
        <v>25</v>
      </c>
      <c r="D242" s="145">
        <f t="shared" ref="D242:F242" si="116">D40</f>
        <v>-0.5</v>
      </c>
      <c r="E242" s="145">
        <f t="shared" si="116"/>
        <v>-0.5</v>
      </c>
      <c r="F242" s="145">
        <f t="shared" si="116"/>
        <v>0</v>
      </c>
      <c r="G242" s="84"/>
      <c r="H242" s="1159"/>
      <c r="I242" s="144">
        <v>4</v>
      </c>
      <c r="J242" s="145">
        <f>I40</f>
        <v>50</v>
      </c>
      <c r="K242" s="145">
        <f t="shared" ref="K242:M242" si="117">J40</f>
        <v>-1.0001</v>
      </c>
      <c r="L242" s="145">
        <f t="shared" si="117"/>
        <v>-1</v>
      </c>
      <c r="M242" s="145">
        <f t="shared" si="117"/>
        <v>4.9999999999994493E-5</v>
      </c>
      <c r="N242" s="84"/>
      <c r="O242" s="84"/>
      <c r="P242" s="150"/>
    </row>
    <row r="243" spans="1:16" ht="13">
      <c r="A243" s="1158"/>
      <c r="B243" s="144">
        <v>5</v>
      </c>
      <c r="C243" s="145">
        <f>C51</f>
        <v>25</v>
      </c>
      <c r="D243" s="145">
        <f t="shared" ref="D243:F243" si="118">D51</f>
        <v>0.2</v>
      </c>
      <c r="E243" s="145">
        <f t="shared" si="118"/>
        <v>-0.3</v>
      </c>
      <c r="F243" s="145">
        <f t="shared" si="118"/>
        <v>0.25</v>
      </c>
      <c r="G243" s="84"/>
      <c r="H243" s="1159"/>
      <c r="I243" s="144">
        <v>5</v>
      </c>
      <c r="J243" s="145">
        <f>I51</f>
        <v>50</v>
      </c>
      <c r="K243" s="145">
        <f t="shared" ref="K243:M243" si="119">J51</f>
        <v>-6.2</v>
      </c>
      <c r="L243" s="145">
        <f t="shared" si="119"/>
        <v>-2.1</v>
      </c>
      <c r="M243" s="145">
        <f t="shared" si="119"/>
        <v>2.0499999999999998</v>
      </c>
      <c r="N243" s="84"/>
      <c r="O243" s="84"/>
      <c r="P243" s="150"/>
    </row>
    <row r="244" spans="1:16" ht="13">
      <c r="A244" s="1158"/>
      <c r="B244" s="144">
        <v>6</v>
      </c>
      <c r="C244" s="145">
        <f>C62</f>
        <v>25</v>
      </c>
      <c r="D244" s="145">
        <f t="shared" ref="D244:F244" si="120">D62</f>
        <v>-0.1</v>
      </c>
      <c r="E244" s="145">
        <f t="shared" si="120"/>
        <v>0.1</v>
      </c>
      <c r="F244" s="145">
        <f t="shared" si="120"/>
        <v>0.1</v>
      </c>
      <c r="G244" s="84"/>
      <c r="H244" s="1159"/>
      <c r="I244" s="144">
        <v>6</v>
      </c>
      <c r="J244" s="145">
        <f>I62</f>
        <v>50</v>
      </c>
      <c r="K244" s="145">
        <f t="shared" ref="K244:M244" si="121">J62</f>
        <v>1.2</v>
      </c>
      <c r="L244" s="145">
        <f t="shared" si="121"/>
        <v>-2.5</v>
      </c>
      <c r="M244" s="145">
        <f t="shared" si="121"/>
        <v>1.85</v>
      </c>
      <c r="N244" s="84"/>
      <c r="O244" s="84"/>
      <c r="P244" s="150"/>
    </row>
    <row r="245" spans="1:16" ht="13">
      <c r="A245" s="1158"/>
      <c r="B245" s="144">
        <v>7</v>
      </c>
      <c r="C245" s="145">
        <f>C73</f>
        <v>25</v>
      </c>
      <c r="D245" s="145">
        <f t="shared" ref="D245:F245" si="122">D73</f>
        <v>-0.2</v>
      </c>
      <c r="E245" s="145">
        <f t="shared" si="122"/>
        <v>1.0000000000000001E-5</v>
      </c>
      <c r="F245" s="145">
        <f t="shared" si="122"/>
        <v>0.10000500000000001</v>
      </c>
      <c r="G245" s="84"/>
      <c r="H245" s="1159"/>
      <c r="I245" s="144">
        <v>7</v>
      </c>
      <c r="J245" s="145">
        <f>I73</f>
        <v>50</v>
      </c>
      <c r="K245" s="145">
        <f t="shared" ref="K245:M245" si="123">J73</f>
        <v>0.8</v>
      </c>
      <c r="L245" s="145">
        <f t="shared" si="123"/>
        <v>0.6</v>
      </c>
      <c r="M245" s="145">
        <f t="shared" si="123"/>
        <v>0.10000000000000003</v>
      </c>
      <c r="N245" s="84"/>
      <c r="O245" s="84"/>
      <c r="P245" s="150"/>
    </row>
    <row r="246" spans="1:16" ht="13">
      <c r="A246" s="1158"/>
      <c r="B246" s="144">
        <v>8</v>
      </c>
      <c r="C246" s="145">
        <f>C84</f>
        <v>25</v>
      </c>
      <c r="D246" s="145">
        <f t="shared" ref="D246:F246" si="124">D84</f>
        <v>-0.4</v>
      </c>
      <c r="E246" s="145">
        <f t="shared" si="124"/>
        <v>-0.2</v>
      </c>
      <c r="F246" s="145">
        <f t="shared" si="124"/>
        <v>0.1</v>
      </c>
      <c r="G246" s="84"/>
      <c r="H246" s="1159"/>
      <c r="I246" s="144">
        <v>8</v>
      </c>
      <c r="J246" s="145">
        <f>I84</f>
        <v>50</v>
      </c>
      <c r="K246" s="145">
        <f t="shared" ref="K246:M246" si="125">J84</f>
        <v>-1.2</v>
      </c>
      <c r="L246" s="145">
        <f t="shared" si="125"/>
        <v>1.3</v>
      </c>
      <c r="M246" s="145">
        <f t="shared" si="125"/>
        <v>1.25</v>
      </c>
      <c r="N246" s="84"/>
      <c r="O246" s="84"/>
      <c r="P246" s="150"/>
    </row>
    <row r="247" spans="1:16" ht="13">
      <c r="A247" s="1158"/>
      <c r="B247" s="144">
        <v>9</v>
      </c>
      <c r="C247" s="145">
        <f>C95</f>
        <v>25</v>
      </c>
      <c r="D247" s="145">
        <f t="shared" ref="D247:F247" si="126">D95</f>
        <v>-0.4</v>
      </c>
      <c r="E247" s="145" t="str">
        <f t="shared" si="126"/>
        <v>-</v>
      </c>
      <c r="F247" s="145">
        <f t="shared" si="126"/>
        <v>0</v>
      </c>
      <c r="G247" s="84"/>
      <c r="H247" s="1159"/>
      <c r="I247" s="144">
        <v>9</v>
      </c>
      <c r="J247" s="145">
        <f>I95</f>
        <v>50</v>
      </c>
      <c r="K247" s="145">
        <f t="shared" ref="K247:M247" si="127">J95</f>
        <v>-0.9</v>
      </c>
      <c r="L247" s="145" t="str">
        <f t="shared" si="127"/>
        <v>-</v>
      </c>
      <c r="M247" s="145">
        <f t="shared" si="127"/>
        <v>0</v>
      </c>
      <c r="N247" s="84"/>
      <c r="O247" s="84"/>
      <c r="P247" s="150"/>
    </row>
    <row r="248" spans="1:16" ht="13">
      <c r="A248" s="1158"/>
      <c r="B248" s="144">
        <v>10</v>
      </c>
      <c r="C248" s="145">
        <f>C106</f>
        <v>25</v>
      </c>
      <c r="D248" s="145">
        <f t="shared" ref="D248:F248" si="128">D106</f>
        <v>0.1</v>
      </c>
      <c r="E248" s="145">
        <f t="shared" si="128"/>
        <v>-0.5</v>
      </c>
      <c r="F248" s="145">
        <f t="shared" si="128"/>
        <v>0.3</v>
      </c>
      <c r="G248" s="84"/>
      <c r="H248" s="1159"/>
      <c r="I248" s="144">
        <v>10</v>
      </c>
      <c r="J248" s="145">
        <f>I106</f>
        <v>50</v>
      </c>
      <c r="K248" s="145">
        <f t="shared" ref="K248:M248" si="129">J106</f>
        <v>-3.1</v>
      </c>
      <c r="L248" s="145">
        <f t="shared" si="129"/>
        <v>-6.1</v>
      </c>
      <c r="M248" s="145">
        <f t="shared" si="129"/>
        <v>1.4999999999999998</v>
      </c>
      <c r="N248" s="84"/>
      <c r="O248" s="84"/>
      <c r="P248" s="150"/>
    </row>
    <row r="249" spans="1:16" ht="13">
      <c r="A249" s="1158"/>
      <c r="B249" s="144">
        <v>11</v>
      </c>
      <c r="C249" s="145">
        <f>C117</f>
        <v>25</v>
      </c>
      <c r="D249" s="145">
        <f t="shared" ref="D249:F249" si="130">D117</f>
        <v>0.4</v>
      </c>
      <c r="E249" s="145" t="str">
        <f t="shared" si="130"/>
        <v>-</v>
      </c>
      <c r="F249" s="145">
        <f t="shared" si="130"/>
        <v>0</v>
      </c>
      <c r="G249" s="84"/>
      <c r="H249" s="1159"/>
      <c r="I249" s="144">
        <v>11</v>
      </c>
      <c r="J249" s="145">
        <f>I117</f>
        <v>50</v>
      </c>
      <c r="K249" s="145">
        <f t="shared" ref="K249:M249" si="131">J117</f>
        <v>-5.5</v>
      </c>
      <c r="L249" s="145" t="str">
        <f t="shared" si="131"/>
        <v>-</v>
      </c>
      <c r="M249" s="145">
        <f t="shared" si="131"/>
        <v>0</v>
      </c>
      <c r="N249" s="84"/>
      <c r="O249" s="84"/>
      <c r="P249" s="150"/>
    </row>
    <row r="250" spans="1:16" ht="13">
      <c r="A250" s="1158"/>
      <c r="B250" s="144">
        <v>12</v>
      </c>
      <c r="C250" s="145">
        <f>C128</f>
        <v>25</v>
      </c>
      <c r="D250" s="145">
        <f t="shared" ref="D250:F250" si="132">D128</f>
        <v>-0.1</v>
      </c>
      <c r="E250" s="145" t="str">
        <f t="shared" si="132"/>
        <v>-</v>
      </c>
      <c r="F250" s="145">
        <f t="shared" si="132"/>
        <v>0</v>
      </c>
      <c r="G250" s="84"/>
      <c r="H250" s="1159"/>
      <c r="I250" s="144">
        <v>12</v>
      </c>
      <c r="J250" s="145">
        <f>I128</f>
        <v>50</v>
      </c>
      <c r="K250" s="145">
        <f t="shared" ref="K250:M250" si="133">J128</f>
        <v>-0.2</v>
      </c>
      <c r="L250" s="145" t="str">
        <f t="shared" si="133"/>
        <v>-</v>
      </c>
      <c r="M250" s="145">
        <f t="shared" si="133"/>
        <v>0</v>
      </c>
      <c r="N250" s="84"/>
      <c r="O250" s="84"/>
      <c r="P250" s="150"/>
    </row>
    <row r="251" spans="1:16" ht="13">
      <c r="A251" s="1158"/>
      <c r="B251" s="144">
        <v>13</v>
      </c>
      <c r="C251" s="145">
        <f>C139</f>
        <v>25</v>
      </c>
      <c r="D251" s="145">
        <f t="shared" ref="D251:F251" si="134">D139</f>
        <v>-0.2</v>
      </c>
      <c r="E251" s="145" t="str">
        <f t="shared" si="134"/>
        <v>-</v>
      </c>
      <c r="F251" s="145">
        <f t="shared" si="134"/>
        <v>0</v>
      </c>
      <c r="G251" s="84"/>
      <c r="H251" s="1159"/>
      <c r="I251" s="144">
        <v>13</v>
      </c>
      <c r="J251" s="145">
        <f>I139</f>
        <v>50</v>
      </c>
      <c r="K251" s="145">
        <f t="shared" ref="K251:M251" si="135">J139</f>
        <v>-1.3</v>
      </c>
      <c r="L251" s="145" t="str">
        <f t="shared" si="135"/>
        <v>-</v>
      </c>
      <c r="M251" s="145">
        <f t="shared" si="135"/>
        <v>0</v>
      </c>
      <c r="N251" s="84"/>
      <c r="O251" s="84"/>
      <c r="P251" s="150"/>
    </row>
    <row r="252" spans="1:16" ht="13">
      <c r="A252" s="1158"/>
      <c r="B252" s="144">
        <v>14</v>
      </c>
      <c r="C252" s="145">
        <f>C150</f>
        <v>25</v>
      </c>
      <c r="D252" s="145">
        <f t="shared" ref="D252:F252" si="136">D150</f>
        <v>-0.4</v>
      </c>
      <c r="E252" s="145" t="str">
        <f t="shared" si="136"/>
        <v>-</v>
      </c>
      <c r="F252" s="145">
        <f t="shared" si="136"/>
        <v>0</v>
      </c>
      <c r="G252" s="84"/>
      <c r="H252" s="1159"/>
      <c r="I252" s="144">
        <v>14</v>
      </c>
      <c r="J252" s="145">
        <f>I150</f>
        <v>50</v>
      </c>
      <c r="K252" s="145">
        <f t="shared" ref="K252:M252" si="137">J150</f>
        <v>-0.3</v>
      </c>
      <c r="L252" s="145" t="str">
        <f t="shared" si="137"/>
        <v>-</v>
      </c>
      <c r="M252" s="145">
        <f t="shared" si="137"/>
        <v>0</v>
      </c>
      <c r="N252" s="84"/>
      <c r="O252" s="84"/>
      <c r="P252" s="150"/>
    </row>
    <row r="253" spans="1:16" ht="13">
      <c r="A253" s="1158"/>
      <c r="B253" s="144">
        <v>15</v>
      </c>
      <c r="C253" s="145">
        <f>C161</f>
        <v>25</v>
      </c>
      <c r="D253" s="145">
        <f t="shared" ref="D253:F253" si="138">D161</f>
        <v>0.2</v>
      </c>
      <c r="E253" s="145" t="str">
        <f t="shared" si="138"/>
        <v>-</v>
      </c>
      <c r="F253" s="145">
        <f t="shared" si="138"/>
        <v>0</v>
      </c>
      <c r="G253" s="84"/>
      <c r="H253" s="1159"/>
      <c r="I253" s="144">
        <v>15</v>
      </c>
      <c r="J253" s="145">
        <f>I161</f>
        <v>50</v>
      </c>
      <c r="K253" s="145">
        <f t="shared" ref="K253:M253" si="139">J161</f>
        <v>-1.4</v>
      </c>
      <c r="L253" s="145" t="str">
        <f t="shared" si="139"/>
        <v>-</v>
      </c>
      <c r="M253" s="145">
        <f t="shared" si="139"/>
        <v>0</v>
      </c>
      <c r="N253" s="84"/>
      <c r="O253" s="84"/>
      <c r="P253" s="150"/>
    </row>
    <row r="254" spans="1:16" ht="13">
      <c r="A254" s="1158"/>
      <c r="B254" s="144">
        <v>16</v>
      </c>
      <c r="C254" s="145">
        <f>C172</f>
        <v>25</v>
      </c>
      <c r="D254" s="145">
        <f t="shared" ref="D254:F254" si="140">D172</f>
        <v>1.0000000000000001E-5</v>
      </c>
      <c r="E254" s="145" t="str">
        <f t="shared" si="140"/>
        <v>-</v>
      </c>
      <c r="F254" s="145">
        <f t="shared" si="140"/>
        <v>0</v>
      </c>
      <c r="G254" s="84"/>
      <c r="H254" s="1159"/>
      <c r="I254" s="144">
        <v>16</v>
      </c>
      <c r="J254" s="145">
        <f>I172</f>
        <v>50</v>
      </c>
      <c r="K254" s="145">
        <f t="shared" ref="K254:M254" si="141">J172</f>
        <v>0.2</v>
      </c>
      <c r="L254" s="145" t="str">
        <f t="shared" si="141"/>
        <v>-</v>
      </c>
      <c r="M254" s="145">
        <f t="shared" si="141"/>
        <v>0</v>
      </c>
      <c r="N254" s="84"/>
      <c r="O254" s="84"/>
      <c r="P254" s="150"/>
    </row>
    <row r="255" spans="1:16" ht="13">
      <c r="A255" s="1158"/>
      <c r="B255" s="144">
        <v>17</v>
      </c>
      <c r="C255" s="145">
        <f>C182</f>
        <v>25</v>
      </c>
      <c r="D255" s="145">
        <f t="shared" ref="D255:F255" si="142">D182</f>
        <v>-0.2</v>
      </c>
      <c r="E255" s="145" t="str">
        <f t="shared" si="142"/>
        <v>-</v>
      </c>
      <c r="F255" s="145">
        <f t="shared" si="142"/>
        <v>0</v>
      </c>
      <c r="G255" s="84"/>
      <c r="H255" s="1159"/>
      <c r="I255" s="144">
        <v>17</v>
      </c>
      <c r="J255" s="145">
        <f>I182</f>
        <v>50</v>
      </c>
      <c r="K255" s="145">
        <f t="shared" ref="K255:M255" si="143">J182</f>
        <v>-0.2</v>
      </c>
      <c r="L255" s="145" t="str">
        <f t="shared" si="143"/>
        <v>-</v>
      </c>
      <c r="M255" s="145">
        <f t="shared" si="143"/>
        <v>0</v>
      </c>
      <c r="N255" s="84"/>
      <c r="O255" s="84"/>
      <c r="P255" s="150"/>
    </row>
    <row r="256" spans="1:16" ht="13">
      <c r="A256" s="1158"/>
      <c r="B256" s="144">
        <v>18</v>
      </c>
      <c r="C256" s="145">
        <f>C192</f>
        <v>25</v>
      </c>
      <c r="D256" s="145">
        <f t="shared" ref="D256:F256" si="144">D192</f>
        <v>1.0000000000000001E-5</v>
      </c>
      <c r="E256" s="145" t="str">
        <f t="shared" si="144"/>
        <v>-</v>
      </c>
      <c r="F256" s="145">
        <f t="shared" si="144"/>
        <v>0</v>
      </c>
      <c r="G256" s="84"/>
      <c r="H256" s="1159"/>
      <c r="I256" s="144">
        <v>18</v>
      </c>
      <c r="J256" s="145">
        <f>I192</f>
        <v>50</v>
      </c>
      <c r="K256" s="145">
        <f t="shared" ref="K256:M256" si="145">J192</f>
        <v>1.0000000000000001E-5</v>
      </c>
      <c r="L256" s="145" t="str">
        <f t="shared" si="145"/>
        <v>-</v>
      </c>
      <c r="M256" s="145">
        <f t="shared" si="145"/>
        <v>0</v>
      </c>
      <c r="N256" s="84"/>
      <c r="O256" s="84"/>
      <c r="P256" s="150"/>
    </row>
    <row r="257" spans="1:16" ht="13">
      <c r="A257" s="151"/>
      <c r="B257" s="152"/>
      <c r="C257" s="159"/>
      <c r="D257" s="159"/>
      <c r="E257" s="159"/>
      <c r="F257" s="160"/>
      <c r="G257" s="155"/>
      <c r="H257" s="151"/>
      <c r="I257" s="163"/>
      <c r="J257" s="159"/>
      <c r="K257" s="159"/>
      <c r="L257" s="159"/>
      <c r="M257" s="160"/>
      <c r="N257" s="84"/>
      <c r="O257" s="84"/>
      <c r="P257" s="150"/>
    </row>
    <row r="258" spans="1:16" ht="13">
      <c r="A258" s="1158" t="s">
        <v>636</v>
      </c>
      <c r="B258" s="144">
        <v>1</v>
      </c>
      <c r="C258" s="145">
        <f>C8</f>
        <v>30</v>
      </c>
      <c r="D258" s="145">
        <f t="shared" ref="D258:F258" si="146">D8</f>
        <v>1.0000000000000001E-5</v>
      </c>
      <c r="E258" s="145">
        <f t="shared" si="146"/>
        <v>-0.2</v>
      </c>
      <c r="F258" s="145">
        <f t="shared" si="146"/>
        <v>0.10000500000000001</v>
      </c>
      <c r="G258" s="84"/>
      <c r="H258" s="1159" t="s">
        <v>636</v>
      </c>
      <c r="I258" s="144">
        <v>1</v>
      </c>
      <c r="J258" s="145">
        <f>I8</f>
        <v>60</v>
      </c>
      <c r="K258" s="145">
        <f t="shared" ref="K258:M258" si="147">J8</f>
        <v>-4.4000000000000004</v>
      </c>
      <c r="L258" s="145">
        <f t="shared" si="147"/>
        <v>1.0000000000000001E-5</v>
      </c>
      <c r="M258" s="145">
        <f t="shared" si="147"/>
        <v>2.200005</v>
      </c>
      <c r="N258" s="84"/>
      <c r="O258" s="84"/>
      <c r="P258" s="150"/>
    </row>
    <row r="259" spans="1:16" ht="13">
      <c r="A259" s="1158"/>
      <c r="B259" s="144">
        <v>2</v>
      </c>
      <c r="C259" s="145">
        <f>C19</f>
        <v>30</v>
      </c>
      <c r="D259" s="145">
        <f t="shared" ref="D259:F259" si="148">D19</f>
        <v>-0.3</v>
      </c>
      <c r="E259" s="145">
        <f t="shared" si="148"/>
        <v>-1</v>
      </c>
      <c r="F259" s="145">
        <f t="shared" si="148"/>
        <v>0.35</v>
      </c>
      <c r="G259" s="84"/>
      <c r="H259" s="1159"/>
      <c r="I259" s="144">
        <v>2</v>
      </c>
      <c r="J259" s="145">
        <f>I19</f>
        <v>60</v>
      </c>
      <c r="K259" s="145">
        <f t="shared" ref="K259:M259" si="149">J19</f>
        <v>-1.3000100000000001</v>
      </c>
      <c r="L259" s="145">
        <f t="shared" si="149"/>
        <v>-1.3</v>
      </c>
      <c r="M259" s="145">
        <f t="shared" si="149"/>
        <v>5.000000000032756E-6</v>
      </c>
      <c r="N259" s="84"/>
      <c r="O259" s="84"/>
      <c r="P259" s="150"/>
    </row>
    <row r="260" spans="1:16" ht="13">
      <c r="A260" s="1158"/>
      <c r="B260" s="144">
        <v>3</v>
      </c>
      <c r="C260" s="145">
        <f>C30</f>
        <v>30</v>
      </c>
      <c r="D260" s="145">
        <f t="shared" ref="D260:F260" si="150">D30</f>
        <v>-0.3</v>
      </c>
      <c r="E260" s="145">
        <f t="shared" si="150"/>
        <v>-0.3</v>
      </c>
      <c r="F260" s="145">
        <f t="shared" si="150"/>
        <v>0</v>
      </c>
      <c r="G260" s="84"/>
      <c r="H260" s="1159"/>
      <c r="I260" s="144">
        <v>3</v>
      </c>
      <c r="J260" s="145">
        <f>I30</f>
        <v>60</v>
      </c>
      <c r="K260" s="145">
        <f t="shared" ref="K260:M260" si="151">J30</f>
        <v>-4.3</v>
      </c>
      <c r="L260" s="145">
        <f t="shared" si="151"/>
        <v>-2.2000000000000002</v>
      </c>
      <c r="M260" s="145">
        <f t="shared" si="151"/>
        <v>1.0499999999999998</v>
      </c>
      <c r="N260" s="84"/>
      <c r="O260" s="84"/>
      <c r="P260" s="150"/>
    </row>
    <row r="261" spans="1:16" ht="13">
      <c r="A261" s="1158"/>
      <c r="B261" s="144">
        <v>4</v>
      </c>
      <c r="C261" s="145">
        <f>C41</f>
        <v>30</v>
      </c>
      <c r="D261" s="145">
        <f t="shared" ref="D261:F261" si="152">D41</f>
        <v>-0.6</v>
      </c>
      <c r="E261" s="145">
        <f t="shared" si="152"/>
        <v>-1</v>
      </c>
      <c r="F261" s="145">
        <f t="shared" si="152"/>
        <v>0.2</v>
      </c>
      <c r="G261" s="84"/>
      <c r="H261" s="1159"/>
      <c r="I261" s="144">
        <v>4</v>
      </c>
      <c r="J261" s="145">
        <f>I41</f>
        <v>60</v>
      </c>
      <c r="K261" s="145">
        <f t="shared" ref="K261:M261" si="153">J41</f>
        <v>-0.3</v>
      </c>
      <c r="L261" s="145">
        <f t="shared" si="153"/>
        <v>-0.9</v>
      </c>
      <c r="M261" s="145">
        <f t="shared" si="153"/>
        <v>0.30000000000000004</v>
      </c>
      <c r="N261" s="84"/>
      <c r="O261" s="84"/>
      <c r="P261" s="150"/>
    </row>
    <row r="262" spans="1:16" ht="13">
      <c r="A262" s="1158"/>
      <c r="B262" s="144">
        <v>5</v>
      </c>
      <c r="C262" s="145">
        <f>C52</f>
        <v>30</v>
      </c>
      <c r="D262" s="145">
        <f t="shared" ref="D262:F262" si="154">D52</f>
        <v>0.1</v>
      </c>
      <c r="E262" s="145">
        <f t="shared" si="154"/>
        <v>-0.7</v>
      </c>
      <c r="F262" s="145">
        <f t="shared" si="154"/>
        <v>0.39999999999999997</v>
      </c>
      <c r="G262" s="84"/>
      <c r="H262" s="1159"/>
      <c r="I262" s="144">
        <v>5</v>
      </c>
      <c r="J262" s="145">
        <f>I52</f>
        <v>60</v>
      </c>
      <c r="K262" s="145">
        <f t="shared" ref="K262:M262" si="155">J52</f>
        <v>-4.2</v>
      </c>
      <c r="L262" s="145">
        <f t="shared" si="155"/>
        <v>-2</v>
      </c>
      <c r="M262" s="145">
        <f t="shared" si="155"/>
        <v>1.1000000000000001</v>
      </c>
      <c r="N262" s="84"/>
      <c r="O262" s="84"/>
      <c r="P262" s="150"/>
    </row>
    <row r="263" spans="1:16" ht="13">
      <c r="A263" s="1158"/>
      <c r="B263" s="144">
        <v>6</v>
      </c>
      <c r="C263" s="145">
        <f>C63</f>
        <v>30</v>
      </c>
      <c r="D263" s="145">
        <f t="shared" ref="D263:F263" si="156">D63</f>
        <v>-0.5</v>
      </c>
      <c r="E263" s="145">
        <f t="shared" si="156"/>
        <v>0.13</v>
      </c>
      <c r="F263" s="145">
        <f t="shared" si="156"/>
        <v>0.315</v>
      </c>
      <c r="G263" s="84"/>
      <c r="H263" s="1159"/>
      <c r="I263" s="144">
        <v>6</v>
      </c>
      <c r="J263" s="145">
        <f>I63</f>
        <v>60</v>
      </c>
      <c r="K263" s="145">
        <f t="shared" ref="K263:M263" si="157">J63</f>
        <v>1.1000000000000001</v>
      </c>
      <c r="L263" s="145">
        <f t="shared" si="157"/>
        <v>-2</v>
      </c>
      <c r="M263" s="145">
        <f t="shared" si="157"/>
        <v>1.55</v>
      </c>
      <c r="N263" s="84"/>
      <c r="O263" s="84"/>
      <c r="P263" s="150"/>
    </row>
    <row r="264" spans="1:16" ht="13">
      <c r="A264" s="1158"/>
      <c r="B264" s="144">
        <v>7</v>
      </c>
      <c r="C264" s="145">
        <f>C74</f>
        <v>30</v>
      </c>
      <c r="D264" s="145">
        <f t="shared" ref="D264:F264" si="158">D74</f>
        <v>-0.6</v>
      </c>
      <c r="E264" s="145">
        <f t="shared" si="158"/>
        <v>-0.1</v>
      </c>
      <c r="F264" s="145">
        <f t="shared" si="158"/>
        <v>0.25</v>
      </c>
      <c r="G264" s="84"/>
      <c r="H264" s="1159"/>
      <c r="I264" s="144">
        <v>7</v>
      </c>
      <c r="J264" s="145">
        <f>I74</f>
        <v>60</v>
      </c>
      <c r="K264" s="145">
        <f t="shared" ref="K264:M264" si="159">J74</f>
        <v>0.7</v>
      </c>
      <c r="L264" s="145">
        <f t="shared" si="159"/>
        <v>1.5</v>
      </c>
      <c r="M264" s="145">
        <f t="shared" si="159"/>
        <v>0.4</v>
      </c>
      <c r="N264" s="84"/>
      <c r="O264" s="84"/>
      <c r="P264" s="150"/>
    </row>
    <row r="265" spans="1:16" ht="13">
      <c r="A265" s="1158"/>
      <c r="B265" s="144">
        <v>8</v>
      </c>
      <c r="C265" s="145">
        <f>C85</f>
        <v>30</v>
      </c>
      <c r="D265" s="145">
        <f t="shared" ref="D265:F265" si="160">D85</f>
        <v>-0.4</v>
      </c>
      <c r="E265" s="145">
        <f t="shared" si="160"/>
        <v>-0.2</v>
      </c>
      <c r="F265" s="145">
        <f t="shared" si="160"/>
        <v>0.1</v>
      </c>
      <c r="G265" s="84"/>
      <c r="H265" s="1159"/>
      <c r="I265" s="144">
        <v>8</v>
      </c>
      <c r="J265" s="145">
        <f>I85</f>
        <v>60</v>
      </c>
      <c r="K265" s="145">
        <f t="shared" ref="K265:M265" si="161">J85</f>
        <v>-1.1000000000000001</v>
      </c>
      <c r="L265" s="145">
        <f t="shared" si="161"/>
        <v>1.7</v>
      </c>
      <c r="M265" s="145">
        <f t="shared" si="161"/>
        <v>1.4</v>
      </c>
      <c r="N265" s="84"/>
      <c r="O265" s="84"/>
      <c r="P265" s="150"/>
    </row>
    <row r="266" spans="1:16" ht="13">
      <c r="A266" s="1158"/>
      <c r="B266" s="144">
        <v>9</v>
      </c>
      <c r="C266" s="145">
        <f>C96</f>
        <v>30</v>
      </c>
      <c r="D266" s="145">
        <f t="shared" ref="D266:F266" si="162">D96</f>
        <v>-0.5</v>
      </c>
      <c r="E266" s="145" t="str">
        <f t="shared" si="162"/>
        <v>-</v>
      </c>
      <c r="F266" s="145">
        <f t="shared" si="162"/>
        <v>0</v>
      </c>
      <c r="G266" s="84"/>
      <c r="H266" s="1159"/>
      <c r="I266" s="144">
        <v>9</v>
      </c>
      <c r="J266" s="145">
        <f>I96</f>
        <v>60</v>
      </c>
      <c r="K266" s="145">
        <f t="shared" ref="K266:M266" si="163">J96</f>
        <v>-0.8</v>
      </c>
      <c r="L266" s="145" t="str">
        <f t="shared" si="163"/>
        <v>-</v>
      </c>
      <c r="M266" s="145">
        <f t="shared" si="163"/>
        <v>0</v>
      </c>
      <c r="N266" s="84"/>
      <c r="O266" s="84"/>
      <c r="P266" s="150"/>
    </row>
    <row r="267" spans="1:16" ht="13">
      <c r="A267" s="1158"/>
      <c r="B267" s="144">
        <v>10</v>
      </c>
      <c r="C267" s="145">
        <f>C107</f>
        <v>30</v>
      </c>
      <c r="D267" s="145">
        <f t="shared" ref="D267:F267" si="164">D107</f>
        <v>0.1</v>
      </c>
      <c r="E267" s="145">
        <f t="shared" si="164"/>
        <v>0.2</v>
      </c>
      <c r="F267" s="145">
        <f t="shared" si="164"/>
        <v>0.05</v>
      </c>
      <c r="G267" s="84"/>
      <c r="H267" s="1159"/>
      <c r="I267" s="144">
        <v>10</v>
      </c>
      <c r="J267" s="145">
        <f>I107</f>
        <v>60</v>
      </c>
      <c r="K267" s="145">
        <f t="shared" ref="K267:M267" si="165">J107</f>
        <v>-2.1</v>
      </c>
      <c r="L267" s="145">
        <f t="shared" si="165"/>
        <v>-5.6</v>
      </c>
      <c r="M267" s="145">
        <f t="shared" si="165"/>
        <v>1.7499999999999998</v>
      </c>
      <c r="N267" s="84"/>
      <c r="O267" s="84"/>
      <c r="P267" s="150"/>
    </row>
    <row r="268" spans="1:16" ht="13">
      <c r="A268" s="1158"/>
      <c r="B268" s="144">
        <v>11</v>
      </c>
      <c r="C268" s="145">
        <f>C118</f>
        <v>30</v>
      </c>
      <c r="D268" s="145">
        <f t="shared" ref="D268:F268" si="166">D118</f>
        <v>0.5</v>
      </c>
      <c r="E268" s="145" t="str">
        <f t="shared" si="166"/>
        <v>-</v>
      </c>
      <c r="F268" s="145">
        <f t="shared" si="166"/>
        <v>0</v>
      </c>
      <c r="G268" s="84"/>
      <c r="H268" s="1159"/>
      <c r="I268" s="144">
        <v>11</v>
      </c>
      <c r="J268" s="145">
        <f>I118</f>
        <v>60</v>
      </c>
      <c r="K268" s="145">
        <f t="shared" ref="K268:M268" si="167">J118</f>
        <v>-4.8</v>
      </c>
      <c r="L268" s="145" t="str">
        <f t="shared" si="167"/>
        <v>-</v>
      </c>
      <c r="M268" s="145">
        <f t="shared" si="167"/>
        <v>0</v>
      </c>
      <c r="N268" s="84"/>
      <c r="O268" s="84"/>
      <c r="P268" s="150"/>
    </row>
    <row r="269" spans="1:16" ht="13">
      <c r="A269" s="1158"/>
      <c r="B269" s="144">
        <v>12</v>
      </c>
      <c r="C269" s="145">
        <f>C129</f>
        <v>30</v>
      </c>
      <c r="D269" s="145">
        <f t="shared" ref="D269:F269" si="168">D129</f>
        <v>-0.3</v>
      </c>
      <c r="E269" s="145" t="str">
        <f t="shared" si="168"/>
        <v>-</v>
      </c>
      <c r="F269" s="145">
        <f t="shared" si="168"/>
        <v>0</v>
      </c>
      <c r="G269" s="84"/>
      <c r="H269" s="1159"/>
      <c r="I269" s="144">
        <v>12</v>
      </c>
      <c r="J269" s="145">
        <f>I129</f>
        <v>60</v>
      </c>
      <c r="K269" s="145">
        <f t="shared" ref="K269:M269" si="169">J129</f>
        <v>-0.6</v>
      </c>
      <c r="L269" s="145" t="str">
        <f t="shared" si="169"/>
        <v>-</v>
      </c>
      <c r="M269" s="145">
        <f t="shared" si="169"/>
        <v>0</v>
      </c>
      <c r="N269" s="84"/>
      <c r="O269" s="84"/>
      <c r="P269" s="150"/>
    </row>
    <row r="270" spans="1:16" ht="13">
      <c r="A270" s="1158"/>
      <c r="B270" s="144">
        <v>13</v>
      </c>
      <c r="C270" s="145">
        <f>C140</f>
        <v>30</v>
      </c>
      <c r="D270" s="145">
        <f t="shared" ref="D270:F270" si="170">D140</f>
        <v>0.1</v>
      </c>
      <c r="E270" s="145" t="str">
        <f t="shared" si="170"/>
        <v>-</v>
      </c>
      <c r="F270" s="145">
        <f t="shared" si="170"/>
        <v>0</v>
      </c>
      <c r="G270" s="84"/>
      <c r="H270" s="1159"/>
      <c r="I270" s="144">
        <v>13</v>
      </c>
      <c r="J270" s="145">
        <f>I140</f>
        <v>60</v>
      </c>
      <c r="K270" s="145">
        <f t="shared" ref="K270:M270" si="171">J140</f>
        <v>-1.5</v>
      </c>
      <c r="L270" s="145" t="str">
        <f t="shared" si="171"/>
        <v>-</v>
      </c>
      <c r="M270" s="145">
        <f t="shared" si="171"/>
        <v>0</v>
      </c>
      <c r="N270" s="84"/>
      <c r="O270" s="84"/>
      <c r="P270" s="150"/>
    </row>
    <row r="271" spans="1:16" ht="13">
      <c r="A271" s="1158"/>
      <c r="B271" s="144">
        <v>14</v>
      </c>
      <c r="C271" s="145">
        <f>C151</f>
        <v>30</v>
      </c>
      <c r="D271" s="145">
        <f t="shared" ref="D271:F271" si="172">D151</f>
        <v>-0.2</v>
      </c>
      <c r="E271" s="145" t="str">
        <f t="shared" si="172"/>
        <v>-</v>
      </c>
      <c r="F271" s="145">
        <f t="shared" si="172"/>
        <v>0</v>
      </c>
      <c r="G271" s="84"/>
      <c r="H271" s="1159"/>
      <c r="I271" s="144">
        <v>14</v>
      </c>
      <c r="J271" s="145">
        <f>I151</f>
        <v>60</v>
      </c>
      <c r="K271" s="145">
        <f t="shared" ref="K271:M271" si="173">J151</f>
        <v>-0.5</v>
      </c>
      <c r="L271" s="145" t="str">
        <f t="shared" si="173"/>
        <v>-</v>
      </c>
      <c r="M271" s="145">
        <f t="shared" si="173"/>
        <v>0</v>
      </c>
      <c r="N271" s="84"/>
      <c r="O271" s="84"/>
      <c r="P271" s="150"/>
    </row>
    <row r="272" spans="1:16" ht="13">
      <c r="A272" s="1158"/>
      <c r="B272" s="144">
        <v>15</v>
      </c>
      <c r="C272" s="145">
        <f>C162</f>
        <v>30</v>
      </c>
      <c r="D272" s="145">
        <f t="shared" ref="D272:F272" si="174">D162</f>
        <v>0.2</v>
      </c>
      <c r="E272" s="145" t="str">
        <f t="shared" si="174"/>
        <v>-</v>
      </c>
      <c r="F272" s="145">
        <f t="shared" si="174"/>
        <v>0</v>
      </c>
      <c r="G272" s="84"/>
      <c r="H272" s="1159"/>
      <c r="I272" s="144">
        <v>15</v>
      </c>
      <c r="J272" s="145">
        <f>I162</f>
        <v>60</v>
      </c>
      <c r="K272" s="145">
        <f t="shared" ref="K272:M272" si="175">J162</f>
        <v>-1.5</v>
      </c>
      <c r="L272" s="145" t="str">
        <f t="shared" si="175"/>
        <v>-</v>
      </c>
      <c r="M272" s="145">
        <f t="shared" si="175"/>
        <v>0</v>
      </c>
      <c r="N272" s="84"/>
      <c r="O272" s="84"/>
      <c r="P272" s="150"/>
    </row>
    <row r="273" spans="1:16" ht="13">
      <c r="A273" s="1158"/>
      <c r="B273" s="144">
        <v>16</v>
      </c>
      <c r="C273" s="145">
        <f>C173</f>
        <v>30</v>
      </c>
      <c r="D273" s="145">
        <f t="shared" ref="D273:F273" si="176">D173</f>
        <v>-0.2</v>
      </c>
      <c r="E273" s="145" t="str">
        <f t="shared" si="176"/>
        <v>-</v>
      </c>
      <c r="F273" s="145">
        <f t="shared" si="176"/>
        <v>0</v>
      </c>
      <c r="G273" s="84"/>
      <c r="H273" s="1159"/>
      <c r="I273" s="144">
        <v>16</v>
      </c>
      <c r="J273" s="145">
        <f>I173</f>
        <v>60</v>
      </c>
      <c r="K273" s="145">
        <f t="shared" ref="K273:M273" si="177">J173</f>
        <v>1.0000000000000001E-5</v>
      </c>
      <c r="L273" s="145" t="str">
        <f t="shared" si="177"/>
        <v>-</v>
      </c>
      <c r="M273" s="145">
        <f t="shared" si="177"/>
        <v>0</v>
      </c>
      <c r="N273" s="84"/>
      <c r="O273" s="84"/>
      <c r="P273" s="150"/>
    </row>
    <row r="274" spans="1:16" ht="13">
      <c r="A274" s="1158"/>
      <c r="B274" s="144">
        <v>17</v>
      </c>
      <c r="C274" s="145">
        <f>C183</f>
        <v>30</v>
      </c>
      <c r="D274" s="145">
        <f t="shared" ref="D274:F274" si="178">D183</f>
        <v>-0.2</v>
      </c>
      <c r="E274" s="145" t="str">
        <f t="shared" si="178"/>
        <v>-</v>
      </c>
      <c r="F274" s="145">
        <f t="shared" si="178"/>
        <v>0</v>
      </c>
      <c r="G274" s="84"/>
      <c r="H274" s="1159"/>
      <c r="I274" s="144">
        <v>17</v>
      </c>
      <c r="J274" s="145">
        <f>I183</f>
        <v>60</v>
      </c>
      <c r="K274" s="145">
        <f t="shared" ref="K274:M274" si="179">J183</f>
        <v>-0.2</v>
      </c>
      <c r="L274" s="145" t="str">
        <f t="shared" si="179"/>
        <v>-</v>
      </c>
      <c r="M274" s="145">
        <f t="shared" si="179"/>
        <v>0</v>
      </c>
      <c r="N274" s="84"/>
      <c r="O274" s="84"/>
      <c r="P274" s="150"/>
    </row>
    <row r="275" spans="1:16" ht="13">
      <c r="A275" s="1158"/>
      <c r="B275" s="144">
        <v>18</v>
      </c>
      <c r="C275" s="145">
        <f>C193</f>
        <v>30</v>
      </c>
      <c r="D275" s="145">
        <f t="shared" ref="D275:F275" si="180">D193</f>
        <v>-0.1</v>
      </c>
      <c r="E275" s="145" t="str">
        <f t="shared" si="180"/>
        <v>-</v>
      </c>
      <c r="F275" s="145">
        <f t="shared" si="180"/>
        <v>0</v>
      </c>
      <c r="G275" s="84"/>
      <c r="H275" s="1159"/>
      <c r="I275" s="144">
        <v>18</v>
      </c>
      <c r="J275" s="145">
        <f>I193</f>
        <v>60</v>
      </c>
      <c r="K275" s="145">
        <f t="shared" ref="K275:M275" si="181">J193</f>
        <v>1.0000000000000001E-5</v>
      </c>
      <c r="L275" s="145" t="str">
        <f t="shared" si="181"/>
        <v>-</v>
      </c>
      <c r="M275" s="145">
        <f t="shared" si="181"/>
        <v>0</v>
      </c>
      <c r="N275" s="84"/>
      <c r="O275" s="84"/>
      <c r="P275" s="150"/>
    </row>
    <row r="276" spans="1:16" ht="13">
      <c r="A276" s="151"/>
      <c r="B276" s="152"/>
      <c r="C276" s="159"/>
      <c r="D276" s="159"/>
      <c r="E276" s="159"/>
      <c r="F276" s="160"/>
      <c r="G276" s="155"/>
      <c r="H276" s="151"/>
      <c r="I276" s="163"/>
      <c r="J276" s="159"/>
      <c r="K276" s="159"/>
      <c r="L276" s="159"/>
      <c r="M276" s="160"/>
      <c r="N276" s="84"/>
      <c r="O276" s="84"/>
      <c r="P276" s="150"/>
    </row>
    <row r="277" spans="1:16" ht="13">
      <c r="A277" s="1158" t="s">
        <v>638</v>
      </c>
      <c r="B277" s="144">
        <v>1</v>
      </c>
      <c r="C277" s="145">
        <f>C9</f>
        <v>35</v>
      </c>
      <c r="D277" s="145">
        <f t="shared" ref="D277:F277" si="182">D9</f>
        <v>-0.1</v>
      </c>
      <c r="E277" s="145">
        <f t="shared" si="182"/>
        <v>-0.5</v>
      </c>
      <c r="F277" s="145">
        <f t="shared" si="182"/>
        <v>0.2</v>
      </c>
      <c r="G277" s="84"/>
      <c r="H277" s="1159" t="s">
        <v>638</v>
      </c>
      <c r="I277" s="144">
        <v>1</v>
      </c>
      <c r="J277" s="145">
        <f>I20</f>
        <v>70</v>
      </c>
      <c r="K277" s="145">
        <f t="shared" ref="K277:M277" si="183">J20</f>
        <v>-1.1000000000000001</v>
      </c>
      <c r="L277" s="145">
        <f t="shared" si="183"/>
        <v>-1</v>
      </c>
      <c r="M277" s="145">
        <f t="shared" si="183"/>
        <v>5.0000000000000044E-2</v>
      </c>
      <c r="N277" s="84"/>
      <c r="O277" s="84"/>
      <c r="P277" s="150"/>
    </row>
    <row r="278" spans="1:16" ht="13">
      <c r="A278" s="1158"/>
      <c r="B278" s="144">
        <v>2</v>
      </c>
      <c r="C278" s="145">
        <f>C20</f>
        <v>35</v>
      </c>
      <c r="D278" s="145">
        <f t="shared" ref="D278:F278" si="184">D20</f>
        <v>-0.3</v>
      </c>
      <c r="E278" s="145">
        <f t="shared" si="184"/>
        <v>-1.6</v>
      </c>
      <c r="F278" s="145">
        <f t="shared" si="184"/>
        <v>0.65</v>
      </c>
      <c r="G278" s="84"/>
      <c r="H278" s="1159"/>
      <c r="I278" s="144">
        <v>2</v>
      </c>
      <c r="J278" s="145">
        <f>I20</f>
        <v>70</v>
      </c>
      <c r="K278" s="145">
        <f t="shared" ref="K278:M278" si="185">J20</f>
        <v>-1.1000000000000001</v>
      </c>
      <c r="L278" s="145">
        <f t="shared" si="185"/>
        <v>-1</v>
      </c>
      <c r="M278" s="145">
        <f t="shared" si="185"/>
        <v>5.0000000000000044E-2</v>
      </c>
      <c r="N278" s="84"/>
      <c r="O278" s="84"/>
      <c r="P278" s="150"/>
    </row>
    <row r="279" spans="1:16" ht="13">
      <c r="A279" s="1158"/>
      <c r="B279" s="144">
        <v>3</v>
      </c>
      <c r="C279" s="145">
        <f>C31</f>
        <v>35</v>
      </c>
      <c r="D279" s="145">
        <f t="shared" ref="D279:F279" si="186">D31</f>
        <v>-0.5</v>
      </c>
      <c r="E279" s="145">
        <f t="shared" si="186"/>
        <v>-0.4</v>
      </c>
      <c r="F279" s="145">
        <f t="shared" si="186"/>
        <v>4.9999999999999989E-2</v>
      </c>
      <c r="G279" s="84"/>
      <c r="H279" s="1159"/>
      <c r="I279" s="144">
        <v>3</v>
      </c>
      <c r="J279" s="145">
        <f>I31</f>
        <v>70</v>
      </c>
      <c r="K279" s="145">
        <f t="shared" ref="K279:M279" si="187">J31</f>
        <v>-3.6</v>
      </c>
      <c r="L279" s="145">
        <f t="shared" si="187"/>
        <v>-1.6</v>
      </c>
      <c r="M279" s="145">
        <f t="shared" si="187"/>
        <v>1</v>
      </c>
      <c r="N279" s="84"/>
      <c r="O279" s="84"/>
      <c r="P279" s="150"/>
    </row>
    <row r="280" spans="1:16" ht="13">
      <c r="A280" s="1158"/>
      <c r="B280" s="144">
        <v>4</v>
      </c>
      <c r="C280" s="145">
        <f>C42</f>
        <v>35</v>
      </c>
      <c r="D280" s="145">
        <f t="shared" ref="D280:F280" si="188">D42</f>
        <v>-0.6</v>
      </c>
      <c r="E280" s="145">
        <f t="shared" si="188"/>
        <v>-1.5</v>
      </c>
      <c r="F280" s="145">
        <f t="shared" si="188"/>
        <v>0.45</v>
      </c>
      <c r="G280" s="84"/>
      <c r="H280" s="1159"/>
      <c r="I280" s="144">
        <v>4</v>
      </c>
      <c r="J280" s="145">
        <f>I42</f>
        <v>70</v>
      </c>
      <c r="K280" s="145">
        <f t="shared" ref="K280:M280" si="189">J42</f>
        <v>0.7</v>
      </c>
      <c r="L280" s="145">
        <f t="shared" si="189"/>
        <v>-0.7</v>
      </c>
      <c r="M280" s="145">
        <f t="shared" si="189"/>
        <v>0.7</v>
      </c>
      <c r="N280" s="84"/>
      <c r="O280" s="84"/>
      <c r="P280" s="150"/>
    </row>
    <row r="281" spans="1:16" ht="13">
      <c r="A281" s="1158"/>
      <c r="B281" s="144">
        <v>5</v>
      </c>
      <c r="C281" s="145">
        <f>C53</f>
        <v>35</v>
      </c>
      <c r="D281" s="145">
        <f t="shared" ref="D281:F281" si="190">D53</f>
        <v>1.0000000000000001E-5</v>
      </c>
      <c r="E281" s="145">
        <f t="shared" si="190"/>
        <v>-1.1000000000000001</v>
      </c>
      <c r="F281" s="145">
        <f t="shared" si="190"/>
        <v>0.55000500000000008</v>
      </c>
      <c r="G281" s="84"/>
      <c r="H281" s="1159"/>
      <c r="I281" s="144">
        <v>5</v>
      </c>
      <c r="J281" s="145">
        <f>I53</f>
        <v>70</v>
      </c>
      <c r="K281" s="145">
        <f t="shared" ref="K281:M281" si="191">J53</f>
        <v>-2.1</v>
      </c>
      <c r="L281" s="145">
        <f t="shared" si="191"/>
        <v>-1.6</v>
      </c>
      <c r="M281" s="145">
        <f t="shared" si="191"/>
        <v>0.25</v>
      </c>
      <c r="N281" s="84"/>
      <c r="O281" s="84"/>
      <c r="P281" s="150"/>
    </row>
    <row r="282" spans="1:16" ht="13">
      <c r="A282" s="1158"/>
      <c r="B282" s="144">
        <v>6</v>
      </c>
      <c r="C282" s="145">
        <f>C64</f>
        <v>35</v>
      </c>
      <c r="D282" s="145">
        <f t="shared" ref="D282:F282" si="192">D64</f>
        <v>-0.9</v>
      </c>
      <c r="E282" s="145">
        <f t="shared" si="192"/>
        <v>0.1</v>
      </c>
      <c r="F282" s="145">
        <f t="shared" si="192"/>
        <v>0.5</v>
      </c>
      <c r="G282" s="84"/>
      <c r="H282" s="1159"/>
      <c r="I282" s="144">
        <v>6</v>
      </c>
      <c r="J282" s="145">
        <f>I64</f>
        <v>70</v>
      </c>
      <c r="K282" s="145">
        <f t="shared" ref="K282:M282" si="193">J64</f>
        <v>0.9</v>
      </c>
      <c r="L282" s="145">
        <f t="shared" si="193"/>
        <v>-2.1</v>
      </c>
      <c r="M282" s="145">
        <f t="shared" si="193"/>
        <v>1.5</v>
      </c>
      <c r="N282" s="84"/>
      <c r="O282" s="84"/>
      <c r="P282" s="150"/>
    </row>
    <row r="283" spans="1:16" ht="13">
      <c r="A283" s="1158"/>
      <c r="B283" s="144">
        <v>7</v>
      </c>
      <c r="C283" s="145">
        <f>C75</f>
        <v>35</v>
      </c>
      <c r="D283" s="145">
        <f t="shared" ref="D283:F283" si="194">D75</f>
        <v>-1.1000000000000001</v>
      </c>
      <c r="E283" s="145">
        <f t="shared" si="194"/>
        <v>-0.1</v>
      </c>
      <c r="F283" s="145">
        <f t="shared" si="194"/>
        <v>0.5</v>
      </c>
      <c r="G283" s="84"/>
      <c r="H283" s="1159"/>
      <c r="I283" s="144">
        <v>7</v>
      </c>
      <c r="J283" s="145">
        <f>I75</f>
        <v>70</v>
      </c>
      <c r="K283" s="145">
        <f t="shared" ref="K283:M283" si="195">J75</f>
        <v>0.9</v>
      </c>
      <c r="L283" s="145">
        <f t="shared" si="195"/>
        <v>2.8</v>
      </c>
      <c r="M283" s="145">
        <f t="shared" si="195"/>
        <v>0.95</v>
      </c>
      <c r="N283" s="84"/>
      <c r="O283" s="84"/>
      <c r="P283" s="150"/>
    </row>
    <row r="284" spans="1:16" ht="13">
      <c r="A284" s="1158"/>
      <c r="B284" s="144">
        <v>8</v>
      </c>
      <c r="C284" s="145">
        <f>C86</f>
        <v>35</v>
      </c>
      <c r="D284" s="145">
        <f t="shared" ref="D284:F284" si="196">D86</f>
        <v>-0.5</v>
      </c>
      <c r="E284" s="145">
        <f t="shared" si="196"/>
        <v>-0.3</v>
      </c>
      <c r="F284" s="145">
        <f t="shared" si="196"/>
        <v>0.1</v>
      </c>
      <c r="G284" s="84"/>
      <c r="H284" s="1159"/>
      <c r="I284" s="144">
        <v>8</v>
      </c>
      <c r="J284" s="145">
        <f>I86</f>
        <v>70</v>
      </c>
      <c r="K284" s="145">
        <f t="shared" ref="K284:M284" si="197">J86</f>
        <v>-1.2</v>
      </c>
      <c r="L284" s="145">
        <f t="shared" si="197"/>
        <v>2.1</v>
      </c>
      <c r="M284" s="145">
        <f t="shared" si="197"/>
        <v>1.65</v>
      </c>
      <c r="N284" s="84"/>
      <c r="O284" s="84"/>
      <c r="P284" s="150"/>
    </row>
    <row r="285" spans="1:16" ht="13">
      <c r="A285" s="1158"/>
      <c r="B285" s="144">
        <v>9</v>
      </c>
      <c r="C285" s="145">
        <f>C97</f>
        <v>35</v>
      </c>
      <c r="D285" s="145">
        <f t="shared" ref="D285:F285" si="198">D97</f>
        <v>-0.5</v>
      </c>
      <c r="E285" s="145" t="str">
        <f t="shared" si="198"/>
        <v>-</v>
      </c>
      <c r="F285" s="145">
        <f t="shared" si="198"/>
        <v>0</v>
      </c>
      <c r="G285" s="84"/>
      <c r="H285" s="1159"/>
      <c r="I285" s="144">
        <v>9</v>
      </c>
      <c r="J285" s="145">
        <f>I97</f>
        <v>70</v>
      </c>
      <c r="K285" s="145">
        <f t="shared" ref="K285:M285" si="199">J97</f>
        <v>-0.6</v>
      </c>
      <c r="L285" s="145" t="str">
        <f t="shared" si="199"/>
        <v>-</v>
      </c>
      <c r="M285" s="145">
        <f t="shared" si="199"/>
        <v>0</v>
      </c>
      <c r="N285" s="84"/>
      <c r="O285" s="84"/>
      <c r="P285" s="150"/>
    </row>
    <row r="286" spans="1:16" ht="13">
      <c r="A286" s="1158"/>
      <c r="B286" s="144">
        <v>10</v>
      </c>
      <c r="C286" s="145">
        <f>C108</f>
        <v>35</v>
      </c>
      <c r="D286" s="145">
        <f t="shared" ref="D286:F286" si="200">D108</f>
        <v>0.2</v>
      </c>
      <c r="E286" s="145">
        <f t="shared" si="200"/>
        <v>0.8</v>
      </c>
      <c r="F286" s="145">
        <f t="shared" si="200"/>
        <v>0.30000000000000004</v>
      </c>
      <c r="G286" s="84"/>
      <c r="H286" s="1159"/>
      <c r="I286" s="144">
        <v>10</v>
      </c>
      <c r="J286" s="145">
        <f>I108</f>
        <v>70</v>
      </c>
      <c r="K286" s="145">
        <f t="shared" ref="K286:M286" si="201">J108</f>
        <v>-0.3</v>
      </c>
      <c r="L286" s="145">
        <f t="shared" si="201"/>
        <v>-5.0999999999999996</v>
      </c>
      <c r="M286" s="145">
        <f t="shared" si="201"/>
        <v>2.4</v>
      </c>
      <c r="N286" s="84"/>
      <c r="O286" s="84"/>
      <c r="P286" s="150"/>
    </row>
    <row r="287" spans="1:16" ht="13">
      <c r="A287" s="1158"/>
      <c r="B287" s="144">
        <v>11</v>
      </c>
      <c r="C287" s="145">
        <f>C119</f>
        <v>35</v>
      </c>
      <c r="D287" s="145">
        <f t="shared" ref="D287:F287" si="202">D119</f>
        <v>0.5</v>
      </c>
      <c r="E287" s="145" t="str">
        <f t="shared" si="202"/>
        <v>-</v>
      </c>
      <c r="F287" s="145">
        <f t="shared" si="202"/>
        <v>0</v>
      </c>
      <c r="G287" s="84"/>
      <c r="H287" s="1159"/>
      <c r="I287" s="144">
        <v>11</v>
      </c>
      <c r="J287" s="145">
        <f>I119</f>
        <v>70</v>
      </c>
      <c r="K287" s="145">
        <f t="shared" ref="K287:M287" si="203">J119</f>
        <v>-3.4</v>
      </c>
      <c r="L287" s="145" t="str">
        <f t="shared" si="203"/>
        <v>-</v>
      </c>
      <c r="M287" s="145">
        <f t="shared" si="203"/>
        <v>0</v>
      </c>
      <c r="N287" s="84"/>
      <c r="O287" s="84"/>
      <c r="P287" s="150"/>
    </row>
    <row r="288" spans="1:16" ht="13">
      <c r="A288" s="1158"/>
      <c r="B288" s="144">
        <v>12</v>
      </c>
      <c r="C288" s="145">
        <f>C130</f>
        <v>35</v>
      </c>
      <c r="D288" s="145">
        <f t="shared" ref="D288:F288" si="204">D130</f>
        <v>-0.6</v>
      </c>
      <c r="E288" s="145" t="str">
        <f t="shared" si="204"/>
        <v>-</v>
      </c>
      <c r="F288" s="145">
        <f t="shared" si="204"/>
        <v>0</v>
      </c>
      <c r="G288" s="84"/>
      <c r="H288" s="1159"/>
      <c r="I288" s="144">
        <v>12</v>
      </c>
      <c r="J288" s="145">
        <f>I130</f>
        <v>70</v>
      </c>
      <c r="K288" s="145">
        <f t="shared" ref="K288:M288" si="205">J130</f>
        <v>-0.8</v>
      </c>
      <c r="L288" s="145" t="str">
        <f t="shared" si="205"/>
        <v>-</v>
      </c>
      <c r="M288" s="145">
        <f t="shared" si="205"/>
        <v>0</v>
      </c>
      <c r="N288" s="84"/>
      <c r="O288" s="84"/>
      <c r="P288" s="150"/>
    </row>
    <row r="289" spans="1:16" ht="13">
      <c r="A289" s="1158"/>
      <c r="B289" s="144">
        <v>13</v>
      </c>
      <c r="C289" s="145">
        <f>C141</f>
        <v>35</v>
      </c>
      <c r="D289" s="145">
        <f t="shared" ref="D289:F289" si="206">D141</f>
        <v>0.3</v>
      </c>
      <c r="E289" s="145" t="str">
        <f t="shared" si="206"/>
        <v>-</v>
      </c>
      <c r="F289" s="145">
        <f t="shared" si="206"/>
        <v>0</v>
      </c>
      <c r="G289" s="84"/>
      <c r="H289" s="1159"/>
      <c r="I289" s="144">
        <v>13</v>
      </c>
      <c r="J289" s="145">
        <f>I141</f>
        <v>70</v>
      </c>
      <c r="K289" s="145">
        <f t="shared" ref="K289:M289" si="207">J141</f>
        <v>-1.9</v>
      </c>
      <c r="L289" s="145" t="str">
        <f t="shared" si="207"/>
        <v>-</v>
      </c>
      <c r="M289" s="145">
        <f t="shared" si="207"/>
        <v>0</v>
      </c>
      <c r="N289" s="84"/>
      <c r="O289" s="84"/>
      <c r="P289" s="150"/>
    </row>
    <row r="290" spans="1:16" ht="13">
      <c r="A290" s="1158"/>
      <c r="B290" s="144">
        <v>14</v>
      </c>
      <c r="C290" s="145">
        <f>C152</f>
        <v>35</v>
      </c>
      <c r="D290" s="145">
        <f t="shared" ref="D290:F290" si="208">D152</f>
        <v>-0.1</v>
      </c>
      <c r="E290" s="145" t="str">
        <f t="shared" si="208"/>
        <v>-</v>
      </c>
      <c r="F290" s="145">
        <f t="shared" si="208"/>
        <v>0</v>
      </c>
      <c r="G290" s="84"/>
      <c r="H290" s="1159"/>
      <c r="I290" s="144">
        <v>14</v>
      </c>
      <c r="J290" s="145">
        <f>I152</f>
        <v>70</v>
      </c>
      <c r="K290" s="145">
        <f t="shared" ref="K290:M290" si="209">J152</f>
        <v>-0.8</v>
      </c>
      <c r="L290" s="145" t="str">
        <f t="shared" si="209"/>
        <v>-</v>
      </c>
      <c r="M290" s="145">
        <f t="shared" si="209"/>
        <v>0</v>
      </c>
      <c r="N290" s="84"/>
      <c r="O290" s="84"/>
      <c r="P290" s="150"/>
    </row>
    <row r="291" spans="1:16" ht="13">
      <c r="A291" s="1158"/>
      <c r="B291" s="144">
        <v>15</v>
      </c>
      <c r="C291" s="145">
        <f>C163</f>
        <v>35</v>
      </c>
      <c r="D291" s="145">
        <f t="shared" ref="D291:F291" si="210">D163</f>
        <v>0.1</v>
      </c>
      <c r="E291" s="145" t="str">
        <f t="shared" si="210"/>
        <v>-</v>
      </c>
      <c r="F291" s="145">
        <f t="shared" si="210"/>
        <v>0</v>
      </c>
      <c r="G291" s="84"/>
      <c r="H291" s="1159"/>
      <c r="I291" s="144">
        <v>15</v>
      </c>
      <c r="J291" s="145">
        <f>I163</f>
        <v>70</v>
      </c>
      <c r="K291" s="145">
        <f t="shared" ref="K291:M291" si="211">J163</f>
        <v>-1.8</v>
      </c>
      <c r="L291" s="145" t="str">
        <f t="shared" si="211"/>
        <v>-</v>
      </c>
      <c r="M291" s="145">
        <f t="shared" si="211"/>
        <v>0</v>
      </c>
      <c r="N291" s="84"/>
      <c r="O291" s="84"/>
      <c r="P291" s="150"/>
    </row>
    <row r="292" spans="1:16" ht="13">
      <c r="A292" s="1158"/>
      <c r="B292" s="144">
        <v>16</v>
      </c>
      <c r="C292" s="145">
        <f>C174</f>
        <v>35</v>
      </c>
      <c r="D292" s="145">
        <f t="shared" ref="D292:F292" si="212">D174</f>
        <v>-0.5</v>
      </c>
      <c r="E292" s="145" t="str">
        <f t="shared" si="212"/>
        <v>-</v>
      </c>
      <c r="F292" s="145">
        <f t="shared" si="212"/>
        <v>0</v>
      </c>
      <c r="G292" s="84"/>
      <c r="H292" s="1159"/>
      <c r="I292" s="144">
        <v>16</v>
      </c>
      <c r="J292" s="145">
        <f>I174</f>
        <v>70</v>
      </c>
      <c r="K292" s="145">
        <f t="shared" ref="K292:M292" si="213">J174</f>
        <v>-0.3</v>
      </c>
      <c r="L292" s="145" t="str">
        <f t="shared" si="213"/>
        <v>-</v>
      </c>
      <c r="M292" s="145">
        <f t="shared" si="213"/>
        <v>0</v>
      </c>
      <c r="N292" s="84"/>
      <c r="O292" s="84"/>
      <c r="P292" s="150"/>
    </row>
    <row r="293" spans="1:16" ht="13">
      <c r="A293" s="1158"/>
      <c r="B293" s="144">
        <v>17</v>
      </c>
      <c r="C293" s="145">
        <f>C184</f>
        <v>35</v>
      </c>
      <c r="D293" s="145">
        <f t="shared" ref="D293:F293" si="214">D184</f>
        <v>-0.3</v>
      </c>
      <c r="E293" s="145" t="str">
        <f t="shared" si="214"/>
        <v>-</v>
      </c>
      <c r="F293" s="145">
        <f t="shared" si="214"/>
        <v>0</v>
      </c>
      <c r="G293" s="84"/>
      <c r="H293" s="1159"/>
      <c r="I293" s="144">
        <v>17</v>
      </c>
      <c r="J293" s="145">
        <f>I184</f>
        <v>70</v>
      </c>
      <c r="K293" s="145">
        <f t="shared" ref="K293:M293" si="215">J184</f>
        <v>-0.3</v>
      </c>
      <c r="L293" s="145" t="str">
        <f t="shared" si="215"/>
        <v>-</v>
      </c>
      <c r="M293" s="145">
        <f t="shared" si="215"/>
        <v>0</v>
      </c>
      <c r="N293" s="84"/>
      <c r="O293" s="84"/>
      <c r="P293" s="150"/>
    </row>
    <row r="294" spans="1:16" ht="13">
      <c r="A294" s="1158"/>
      <c r="B294" s="144">
        <v>18</v>
      </c>
      <c r="C294" s="145">
        <f>C194</f>
        <v>35</v>
      </c>
      <c r="D294" s="145">
        <f t="shared" ref="D294:F294" si="216">D194</f>
        <v>-0.2</v>
      </c>
      <c r="E294" s="145" t="str">
        <f t="shared" si="216"/>
        <v>-</v>
      </c>
      <c r="F294" s="145">
        <f t="shared" si="216"/>
        <v>0</v>
      </c>
      <c r="G294" s="84"/>
      <c r="H294" s="1159"/>
      <c r="I294" s="144">
        <v>18</v>
      </c>
      <c r="J294" s="145">
        <f>I194</f>
        <v>70</v>
      </c>
      <c r="K294" s="145">
        <f t="shared" ref="K294:M294" si="217">J194</f>
        <v>-0.1</v>
      </c>
      <c r="L294" s="145" t="str">
        <f t="shared" si="217"/>
        <v>-</v>
      </c>
      <c r="M294" s="145">
        <f t="shared" si="217"/>
        <v>0</v>
      </c>
      <c r="N294" s="84"/>
      <c r="O294" s="84"/>
      <c r="P294" s="150"/>
    </row>
    <row r="295" spans="1:16" ht="13">
      <c r="A295" s="151"/>
      <c r="B295" s="152"/>
      <c r="C295" s="159"/>
      <c r="D295" s="159"/>
      <c r="E295" s="159"/>
      <c r="F295" s="160"/>
      <c r="G295" s="155"/>
      <c r="H295" s="151"/>
      <c r="I295" s="152"/>
      <c r="J295" s="159"/>
      <c r="K295" s="159"/>
      <c r="L295" s="159"/>
      <c r="M295" s="160"/>
      <c r="N295" s="84"/>
      <c r="O295" s="84"/>
      <c r="P295" s="150"/>
    </row>
    <row r="296" spans="1:16" ht="13">
      <c r="A296" s="1158" t="s">
        <v>640</v>
      </c>
      <c r="B296" s="144">
        <v>1</v>
      </c>
      <c r="C296" s="145">
        <f>C10</f>
        <v>37</v>
      </c>
      <c r="D296" s="145">
        <f t="shared" ref="D296:F296" si="218">D10</f>
        <v>-0.2</v>
      </c>
      <c r="E296" s="145">
        <f t="shared" si="218"/>
        <v>-0.6</v>
      </c>
      <c r="F296" s="145">
        <f t="shared" si="218"/>
        <v>0.19999999999999998</v>
      </c>
      <c r="G296" s="84"/>
      <c r="H296" s="1159" t="s">
        <v>640</v>
      </c>
      <c r="I296" s="144">
        <v>1</v>
      </c>
      <c r="J296" s="145">
        <f>I10</f>
        <v>80</v>
      </c>
      <c r="K296" s="145">
        <f t="shared" ref="K296:M296" si="219">J10</f>
        <v>-1.6</v>
      </c>
      <c r="L296" s="145">
        <f t="shared" si="219"/>
        <v>1.0000000000000001E-5</v>
      </c>
      <c r="M296" s="145">
        <f t="shared" si="219"/>
        <v>0.80000500000000008</v>
      </c>
      <c r="N296" s="84"/>
      <c r="O296" s="84"/>
      <c r="P296" s="150"/>
    </row>
    <row r="297" spans="1:16" ht="13">
      <c r="A297" s="1158"/>
      <c r="B297" s="144">
        <v>2</v>
      </c>
      <c r="C297" s="145">
        <f>C21</f>
        <v>37</v>
      </c>
      <c r="D297" s="145">
        <f t="shared" ref="D297:F297" si="220">D21</f>
        <v>-0.3</v>
      </c>
      <c r="E297" s="145">
        <f t="shared" si="220"/>
        <v>-1.8</v>
      </c>
      <c r="F297" s="145">
        <f t="shared" si="220"/>
        <v>0.75</v>
      </c>
      <c r="G297" s="84"/>
      <c r="H297" s="1159"/>
      <c r="I297" s="144">
        <v>2</v>
      </c>
      <c r="J297" s="145">
        <f>I21</f>
        <v>80</v>
      </c>
      <c r="K297" s="145">
        <f t="shared" ref="K297:M297" si="221">J21</f>
        <v>-0.7</v>
      </c>
      <c r="L297" s="145">
        <f t="shared" si="221"/>
        <v>-0.4</v>
      </c>
      <c r="M297" s="145">
        <f t="shared" si="221"/>
        <v>0.14999999999999997</v>
      </c>
      <c r="N297" s="84"/>
      <c r="O297" s="84"/>
      <c r="P297" s="150"/>
    </row>
    <row r="298" spans="1:16" ht="13">
      <c r="A298" s="1158"/>
      <c r="B298" s="144">
        <v>3</v>
      </c>
      <c r="C298" s="145">
        <f>C32</f>
        <v>37</v>
      </c>
      <c r="D298" s="145">
        <f t="shared" ref="D298:F298" si="222">D32</f>
        <v>-0.6</v>
      </c>
      <c r="E298" s="145">
        <f t="shared" si="222"/>
        <v>-0.5</v>
      </c>
      <c r="F298" s="145">
        <f t="shared" si="222"/>
        <v>4.9999999999999989E-2</v>
      </c>
      <c r="G298" s="84"/>
      <c r="H298" s="1159"/>
      <c r="I298" s="144">
        <v>3</v>
      </c>
      <c r="J298" s="145">
        <f>I32</f>
        <v>80</v>
      </c>
      <c r="K298" s="145">
        <f t="shared" ref="K298:M298" si="223">J32</f>
        <v>-2.9</v>
      </c>
      <c r="L298" s="145">
        <f t="shared" si="223"/>
        <v>-0.6</v>
      </c>
      <c r="M298" s="145">
        <f t="shared" si="223"/>
        <v>1.1499999999999999</v>
      </c>
      <c r="N298" s="84"/>
      <c r="O298" s="84"/>
      <c r="P298" s="150"/>
    </row>
    <row r="299" spans="1:16" ht="13">
      <c r="A299" s="1158"/>
      <c r="B299" s="144">
        <v>4</v>
      </c>
      <c r="C299" s="145">
        <f>C43</f>
        <v>37</v>
      </c>
      <c r="D299" s="145">
        <f t="shared" ref="D299:F299" si="224">D43</f>
        <v>-0.6</v>
      </c>
      <c r="E299" s="145">
        <f t="shared" si="224"/>
        <v>-1.8</v>
      </c>
      <c r="F299" s="145">
        <f t="shared" si="224"/>
        <v>0.60000000000000009</v>
      </c>
      <c r="G299" s="84"/>
      <c r="H299" s="1159"/>
      <c r="I299" s="144">
        <v>4</v>
      </c>
      <c r="J299" s="145">
        <f>I43</f>
        <v>80</v>
      </c>
      <c r="K299" s="145">
        <f t="shared" ref="K299:M299" si="225">J43</f>
        <v>1.9</v>
      </c>
      <c r="L299" s="145">
        <f t="shared" si="225"/>
        <v>-0.4</v>
      </c>
      <c r="M299" s="145">
        <f t="shared" si="225"/>
        <v>1.1499999999999999</v>
      </c>
      <c r="N299" s="84"/>
      <c r="O299" s="84"/>
      <c r="P299" s="150"/>
    </row>
    <row r="300" spans="1:16" ht="13">
      <c r="A300" s="1158"/>
      <c r="B300" s="144">
        <v>5</v>
      </c>
      <c r="C300" s="145">
        <f>C54</f>
        <v>37</v>
      </c>
      <c r="D300" s="145">
        <f t="shared" ref="D300:F300" si="226">D54</f>
        <v>1.0000000000000001E-5</v>
      </c>
      <c r="E300" s="145">
        <f t="shared" si="226"/>
        <v>-1.2</v>
      </c>
      <c r="F300" s="145">
        <f t="shared" si="226"/>
        <v>0.60000500000000001</v>
      </c>
      <c r="G300" s="84"/>
      <c r="H300" s="1159"/>
      <c r="I300" s="144">
        <v>5</v>
      </c>
      <c r="J300" s="145">
        <f>I54</f>
        <v>80</v>
      </c>
      <c r="K300" s="145">
        <f t="shared" ref="K300:M300" si="227">J54</f>
        <v>0.2</v>
      </c>
      <c r="L300" s="145">
        <f t="shared" si="227"/>
        <v>-0.9</v>
      </c>
      <c r="M300" s="145">
        <f t="shared" si="227"/>
        <v>0.55000000000000004</v>
      </c>
      <c r="N300" s="84"/>
      <c r="O300" s="84"/>
      <c r="P300" s="150"/>
    </row>
    <row r="301" spans="1:16" ht="13">
      <c r="A301" s="1158"/>
      <c r="B301" s="144">
        <v>6</v>
      </c>
      <c r="C301" s="145">
        <f>C65</f>
        <v>37</v>
      </c>
      <c r="D301" s="145">
        <f t="shared" ref="D301:F301" si="228">D65</f>
        <v>-1.1000000000000001</v>
      </c>
      <c r="E301" s="145">
        <f t="shared" si="228"/>
        <v>1.0000000000000001E-5</v>
      </c>
      <c r="F301" s="145">
        <f t="shared" si="228"/>
        <v>0.55000500000000008</v>
      </c>
      <c r="G301" s="84"/>
      <c r="H301" s="1159"/>
      <c r="I301" s="144">
        <v>6</v>
      </c>
      <c r="J301" s="145">
        <f>I65</f>
        <v>80</v>
      </c>
      <c r="K301" s="145">
        <f t="shared" ref="K301:M301" si="229">J65</f>
        <v>0.8</v>
      </c>
      <c r="L301" s="145">
        <f t="shared" si="229"/>
        <v>-2.6</v>
      </c>
      <c r="M301" s="145">
        <f t="shared" si="229"/>
        <v>1.7000000000000002</v>
      </c>
      <c r="N301" s="84"/>
      <c r="O301" s="84"/>
      <c r="P301" s="150"/>
    </row>
    <row r="302" spans="1:16" ht="13">
      <c r="A302" s="1158"/>
      <c r="B302" s="144">
        <v>7</v>
      </c>
      <c r="C302" s="145">
        <f>C76</f>
        <v>37</v>
      </c>
      <c r="D302" s="145">
        <f t="shared" ref="D302:F302" si="230">D76</f>
        <v>-1.4</v>
      </c>
      <c r="E302" s="145">
        <f t="shared" si="230"/>
        <v>-0.1</v>
      </c>
      <c r="F302" s="145">
        <f t="shared" si="230"/>
        <v>0.64999999999999991</v>
      </c>
      <c r="G302" s="84"/>
      <c r="H302" s="1159"/>
      <c r="I302" s="144">
        <v>7</v>
      </c>
      <c r="J302" s="145">
        <f>I76</f>
        <v>80</v>
      </c>
      <c r="K302" s="145">
        <f t="shared" ref="K302:M302" si="231">J76</f>
        <v>1.2</v>
      </c>
      <c r="L302" s="145">
        <f t="shared" si="231"/>
        <v>4.4000000000000004</v>
      </c>
      <c r="M302" s="145">
        <f t="shared" si="231"/>
        <v>1.6</v>
      </c>
      <c r="N302" s="84"/>
      <c r="O302" s="84"/>
      <c r="P302" s="150"/>
    </row>
    <row r="303" spans="1:16" ht="13">
      <c r="A303" s="1158"/>
      <c r="B303" s="144">
        <v>8</v>
      </c>
      <c r="C303" s="145">
        <f>C87</f>
        <v>37</v>
      </c>
      <c r="D303" s="145">
        <f t="shared" ref="D303:F303" si="232">D87</f>
        <v>-0.5</v>
      </c>
      <c r="E303" s="145">
        <f t="shared" si="232"/>
        <v>-0.3</v>
      </c>
      <c r="F303" s="145">
        <f t="shared" si="232"/>
        <v>0.1</v>
      </c>
      <c r="G303" s="84"/>
      <c r="H303" s="1159"/>
      <c r="I303" s="144">
        <v>8</v>
      </c>
      <c r="J303" s="145">
        <f>I87</f>
        <v>80</v>
      </c>
      <c r="K303" s="145">
        <f t="shared" ref="K303:M303" si="233">J87</f>
        <v>-1.2</v>
      </c>
      <c r="L303" s="145">
        <f t="shared" si="233"/>
        <v>2.6</v>
      </c>
      <c r="M303" s="145">
        <f t="shared" si="233"/>
        <v>1.9</v>
      </c>
      <c r="N303" s="84"/>
      <c r="O303" s="84"/>
      <c r="P303" s="150"/>
    </row>
    <row r="304" spans="1:16" ht="13">
      <c r="A304" s="1158"/>
      <c r="B304" s="144">
        <v>9</v>
      </c>
      <c r="C304" s="145">
        <f>C98</f>
        <v>37</v>
      </c>
      <c r="D304" s="145">
        <f t="shared" ref="D304:F304" si="234">D98</f>
        <v>-0.5</v>
      </c>
      <c r="E304" s="145" t="str">
        <f t="shared" si="234"/>
        <v>-</v>
      </c>
      <c r="F304" s="145">
        <f t="shared" si="234"/>
        <v>0</v>
      </c>
      <c r="G304" s="84"/>
      <c r="H304" s="1159"/>
      <c r="I304" s="144">
        <v>9</v>
      </c>
      <c r="J304" s="145">
        <f>I98</f>
        <v>80</v>
      </c>
      <c r="K304" s="145">
        <f t="shared" ref="K304:M304" si="235">J98</f>
        <v>-0.5</v>
      </c>
      <c r="L304" s="145" t="str">
        <f t="shared" si="235"/>
        <v>-</v>
      </c>
      <c r="M304" s="145">
        <f t="shared" si="235"/>
        <v>0</v>
      </c>
      <c r="N304" s="84"/>
      <c r="O304" s="84"/>
      <c r="P304" s="150"/>
    </row>
    <row r="305" spans="1:16" ht="13">
      <c r="A305" s="1158"/>
      <c r="B305" s="144">
        <v>10</v>
      </c>
      <c r="C305" s="145">
        <f>C109</f>
        <v>37</v>
      </c>
      <c r="D305" s="145">
        <f t="shared" ref="D305:F305" si="236">D109</f>
        <v>0.2</v>
      </c>
      <c r="E305" s="145">
        <f t="shared" si="236"/>
        <v>0.4</v>
      </c>
      <c r="F305" s="145">
        <f t="shared" si="236"/>
        <v>0.1</v>
      </c>
      <c r="G305" s="84"/>
      <c r="H305" s="1159"/>
      <c r="I305" s="144">
        <v>10</v>
      </c>
      <c r="J305" s="145">
        <f>I109</f>
        <v>80</v>
      </c>
      <c r="K305" s="145">
        <f t="shared" ref="K305:M305" si="237">J109</f>
        <v>2.2000000000000002</v>
      </c>
      <c r="L305" s="145">
        <f t="shared" si="237"/>
        <v>-4.7</v>
      </c>
      <c r="M305" s="145">
        <f t="shared" si="237"/>
        <v>3.45</v>
      </c>
      <c r="N305" s="84"/>
      <c r="O305" s="84"/>
      <c r="P305" s="150"/>
    </row>
    <row r="306" spans="1:16" ht="13">
      <c r="A306" s="1158"/>
      <c r="B306" s="144">
        <v>11</v>
      </c>
      <c r="C306" s="145">
        <f>C120</f>
        <v>37</v>
      </c>
      <c r="D306" s="145">
        <f t="shared" ref="D306:F306" si="238">D120</f>
        <v>0.5</v>
      </c>
      <c r="E306" s="145" t="str">
        <f t="shared" si="238"/>
        <v>-</v>
      </c>
      <c r="F306" s="145">
        <f t="shared" si="238"/>
        <v>0</v>
      </c>
      <c r="G306" s="84"/>
      <c r="H306" s="1159"/>
      <c r="I306" s="144">
        <v>11</v>
      </c>
      <c r="J306" s="145">
        <f>I120</f>
        <v>80</v>
      </c>
      <c r="K306" s="145">
        <f t="shared" ref="K306:M306" si="239">J120</f>
        <v>-1.4</v>
      </c>
      <c r="L306" s="145" t="str">
        <f t="shared" si="239"/>
        <v>-</v>
      </c>
      <c r="M306" s="145">
        <f t="shared" si="239"/>
        <v>0</v>
      </c>
      <c r="N306" s="84"/>
      <c r="O306" s="84"/>
      <c r="P306" s="150"/>
    </row>
    <row r="307" spans="1:16" ht="13">
      <c r="A307" s="1158"/>
      <c r="B307" s="144">
        <v>12</v>
      </c>
      <c r="C307" s="145">
        <f>C131</f>
        <v>37</v>
      </c>
      <c r="D307" s="145">
        <f t="shared" ref="D307:F307" si="240">D131</f>
        <v>-0.8</v>
      </c>
      <c r="E307" s="145" t="str">
        <f t="shared" si="240"/>
        <v>-</v>
      </c>
      <c r="F307" s="145">
        <f t="shared" si="240"/>
        <v>0</v>
      </c>
      <c r="G307" s="84"/>
      <c r="H307" s="1159"/>
      <c r="I307" s="144">
        <v>12</v>
      </c>
      <c r="J307" s="145">
        <f>I131</f>
        <v>80</v>
      </c>
      <c r="K307" s="145">
        <f t="shared" ref="K307:M307" si="241">J131</f>
        <v>-0.9</v>
      </c>
      <c r="L307" s="145" t="str">
        <f t="shared" si="241"/>
        <v>-</v>
      </c>
      <c r="M307" s="145">
        <f t="shared" si="241"/>
        <v>0</v>
      </c>
      <c r="N307" s="84"/>
      <c r="O307" s="84"/>
      <c r="P307" s="150"/>
    </row>
    <row r="308" spans="1:16" ht="13">
      <c r="A308" s="1158"/>
      <c r="B308" s="144">
        <v>13</v>
      </c>
      <c r="C308" s="145">
        <f>C142</f>
        <v>37</v>
      </c>
      <c r="D308" s="145">
        <f t="shared" ref="D308:F308" si="242">D142</f>
        <v>0.4</v>
      </c>
      <c r="E308" s="145" t="str">
        <f t="shared" si="242"/>
        <v>-</v>
      </c>
      <c r="F308" s="145">
        <f t="shared" si="242"/>
        <v>0</v>
      </c>
      <c r="G308" s="84"/>
      <c r="H308" s="1159"/>
      <c r="I308" s="144">
        <v>13</v>
      </c>
      <c r="J308" s="145">
        <f>I142</f>
        <v>80</v>
      </c>
      <c r="K308" s="145">
        <f t="shared" ref="K308:M308" si="243">J142</f>
        <v>-2.5</v>
      </c>
      <c r="L308" s="145" t="str">
        <f t="shared" si="243"/>
        <v>-</v>
      </c>
      <c r="M308" s="145">
        <f t="shared" si="243"/>
        <v>0</v>
      </c>
      <c r="N308" s="84"/>
      <c r="O308" s="84"/>
      <c r="P308" s="150"/>
    </row>
    <row r="309" spans="1:16" ht="13">
      <c r="A309" s="1158"/>
      <c r="B309" s="144">
        <v>14</v>
      </c>
      <c r="C309" s="145">
        <f>C153</f>
        <v>37</v>
      </c>
      <c r="D309" s="145">
        <f t="shared" ref="D309:F309" si="244">D153</f>
        <v>-0.1</v>
      </c>
      <c r="E309" s="145" t="str">
        <f t="shared" si="244"/>
        <v>-</v>
      </c>
      <c r="F309" s="145">
        <f t="shared" si="244"/>
        <v>0</v>
      </c>
      <c r="G309" s="84"/>
      <c r="H309" s="1159"/>
      <c r="I309" s="144">
        <v>14</v>
      </c>
      <c r="J309" s="145">
        <f>I153</f>
        <v>80</v>
      </c>
      <c r="K309" s="145">
        <f t="shared" ref="K309:M309" si="245">J153</f>
        <v>-1.3</v>
      </c>
      <c r="L309" s="145" t="str">
        <f t="shared" si="245"/>
        <v>-</v>
      </c>
      <c r="M309" s="145">
        <f t="shared" si="245"/>
        <v>0</v>
      </c>
      <c r="N309" s="84"/>
      <c r="O309" s="84"/>
      <c r="P309" s="150"/>
    </row>
    <row r="310" spans="1:16" ht="13">
      <c r="A310" s="1158"/>
      <c r="B310" s="144">
        <v>15</v>
      </c>
      <c r="C310" s="145">
        <f>C164</f>
        <v>37</v>
      </c>
      <c r="D310" s="145">
        <f t="shared" ref="D310:F310" si="246">D164</f>
        <v>1.0000000000000001E-5</v>
      </c>
      <c r="E310" s="145" t="str">
        <f t="shared" si="246"/>
        <v>-</v>
      </c>
      <c r="F310" s="145">
        <f t="shared" si="246"/>
        <v>0</v>
      </c>
      <c r="G310" s="84"/>
      <c r="H310" s="1159"/>
      <c r="I310" s="144">
        <v>15</v>
      </c>
      <c r="J310" s="145">
        <f>I164</f>
        <v>80</v>
      </c>
      <c r="K310" s="145">
        <f t="shared" ref="K310:M310" si="247">J164</f>
        <v>-2.2999999999999998</v>
      </c>
      <c r="L310" s="145" t="str">
        <f t="shared" si="247"/>
        <v>-</v>
      </c>
      <c r="M310" s="145">
        <f t="shared" si="247"/>
        <v>0</v>
      </c>
      <c r="N310" s="84"/>
      <c r="O310" s="84"/>
      <c r="P310" s="150"/>
    </row>
    <row r="311" spans="1:16" ht="13">
      <c r="A311" s="1158"/>
      <c r="B311" s="144">
        <v>16</v>
      </c>
      <c r="C311" s="145">
        <f>C175</f>
        <v>37</v>
      </c>
      <c r="D311" s="145">
        <f t="shared" ref="D311:F311" si="248">D175</f>
        <v>-0.6</v>
      </c>
      <c r="E311" s="145" t="str">
        <f t="shared" si="248"/>
        <v>-</v>
      </c>
      <c r="F311" s="145">
        <f t="shared" si="248"/>
        <v>0</v>
      </c>
      <c r="G311" s="84"/>
      <c r="H311" s="1159"/>
      <c r="I311" s="144">
        <v>16</v>
      </c>
      <c r="J311" s="145">
        <f>I175</f>
        <v>80</v>
      </c>
      <c r="K311" s="145">
        <f t="shared" ref="K311:M311" si="249">J175</f>
        <v>-0.8</v>
      </c>
      <c r="L311" s="145" t="str">
        <f t="shared" si="249"/>
        <v>-</v>
      </c>
      <c r="M311" s="145">
        <f t="shared" si="249"/>
        <v>0</v>
      </c>
      <c r="N311" s="84"/>
      <c r="O311" s="84"/>
      <c r="P311" s="150"/>
    </row>
    <row r="312" spans="1:16" ht="13">
      <c r="A312" s="1158"/>
      <c r="B312" s="144">
        <v>17</v>
      </c>
      <c r="C312" s="145">
        <f>C185</f>
        <v>37</v>
      </c>
      <c r="D312" s="145">
        <f t="shared" ref="D312:F312" si="250">D185</f>
        <v>-0.3</v>
      </c>
      <c r="E312" s="145" t="str">
        <f t="shared" si="250"/>
        <v>-</v>
      </c>
      <c r="F312" s="145">
        <f t="shared" si="250"/>
        <v>0</v>
      </c>
      <c r="G312" s="84"/>
      <c r="H312" s="1159"/>
      <c r="I312" s="144">
        <v>17</v>
      </c>
      <c r="J312" s="145">
        <f>I185</f>
        <v>80</v>
      </c>
      <c r="K312" s="145">
        <f t="shared" ref="K312:M312" si="251">J185</f>
        <v>-0.5</v>
      </c>
      <c r="L312" s="145" t="str">
        <f t="shared" si="251"/>
        <v>-</v>
      </c>
      <c r="M312" s="145">
        <f t="shared" si="251"/>
        <v>0</v>
      </c>
      <c r="N312" s="84"/>
      <c r="O312" s="84"/>
      <c r="P312" s="150"/>
    </row>
    <row r="313" spans="1:16" ht="13">
      <c r="A313" s="1158"/>
      <c r="B313" s="144">
        <v>18</v>
      </c>
      <c r="C313" s="145">
        <f>C195</f>
        <v>37</v>
      </c>
      <c r="D313" s="145">
        <f t="shared" ref="D313:F313" si="252">D195</f>
        <v>-0.3</v>
      </c>
      <c r="E313" s="145" t="str">
        <f t="shared" si="252"/>
        <v>-</v>
      </c>
      <c r="F313" s="145">
        <f t="shared" si="252"/>
        <v>0</v>
      </c>
      <c r="G313" s="84"/>
      <c r="H313" s="1159"/>
      <c r="I313" s="144">
        <v>18</v>
      </c>
      <c r="J313" s="145">
        <f>I195</f>
        <v>80</v>
      </c>
      <c r="K313" s="145">
        <f t="shared" ref="K313:M313" si="253">J195</f>
        <v>-0.5</v>
      </c>
      <c r="L313" s="145" t="str">
        <f t="shared" si="253"/>
        <v>-</v>
      </c>
      <c r="M313" s="145">
        <f t="shared" si="253"/>
        <v>0</v>
      </c>
      <c r="N313" s="84"/>
      <c r="O313" s="84"/>
      <c r="P313" s="150"/>
    </row>
    <row r="314" spans="1:16" ht="13">
      <c r="A314" s="151"/>
      <c r="B314" s="152"/>
      <c r="C314" s="159"/>
      <c r="D314" s="159"/>
      <c r="E314" s="159"/>
      <c r="F314" s="160"/>
      <c r="G314" s="155"/>
      <c r="H314" s="164"/>
      <c r="I314" s="152"/>
      <c r="J314" s="159"/>
      <c r="K314" s="159"/>
      <c r="L314" s="159"/>
      <c r="M314" s="160"/>
      <c r="N314" s="84"/>
      <c r="O314" s="84"/>
      <c r="P314" s="150"/>
    </row>
    <row r="315" spans="1:16" ht="13">
      <c r="A315" s="1158" t="s">
        <v>642</v>
      </c>
      <c r="B315" s="144">
        <v>1</v>
      </c>
      <c r="C315" s="145">
        <f>C11</f>
        <v>40</v>
      </c>
      <c r="D315" s="145">
        <f t="shared" ref="D315:F315" si="254">D11</f>
        <v>-0.3</v>
      </c>
      <c r="E315" s="145">
        <f t="shared" si="254"/>
        <v>-0.8</v>
      </c>
      <c r="F315" s="145">
        <f t="shared" si="254"/>
        <v>0.25</v>
      </c>
      <c r="G315" s="84"/>
      <c r="H315" s="1159" t="s">
        <v>642</v>
      </c>
      <c r="I315" s="144">
        <v>1</v>
      </c>
      <c r="J315" s="145">
        <f>I11</f>
        <v>90</v>
      </c>
      <c r="K315" s="145">
        <f t="shared" ref="K315:M315" si="255">J11</f>
        <v>0.3</v>
      </c>
      <c r="L315" s="145">
        <f t="shared" si="255"/>
        <v>1.0000000000000001E-5</v>
      </c>
      <c r="M315" s="145">
        <f t="shared" si="255"/>
        <v>0.14999499999999999</v>
      </c>
      <c r="N315" s="84"/>
      <c r="O315" s="84"/>
      <c r="P315" s="150"/>
    </row>
    <row r="316" spans="1:16" ht="13">
      <c r="A316" s="1158"/>
      <c r="B316" s="144">
        <v>2</v>
      </c>
      <c r="C316" s="145">
        <f>C22</f>
        <v>40</v>
      </c>
      <c r="D316" s="145">
        <f t="shared" ref="D316:F316" si="256">D22</f>
        <v>-0.3</v>
      </c>
      <c r="E316" s="145">
        <f t="shared" si="256"/>
        <v>-2.1</v>
      </c>
      <c r="F316" s="145">
        <f t="shared" si="256"/>
        <v>0.9</v>
      </c>
      <c r="G316" s="84"/>
      <c r="H316" s="1159"/>
      <c r="I316" s="144">
        <v>2</v>
      </c>
      <c r="J316" s="145">
        <f>I22</f>
        <v>90</v>
      </c>
      <c r="K316" s="145">
        <f t="shared" ref="K316:M316" si="257">J22</f>
        <v>-0.3</v>
      </c>
      <c r="L316" s="145">
        <f t="shared" si="257"/>
        <v>0.6</v>
      </c>
      <c r="M316" s="145">
        <f t="shared" si="257"/>
        <v>0.44999999999999996</v>
      </c>
      <c r="N316" s="84"/>
      <c r="O316" s="84"/>
      <c r="P316" s="150"/>
    </row>
    <row r="317" spans="1:16" ht="13">
      <c r="A317" s="1158"/>
      <c r="B317" s="144">
        <v>3</v>
      </c>
      <c r="C317" s="145">
        <f>C33</f>
        <v>40</v>
      </c>
      <c r="D317" s="145">
        <f t="shared" ref="D317:F317" si="258">D33</f>
        <v>-0.7</v>
      </c>
      <c r="E317" s="145">
        <f t="shared" si="258"/>
        <v>-0.5</v>
      </c>
      <c r="F317" s="145">
        <f t="shared" si="258"/>
        <v>9.9999999999999978E-2</v>
      </c>
      <c r="G317" s="84"/>
      <c r="H317" s="1159"/>
      <c r="I317" s="144">
        <v>3</v>
      </c>
      <c r="J317" s="145">
        <f>I33</f>
        <v>90</v>
      </c>
      <c r="K317" s="145">
        <f t="shared" ref="K317:M317" si="259">J33</f>
        <v>-2</v>
      </c>
      <c r="L317" s="145">
        <f t="shared" si="259"/>
        <v>0.9</v>
      </c>
      <c r="M317" s="145">
        <f t="shared" si="259"/>
        <v>1.45</v>
      </c>
      <c r="N317" s="84"/>
      <c r="O317" s="84"/>
      <c r="P317" s="150"/>
    </row>
    <row r="318" spans="1:16" ht="13">
      <c r="A318" s="1158"/>
      <c r="B318" s="144">
        <v>4</v>
      </c>
      <c r="C318" s="145">
        <f>C44</f>
        <v>40</v>
      </c>
      <c r="D318" s="145">
        <f t="shared" ref="D318:F318" si="260">D44</f>
        <v>-0.6</v>
      </c>
      <c r="E318" s="145">
        <f t="shared" si="260"/>
        <v>-2.1</v>
      </c>
      <c r="F318" s="145">
        <f t="shared" si="260"/>
        <v>0.75</v>
      </c>
      <c r="G318" s="84"/>
      <c r="H318" s="1159"/>
      <c r="I318" s="144">
        <v>4</v>
      </c>
      <c r="J318" s="145">
        <f>I44</f>
        <v>90</v>
      </c>
      <c r="K318" s="145">
        <f t="shared" ref="K318:M318" si="261">J44</f>
        <v>3.3</v>
      </c>
      <c r="L318" s="145">
        <f t="shared" si="261"/>
        <v>0.2</v>
      </c>
      <c r="M318" s="145">
        <f t="shared" si="261"/>
        <v>1.5499999999999998</v>
      </c>
      <c r="N318" s="84"/>
      <c r="O318" s="84"/>
      <c r="P318" s="150"/>
    </row>
    <row r="319" spans="1:16" ht="13">
      <c r="A319" s="1158"/>
      <c r="B319" s="144">
        <v>5</v>
      </c>
      <c r="C319" s="145">
        <f>C55</f>
        <v>40</v>
      </c>
      <c r="D319" s="145">
        <f t="shared" ref="D319:F319" si="262">D55</f>
        <v>-0.1</v>
      </c>
      <c r="E319" s="145">
        <f t="shared" si="262"/>
        <v>-1.5</v>
      </c>
      <c r="F319" s="145">
        <f t="shared" si="262"/>
        <v>0.7</v>
      </c>
      <c r="G319" s="84"/>
      <c r="H319" s="1159"/>
      <c r="I319" s="144">
        <v>5</v>
      </c>
      <c r="J319" s="145">
        <f>I55</f>
        <v>90</v>
      </c>
      <c r="K319" s="145">
        <f t="shared" ref="K319:M319" si="263">J55</f>
        <v>2.7</v>
      </c>
      <c r="L319" s="145">
        <f t="shared" si="263"/>
        <v>0.2</v>
      </c>
      <c r="M319" s="145">
        <f t="shared" si="263"/>
        <v>1.25</v>
      </c>
      <c r="N319" s="84"/>
      <c r="O319" s="84"/>
      <c r="P319" s="150"/>
    </row>
    <row r="320" spans="1:16" ht="13">
      <c r="A320" s="1158"/>
      <c r="B320" s="144">
        <v>6</v>
      </c>
      <c r="C320" s="145">
        <f>C66</f>
        <v>40</v>
      </c>
      <c r="D320" s="145">
        <f t="shared" ref="D320:F320" si="264">D66</f>
        <v>-1.4</v>
      </c>
      <c r="E320" s="145">
        <f t="shared" si="264"/>
        <v>-0.1</v>
      </c>
      <c r="F320" s="145">
        <f t="shared" si="264"/>
        <v>0.64999999999999991</v>
      </c>
      <c r="G320" s="84"/>
      <c r="H320" s="1159"/>
      <c r="I320" s="144">
        <v>6</v>
      </c>
      <c r="J320" s="145">
        <f>I66</f>
        <v>90</v>
      </c>
      <c r="K320" s="145">
        <f t="shared" ref="K320:M320" si="265">J66</f>
        <v>0.7</v>
      </c>
      <c r="L320" s="145">
        <f t="shared" si="265"/>
        <v>-2.6</v>
      </c>
      <c r="M320" s="145">
        <f t="shared" si="265"/>
        <v>1.65</v>
      </c>
      <c r="N320" s="84"/>
      <c r="O320" s="84"/>
      <c r="P320" s="150"/>
    </row>
    <row r="321" spans="1:16" ht="13">
      <c r="A321" s="1158"/>
      <c r="B321" s="144">
        <v>7</v>
      </c>
      <c r="C321" s="145">
        <f>C77</f>
        <v>40</v>
      </c>
      <c r="D321" s="145">
        <f t="shared" ref="D321:F321" si="266">D77</f>
        <v>-1.7</v>
      </c>
      <c r="E321" s="145">
        <f t="shared" si="266"/>
        <v>-0.1</v>
      </c>
      <c r="F321" s="145">
        <f t="shared" si="266"/>
        <v>0.79999999999999993</v>
      </c>
      <c r="G321" s="84"/>
      <c r="H321" s="1159"/>
      <c r="I321" s="144">
        <v>7</v>
      </c>
      <c r="J321" s="145">
        <f>I77</f>
        <v>90</v>
      </c>
      <c r="K321" s="145">
        <f t="shared" ref="K321:M321" si="267">J77</f>
        <v>1.8</v>
      </c>
      <c r="L321" s="145">
        <f t="shared" si="267"/>
        <v>4.4000000000000004</v>
      </c>
      <c r="M321" s="145">
        <f t="shared" si="267"/>
        <v>1.3000000000000003</v>
      </c>
      <c r="N321" s="84"/>
      <c r="O321" s="84"/>
      <c r="P321" s="150"/>
    </row>
    <row r="322" spans="1:16" ht="13">
      <c r="A322" s="1158"/>
      <c r="B322" s="144">
        <v>8</v>
      </c>
      <c r="C322" s="145">
        <f>C88</f>
        <v>40</v>
      </c>
      <c r="D322" s="145">
        <f t="shared" ref="D322:F322" si="268">D88</f>
        <v>-0.4</v>
      </c>
      <c r="E322" s="145">
        <f t="shared" si="268"/>
        <v>-0.4</v>
      </c>
      <c r="F322" s="145">
        <f t="shared" si="268"/>
        <v>0</v>
      </c>
      <c r="G322" s="84"/>
      <c r="H322" s="1159"/>
      <c r="I322" s="144">
        <v>8</v>
      </c>
      <c r="J322" s="145">
        <f>I88</f>
        <v>90</v>
      </c>
      <c r="K322" s="145">
        <f t="shared" ref="K322:M322" si="269">J88</f>
        <v>-1.3</v>
      </c>
      <c r="L322" s="145">
        <f t="shared" si="269"/>
        <v>2.6</v>
      </c>
      <c r="M322" s="145">
        <f t="shared" si="269"/>
        <v>1.9500000000000002</v>
      </c>
      <c r="N322" s="84"/>
      <c r="O322" s="84"/>
      <c r="P322" s="150"/>
    </row>
    <row r="323" spans="1:16" ht="13">
      <c r="A323" s="1158"/>
      <c r="B323" s="144">
        <v>9</v>
      </c>
      <c r="C323" s="145">
        <f>C99</f>
        <v>40</v>
      </c>
      <c r="D323" s="145">
        <f t="shared" ref="D323:F323" si="270">D99</f>
        <v>-0.4</v>
      </c>
      <c r="E323" s="145" t="str">
        <f t="shared" si="270"/>
        <v>-</v>
      </c>
      <c r="F323" s="145">
        <f t="shared" si="270"/>
        <v>0</v>
      </c>
      <c r="G323" s="84"/>
      <c r="H323" s="1159"/>
      <c r="I323" s="144">
        <v>9</v>
      </c>
      <c r="J323" s="145">
        <f>I99</f>
        <v>90</v>
      </c>
      <c r="K323" s="145">
        <f t="shared" ref="K323:M323" si="271">J99</f>
        <v>-0.2</v>
      </c>
      <c r="L323" s="145" t="str">
        <f t="shared" si="271"/>
        <v>-</v>
      </c>
      <c r="M323" s="145">
        <f t="shared" si="271"/>
        <v>0</v>
      </c>
      <c r="N323" s="84"/>
      <c r="O323" s="84"/>
      <c r="P323" s="150"/>
    </row>
    <row r="324" spans="1:16" ht="13">
      <c r="A324" s="1158"/>
      <c r="B324" s="144">
        <v>10</v>
      </c>
      <c r="C324" s="145">
        <f>C110</f>
        <v>40</v>
      </c>
      <c r="D324" s="145">
        <f t="shared" ref="D324:F324" si="272">D110</f>
        <v>0.2</v>
      </c>
      <c r="E324" s="145">
        <f t="shared" si="272"/>
        <v>1.0000000000000001E-5</v>
      </c>
      <c r="F324" s="145">
        <f t="shared" si="272"/>
        <v>9.9995000000000001E-2</v>
      </c>
      <c r="G324" s="84"/>
      <c r="H324" s="1159"/>
      <c r="I324" s="144">
        <v>10</v>
      </c>
      <c r="J324" s="145">
        <f>I110</f>
        <v>90</v>
      </c>
      <c r="K324" s="145">
        <f t="shared" ref="K324:M324" si="273">J110</f>
        <v>5.4</v>
      </c>
      <c r="L324" s="145">
        <f t="shared" si="273"/>
        <v>0</v>
      </c>
      <c r="M324" s="145">
        <f t="shared" si="273"/>
        <v>2.7</v>
      </c>
      <c r="N324" s="84"/>
      <c r="O324" s="84"/>
      <c r="P324" s="150"/>
    </row>
    <row r="325" spans="1:16" ht="13">
      <c r="A325" s="1158"/>
      <c r="B325" s="144">
        <v>11</v>
      </c>
      <c r="C325" s="145">
        <f>C121</f>
        <v>40</v>
      </c>
      <c r="D325" s="145">
        <f t="shared" ref="D325:F325" si="274">D121</f>
        <v>0.5</v>
      </c>
      <c r="E325" s="145" t="str">
        <f t="shared" si="274"/>
        <v>-</v>
      </c>
      <c r="F325" s="145">
        <f t="shared" si="274"/>
        <v>0</v>
      </c>
      <c r="G325" s="84"/>
      <c r="H325" s="1159"/>
      <c r="I325" s="144">
        <v>11</v>
      </c>
      <c r="J325" s="145">
        <f>I121</f>
        <v>90</v>
      </c>
      <c r="K325" s="145">
        <f t="shared" ref="K325:M325" si="275">J121</f>
        <v>1.3</v>
      </c>
      <c r="L325" s="145" t="str">
        <f t="shared" si="275"/>
        <v>-</v>
      </c>
      <c r="M325" s="145">
        <f t="shared" si="275"/>
        <v>0</v>
      </c>
      <c r="N325" s="84"/>
      <c r="O325" s="84"/>
      <c r="P325" s="150"/>
    </row>
    <row r="326" spans="1:16" ht="13">
      <c r="A326" s="1158"/>
      <c r="B326" s="144">
        <v>12</v>
      </c>
      <c r="C326" s="145">
        <f>C132</f>
        <v>40</v>
      </c>
      <c r="D326" s="145">
        <f t="shared" ref="D326:F326" si="276">D132</f>
        <v>-1.1000000000000001</v>
      </c>
      <c r="E326" s="145" t="str">
        <f t="shared" si="276"/>
        <v>-</v>
      </c>
      <c r="F326" s="145">
        <f t="shared" si="276"/>
        <v>0</v>
      </c>
      <c r="G326" s="84"/>
      <c r="H326" s="1159"/>
      <c r="I326" s="144">
        <v>12</v>
      </c>
      <c r="J326" s="145">
        <f>I132</f>
        <v>90</v>
      </c>
      <c r="K326" s="145">
        <f t="shared" ref="K326:M326" si="277">J132</f>
        <v>-0.8</v>
      </c>
      <c r="L326" s="145" t="str">
        <f t="shared" si="277"/>
        <v>-</v>
      </c>
      <c r="M326" s="145">
        <f t="shared" si="277"/>
        <v>0</v>
      </c>
      <c r="N326" s="84"/>
      <c r="O326" s="84"/>
      <c r="P326" s="150"/>
    </row>
    <row r="327" spans="1:16" ht="13">
      <c r="A327" s="1158"/>
      <c r="B327" s="144">
        <v>13</v>
      </c>
      <c r="C327" s="145">
        <f>C143</f>
        <v>40</v>
      </c>
      <c r="D327" s="145">
        <f t="shared" ref="D327:F327" si="278">D143</f>
        <v>0.5</v>
      </c>
      <c r="E327" s="145" t="str">
        <f t="shared" si="278"/>
        <v>-</v>
      </c>
      <c r="F327" s="145">
        <f t="shared" si="278"/>
        <v>0</v>
      </c>
      <c r="G327" s="84"/>
      <c r="H327" s="1159"/>
      <c r="I327" s="144">
        <v>13</v>
      </c>
      <c r="J327" s="145">
        <f>I143</f>
        <v>90</v>
      </c>
      <c r="K327" s="145">
        <f t="shared" ref="K327:M327" si="279">J143</f>
        <v>-3.2</v>
      </c>
      <c r="L327" s="145" t="str">
        <f t="shared" si="279"/>
        <v>-</v>
      </c>
      <c r="M327" s="145">
        <f t="shared" si="279"/>
        <v>0</v>
      </c>
      <c r="N327" s="84"/>
      <c r="O327" s="84"/>
      <c r="P327" s="150"/>
    </row>
    <row r="328" spans="1:16" ht="13">
      <c r="A328" s="1158"/>
      <c r="B328" s="144">
        <v>14</v>
      </c>
      <c r="C328" s="145">
        <f>C154</f>
        <v>40</v>
      </c>
      <c r="D328" s="145">
        <f t="shared" ref="D328:F328" si="280">D154</f>
        <v>1.0000000000000001E-5</v>
      </c>
      <c r="E328" s="145" t="str">
        <f t="shared" si="280"/>
        <v>-</v>
      </c>
      <c r="F328" s="596">
        <f t="shared" si="280"/>
        <v>0</v>
      </c>
      <c r="G328" s="84"/>
      <c r="H328" s="1159"/>
      <c r="I328" s="144">
        <v>14</v>
      </c>
      <c r="J328" s="145">
        <f>I154</f>
        <v>90</v>
      </c>
      <c r="K328" s="145">
        <f t="shared" ref="K328:M328" si="281">J154</f>
        <v>-2</v>
      </c>
      <c r="L328" s="145" t="str">
        <f t="shared" si="281"/>
        <v>-</v>
      </c>
      <c r="M328" s="145">
        <f t="shared" si="281"/>
        <v>0</v>
      </c>
      <c r="N328" s="84"/>
      <c r="O328" s="84"/>
      <c r="P328" s="150"/>
    </row>
    <row r="329" spans="1:16" ht="13">
      <c r="A329" s="1158"/>
      <c r="B329" s="144">
        <v>15</v>
      </c>
      <c r="C329" s="145">
        <f>C165</f>
        <v>40</v>
      </c>
      <c r="D329" s="145">
        <f t="shared" ref="D329:F329" si="282">D165</f>
        <v>1.0000000000000001E-5</v>
      </c>
      <c r="E329" s="594" t="str">
        <f t="shared" si="282"/>
        <v>-</v>
      </c>
      <c r="F329" s="145">
        <f t="shared" si="282"/>
        <v>0</v>
      </c>
      <c r="G329" s="595"/>
      <c r="H329" s="1159"/>
      <c r="I329" s="144">
        <v>15</v>
      </c>
      <c r="J329" s="145">
        <f>I165</f>
        <v>90</v>
      </c>
      <c r="K329" s="145">
        <f t="shared" ref="K329:M329" si="283">J165</f>
        <v>-3</v>
      </c>
      <c r="L329" s="145" t="str">
        <f t="shared" si="283"/>
        <v>-</v>
      </c>
      <c r="M329" s="145">
        <f t="shared" si="283"/>
        <v>0</v>
      </c>
      <c r="N329" s="84"/>
      <c r="O329" s="84"/>
      <c r="P329" s="150"/>
    </row>
    <row r="330" spans="1:16" ht="13">
      <c r="A330" s="1158"/>
      <c r="B330" s="144">
        <v>16</v>
      </c>
      <c r="C330" s="145">
        <f>C176</f>
        <v>40</v>
      </c>
      <c r="D330" s="145">
        <f t="shared" ref="D330:F330" si="284">D176</f>
        <v>-0.8</v>
      </c>
      <c r="E330" s="145" t="str">
        <f t="shared" si="284"/>
        <v>-</v>
      </c>
      <c r="F330" s="597">
        <f t="shared" si="284"/>
        <v>0</v>
      </c>
      <c r="G330" s="84"/>
      <c r="H330" s="1159"/>
      <c r="I330" s="144">
        <v>16</v>
      </c>
      <c r="J330" s="145">
        <f>I176</f>
        <v>90</v>
      </c>
      <c r="K330" s="145">
        <f t="shared" ref="K330:M330" si="285">J176</f>
        <v>-1.4</v>
      </c>
      <c r="L330" s="145" t="str">
        <f t="shared" si="285"/>
        <v>-</v>
      </c>
      <c r="M330" s="145">
        <f t="shared" si="285"/>
        <v>0</v>
      </c>
      <c r="N330" s="84"/>
      <c r="O330" s="84"/>
      <c r="P330" s="150"/>
    </row>
    <row r="331" spans="1:16" ht="13">
      <c r="A331" s="1158"/>
      <c r="B331" s="144">
        <v>17</v>
      </c>
      <c r="C331" s="145">
        <f>C186</f>
        <v>40</v>
      </c>
      <c r="D331" s="145">
        <f t="shared" ref="D331:F331" si="286">D186</f>
        <v>-0.4</v>
      </c>
      <c r="E331" s="145" t="str">
        <f t="shared" si="286"/>
        <v>-</v>
      </c>
      <c r="F331" s="145">
        <f t="shared" si="286"/>
        <v>0</v>
      </c>
      <c r="G331" s="84"/>
      <c r="H331" s="1159"/>
      <c r="I331" s="144">
        <v>17</v>
      </c>
      <c r="J331" s="145">
        <f>I186</f>
        <v>90</v>
      </c>
      <c r="K331" s="145">
        <f t="shared" ref="K331:M331" si="287">J186</f>
        <v>-0.8</v>
      </c>
      <c r="L331" s="145" t="str">
        <f t="shared" si="287"/>
        <v>-</v>
      </c>
      <c r="M331" s="145">
        <f t="shared" si="287"/>
        <v>0</v>
      </c>
      <c r="N331" s="84"/>
      <c r="O331" s="84"/>
      <c r="P331" s="150"/>
    </row>
    <row r="332" spans="1:16" ht="13">
      <c r="A332" s="1158"/>
      <c r="B332" s="144">
        <v>18</v>
      </c>
      <c r="C332" s="145">
        <f>C196</f>
        <v>40</v>
      </c>
      <c r="D332" s="145">
        <f t="shared" ref="D332:F332" si="288">D196</f>
        <v>-0.4</v>
      </c>
      <c r="E332" s="145" t="str">
        <f t="shared" si="288"/>
        <v>-</v>
      </c>
      <c r="F332" s="145">
        <f t="shared" si="288"/>
        <v>0</v>
      </c>
      <c r="G332" s="84"/>
      <c r="H332" s="1159"/>
      <c r="I332" s="144">
        <v>18</v>
      </c>
      <c r="J332" s="145">
        <f>I196</f>
        <v>90</v>
      </c>
      <c r="K332" s="145">
        <f t="shared" ref="K332:M332" si="289">J196</f>
        <v>-0.9</v>
      </c>
      <c r="L332" s="145" t="str">
        <f t="shared" si="289"/>
        <v>-</v>
      </c>
      <c r="M332" s="145">
        <f t="shared" si="289"/>
        <v>0</v>
      </c>
      <c r="N332" s="84"/>
      <c r="O332" s="84"/>
      <c r="P332" s="150"/>
    </row>
    <row r="333" spans="1:16" ht="13.5" thickBot="1">
      <c r="A333" s="165"/>
      <c r="B333" s="166"/>
      <c r="C333" s="155"/>
      <c r="D333" s="155"/>
      <c r="E333" s="155"/>
      <c r="F333" s="155"/>
      <c r="G333" s="155"/>
      <c r="H333" s="84"/>
      <c r="I333" s="167"/>
      <c r="J333" s="166"/>
      <c r="K333" s="155"/>
      <c r="L333" s="155"/>
      <c r="M333" s="155"/>
      <c r="N333" s="155"/>
      <c r="O333" s="155"/>
      <c r="P333" s="150"/>
    </row>
    <row r="334" spans="1:16" ht="29.25" customHeight="1">
      <c r="A334" s="168">
        <f>A372</f>
        <v>10</v>
      </c>
      <c r="B334" s="1176" t="str">
        <f>A353</f>
        <v>Thermohygrolight, Merek : Sekonic, Model : ST-50A, SN : HE-21.000669</v>
      </c>
      <c r="C334" s="1176"/>
      <c r="D334" s="1177"/>
      <c r="E334" s="169"/>
      <c r="F334" s="168">
        <f>A334</f>
        <v>10</v>
      </c>
      <c r="G334" s="1176" t="str">
        <f>B334</f>
        <v>Thermohygrolight, Merek : Sekonic, Model : ST-50A, SN : HE-21.000669</v>
      </c>
      <c r="H334" s="1176"/>
      <c r="I334" s="1177"/>
      <c r="J334" s="169"/>
      <c r="K334" s="168">
        <f>A334</f>
        <v>10</v>
      </c>
      <c r="L334" s="1190" t="str">
        <f>G334</f>
        <v>Thermohygrolight, Merek : Sekonic, Model : ST-50A, SN : HE-21.000669</v>
      </c>
      <c r="M334" s="1191"/>
      <c r="N334" s="1191"/>
      <c r="O334" s="1192"/>
      <c r="P334" s="150"/>
    </row>
    <row r="335" spans="1:16" ht="13.5">
      <c r="A335" s="170" t="s">
        <v>664</v>
      </c>
      <c r="B335" s="1193" t="s">
        <v>346</v>
      </c>
      <c r="C335" s="1193"/>
      <c r="D335" s="1194" t="s">
        <v>665</v>
      </c>
      <c r="E335" s="155"/>
      <c r="F335" s="170" t="s">
        <v>666</v>
      </c>
      <c r="G335" s="1193" t="s">
        <v>346</v>
      </c>
      <c r="H335" s="1193"/>
      <c r="I335" s="1194" t="s">
        <v>665</v>
      </c>
      <c r="J335" s="155"/>
      <c r="K335" s="1195"/>
      <c r="L335" s="1198" t="s">
        <v>687</v>
      </c>
      <c r="M335" s="1198" t="s">
        <v>688</v>
      </c>
      <c r="N335" s="1198" t="s">
        <v>689</v>
      </c>
      <c r="O335" s="1199" t="s">
        <v>607</v>
      </c>
      <c r="P335" s="150"/>
    </row>
    <row r="336" spans="1:16" ht="14">
      <c r="A336" s="171" t="s">
        <v>686</v>
      </c>
      <c r="B336" s="172">
        <f>VLOOKUP(B334,A354:K371,9,FALSE)</f>
        <v>2019</v>
      </c>
      <c r="C336" s="172">
        <f>VLOOKUP(B334,A354:K371,10,FALSE)</f>
        <v>2016</v>
      </c>
      <c r="D336" s="1194"/>
      <c r="E336" s="155"/>
      <c r="F336" s="173" t="s">
        <v>16</v>
      </c>
      <c r="G336" s="172">
        <f>B336</f>
        <v>2019</v>
      </c>
      <c r="H336" s="172">
        <f>C336</f>
        <v>2016</v>
      </c>
      <c r="I336" s="1194"/>
      <c r="J336" s="155"/>
      <c r="K336" s="1196"/>
      <c r="L336" s="1198"/>
      <c r="M336" s="1198"/>
      <c r="N336" s="1198"/>
      <c r="O336" s="1199"/>
      <c r="P336" s="150"/>
    </row>
    <row r="337" spans="1:16" ht="13">
      <c r="A337" s="174">
        <f>VLOOKUP($A$334,$B$201:$F$218,2,FALSE)</f>
        <v>15</v>
      </c>
      <c r="B337" s="175">
        <f>VLOOKUP($A$334,$B$201:$F$218,3,FALSE)</f>
        <v>0.2</v>
      </c>
      <c r="C337" s="175">
        <f>VLOOKUP($A$334,$B$201:$F$218,4,FALSE)</f>
        <v>0.2</v>
      </c>
      <c r="D337" s="176">
        <f>VLOOKUP($A$334,$B$201:$F$218,5,FALSE)</f>
        <v>0</v>
      </c>
      <c r="E337" s="155"/>
      <c r="F337" s="174">
        <f>VLOOKUP($F$334,$I$201:$M$218,2,FALSE)</f>
        <v>30</v>
      </c>
      <c r="G337" s="175">
        <f>VLOOKUP($F$334,$I$201:$M$218,3,FALSE)</f>
        <v>-2.9</v>
      </c>
      <c r="H337" s="175">
        <f>VLOOKUP($F$334,$I$201:$M$218,4,FALSE)</f>
        <v>-5.8</v>
      </c>
      <c r="I337" s="176">
        <f>VLOOKUP($F$334,$I$201:$M$218,5,FALSE)</f>
        <v>1.45</v>
      </c>
      <c r="J337" s="155"/>
      <c r="K337" s="1197"/>
      <c r="L337" s="1198"/>
      <c r="M337" s="1198"/>
      <c r="N337" s="1198"/>
      <c r="O337" s="1199"/>
      <c r="P337" s="150"/>
    </row>
    <row r="338" spans="1:16" ht="13">
      <c r="A338" s="174">
        <f>VLOOKUP($A$334,$B$220:$F$237,2,FALSE)</f>
        <v>20</v>
      </c>
      <c r="B338" s="175">
        <f>VLOOKUP($A$334,$B$220:$F$237,3,FALSE)</f>
        <v>0.2</v>
      </c>
      <c r="C338" s="175">
        <f>VLOOKUP($A$334,$B$220:$F$237,4,FALSE)</f>
        <v>-0.7</v>
      </c>
      <c r="D338" s="176">
        <f>VLOOKUP($A$334,$B$220:$F$237,5,FALSE)</f>
        <v>0.44999999999999996</v>
      </c>
      <c r="E338" s="155"/>
      <c r="F338" s="174">
        <f>VLOOKUP($F$334,$I$220:$M$237,2,FALSE)</f>
        <v>40</v>
      </c>
      <c r="G338" s="175">
        <f>VLOOKUP($F$334,$I$220:$M$237,3,FALSE)</f>
        <v>-3.3</v>
      </c>
      <c r="H338" s="175">
        <f>VLOOKUP($F$334,$I$220:$M$237,4,FALSE)</f>
        <v>-6.4</v>
      </c>
      <c r="I338" s="176">
        <f>VLOOKUP($F$334,$I$220:$M$237,5,FALSE)</f>
        <v>1.5500000000000003</v>
      </c>
      <c r="J338" s="155"/>
      <c r="K338" s="177" t="s">
        <v>664</v>
      </c>
      <c r="L338" s="178">
        <f>AVERAGE(ID!D15:E15)</f>
        <v>22.8</v>
      </c>
      <c r="M338" s="179">
        <f>L338+C347</f>
        <v>22.943999999999999</v>
      </c>
      <c r="N338" s="178">
        <f>STDEV(ID!D15:E15)</f>
        <v>0</v>
      </c>
      <c r="O338" s="180">
        <f>VLOOKUP(K334,$O$200:$P$217,2,(FALSE))</f>
        <v>0.3</v>
      </c>
      <c r="P338" s="181"/>
    </row>
    <row r="339" spans="1:16" ht="13.5" thickBot="1">
      <c r="A339" s="174">
        <f>VLOOKUP($A$334,$B$239:$F$256,2,FALSE)</f>
        <v>25</v>
      </c>
      <c r="B339" s="175">
        <f>VLOOKUP($A$334,$B$239:$F$256,3,FALSE)</f>
        <v>0.1</v>
      </c>
      <c r="C339" s="175">
        <f>VLOOKUP($A$334,$B$239:$F$256,4,FALSE)</f>
        <v>-0.5</v>
      </c>
      <c r="D339" s="176">
        <f>VLOOKUP($A$334,$B$239:$F$256,5,FALSE)</f>
        <v>0.3</v>
      </c>
      <c r="E339" s="155"/>
      <c r="F339" s="174">
        <f>VLOOKUP($F$334,$I$239:$M$256,2,FALSE)</f>
        <v>50</v>
      </c>
      <c r="G339" s="175">
        <f>VLOOKUP($F$334,$I$239:$M$256,3,FALSE)</f>
        <v>-3.1</v>
      </c>
      <c r="H339" s="175">
        <f>VLOOKUP($F$334,$I$239:$M$256,4,FALSE)</f>
        <v>-6.1</v>
      </c>
      <c r="I339" s="176">
        <f>VLOOKUP($F$334,$I$239:$M$256,5,FALSE)</f>
        <v>1.4999999999999998</v>
      </c>
      <c r="J339" s="155"/>
      <c r="K339" s="182" t="s">
        <v>16</v>
      </c>
      <c r="L339" s="183">
        <f>AVERAGE(ID!D16:E16)</f>
        <v>59.55</v>
      </c>
      <c r="M339" s="184">
        <f>L339+H347</f>
        <v>57.404999999999994</v>
      </c>
      <c r="N339" s="178">
        <f>STDEV(ID!D16:E16)</f>
        <v>1.2020815280171278</v>
      </c>
      <c r="O339" s="185">
        <f>VLOOKUP(K334,$O$222:$P$239,2,(FALSE))</f>
        <v>1.5</v>
      </c>
      <c r="P339" s="181"/>
    </row>
    <row r="340" spans="1:16" ht="13">
      <c r="A340" s="174">
        <f>VLOOKUP($A$334,$B$258:$F$275,2,FALSE)</f>
        <v>30</v>
      </c>
      <c r="B340" s="175">
        <f>VLOOKUP($A$334,$B$258:$F$275,3,FALSE)</f>
        <v>0.1</v>
      </c>
      <c r="C340" s="175">
        <f>VLOOKUP($A$334,$B$258:$F$275,4,FALSE)</f>
        <v>0.2</v>
      </c>
      <c r="D340" s="176">
        <f>VLOOKUP($A$334,$B$258:$F$275,5,FALSE)</f>
        <v>0.05</v>
      </c>
      <c r="E340" s="155"/>
      <c r="F340" s="174">
        <f>VLOOKUP($F$334,$I$258:$M$275,2,FALSE)</f>
        <v>60</v>
      </c>
      <c r="G340" s="175">
        <f>VLOOKUP($F$334,$I$258:$M$275,3,FALSE)</f>
        <v>-2.1</v>
      </c>
      <c r="H340" s="175">
        <f>VLOOKUP($F$334,$I$258:$M$275,4,FALSE)</f>
        <v>-5.6</v>
      </c>
      <c r="I340" s="176">
        <f>VLOOKUP($F$334,$I$258:$M$275,5,FALSE)</f>
        <v>1.7499999999999998</v>
      </c>
      <c r="J340" s="155"/>
      <c r="K340" s="155"/>
      <c r="L340" s="186"/>
      <c r="M340" s="187"/>
      <c r="N340" s="186"/>
      <c r="O340" s="188"/>
      <c r="P340" s="181"/>
    </row>
    <row r="341" spans="1:16" ht="13">
      <c r="A341" s="174">
        <f>VLOOKUP($A$334,$B$277:$F$294,2,FALSE)</f>
        <v>35</v>
      </c>
      <c r="B341" s="175">
        <f>VLOOKUP($A$334,$B$277:$F$294,3,FALSE)</f>
        <v>0.2</v>
      </c>
      <c r="C341" s="175">
        <f>VLOOKUP($A$334,$B$277:$F$294,4,FALSE)</f>
        <v>0.8</v>
      </c>
      <c r="D341" s="176">
        <f>VLOOKUP($A$334,$B$277:$F$294,5,FALSE)</f>
        <v>0.30000000000000004</v>
      </c>
      <c r="E341" s="155"/>
      <c r="F341" s="174">
        <f>VLOOKUP($F$334,$I$277:$M$294,2,FALSE)</f>
        <v>70</v>
      </c>
      <c r="G341" s="175">
        <f>VLOOKUP($F$334,$I$277:$M$294,3,FALSE)</f>
        <v>-0.3</v>
      </c>
      <c r="H341" s="175">
        <f>VLOOKUP($F$334,$I$277:$M$294,4,FALSE)</f>
        <v>-5.0999999999999996</v>
      </c>
      <c r="I341" s="176">
        <f>VLOOKUP($F$334,$I$277:$M$294,5,FALSE)</f>
        <v>2.4</v>
      </c>
      <c r="J341" s="155"/>
      <c r="K341" s="155"/>
      <c r="L341" s="1178" t="s">
        <v>690</v>
      </c>
      <c r="M341" s="1178"/>
      <c r="N341" s="1178"/>
      <c r="O341" s="189"/>
      <c r="P341" s="181"/>
    </row>
    <row r="342" spans="1:16" ht="15.5">
      <c r="A342" s="174">
        <f>VLOOKUP($A$334,$B$296:$F$313,2,FALSE)</f>
        <v>37</v>
      </c>
      <c r="B342" s="175">
        <f>VLOOKUP($A$334,$B$296:$F$313,3,FALSE)</f>
        <v>0.2</v>
      </c>
      <c r="C342" s="175">
        <f>VLOOKUP($A$334,$B$296:$F$313,4,FALSE)</f>
        <v>0.4</v>
      </c>
      <c r="D342" s="176">
        <f>VLOOKUP($A$334,$B$296:$F$313,5,FALSE)</f>
        <v>0.1</v>
      </c>
      <c r="E342" s="155"/>
      <c r="F342" s="174">
        <f>VLOOKUP($F$334,$I$296:$M$313,2,FALSE)</f>
        <v>80</v>
      </c>
      <c r="G342" s="175">
        <f>VLOOKUP($F$334,$I$296:$M$313,3,FALSE)</f>
        <v>2.2000000000000002</v>
      </c>
      <c r="H342" s="175">
        <f>VLOOKUP($F$334,$I$296:$M$313,4,FALSE)</f>
        <v>-4.7</v>
      </c>
      <c r="I342" s="176">
        <f>VLOOKUP($F$334,$I$296:$M$313,5,FALSE)</f>
        <v>3.45</v>
      </c>
      <c r="J342" s="155"/>
      <c r="K342" s="155"/>
      <c r="L342" s="190" t="str">
        <f>TEXT(M338,"0.0")</f>
        <v>22.9</v>
      </c>
      <c r="M342" s="190" t="str">
        <f>TEXT(O338,"0.0")</f>
        <v>0.3</v>
      </c>
      <c r="N342" s="191" t="s">
        <v>691</v>
      </c>
      <c r="O342" s="192"/>
      <c r="P342" s="193"/>
    </row>
    <row r="343" spans="1:16" ht="16" thickBot="1">
      <c r="A343" s="194">
        <f>VLOOKUP($A$334,$B$315:$F$332,2,FALSE)</f>
        <v>40</v>
      </c>
      <c r="B343" s="195">
        <f>VLOOKUP($A$334,$B$315:$F$332,3,FALSE)</f>
        <v>0.2</v>
      </c>
      <c r="C343" s="195">
        <f>VLOOKUP($A$334,$B$315:$F$332,4,FALSE)</f>
        <v>1.0000000000000001E-5</v>
      </c>
      <c r="D343" s="196">
        <f>VLOOKUP($A$334,$B$315:$F$332,5,FALSE)</f>
        <v>9.9995000000000001E-2</v>
      </c>
      <c r="E343" s="155"/>
      <c r="F343" s="194">
        <f>VLOOKUP($F$334,$I$315:$M$332,2,FALSE)</f>
        <v>90</v>
      </c>
      <c r="G343" s="195">
        <f>VLOOKUP($F$334,$I$315:$M$332,3,FALSE)</f>
        <v>5.4</v>
      </c>
      <c r="H343" s="195">
        <f>VLOOKUP($F$334,$I$315:$M$332,4,FALSE)</f>
        <v>0</v>
      </c>
      <c r="I343" s="196">
        <f>VLOOKUP($F$334,$I$315:$M$332,5,FALSE)</f>
        <v>2.7</v>
      </c>
      <c r="J343" s="155"/>
      <c r="K343" s="155"/>
      <c r="L343" s="190" t="str">
        <f>TEXT(M339,"0.0")</f>
        <v>57.4</v>
      </c>
      <c r="M343" s="190" t="str">
        <f>TEXT(O339,"0.0")</f>
        <v>1.5</v>
      </c>
      <c r="N343" s="191" t="s">
        <v>692</v>
      </c>
      <c r="O343" s="192"/>
      <c r="P343" s="181"/>
    </row>
    <row r="344" spans="1:16" ht="16" thickBot="1">
      <c r="A344" s="197"/>
      <c r="B344" s="155"/>
      <c r="C344" s="155"/>
      <c r="D344" s="155"/>
      <c r="E344" s="155"/>
      <c r="F344" s="155"/>
      <c r="G344" s="155"/>
      <c r="H344" s="155"/>
      <c r="I344" s="155"/>
      <c r="J344" s="155"/>
      <c r="K344" s="155"/>
      <c r="L344" s="198" t="s">
        <v>693</v>
      </c>
      <c r="M344" s="199" t="s">
        <v>694</v>
      </c>
      <c r="N344" s="199" t="s">
        <v>695</v>
      </c>
      <c r="O344" s="192"/>
      <c r="P344" s="200"/>
    </row>
    <row r="345" spans="1:16" ht="14.5" thickBot="1">
      <c r="A345" s="1179" t="s">
        <v>696</v>
      </c>
      <c r="B345" s="1180"/>
      <c r="C345" s="1180"/>
      <c r="D345" s="1181"/>
      <c r="E345" s="201"/>
      <c r="F345" s="1179" t="s">
        <v>697</v>
      </c>
      <c r="G345" s="1180"/>
      <c r="H345" s="1180"/>
      <c r="I345" s="1181"/>
      <c r="J345" s="155"/>
      <c r="K345" s="155"/>
      <c r="L345" s="155"/>
      <c r="M345" s="202"/>
      <c r="N345" s="203"/>
      <c r="O345" s="192"/>
      <c r="P345" s="204"/>
    </row>
    <row r="346" spans="1:16" ht="13.5">
      <c r="A346" s="168"/>
      <c r="B346" s="205">
        <f>IF(A347&lt;=A338,A337,IF(A347&lt;=A339,A338,IF(A347&lt;=A340,A339,IF(A347&lt;=A341,A340,IF(A347&lt;=A342,A341,IF(A347&lt;=A343,A342))))))</f>
        <v>20</v>
      </c>
      <c r="C346" s="205"/>
      <c r="D346" s="206">
        <f>IF(A347&lt;=A338,B337,IF(A347&lt;=A339,B338,IF(A347&lt;=A340,B339,IF(A347&lt;=A341,B340,IF(A347&lt;=A342,B341,IF(A347&lt;=A343,B342))))))</f>
        <v>0.2</v>
      </c>
      <c r="E346" s="207"/>
      <c r="F346" s="208"/>
      <c r="G346" s="205">
        <f>IF(F347&lt;=F338,F337,IF(F347&lt;=F339,F338,IF(F347&lt;=F340,F339,IF(F347&lt;=F341,F340,IF(F347&lt;=F342,F341,IF(F347&lt;=F343,F342))))))</f>
        <v>50</v>
      </c>
      <c r="H346" s="205"/>
      <c r="I346" s="206">
        <f>IF(F347&lt;=F338,G337,IF(F347&lt;=F339,G338,IF(F347&lt;=F340,G339,IF(F347&lt;=F341,G340,IF(F347&lt;=F342,G341,IF(F347&lt;=F343,G342))))))</f>
        <v>-3.1</v>
      </c>
      <c r="J346" s="155"/>
      <c r="K346" s="155"/>
      <c r="L346" s="155"/>
      <c r="M346" s="155"/>
      <c r="N346" s="155"/>
      <c r="O346" s="158"/>
      <c r="P346" s="158"/>
    </row>
    <row r="347" spans="1:16" ht="14">
      <c r="A347" s="209">
        <f>L338</f>
        <v>22.8</v>
      </c>
      <c r="B347" s="210"/>
      <c r="C347" s="210">
        <f>((A347-B346)/(B348-B346)*(D348-D346)+D346)</f>
        <v>0.14399999999999999</v>
      </c>
      <c r="D347" s="211"/>
      <c r="E347" s="207"/>
      <c r="F347" s="209">
        <f>L339</f>
        <v>59.55</v>
      </c>
      <c r="G347" s="210"/>
      <c r="H347" s="210">
        <f>((F347-G346)/(G348-G346)*(I348-I346)+I346)</f>
        <v>-2.1450000000000005</v>
      </c>
      <c r="I347" s="211"/>
      <c r="J347" s="155"/>
      <c r="K347" s="155"/>
      <c r="L347" s="155"/>
      <c r="M347" s="155"/>
      <c r="N347" s="155"/>
      <c r="O347" s="158"/>
      <c r="P347" s="212"/>
    </row>
    <row r="348" spans="1:16" ht="13.5" thickBot="1">
      <c r="A348" s="213"/>
      <c r="B348" s="214">
        <f>IF(A347&lt;=A338,A338,IF(A347&lt;=A339,A339,IF(A347&lt;=A340,A340,IF(A347&lt;=A341,A341,IF(A347&lt;=A342,A342,IF(A347&lt;=A343,A343))))))</f>
        <v>25</v>
      </c>
      <c r="C348" s="215"/>
      <c r="D348" s="216">
        <f>IF(A347&lt;=A338,B338,IF(A347&lt;=A339,B339,IF(A347&lt;=A340,B340,IF(A347&lt;=A341,B341,IF(A347&lt;=A342,B342,IF(A347&lt;=A343,B343))))))</f>
        <v>0.1</v>
      </c>
      <c r="E348" s="217"/>
      <c r="F348" s="213"/>
      <c r="G348" s="214">
        <f>IF(F347&lt;=F338,F338,IF(F347&lt;=F339,F339,IF(F347&lt;=F340,F340,IF(F347&lt;=F341,F341,IF(F347&lt;=F342,F342,IF(F347&lt;=F343,F343))))))</f>
        <v>60</v>
      </c>
      <c r="H348" s="215"/>
      <c r="I348" s="216">
        <f>IF(F347&lt;=F338,G338,IF(F347&lt;=F339,G339,IF(F347&lt;=F340,G340,IF(F347&lt;=F341,G341,IF(F347&lt;=F342,G342,IF(F347&lt;=F343,G343))))))</f>
        <v>-2.1</v>
      </c>
      <c r="J348" s="218"/>
      <c r="K348" s="218"/>
      <c r="L348" s="218"/>
      <c r="M348" s="218"/>
      <c r="N348" s="218"/>
      <c r="O348" s="219"/>
      <c r="P348" s="220"/>
    </row>
    <row r="353" spans="1:11" s="87" customFormat="1" ht="13.5" thickBot="1">
      <c r="A353" s="1182" t="str">
        <f>ID!A153:F153</f>
        <v>Thermohygrolight, Merek : Sekonic, Model : ST-50A, SN : HE-21.000669</v>
      </c>
      <c r="B353" s="1183"/>
      <c r="C353" s="1183"/>
      <c r="D353" s="1183"/>
      <c r="E353" s="1183"/>
      <c r="F353" s="1183"/>
      <c r="G353" s="1183"/>
      <c r="H353" s="1183"/>
      <c r="I353" s="1184"/>
      <c r="J353" s="1184"/>
      <c r="K353" s="1185"/>
    </row>
    <row r="354" spans="1:11" s="87" customFormat="1" ht="13">
      <c r="A354" s="221" t="s">
        <v>727</v>
      </c>
      <c r="B354" s="222"/>
      <c r="C354" s="222"/>
      <c r="D354" s="223"/>
      <c r="E354" s="223"/>
      <c r="F354" s="223"/>
      <c r="G354" s="224"/>
      <c r="H354" s="225"/>
      <c r="I354" s="226">
        <f>D4</f>
        <v>2020</v>
      </c>
      <c r="J354" s="227">
        <f>E4</f>
        <v>2017</v>
      </c>
      <c r="K354" s="228">
        <v>1</v>
      </c>
    </row>
    <row r="355" spans="1:11" s="87" customFormat="1" ht="13">
      <c r="A355" s="221" t="s">
        <v>728</v>
      </c>
      <c r="B355" s="222"/>
      <c r="C355" s="222"/>
      <c r="D355" s="223"/>
      <c r="E355" s="223"/>
      <c r="F355" s="223"/>
      <c r="G355" s="224"/>
      <c r="H355" s="225"/>
      <c r="I355" s="229">
        <f>D15</f>
        <v>2018</v>
      </c>
      <c r="J355" s="230">
        <f>E15</f>
        <v>2017</v>
      </c>
      <c r="K355" s="228">
        <v>2</v>
      </c>
    </row>
    <row r="356" spans="1:11" s="87" customFormat="1" ht="13">
      <c r="A356" s="221" t="s">
        <v>698</v>
      </c>
      <c r="B356" s="222"/>
      <c r="C356" s="222"/>
      <c r="D356" s="223"/>
      <c r="E356" s="223"/>
      <c r="F356" s="223"/>
      <c r="G356" s="224"/>
      <c r="H356" s="225"/>
      <c r="I356" s="229">
        <f>D26</f>
        <v>2018</v>
      </c>
      <c r="J356" s="230">
        <f>E26</f>
        <v>2017</v>
      </c>
      <c r="K356" s="228">
        <v>3</v>
      </c>
    </row>
    <row r="357" spans="1:11" s="87" customFormat="1" ht="13">
      <c r="A357" s="221" t="s">
        <v>729</v>
      </c>
      <c r="B357" s="222"/>
      <c r="C357" s="222"/>
      <c r="D357" s="223"/>
      <c r="E357" s="223"/>
      <c r="F357" s="223"/>
      <c r="G357" s="224"/>
      <c r="H357" s="225"/>
      <c r="I357" s="229">
        <f>D37</f>
        <v>2017</v>
      </c>
      <c r="J357" s="230">
        <f>E37</f>
        <v>2015</v>
      </c>
      <c r="K357" s="228">
        <v>4</v>
      </c>
    </row>
    <row r="358" spans="1:11" s="87" customFormat="1" ht="13">
      <c r="A358" s="221" t="s">
        <v>730</v>
      </c>
      <c r="B358" s="222"/>
      <c r="C358" s="222"/>
      <c r="D358" s="223"/>
      <c r="E358" s="223"/>
      <c r="F358" s="223"/>
      <c r="G358" s="224"/>
      <c r="H358" s="225"/>
      <c r="I358" s="229">
        <f>D48</f>
        <v>2017</v>
      </c>
      <c r="J358" s="230">
        <f>E48</f>
        <v>2015</v>
      </c>
      <c r="K358" s="228">
        <v>5</v>
      </c>
    </row>
    <row r="359" spans="1:11" s="87" customFormat="1" ht="13">
      <c r="A359" s="221" t="s">
        <v>699</v>
      </c>
      <c r="B359" s="222"/>
      <c r="C359" s="222"/>
      <c r="D359" s="223"/>
      <c r="E359" s="223"/>
      <c r="F359" s="223"/>
      <c r="G359" s="224"/>
      <c r="H359" s="225"/>
      <c r="I359" s="229">
        <f>D59</f>
        <v>2018</v>
      </c>
      <c r="J359" s="230">
        <f>E59</f>
        <v>2017</v>
      </c>
      <c r="K359" s="228">
        <v>6</v>
      </c>
    </row>
    <row r="360" spans="1:11" s="87" customFormat="1" ht="13">
      <c r="A360" s="221" t="s">
        <v>700</v>
      </c>
      <c r="B360" s="222"/>
      <c r="C360" s="222"/>
      <c r="D360" s="223"/>
      <c r="E360" s="223"/>
      <c r="F360" s="223"/>
      <c r="G360" s="224"/>
      <c r="H360" s="225"/>
      <c r="I360" s="229">
        <f>D70</f>
        <v>2018</v>
      </c>
      <c r="J360" s="230">
        <f>E70</f>
        <v>2017</v>
      </c>
      <c r="K360" s="228">
        <v>7</v>
      </c>
    </row>
    <row r="361" spans="1:11" s="87" customFormat="1" ht="13">
      <c r="A361" s="221" t="s">
        <v>701</v>
      </c>
      <c r="B361" s="222"/>
      <c r="C361" s="222"/>
      <c r="D361" s="223"/>
      <c r="E361" s="223"/>
      <c r="F361" s="223"/>
      <c r="G361" s="224"/>
      <c r="H361" s="225"/>
      <c r="I361" s="229">
        <f>D81</f>
        <v>2019</v>
      </c>
      <c r="J361" s="230">
        <f>E81</f>
        <v>2017</v>
      </c>
      <c r="K361" s="228">
        <v>8</v>
      </c>
    </row>
    <row r="362" spans="1:11" s="87" customFormat="1" ht="13">
      <c r="A362" s="221" t="s">
        <v>702</v>
      </c>
      <c r="B362" s="222"/>
      <c r="C362" s="222"/>
      <c r="D362" s="223"/>
      <c r="E362" s="223"/>
      <c r="F362" s="223"/>
      <c r="G362" s="224"/>
      <c r="H362" s="225"/>
      <c r="I362" s="229">
        <f>D92</f>
        <v>2019</v>
      </c>
      <c r="J362" s="230" t="str">
        <f>E92</f>
        <v>-</v>
      </c>
      <c r="K362" s="228">
        <v>9</v>
      </c>
    </row>
    <row r="363" spans="1:11" s="87" customFormat="1" ht="13">
      <c r="A363" s="221" t="s">
        <v>170</v>
      </c>
      <c r="B363" s="222"/>
      <c r="C363" s="222"/>
      <c r="D363" s="223"/>
      <c r="E363" s="223"/>
      <c r="F363" s="223"/>
      <c r="G363" s="224"/>
      <c r="H363" s="225"/>
      <c r="I363" s="229">
        <f>D103</f>
        <v>2019</v>
      </c>
      <c r="J363" s="230">
        <f>E103</f>
        <v>2016</v>
      </c>
      <c r="K363" s="228">
        <v>10</v>
      </c>
    </row>
    <row r="364" spans="1:11" s="87" customFormat="1" ht="13">
      <c r="A364" s="221" t="s">
        <v>703</v>
      </c>
      <c r="B364" s="222"/>
      <c r="C364" s="222"/>
      <c r="D364" s="223"/>
      <c r="E364" s="223"/>
      <c r="F364" s="223"/>
      <c r="G364" s="224"/>
      <c r="H364" s="225"/>
      <c r="I364" s="229">
        <f>D114</f>
        <v>2020</v>
      </c>
      <c r="J364" s="230" t="str">
        <f>E114</f>
        <v>-</v>
      </c>
      <c r="K364" s="228">
        <v>11</v>
      </c>
    </row>
    <row r="365" spans="1:11" s="87" customFormat="1" ht="13">
      <c r="A365" s="221" t="s">
        <v>704</v>
      </c>
      <c r="B365" s="222"/>
      <c r="C365" s="222"/>
      <c r="D365" s="223"/>
      <c r="E365" s="223"/>
      <c r="F365" s="223"/>
      <c r="G365" s="224"/>
      <c r="H365" s="225"/>
      <c r="I365" s="591">
        <v>2020</v>
      </c>
      <c r="J365" s="592" t="s">
        <v>139</v>
      </c>
      <c r="K365" s="228">
        <v>12</v>
      </c>
    </row>
    <row r="366" spans="1:11" s="87" customFormat="1" ht="13">
      <c r="A366" s="221" t="s">
        <v>705</v>
      </c>
      <c r="B366" s="222"/>
      <c r="C366" s="222"/>
      <c r="D366" s="223"/>
      <c r="E366" s="223"/>
      <c r="F366" s="223"/>
      <c r="G366" s="224"/>
      <c r="H366" s="225"/>
      <c r="I366" s="591">
        <v>2020</v>
      </c>
      <c r="J366" s="592" t="s">
        <v>139</v>
      </c>
      <c r="K366" s="228">
        <v>13</v>
      </c>
    </row>
    <row r="367" spans="1:11" s="87" customFormat="1" ht="13">
      <c r="A367" s="221" t="s">
        <v>706</v>
      </c>
      <c r="B367" s="222"/>
      <c r="C367" s="222"/>
      <c r="D367" s="223"/>
      <c r="E367" s="223"/>
      <c r="F367" s="223"/>
      <c r="G367" s="224"/>
      <c r="H367" s="225"/>
      <c r="I367" s="591">
        <v>2020</v>
      </c>
      <c r="J367" s="592" t="s">
        <v>139</v>
      </c>
      <c r="K367" s="228">
        <v>14</v>
      </c>
    </row>
    <row r="368" spans="1:11" s="87" customFormat="1" ht="13">
      <c r="A368" s="221" t="s">
        <v>707</v>
      </c>
      <c r="B368" s="222"/>
      <c r="C368" s="222"/>
      <c r="D368" s="223"/>
      <c r="E368" s="223"/>
      <c r="F368" s="223"/>
      <c r="G368" s="224"/>
      <c r="H368" s="225"/>
      <c r="I368" s="591">
        <v>2020</v>
      </c>
      <c r="J368" s="592" t="s">
        <v>139</v>
      </c>
      <c r="K368" s="228">
        <v>15</v>
      </c>
    </row>
    <row r="369" spans="1:11" s="87" customFormat="1" ht="13">
      <c r="A369" s="221" t="s">
        <v>708</v>
      </c>
      <c r="B369" s="222"/>
      <c r="C369" s="222"/>
      <c r="D369" s="223"/>
      <c r="E369" s="223"/>
      <c r="F369" s="223"/>
      <c r="G369" s="224"/>
      <c r="H369" s="225"/>
      <c r="I369" s="591">
        <v>2020</v>
      </c>
      <c r="J369" s="592" t="s">
        <v>139</v>
      </c>
      <c r="K369" s="228">
        <v>16</v>
      </c>
    </row>
    <row r="370" spans="1:11" s="87" customFormat="1" ht="13">
      <c r="A370" s="221" t="s">
        <v>709</v>
      </c>
      <c r="B370" s="222"/>
      <c r="C370" s="222"/>
      <c r="D370" s="223"/>
      <c r="E370" s="223"/>
      <c r="F370" s="223"/>
      <c r="G370" s="224"/>
      <c r="H370" s="225"/>
      <c r="I370" s="591">
        <v>2020</v>
      </c>
      <c r="J370" s="592" t="s">
        <v>139</v>
      </c>
      <c r="K370" s="228">
        <v>17</v>
      </c>
    </row>
    <row r="371" spans="1:11" s="87" customFormat="1" ht="13">
      <c r="A371" s="221" t="s">
        <v>710</v>
      </c>
      <c r="B371" s="222"/>
      <c r="C371" s="222"/>
      <c r="D371" s="223"/>
      <c r="E371" s="223"/>
      <c r="F371" s="223"/>
      <c r="G371" s="224"/>
      <c r="H371" s="225"/>
      <c r="I371" s="229">
        <v>2020</v>
      </c>
      <c r="J371" s="593" t="s">
        <v>139</v>
      </c>
      <c r="K371" s="228">
        <v>18</v>
      </c>
    </row>
    <row r="372" spans="1:11" s="87" customFormat="1" ht="13.5" thickBot="1">
      <c r="A372" s="1186">
        <f>VLOOKUP(A353,A354:K371,11,(FALSE))</f>
        <v>10</v>
      </c>
      <c r="B372" s="1187"/>
      <c r="C372" s="1187"/>
      <c r="D372" s="1187"/>
      <c r="E372" s="1187"/>
      <c r="F372" s="1187"/>
      <c r="G372" s="1187"/>
      <c r="H372" s="1187"/>
      <c r="I372" s="1188"/>
      <c r="J372" s="1188"/>
      <c r="K372" s="1189"/>
    </row>
  </sheetData>
  <mergeCells count="262">
    <mergeCell ref="B179:C179"/>
    <mergeCell ref="H179:I179"/>
    <mergeCell ref="A177:A186"/>
    <mergeCell ref="B177:F177"/>
    <mergeCell ref="H177:L177"/>
    <mergeCell ref="N177:O177"/>
    <mergeCell ref="B178:C178"/>
    <mergeCell ref="D178:E178"/>
    <mergeCell ref="F178:F179"/>
    <mergeCell ref="H178:I178"/>
    <mergeCell ref="J178:K178"/>
    <mergeCell ref="L178:L179"/>
    <mergeCell ref="A187:A196"/>
    <mergeCell ref="B187:F187"/>
    <mergeCell ref="H187:L187"/>
    <mergeCell ref="N187:O187"/>
    <mergeCell ref="B188:C188"/>
    <mergeCell ref="D188:E188"/>
    <mergeCell ref="F188:F189"/>
    <mergeCell ref="H188:I188"/>
    <mergeCell ref="J188:K188"/>
    <mergeCell ref="L188:L189"/>
    <mergeCell ref="B189:C189"/>
    <mergeCell ref="H189:I189"/>
    <mergeCell ref="H167:L167"/>
    <mergeCell ref="N167:O167"/>
    <mergeCell ref="B168:C168"/>
    <mergeCell ref="D168:E168"/>
    <mergeCell ref="F168:F169"/>
    <mergeCell ref="H168:I168"/>
    <mergeCell ref="J168:K168"/>
    <mergeCell ref="L168:L169"/>
    <mergeCell ref="B169:C169"/>
    <mergeCell ref="H169:I169"/>
    <mergeCell ref="N156:O156"/>
    <mergeCell ref="B157:C157"/>
    <mergeCell ref="D157:E157"/>
    <mergeCell ref="F157:F158"/>
    <mergeCell ref="H157:I157"/>
    <mergeCell ref="J157:K157"/>
    <mergeCell ref="L157:L158"/>
    <mergeCell ref="B158:C158"/>
    <mergeCell ref="H158:I158"/>
    <mergeCell ref="N145:O145"/>
    <mergeCell ref="B146:C146"/>
    <mergeCell ref="D146:E146"/>
    <mergeCell ref="F146:F147"/>
    <mergeCell ref="H146:I146"/>
    <mergeCell ref="J146:K146"/>
    <mergeCell ref="L146:L147"/>
    <mergeCell ref="B147:C147"/>
    <mergeCell ref="H147:I147"/>
    <mergeCell ref="N134:O134"/>
    <mergeCell ref="B135:C135"/>
    <mergeCell ref="D135:E135"/>
    <mergeCell ref="F135:F136"/>
    <mergeCell ref="H135:I135"/>
    <mergeCell ref="J135:K135"/>
    <mergeCell ref="L135:L136"/>
    <mergeCell ref="B136:C136"/>
    <mergeCell ref="H136:I136"/>
    <mergeCell ref="L341:N341"/>
    <mergeCell ref="A345:D345"/>
    <mergeCell ref="F345:I345"/>
    <mergeCell ref="A353:K353"/>
    <mergeCell ref="A372:K372"/>
    <mergeCell ref="L334:O334"/>
    <mergeCell ref="B335:C335"/>
    <mergeCell ref="D335:D336"/>
    <mergeCell ref="G335:H335"/>
    <mergeCell ref="I335:I336"/>
    <mergeCell ref="K335:K337"/>
    <mergeCell ref="L335:L337"/>
    <mergeCell ref="M335:M337"/>
    <mergeCell ref="N335:N337"/>
    <mergeCell ref="O335:O337"/>
    <mergeCell ref="A296:A313"/>
    <mergeCell ref="H296:H313"/>
    <mergeCell ref="A315:A332"/>
    <mergeCell ref="H315:H332"/>
    <mergeCell ref="B334:D334"/>
    <mergeCell ref="G334:I334"/>
    <mergeCell ref="A239:A256"/>
    <mergeCell ref="H239:H256"/>
    <mergeCell ref="A258:A275"/>
    <mergeCell ref="H258:H275"/>
    <mergeCell ref="A277:A294"/>
    <mergeCell ref="H277:H294"/>
    <mergeCell ref="A220:A237"/>
    <mergeCell ref="H220:H237"/>
    <mergeCell ref="O220:P220"/>
    <mergeCell ref="O221:P221"/>
    <mergeCell ref="J198:M198"/>
    <mergeCell ref="O198:P198"/>
    <mergeCell ref="D199:E199"/>
    <mergeCell ref="F199:F200"/>
    <mergeCell ref="K199:L199"/>
    <mergeCell ref="M199:M200"/>
    <mergeCell ref="O199:P199"/>
    <mergeCell ref="A198:A200"/>
    <mergeCell ref="B198:B200"/>
    <mergeCell ref="C198:F198"/>
    <mergeCell ref="H198:H200"/>
    <mergeCell ref="I198:I200"/>
    <mergeCell ref="A123:A132"/>
    <mergeCell ref="B123:F123"/>
    <mergeCell ref="H123:L123"/>
    <mergeCell ref="A201:A218"/>
    <mergeCell ref="H201:H218"/>
    <mergeCell ref="B124:C124"/>
    <mergeCell ref="D124:E124"/>
    <mergeCell ref="F124:F125"/>
    <mergeCell ref="H124:I124"/>
    <mergeCell ref="J124:K124"/>
    <mergeCell ref="L124:L125"/>
    <mergeCell ref="B125:C125"/>
    <mergeCell ref="H125:I125"/>
    <mergeCell ref="A134:A143"/>
    <mergeCell ref="B134:F134"/>
    <mergeCell ref="H134:L134"/>
    <mergeCell ref="A145:A154"/>
    <mergeCell ref="B145:F145"/>
    <mergeCell ref="H145:L145"/>
    <mergeCell ref="A156:A165"/>
    <mergeCell ref="B156:F156"/>
    <mergeCell ref="H156:L156"/>
    <mergeCell ref="A167:A176"/>
    <mergeCell ref="B167:F167"/>
    <mergeCell ref="N112:O112"/>
    <mergeCell ref="B113:C113"/>
    <mergeCell ref="D113:E113"/>
    <mergeCell ref="F113:F114"/>
    <mergeCell ref="H113:I113"/>
    <mergeCell ref="J113:K113"/>
    <mergeCell ref="L113:L114"/>
    <mergeCell ref="B114:C114"/>
    <mergeCell ref="H114:I114"/>
    <mergeCell ref="A112:A121"/>
    <mergeCell ref="B112:F112"/>
    <mergeCell ref="H112:L112"/>
    <mergeCell ref="B92:C92"/>
    <mergeCell ref="H92:I92"/>
    <mergeCell ref="A101:A110"/>
    <mergeCell ref="B101:F101"/>
    <mergeCell ref="H101:L101"/>
    <mergeCell ref="N123:O123"/>
    <mergeCell ref="N101:O101"/>
    <mergeCell ref="B102:C102"/>
    <mergeCell ref="D102:E102"/>
    <mergeCell ref="F102:F103"/>
    <mergeCell ref="H102:I102"/>
    <mergeCell ref="A90:A99"/>
    <mergeCell ref="B90:F90"/>
    <mergeCell ref="H90:L90"/>
    <mergeCell ref="N90:O90"/>
    <mergeCell ref="B91:C91"/>
    <mergeCell ref="D91:E91"/>
    <mergeCell ref="F91:F92"/>
    <mergeCell ref="H91:I91"/>
    <mergeCell ref="J91:K91"/>
    <mergeCell ref="L91:L92"/>
    <mergeCell ref="J102:K102"/>
    <mergeCell ref="L102:L103"/>
    <mergeCell ref="B103:C103"/>
    <mergeCell ref="H103:I103"/>
    <mergeCell ref="A79:A88"/>
    <mergeCell ref="B79:F79"/>
    <mergeCell ref="H79:L79"/>
    <mergeCell ref="B59:C59"/>
    <mergeCell ref="H59:I59"/>
    <mergeCell ref="A68:A77"/>
    <mergeCell ref="B68:F68"/>
    <mergeCell ref="H68:L68"/>
    <mergeCell ref="N79:O79"/>
    <mergeCell ref="B80:C80"/>
    <mergeCell ref="D80:E80"/>
    <mergeCell ref="F80:F81"/>
    <mergeCell ref="H80:I80"/>
    <mergeCell ref="J80:K80"/>
    <mergeCell ref="L80:L81"/>
    <mergeCell ref="B81:C81"/>
    <mergeCell ref="H81:I81"/>
    <mergeCell ref="N68:O68"/>
    <mergeCell ref="B69:C69"/>
    <mergeCell ref="D69:E69"/>
    <mergeCell ref="F69:F70"/>
    <mergeCell ref="H69:I69"/>
    <mergeCell ref="A57:A66"/>
    <mergeCell ref="B57:F57"/>
    <mergeCell ref="H57:L57"/>
    <mergeCell ref="N57:O57"/>
    <mergeCell ref="B58:C58"/>
    <mergeCell ref="D58:E58"/>
    <mergeCell ref="F58:F59"/>
    <mergeCell ref="H58:I58"/>
    <mergeCell ref="J58:K58"/>
    <mergeCell ref="L58:L59"/>
    <mergeCell ref="J69:K69"/>
    <mergeCell ref="L69:L70"/>
    <mergeCell ref="B70:C70"/>
    <mergeCell ref="H70:I70"/>
    <mergeCell ref="A46:A55"/>
    <mergeCell ref="B46:F46"/>
    <mergeCell ref="H46:L46"/>
    <mergeCell ref="B26:C26"/>
    <mergeCell ref="H26:I26"/>
    <mergeCell ref="A35:A44"/>
    <mergeCell ref="B35:F35"/>
    <mergeCell ref="H35:L35"/>
    <mergeCell ref="N46:O46"/>
    <mergeCell ref="B47:C47"/>
    <mergeCell ref="D47:E47"/>
    <mergeCell ref="F47:F48"/>
    <mergeCell ref="H47:I47"/>
    <mergeCell ref="J47:K47"/>
    <mergeCell ref="L47:L48"/>
    <mergeCell ref="B48:C48"/>
    <mergeCell ref="H48:I48"/>
    <mergeCell ref="H15:I15"/>
    <mergeCell ref="N35:O35"/>
    <mergeCell ref="B36:C36"/>
    <mergeCell ref="D36:E36"/>
    <mergeCell ref="F36:F37"/>
    <mergeCell ref="H36:I36"/>
    <mergeCell ref="A24:A33"/>
    <mergeCell ref="B24:F24"/>
    <mergeCell ref="H24:L24"/>
    <mergeCell ref="N24:O24"/>
    <mergeCell ref="B25:C25"/>
    <mergeCell ref="D25:E25"/>
    <mergeCell ref="F25:F26"/>
    <mergeCell ref="H25:I25"/>
    <mergeCell ref="J25:K25"/>
    <mergeCell ref="L25:L26"/>
    <mergeCell ref="J36:K36"/>
    <mergeCell ref="L36:L37"/>
    <mergeCell ref="B37:C37"/>
    <mergeCell ref="H37:I37"/>
    <mergeCell ref="L3:L4"/>
    <mergeCell ref="B4:C4"/>
    <mergeCell ref="H4:I4"/>
    <mergeCell ref="A13:A22"/>
    <mergeCell ref="B13:F13"/>
    <mergeCell ref="H13:L13"/>
    <mergeCell ref="A1:O1"/>
    <mergeCell ref="A2:A11"/>
    <mergeCell ref="B2:F2"/>
    <mergeCell ref="H2:L2"/>
    <mergeCell ref="N2:O2"/>
    <mergeCell ref="B3:C3"/>
    <mergeCell ref="D3:E3"/>
    <mergeCell ref="F3:F4"/>
    <mergeCell ref="H3:I3"/>
    <mergeCell ref="J3:K3"/>
    <mergeCell ref="N13:O13"/>
    <mergeCell ref="B14:C14"/>
    <mergeCell ref="D14:E14"/>
    <mergeCell ref="F14:F15"/>
    <mergeCell ref="H14:I14"/>
    <mergeCell ref="J14:K14"/>
    <mergeCell ref="L14:L15"/>
    <mergeCell ref="B15:C15"/>
  </mergeCells>
  <phoneticPr fontId="76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12"/>
  <sheetViews>
    <sheetView showGridLines="0" view="pageBreakPreview" topLeftCell="A266" zoomScaleNormal="110" zoomScaleSheetLayoutView="100" workbookViewId="0">
      <selection activeCell="G283" sqref="G283"/>
    </sheetView>
  </sheetViews>
  <sheetFormatPr defaultColWidth="9.1796875" defaultRowHeight="10"/>
  <cols>
    <col min="1" max="1" width="27" style="25" customWidth="1"/>
    <col min="2" max="2" width="7" style="25" customWidth="1"/>
    <col min="3" max="3" width="6.453125" style="25" customWidth="1"/>
    <col min="4" max="4" width="6.81640625" style="25" customWidth="1"/>
    <col min="5" max="10" width="9.26953125" style="25" bestFit="1" customWidth="1"/>
    <col min="11" max="11" width="10.453125" style="25" bestFit="1" customWidth="1"/>
    <col min="12" max="16384" width="9.1796875" style="25"/>
  </cols>
  <sheetData>
    <row r="1" spans="1:11" ht="15.5">
      <c r="A1" s="1200" t="s">
        <v>194</v>
      </c>
      <c r="B1" s="1200"/>
      <c r="C1" s="1200"/>
      <c r="D1" s="1200"/>
      <c r="E1" s="1200"/>
      <c r="F1" s="1200"/>
      <c r="G1" s="1200"/>
      <c r="H1" s="1200"/>
      <c r="I1" s="1200"/>
      <c r="J1" s="1200"/>
      <c r="K1" s="1200"/>
    </row>
    <row r="2" spans="1:11" ht="11" thickBot="1">
      <c r="A2" s="26" t="s">
        <v>195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>
      <c r="A3" s="28" t="s">
        <v>196</v>
      </c>
      <c r="B3" s="29"/>
      <c r="C3" s="29"/>
      <c r="D3" s="29"/>
      <c r="E3" s="29"/>
      <c r="F3" s="29"/>
      <c r="G3" s="29"/>
      <c r="H3" s="29"/>
      <c r="I3" s="29"/>
      <c r="J3" s="29"/>
      <c r="K3" s="30"/>
    </row>
    <row r="4" spans="1:11">
      <c r="A4" s="31" t="s">
        <v>197</v>
      </c>
      <c r="B4" s="32" t="s">
        <v>198</v>
      </c>
      <c r="C4" s="32" t="s">
        <v>199</v>
      </c>
      <c r="D4" s="32" t="s">
        <v>200</v>
      </c>
      <c r="E4" s="32" t="s">
        <v>201</v>
      </c>
      <c r="F4" s="32" t="s">
        <v>202</v>
      </c>
      <c r="G4" s="32" t="s">
        <v>203</v>
      </c>
      <c r="H4" s="32" t="s">
        <v>204</v>
      </c>
      <c r="I4" s="32" t="s">
        <v>205</v>
      </c>
      <c r="J4" s="32" t="s">
        <v>206</v>
      </c>
      <c r="K4" s="33" t="s">
        <v>207</v>
      </c>
    </row>
    <row r="5" spans="1:11">
      <c r="A5" s="34" t="s">
        <v>208</v>
      </c>
      <c r="B5" s="35">
        <f>ID!I34</f>
        <v>0</v>
      </c>
      <c r="C5" s="36" t="s">
        <v>209</v>
      </c>
      <c r="D5" s="37" t="s">
        <v>210</v>
      </c>
      <c r="E5" s="37">
        <f>SQRT(3)</f>
        <v>1.7320508075688772</v>
      </c>
      <c r="F5" s="37">
        <f>B5/E5</f>
        <v>0</v>
      </c>
      <c r="G5" s="37">
        <v>2</v>
      </c>
      <c r="H5" s="37">
        <v>1</v>
      </c>
      <c r="I5" s="37">
        <f t="shared" ref="I5:I11" si="0">F5*H5</f>
        <v>0</v>
      </c>
      <c r="J5" s="37">
        <f t="shared" ref="J5:J11" si="1">I5^2</f>
        <v>0</v>
      </c>
      <c r="K5" s="38">
        <f t="shared" ref="K5:K11" si="2">(J5^2)/G5</f>
        <v>0</v>
      </c>
    </row>
    <row r="6" spans="1:11">
      <c r="A6" s="34" t="s">
        <v>211</v>
      </c>
      <c r="B6" s="37">
        <f>'Data Sound Level Meter'!H29</f>
        <v>0.16</v>
      </c>
      <c r="C6" s="36" t="s">
        <v>209</v>
      </c>
      <c r="D6" s="37" t="s">
        <v>210</v>
      </c>
      <c r="E6" s="37">
        <v>2</v>
      </c>
      <c r="F6" s="37">
        <f>B6/E6</f>
        <v>0.08</v>
      </c>
      <c r="G6" s="37">
        <v>50</v>
      </c>
      <c r="H6" s="37">
        <v>1</v>
      </c>
      <c r="I6" s="37">
        <f t="shared" si="0"/>
        <v>0.08</v>
      </c>
      <c r="J6" s="37">
        <f t="shared" si="1"/>
        <v>6.4000000000000003E-3</v>
      </c>
      <c r="K6" s="38">
        <f t="shared" si="2"/>
        <v>8.1920000000000003E-7</v>
      </c>
    </row>
    <row r="7" spans="1:11">
      <c r="A7" s="39" t="s">
        <v>212</v>
      </c>
      <c r="B7" s="40">
        <f>'Data Sound Level Meter'!E29</f>
        <v>0.1</v>
      </c>
      <c r="C7" s="36" t="s">
        <v>209</v>
      </c>
      <c r="D7" s="36" t="s">
        <v>210</v>
      </c>
      <c r="E7" s="36">
        <v>2</v>
      </c>
      <c r="F7" s="41">
        <f>B7/E7</f>
        <v>0.05</v>
      </c>
      <c r="G7" s="42">
        <v>50</v>
      </c>
      <c r="H7" s="42">
        <v>1</v>
      </c>
      <c r="I7" s="41">
        <f t="shared" si="0"/>
        <v>0.05</v>
      </c>
      <c r="J7" s="41">
        <f t="shared" si="1"/>
        <v>2.5000000000000005E-3</v>
      </c>
      <c r="K7" s="43">
        <f t="shared" si="2"/>
        <v>1.2500000000000005E-7</v>
      </c>
    </row>
    <row r="8" spans="1:11">
      <c r="A8" s="39" t="s">
        <v>213</v>
      </c>
      <c r="B8" s="36">
        <f>'Data Sound Level Meter'!B29</f>
        <v>0.5</v>
      </c>
      <c r="C8" s="36" t="s">
        <v>209</v>
      </c>
      <c r="D8" s="36" t="s">
        <v>210</v>
      </c>
      <c r="E8" s="36">
        <v>2</v>
      </c>
      <c r="F8" s="41">
        <f>B8/E8</f>
        <v>0.25</v>
      </c>
      <c r="G8" s="42">
        <v>50</v>
      </c>
      <c r="H8" s="42">
        <v>1</v>
      </c>
      <c r="I8" s="41">
        <f t="shared" si="0"/>
        <v>0.25</v>
      </c>
      <c r="J8" s="41">
        <f t="shared" si="1"/>
        <v>6.25E-2</v>
      </c>
      <c r="K8" s="43">
        <f t="shared" si="2"/>
        <v>7.8125000000000002E-5</v>
      </c>
    </row>
    <row r="9" spans="1:11">
      <c r="A9" s="34" t="s">
        <v>214</v>
      </c>
      <c r="B9" s="35">
        <v>0</v>
      </c>
      <c r="C9" s="36" t="s">
        <v>209</v>
      </c>
      <c r="D9" s="37" t="s">
        <v>215</v>
      </c>
      <c r="E9" s="37">
        <f>SQRT(3)</f>
        <v>1.7320508075688772</v>
      </c>
      <c r="F9" s="37">
        <f>B9/E9</f>
        <v>0</v>
      </c>
      <c r="G9" s="37">
        <v>50</v>
      </c>
      <c r="H9" s="37">
        <v>1</v>
      </c>
      <c r="I9" s="37">
        <f t="shared" si="0"/>
        <v>0</v>
      </c>
      <c r="J9" s="37">
        <f t="shared" si="1"/>
        <v>0</v>
      </c>
      <c r="K9" s="38">
        <f t="shared" si="2"/>
        <v>0</v>
      </c>
    </row>
    <row r="10" spans="1:11">
      <c r="A10" s="34" t="s">
        <v>216</v>
      </c>
      <c r="B10" s="314">
        <v>0</v>
      </c>
      <c r="C10" s="36" t="s">
        <v>209</v>
      </c>
      <c r="D10" s="37" t="s">
        <v>215</v>
      </c>
      <c r="E10" s="37">
        <f>SQRT(3)</f>
        <v>1.7320508075688772</v>
      </c>
      <c r="F10" s="37">
        <f>B9/E10</f>
        <v>0</v>
      </c>
      <c r="G10" s="37">
        <v>50</v>
      </c>
      <c r="H10" s="37">
        <v>1</v>
      </c>
      <c r="I10" s="37">
        <f t="shared" si="0"/>
        <v>0</v>
      </c>
      <c r="J10" s="37">
        <f t="shared" si="1"/>
        <v>0</v>
      </c>
      <c r="K10" s="38">
        <f t="shared" si="2"/>
        <v>0</v>
      </c>
    </row>
    <row r="11" spans="1:11">
      <c r="A11" s="34" t="s">
        <v>217</v>
      </c>
      <c r="B11" s="35">
        <v>0</v>
      </c>
      <c r="C11" s="36" t="s">
        <v>209</v>
      </c>
      <c r="D11" s="37" t="s">
        <v>215</v>
      </c>
      <c r="E11" s="37">
        <f>SQRT(3)</f>
        <v>1.7320508075688772</v>
      </c>
      <c r="F11" s="45">
        <f>B11/E11</f>
        <v>0</v>
      </c>
      <c r="G11" s="45">
        <v>50</v>
      </c>
      <c r="H11" s="45">
        <v>1</v>
      </c>
      <c r="I11" s="45">
        <f t="shared" si="0"/>
        <v>0</v>
      </c>
      <c r="J11" s="45">
        <f t="shared" si="1"/>
        <v>0</v>
      </c>
      <c r="K11" s="46">
        <f t="shared" si="2"/>
        <v>0</v>
      </c>
    </row>
    <row r="12" spans="1:11" ht="10.5">
      <c r="A12" s="47" t="s">
        <v>218</v>
      </c>
      <c r="B12" s="48"/>
      <c r="C12" s="48"/>
      <c r="D12" s="48"/>
      <c r="E12" s="48"/>
      <c r="F12" s="48"/>
      <c r="G12" s="48"/>
      <c r="H12" s="48"/>
      <c r="I12" s="49"/>
      <c r="J12" s="50">
        <f>SUM(J5:J11)</f>
        <v>7.1400000000000005E-2</v>
      </c>
      <c r="K12" s="51">
        <f>SUM(K5:K11)</f>
        <v>7.9069199999999998E-5</v>
      </c>
    </row>
    <row r="13" spans="1:11" ht="12.5">
      <c r="A13" s="47" t="s">
        <v>219</v>
      </c>
      <c r="B13" s="48"/>
      <c r="C13" s="48"/>
      <c r="D13" s="48"/>
      <c r="E13" s="48"/>
      <c r="F13" s="49"/>
      <c r="G13" s="52" t="s">
        <v>220</v>
      </c>
      <c r="H13" s="53"/>
      <c r="I13" s="54"/>
      <c r="J13" s="50">
        <f>SQRT(J12)</f>
        <v>0.26720778431774778</v>
      </c>
      <c r="K13" s="51"/>
    </row>
    <row r="14" spans="1:11" ht="13.5">
      <c r="A14" s="47" t="s">
        <v>221</v>
      </c>
      <c r="B14" s="48"/>
      <c r="C14" s="48"/>
      <c r="D14" s="48"/>
      <c r="E14" s="48"/>
      <c r="F14" s="49"/>
      <c r="G14" s="55" t="s">
        <v>222</v>
      </c>
      <c r="H14" s="56"/>
      <c r="I14" s="57"/>
      <c r="J14" s="50">
        <f>J13^4/(K12)</f>
        <v>64.474662700520597</v>
      </c>
      <c r="K14" s="51"/>
    </row>
    <row r="15" spans="1:11" ht="10.5">
      <c r="A15" s="47" t="s">
        <v>223</v>
      </c>
      <c r="B15" s="48"/>
      <c r="C15" s="48"/>
      <c r="D15" s="48"/>
      <c r="E15" s="48"/>
      <c r="F15" s="49"/>
      <c r="G15" s="58" t="s">
        <v>224</v>
      </c>
      <c r="H15" s="59"/>
      <c r="I15" s="60"/>
      <c r="J15" s="50">
        <f>TINV(0.05,J14)</f>
        <v>1.9977296543176954</v>
      </c>
      <c r="K15" s="51"/>
    </row>
    <row r="16" spans="1:11" ht="11" thickBot="1">
      <c r="A16" s="61" t="s">
        <v>225</v>
      </c>
      <c r="B16" s="62"/>
      <c r="C16" s="62"/>
      <c r="D16" s="62"/>
      <c r="E16" s="62"/>
      <c r="F16" s="63"/>
      <c r="G16" s="64" t="s">
        <v>226</v>
      </c>
      <c r="H16" s="65"/>
      <c r="I16" s="66"/>
      <c r="J16" s="316">
        <f>J15*J13</f>
        <v>0.53380891459609159</v>
      </c>
      <c r="K16" s="68" t="s">
        <v>209</v>
      </c>
    </row>
    <row r="17" spans="1:11" ht="11" thickBo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>
      <c r="A18" s="28" t="s">
        <v>227</v>
      </c>
      <c r="B18" s="29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31" t="s">
        <v>197</v>
      </c>
      <c r="B19" s="32" t="s">
        <v>198</v>
      </c>
      <c r="C19" s="32" t="s">
        <v>199</v>
      </c>
      <c r="D19" s="32" t="s">
        <v>200</v>
      </c>
      <c r="E19" s="32" t="s">
        <v>201</v>
      </c>
      <c r="F19" s="32" t="s">
        <v>202</v>
      </c>
      <c r="G19" s="32" t="s">
        <v>203</v>
      </c>
      <c r="H19" s="32" t="s">
        <v>204</v>
      </c>
      <c r="I19" s="32" t="s">
        <v>205</v>
      </c>
      <c r="J19" s="32" t="s">
        <v>206</v>
      </c>
      <c r="K19" s="33" t="s">
        <v>207</v>
      </c>
    </row>
    <row r="20" spans="1:11">
      <c r="A20" s="34" t="s">
        <v>208</v>
      </c>
      <c r="B20" s="35">
        <f>ID!I35</f>
        <v>0</v>
      </c>
      <c r="C20" s="36" t="s">
        <v>209</v>
      </c>
      <c r="D20" s="37" t="s">
        <v>210</v>
      </c>
      <c r="E20" s="37">
        <f>SQRT(3)</f>
        <v>1.7320508075688772</v>
      </c>
      <c r="F20" s="69">
        <f>B20/E20</f>
        <v>0</v>
      </c>
      <c r="G20" s="37">
        <v>2</v>
      </c>
      <c r="H20" s="37">
        <v>1</v>
      </c>
      <c r="I20" s="37">
        <f t="shared" ref="I20:I26" si="3">F20*H20</f>
        <v>0</v>
      </c>
      <c r="J20" s="37">
        <f t="shared" ref="J20:J26" si="4">I20^2</f>
        <v>0</v>
      </c>
      <c r="K20" s="38">
        <f t="shared" ref="K20:K26" si="5">(J20^2)/G20</f>
        <v>0</v>
      </c>
    </row>
    <row r="21" spans="1:11">
      <c r="A21" s="34" t="s">
        <v>211</v>
      </c>
      <c r="B21" s="37">
        <f>'Data Sound Level Meter'!H29</f>
        <v>0.16</v>
      </c>
      <c r="C21" s="36" t="s">
        <v>209</v>
      </c>
      <c r="D21" s="37" t="s">
        <v>210</v>
      </c>
      <c r="E21" s="37">
        <v>2</v>
      </c>
      <c r="F21" s="69">
        <f>B21/E21</f>
        <v>0.08</v>
      </c>
      <c r="G21" s="37">
        <v>50</v>
      </c>
      <c r="H21" s="37">
        <v>1</v>
      </c>
      <c r="I21" s="37">
        <f t="shared" si="3"/>
        <v>0.08</v>
      </c>
      <c r="J21" s="37">
        <f t="shared" si="4"/>
        <v>6.4000000000000003E-3</v>
      </c>
      <c r="K21" s="38">
        <f t="shared" si="5"/>
        <v>8.1920000000000003E-7</v>
      </c>
    </row>
    <row r="22" spans="1:11">
      <c r="A22" s="39" t="s">
        <v>212</v>
      </c>
      <c r="B22" s="40">
        <f>'Data Sound Level Meter'!E29</f>
        <v>0.1</v>
      </c>
      <c r="C22" s="36" t="s">
        <v>209</v>
      </c>
      <c r="D22" s="36" t="s">
        <v>210</v>
      </c>
      <c r="E22" s="36">
        <v>2</v>
      </c>
      <c r="F22" s="70">
        <f>B22/E22</f>
        <v>0.05</v>
      </c>
      <c r="G22" s="42">
        <v>50</v>
      </c>
      <c r="H22" s="42">
        <v>1</v>
      </c>
      <c r="I22" s="41">
        <f t="shared" si="3"/>
        <v>0.05</v>
      </c>
      <c r="J22" s="41">
        <f t="shared" si="4"/>
        <v>2.5000000000000005E-3</v>
      </c>
      <c r="K22" s="43">
        <f t="shared" si="5"/>
        <v>1.2500000000000005E-7</v>
      </c>
    </row>
    <row r="23" spans="1:11">
      <c r="A23" s="39" t="s">
        <v>213</v>
      </c>
      <c r="B23" s="36">
        <f>'Data Sound Level Meter'!B30</f>
        <v>0.5</v>
      </c>
      <c r="C23" s="36" t="s">
        <v>209</v>
      </c>
      <c r="D23" s="36" t="s">
        <v>210</v>
      </c>
      <c r="E23" s="36">
        <v>2</v>
      </c>
      <c r="F23" s="70">
        <f>B23/E23</f>
        <v>0.25</v>
      </c>
      <c r="G23" s="42">
        <v>50</v>
      </c>
      <c r="H23" s="42">
        <v>1</v>
      </c>
      <c r="I23" s="41">
        <f t="shared" si="3"/>
        <v>0.25</v>
      </c>
      <c r="J23" s="41">
        <f t="shared" si="4"/>
        <v>6.25E-2</v>
      </c>
      <c r="K23" s="43">
        <f t="shared" si="5"/>
        <v>7.8125000000000002E-5</v>
      </c>
    </row>
    <row r="24" spans="1:11">
      <c r="A24" s="34" t="s">
        <v>214</v>
      </c>
      <c r="B24" s="35">
        <v>0</v>
      </c>
      <c r="C24" s="36" t="s">
        <v>209</v>
      </c>
      <c r="D24" s="37" t="s">
        <v>215</v>
      </c>
      <c r="E24" s="37">
        <f>SQRT(3)</f>
        <v>1.7320508075688772</v>
      </c>
      <c r="F24" s="69">
        <f>B24/E24</f>
        <v>0</v>
      </c>
      <c r="G24" s="37">
        <v>50</v>
      </c>
      <c r="H24" s="37">
        <v>1</v>
      </c>
      <c r="I24" s="37">
        <f t="shared" si="3"/>
        <v>0</v>
      </c>
      <c r="J24" s="37">
        <f t="shared" si="4"/>
        <v>0</v>
      </c>
      <c r="K24" s="38">
        <f t="shared" si="5"/>
        <v>0</v>
      </c>
    </row>
    <row r="25" spans="1:11">
      <c r="A25" s="34" t="s">
        <v>216</v>
      </c>
      <c r="B25" s="314">
        <v>0</v>
      </c>
      <c r="C25" s="36" t="s">
        <v>209</v>
      </c>
      <c r="D25" s="37" t="s">
        <v>215</v>
      </c>
      <c r="E25" s="37">
        <f>SQRT(3)</f>
        <v>1.7320508075688772</v>
      </c>
      <c r="F25" s="69">
        <f>B24/E25</f>
        <v>0</v>
      </c>
      <c r="G25" s="37">
        <v>50</v>
      </c>
      <c r="H25" s="37">
        <v>1</v>
      </c>
      <c r="I25" s="37">
        <f t="shared" si="3"/>
        <v>0</v>
      </c>
      <c r="J25" s="37">
        <f t="shared" si="4"/>
        <v>0</v>
      </c>
      <c r="K25" s="38">
        <f t="shared" si="5"/>
        <v>0</v>
      </c>
    </row>
    <row r="26" spans="1:11">
      <c r="A26" s="34" t="s">
        <v>217</v>
      </c>
      <c r="B26" s="35">
        <v>0</v>
      </c>
      <c r="C26" s="36" t="s">
        <v>209</v>
      </c>
      <c r="D26" s="37" t="s">
        <v>215</v>
      </c>
      <c r="E26" s="37">
        <f>SQRT(3)</f>
        <v>1.7320508075688772</v>
      </c>
      <c r="F26" s="69">
        <f>B26/E26</f>
        <v>0</v>
      </c>
      <c r="G26" s="45">
        <v>50</v>
      </c>
      <c r="H26" s="45">
        <v>1</v>
      </c>
      <c r="I26" s="45">
        <f t="shared" si="3"/>
        <v>0</v>
      </c>
      <c r="J26" s="45">
        <f t="shared" si="4"/>
        <v>0</v>
      </c>
      <c r="K26" s="46">
        <f t="shared" si="5"/>
        <v>0</v>
      </c>
    </row>
    <row r="27" spans="1:11" ht="10.5">
      <c r="A27" s="47" t="s">
        <v>218</v>
      </c>
      <c r="B27" s="48"/>
      <c r="C27" s="48"/>
      <c r="D27" s="48"/>
      <c r="E27" s="48"/>
      <c r="F27" s="48"/>
      <c r="G27" s="48"/>
      <c r="H27" s="48"/>
      <c r="I27" s="49"/>
      <c r="J27" s="50">
        <f>SUM(J20:J26)</f>
        <v>7.1400000000000005E-2</v>
      </c>
      <c r="K27" s="51">
        <f>SUM(K20:K26)</f>
        <v>7.9069199999999998E-5</v>
      </c>
    </row>
    <row r="28" spans="1:11" ht="12.5">
      <c r="A28" s="47" t="s">
        <v>219</v>
      </c>
      <c r="B28" s="48"/>
      <c r="C28" s="48"/>
      <c r="D28" s="48"/>
      <c r="E28" s="48"/>
      <c r="F28" s="49"/>
      <c r="G28" s="52" t="s">
        <v>220</v>
      </c>
      <c r="H28" s="53"/>
      <c r="I28" s="54"/>
      <c r="J28" s="50">
        <f>SQRT(J27)</f>
        <v>0.26720778431774778</v>
      </c>
      <c r="K28" s="51"/>
    </row>
    <row r="29" spans="1:11" ht="13.5">
      <c r="A29" s="47" t="s">
        <v>221</v>
      </c>
      <c r="B29" s="48"/>
      <c r="C29" s="48"/>
      <c r="D29" s="48"/>
      <c r="E29" s="48"/>
      <c r="F29" s="49"/>
      <c r="G29" s="55" t="s">
        <v>222</v>
      </c>
      <c r="H29" s="56"/>
      <c r="I29" s="57"/>
      <c r="J29" s="50">
        <f>J28^4/(K27)</f>
        <v>64.474662700520597</v>
      </c>
      <c r="K29" s="51"/>
    </row>
    <row r="30" spans="1:11" ht="10.5">
      <c r="A30" s="47" t="s">
        <v>223</v>
      </c>
      <c r="B30" s="48"/>
      <c r="C30" s="48"/>
      <c r="D30" s="48"/>
      <c r="E30" s="48"/>
      <c r="F30" s="49"/>
      <c r="G30" s="58" t="s">
        <v>224</v>
      </c>
      <c r="H30" s="59"/>
      <c r="I30" s="60"/>
      <c r="J30" s="50">
        <f>TINV(0.05,J29)</f>
        <v>1.9977296543176954</v>
      </c>
      <c r="K30" s="51"/>
    </row>
    <row r="31" spans="1:11" ht="11" thickBot="1">
      <c r="A31" s="61" t="s">
        <v>225</v>
      </c>
      <c r="B31" s="62"/>
      <c r="C31" s="62"/>
      <c r="D31" s="62"/>
      <c r="E31" s="62"/>
      <c r="F31" s="63"/>
      <c r="G31" s="64" t="s">
        <v>226</v>
      </c>
      <c r="H31" s="65"/>
      <c r="I31" s="66"/>
      <c r="J31" s="316">
        <f>J30*J28</f>
        <v>0.53380891459609159</v>
      </c>
      <c r="K31" s="68" t="s">
        <v>209</v>
      </c>
    </row>
    <row r="32" spans="1:11" ht="11" thickBot="1">
      <c r="A32" s="71"/>
      <c r="B32" s="72"/>
      <c r="C32" s="73"/>
      <c r="D32" s="73"/>
      <c r="E32" s="71"/>
      <c r="F32" s="74"/>
      <c r="G32" s="74"/>
      <c r="H32" s="74"/>
      <c r="I32" s="74"/>
      <c r="J32" s="74"/>
      <c r="K32" s="75"/>
    </row>
    <row r="33" spans="1:11">
      <c r="A33" s="28" t="s">
        <v>228</v>
      </c>
      <c r="B33" s="29"/>
      <c r="C33" s="29"/>
      <c r="D33" s="29"/>
      <c r="E33" s="29"/>
      <c r="F33" s="29"/>
      <c r="G33" s="29"/>
      <c r="H33" s="29"/>
      <c r="I33" s="29"/>
      <c r="J33" s="29"/>
      <c r="K33" s="30"/>
    </row>
    <row r="34" spans="1:11">
      <c r="A34" s="31" t="s">
        <v>197</v>
      </c>
      <c r="B34" s="32" t="s">
        <v>198</v>
      </c>
      <c r="C34" s="32" t="s">
        <v>199</v>
      </c>
      <c r="D34" s="32" t="s">
        <v>200</v>
      </c>
      <c r="E34" s="32" t="s">
        <v>201</v>
      </c>
      <c r="F34" s="32" t="s">
        <v>202</v>
      </c>
      <c r="G34" s="32" t="s">
        <v>203</v>
      </c>
      <c r="H34" s="32" t="s">
        <v>204</v>
      </c>
      <c r="I34" s="32" t="s">
        <v>205</v>
      </c>
      <c r="J34" s="32" t="s">
        <v>206</v>
      </c>
      <c r="K34" s="33" t="s">
        <v>207</v>
      </c>
    </row>
    <row r="35" spans="1:11">
      <c r="A35" s="34" t="s">
        <v>208</v>
      </c>
      <c r="B35" s="35">
        <f>ID!I36</f>
        <v>0</v>
      </c>
      <c r="C35" s="36" t="s">
        <v>209</v>
      </c>
      <c r="D35" s="37" t="s">
        <v>210</v>
      </c>
      <c r="E35" s="37">
        <f>SQRT(3)</f>
        <v>1.7320508075688772</v>
      </c>
      <c r="F35" s="69">
        <f>B35/E35</f>
        <v>0</v>
      </c>
      <c r="G35" s="37">
        <v>2</v>
      </c>
      <c r="H35" s="37">
        <v>1</v>
      </c>
      <c r="I35" s="37">
        <f t="shared" ref="I35:I41" si="6">F35*H35</f>
        <v>0</v>
      </c>
      <c r="J35" s="37">
        <f t="shared" ref="J35:J41" si="7">I35^2</f>
        <v>0</v>
      </c>
      <c r="K35" s="38">
        <f t="shared" ref="K35:K41" si="8">(J35^2)/G35</f>
        <v>0</v>
      </c>
    </row>
    <row r="36" spans="1:11">
      <c r="A36" s="34" t="s">
        <v>211</v>
      </c>
      <c r="B36" s="37">
        <f>'Data Sound Level Meter'!H29</f>
        <v>0.16</v>
      </c>
      <c r="C36" s="36" t="s">
        <v>209</v>
      </c>
      <c r="D36" s="37" t="s">
        <v>210</v>
      </c>
      <c r="E36" s="37">
        <v>2</v>
      </c>
      <c r="F36" s="69">
        <f>B36/E36</f>
        <v>0.08</v>
      </c>
      <c r="G36" s="37">
        <v>50</v>
      </c>
      <c r="H36" s="37">
        <v>1</v>
      </c>
      <c r="I36" s="37">
        <f t="shared" si="6"/>
        <v>0.08</v>
      </c>
      <c r="J36" s="37">
        <f t="shared" si="7"/>
        <v>6.4000000000000003E-3</v>
      </c>
      <c r="K36" s="38">
        <f t="shared" si="8"/>
        <v>8.1920000000000003E-7</v>
      </c>
    </row>
    <row r="37" spans="1:11">
      <c r="A37" s="39" t="s">
        <v>212</v>
      </c>
      <c r="B37" s="40">
        <f>'Data Sound Level Meter'!E29</f>
        <v>0.1</v>
      </c>
      <c r="C37" s="36" t="s">
        <v>209</v>
      </c>
      <c r="D37" s="36" t="s">
        <v>210</v>
      </c>
      <c r="E37" s="36">
        <v>2</v>
      </c>
      <c r="F37" s="70">
        <f>B37/E37</f>
        <v>0.05</v>
      </c>
      <c r="G37" s="42">
        <v>50</v>
      </c>
      <c r="H37" s="42">
        <v>1</v>
      </c>
      <c r="I37" s="41">
        <f t="shared" si="6"/>
        <v>0.05</v>
      </c>
      <c r="J37" s="41">
        <f t="shared" si="7"/>
        <v>2.5000000000000005E-3</v>
      </c>
      <c r="K37" s="43">
        <f t="shared" si="8"/>
        <v>1.2500000000000005E-7</v>
      </c>
    </row>
    <row r="38" spans="1:11">
      <c r="A38" s="39" t="s">
        <v>213</v>
      </c>
      <c r="B38" s="36">
        <f>'Data Sound Level Meter'!B31</f>
        <v>0.5</v>
      </c>
      <c r="C38" s="36" t="s">
        <v>209</v>
      </c>
      <c r="D38" s="36" t="s">
        <v>210</v>
      </c>
      <c r="E38" s="36">
        <v>2</v>
      </c>
      <c r="F38" s="70">
        <f>B38/E38</f>
        <v>0.25</v>
      </c>
      <c r="G38" s="42">
        <v>50</v>
      </c>
      <c r="H38" s="42">
        <v>1</v>
      </c>
      <c r="I38" s="41">
        <f t="shared" si="6"/>
        <v>0.25</v>
      </c>
      <c r="J38" s="41">
        <f t="shared" si="7"/>
        <v>6.25E-2</v>
      </c>
      <c r="K38" s="43">
        <f t="shared" si="8"/>
        <v>7.8125000000000002E-5</v>
      </c>
    </row>
    <row r="39" spans="1:11">
      <c r="A39" s="34" t="s">
        <v>214</v>
      </c>
      <c r="B39" s="35">
        <v>0</v>
      </c>
      <c r="C39" s="36" t="s">
        <v>209</v>
      </c>
      <c r="D39" s="37" t="s">
        <v>215</v>
      </c>
      <c r="E39" s="37">
        <f>SQRT(3)</f>
        <v>1.7320508075688772</v>
      </c>
      <c r="F39" s="69">
        <f>B39/E39</f>
        <v>0</v>
      </c>
      <c r="G39" s="37">
        <v>50</v>
      </c>
      <c r="H39" s="37">
        <v>1</v>
      </c>
      <c r="I39" s="37">
        <f t="shared" si="6"/>
        <v>0</v>
      </c>
      <c r="J39" s="37">
        <f t="shared" si="7"/>
        <v>0</v>
      </c>
      <c r="K39" s="38">
        <f t="shared" si="8"/>
        <v>0</v>
      </c>
    </row>
    <row r="40" spans="1:11">
      <c r="A40" s="34" t="s">
        <v>216</v>
      </c>
      <c r="B40" s="314">
        <v>0</v>
      </c>
      <c r="C40" s="36" t="s">
        <v>209</v>
      </c>
      <c r="D40" s="37" t="s">
        <v>215</v>
      </c>
      <c r="E40" s="37">
        <f>SQRT(3)</f>
        <v>1.7320508075688772</v>
      </c>
      <c r="F40" s="69">
        <f>B39/E40</f>
        <v>0</v>
      </c>
      <c r="G40" s="37">
        <v>50</v>
      </c>
      <c r="H40" s="37">
        <v>1</v>
      </c>
      <c r="I40" s="37">
        <f t="shared" si="6"/>
        <v>0</v>
      </c>
      <c r="J40" s="37">
        <f t="shared" si="7"/>
        <v>0</v>
      </c>
      <c r="K40" s="38">
        <f t="shared" si="8"/>
        <v>0</v>
      </c>
    </row>
    <row r="41" spans="1:11">
      <c r="A41" s="34" t="s">
        <v>217</v>
      </c>
      <c r="B41" s="35">
        <v>0</v>
      </c>
      <c r="C41" s="36" t="s">
        <v>209</v>
      </c>
      <c r="D41" s="37" t="s">
        <v>215</v>
      </c>
      <c r="E41" s="37">
        <f>SQRT(3)</f>
        <v>1.7320508075688772</v>
      </c>
      <c r="F41" s="69">
        <f>B41/E41</f>
        <v>0</v>
      </c>
      <c r="G41" s="45">
        <v>50</v>
      </c>
      <c r="H41" s="45">
        <v>1</v>
      </c>
      <c r="I41" s="45">
        <f t="shared" si="6"/>
        <v>0</v>
      </c>
      <c r="J41" s="45">
        <f t="shared" si="7"/>
        <v>0</v>
      </c>
      <c r="K41" s="46">
        <f t="shared" si="8"/>
        <v>0</v>
      </c>
    </row>
    <row r="42" spans="1:11" ht="10.5">
      <c r="A42" s="47" t="s">
        <v>218</v>
      </c>
      <c r="B42" s="48"/>
      <c r="C42" s="48"/>
      <c r="D42" s="48"/>
      <c r="E42" s="48"/>
      <c r="F42" s="48"/>
      <c r="G42" s="48"/>
      <c r="H42" s="48"/>
      <c r="I42" s="49"/>
      <c r="J42" s="50">
        <f>SUM(J35:J41)</f>
        <v>7.1400000000000005E-2</v>
      </c>
      <c r="K42" s="51">
        <f>SUM(K35:K41)</f>
        <v>7.9069199999999998E-5</v>
      </c>
    </row>
    <row r="43" spans="1:11" ht="12.5">
      <c r="A43" s="47" t="s">
        <v>219</v>
      </c>
      <c r="B43" s="48"/>
      <c r="C43" s="48"/>
      <c r="D43" s="48"/>
      <c r="E43" s="48"/>
      <c r="F43" s="49"/>
      <c r="G43" s="52" t="s">
        <v>220</v>
      </c>
      <c r="H43" s="53"/>
      <c r="I43" s="54"/>
      <c r="J43" s="50">
        <f>SQRT(J42)</f>
        <v>0.26720778431774778</v>
      </c>
      <c r="K43" s="51"/>
    </row>
    <row r="44" spans="1:11" ht="13.5">
      <c r="A44" s="47" t="s">
        <v>221</v>
      </c>
      <c r="B44" s="48"/>
      <c r="C44" s="48"/>
      <c r="D44" s="48"/>
      <c r="E44" s="48"/>
      <c r="F44" s="49"/>
      <c r="G44" s="55" t="s">
        <v>222</v>
      </c>
      <c r="H44" s="56"/>
      <c r="I44" s="57"/>
      <c r="J44" s="50">
        <f>J43^4/(K42)</f>
        <v>64.474662700520597</v>
      </c>
      <c r="K44" s="51"/>
    </row>
    <row r="45" spans="1:11" ht="10.5">
      <c r="A45" s="47" t="s">
        <v>223</v>
      </c>
      <c r="B45" s="48"/>
      <c r="C45" s="48"/>
      <c r="D45" s="48"/>
      <c r="E45" s="48"/>
      <c r="F45" s="49"/>
      <c r="G45" s="58" t="s">
        <v>224</v>
      </c>
      <c r="H45" s="59"/>
      <c r="I45" s="60"/>
      <c r="J45" s="50">
        <f>TINV(0.05,J44)</f>
        <v>1.9977296543176954</v>
      </c>
      <c r="K45" s="51"/>
    </row>
    <row r="46" spans="1:11" ht="11" thickBot="1">
      <c r="A46" s="61" t="s">
        <v>225</v>
      </c>
      <c r="B46" s="62"/>
      <c r="C46" s="62"/>
      <c r="D46" s="62"/>
      <c r="E46" s="62"/>
      <c r="F46" s="63"/>
      <c r="G46" s="64" t="s">
        <v>226</v>
      </c>
      <c r="H46" s="65"/>
      <c r="I46" s="66"/>
      <c r="J46" s="316">
        <f>J45*J43</f>
        <v>0.53380891459609159</v>
      </c>
      <c r="K46" s="68" t="s">
        <v>209</v>
      </c>
    </row>
    <row r="47" spans="1:11" ht="11" thickBot="1">
      <c r="A47" s="76"/>
      <c r="B47" s="76"/>
      <c r="C47" s="77"/>
      <c r="D47" s="77"/>
      <c r="E47" s="77"/>
      <c r="F47" s="77"/>
      <c r="G47" s="78"/>
      <c r="H47" s="77"/>
      <c r="I47" s="77"/>
      <c r="J47" s="44"/>
      <c r="K47" s="77"/>
    </row>
    <row r="48" spans="1:11">
      <c r="A48" s="28" t="s">
        <v>229</v>
      </c>
      <c r="B48" s="29"/>
      <c r="C48" s="29"/>
      <c r="D48" s="29"/>
      <c r="E48" s="29"/>
      <c r="F48" s="29"/>
      <c r="G48" s="29"/>
      <c r="H48" s="29"/>
      <c r="I48" s="29"/>
      <c r="J48" s="29"/>
      <c r="K48" s="30"/>
    </row>
    <row r="49" spans="1:11">
      <c r="A49" s="31" t="s">
        <v>197</v>
      </c>
      <c r="B49" s="32" t="s">
        <v>198</v>
      </c>
      <c r="C49" s="32" t="s">
        <v>199</v>
      </c>
      <c r="D49" s="32" t="s">
        <v>200</v>
      </c>
      <c r="E49" s="32" t="s">
        <v>201</v>
      </c>
      <c r="F49" s="32" t="s">
        <v>202</v>
      </c>
      <c r="G49" s="32" t="s">
        <v>203</v>
      </c>
      <c r="H49" s="32" t="s">
        <v>204</v>
      </c>
      <c r="I49" s="32" t="s">
        <v>205</v>
      </c>
      <c r="J49" s="32" t="s">
        <v>206</v>
      </c>
      <c r="K49" s="33" t="s">
        <v>207</v>
      </c>
    </row>
    <row r="50" spans="1:11">
      <c r="A50" s="34" t="s">
        <v>208</v>
      </c>
      <c r="B50" s="35">
        <f>ID!I37</f>
        <v>0</v>
      </c>
      <c r="C50" s="36" t="s">
        <v>209</v>
      </c>
      <c r="D50" s="37" t="s">
        <v>210</v>
      </c>
      <c r="E50" s="37">
        <f>SQRT(3)</f>
        <v>1.7320508075688772</v>
      </c>
      <c r="F50" s="69">
        <f>B50/E50</f>
        <v>0</v>
      </c>
      <c r="G50" s="37">
        <v>2</v>
      </c>
      <c r="H50" s="37">
        <v>1</v>
      </c>
      <c r="I50" s="37">
        <f t="shared" ref="I50:I56" si="9">F50*H50</f>
        <v>0</v>
      </c>
      <c r="J50" s="37">
        <f t="shared" ref="J50:J56" si="10">I50^2</f>
        <v>0</v>
      </c>
      <c r="K50" s="38">
        <f t="shared" ref="K50:K56" si="11">(J50^2)/G50</f>
        <v>0</v>
      </c>
    </row>
    <row r="51" spans="1:11">
      <c r="A51" s="34" t="s">
        <v>211</v>
      </c>
      <c r="B51" s="37">
        <f>'Data Sound Level Meter'!H29</f>
        <v>0.16</v>
      </c>
      <c r="C51" s="36" t="s">
        <v>209</v>
      </c>
      <c r="D51" s="37" t="s">
        <v>210</v>
      </c>
      <c r="E51" s="37">
        <v>2</v>
      </c>
      <c r="F51" s="69">
        <f>B51/E51</f>
        <v>0.08</v>
      </c>
      <c r="G51" s="37">
        <v>50</v>
      </c>
      <c r="H51" s="37">
        <v>1</v>
      </c>
      <c r="I51" s="37">
        <f t="shared" si="9"/>
        <v>0.08</v>
      </c>
      <c r="J51" s="37">
        <f t="shared" si="10"/>
        <v>6.4000000000000003E-3</v>
      </c>
      <c r="K51" s="38">
        <f t="shared" si="11"/>
        <v>8.1920000000000003E-7</v>
      </c>
    </row>
    <row r="52" spans="1:11">
      <c r="A52" s="39" t="s">
        <v>212</v>
      </c>
      <c r="B52" s="40">
        <f>'Data Sound Level Meter'!E29</f>
        <v>0.1</v>
      </c>
      <c r="C52" s="36" t="s">
        <v>209</v>
      </c>
      <c r="D52" s="36" t="s">
        <v>210</v>
      </c>
      <c r="E52" s="36">
        <v>2</v>
      </c>
      <c r="F52" s="70">
        <f>B52/E52</f>
        <v>0.05</v>
      </c>
      <c r="G52" s="42">
        <v>50</v>
      </c>
      <c r="H52" s="42">
        <v>1</v>
      </c>
      <c r="I52" s="41">
        <f t="shared" si="9"/>
        <v>0.05</v>
      </c>
      <c r="J52" s="41">
        <f t="shared" si="10"/>
        <v>2.5000000000000005E-3</v>
      </c>
      <c r="K52" s="43">
        <f t="shared" si="11"/>
        <v>1.2500000000000005E-7</v>
      </c>
    </row>
    <row r="53" spans="1:11">
      <c r="A53" s="39" t="s">
        <v>213</v>
      </c>
      <c r="B53" s="36">
        <f>'Data Sound Level Meter'!B32</f>
        <v>0.6</v>
      </c>
      <c r="C53" s="36" t="s">
        <v>209</v>
      </c>
      <c r="D53" s="36" t="s">
        <v>210</v>
      </c>
      <c r="E53" s="36">
        <v>2</v>
      </c>
      <c r="F53" s="70">
        <f>B53/E53</f>
        <v>0.3</v>
      </c>
      <c r="G53" s="42">
        <v>50</v>
      </c>
      <c r="H53" s="42">
        <v>1</v>
      </c>
      <c r="I53" s="41">
        <f t="shared" si="9"/>
        <v>0.3</v>
      </c>
      <c r="J53" s="41">
        <f t="shared" si="10"/>
        <v>0.09</v>
      </c>
      <c r="K53" s="43">
        <f t="shared" si="11"/>
        <v>1.6199999999999998E-4</v>
      </c>
    </row>
    <row r="54" spans="1:11">
      <c r="A54" s="34" t="s">
        <v>214</v>
      </c>
      <c r="B54" s="35">
        <v>0</v>
      </c>
      <c r="C54" s="36" t="s">
        <v>209</v>
      </c>
      <c r="D54" s="37" t="s">
        <v>215</v>
      </c>
      <c r="E54" s="37">
        <f>SQRT(3)</f>
        <v>1.7320508075688772</v>
      </c>
      <c r="F54" s="69">
        <f>B54/E54</f>
        <v>0</v>
      </c>
      <c r="G54" s="37">
        <v>50</v>
      </c>
      <c r="H54" s="37">
        <v>1</v>
      </c>
      <c r="I54" s="37">
        <f t="shared" si="9"/>
        <v>0</v>
      </c>
      <c r="J54" s="37">
        <f t="shared" si="10"/>
        <v>0</v>
      </c>
      <c r="K54" s="38">
        <f t="shared" si="11"/>
        <v>0</v>
      </c>
    </row>
    <row r="55" spans="1:11">
      <c r="A55" s="34" t="s">
        <v>216</v>
      </c>
      <c r="B55" s="314">
        <v>0</v>
      </c>
      <c r="C55" s="36" t="s">
        <v>209</v>
      </c>
      <c r="D55" s="37" t="s">
        <v>215</v>
      </c>
      <c r="E55" s="37">
        <f>SQRT(3)</f>
        <v>1.7320508075688772</v>
      </c>
      <c r="F55" s="69">
        <f>B54/E55</f>
        <v>0</v>
      </c>
      <c r="G55" s="37">
        <v>50</v>
      </c>
      <c r="H55" s="37">
        <v>1</v>
      </c>
      <c r="I55" s="37">
        <f t="shared" si="9"/>
        <v>0</v>
      </c>
      <c r="J55" s="37">
        <f t="shared" si="10"/>
        <v>0</v>
      </c>
      <c r="K55" s="38">
        <f t="shared" si="11"/>
        <v>0</v>
      </c>
    </row>
    <row r="56" spans="1:11">
      <c r="A56" s="34" t="s">
        <v>217</v>
      </c>
      <c r="B56" s="35">
        <v>0</v>
      </c>
      <c r="C56" s="36" t="s">
        <v>209</v>
      </c>
      <c r="D56" s="37" t="s">
        <v>215</v>
      </c>
      <c r="E56" s="37">
        <f>SQRT(3)</f>
        <v>1.7320508075688772</v>
      </c>
      <c r="F56" s="69">
        <f>B56/E56</f>
        <v>0</v>
      </c>
      <c r="G56" s="45">
        <v>50</v>
      </c>
      <c r="H56" s="45">
        <v>1</v>
      </c>
      <c r="I56" s="45">
        <f t="shared" si="9"/>
        <v>0</v>
      </c>
      <c r="J56" s="45">
        <f t="shared" si="10"/>
        <v>0</v>
      </c>
      <c r="K56" s="46">
        <f t="shared" si="11"/>
        <v>0</v>
      </c>
    </row>
    <row r="57" spans="1:11" ht="10.5">
      <c r="A57" s="47" t="s">
        <v>218</v>
      </c>
      <c r="B57" s="48"/>
      <c r="C57" s="48"/>
      <c r="D57" s="48"/>
      <c r="E57" s="48"/>
      <c r="F57" s="48"/>
      <c r="G57" s="48"/>
      <c r="H57" s="48"/>
      <c r="I57" s="49"/>
      <c r="J57" s="50">
        <f>SUM(J50:J56)</f>
        <v>9.8900000000000002E-2</v>
      </c>
      <c r="K57" s="51">
        <f>SUM(K50:K56)</f>
        <v>1.6294419999999998E-4</v>
      </c>
    </row>
    <row r="58" spans="1:11" ht="12.5">
      <c r="A58" s="47" t="s">
        <v>219</v>
      </c>
      <c r="B58" s="48"/>
      <c r="C58" s="48"/>
      <c r="D58" s="48"/>
      <c r="E58" s="48"/>
      <c r="F58" s="49"/>
      <c r="G58" s="52" t="s">
        <v>220</v>
      </c>
      <c r="H58" s="53"/>
      <c r="I58" s="54"/>
      <c r="J58" s="50">
        <f>SQRT(J57)</f>
        <v>0.31448370387032776</v>
      </c>
      <c r="K58" s="51"/>
    </row>
    <row r="59" spans="1:11" ht="13.5">
      <c r="A59" s="47" t="s">
        <v>221</v>
      </c>
      <c r="B59" s="48"/>
      <c r="C59" s="48"/>
      <c r="D59" s="48"/>
      <c r="E59" s="48"/>
      <c r="F59" s="49"/>
      <c r="G59" s="55" t="s">
        <v>222</v>
      </c>
      <c r="H59" s="56"/>
      <c r="I59" s="57"/>
      <c r="J59" s="50">
        <f>J58^4/(K57)</f>
        <v>60.027972766137133</v>
      </c>
      <c r="K59" s="51"/>
    </row>
    <row r="60" spans="1:11" ht="10.5">
      <c r="A60" s="47" t="s">
        <v>223</v>
      </c>
      <c r="B60" s="48"/>
      <c r="C60" s="48"/>
      <c r="D60" s="48"/>
      <c r="E60" s="48"/>
      <c r="F60" s="49"/>
      <c r="G60" s="58" t="s">
        <v>224</v>
      </c>
      <c r="H60" s="59"/>
      <c r="I60" s="60"/>
      <c r="J60" s="50">
        <f>TINV(0.05,J59)</f>
        <v>2.0002978220142609</v>
      </c>
      <c r="K60" s="51"/>
    </row>
    <row r="61" spans="1:11" ht="11" thickBot="1">
      <c r="A61" s="61" t="s">
        <v>225</v>
      </c>
      <c r="B61" s="62"/>
      <c r="C61" s="62"/>
      <c r="D61" s="62"/>
      <c r="E61" s="62"/>
      <c r="F61" s="63"/>
      <c r="G61" s="64" t="s">
        <v>226</v>
      </c>
      <c r="H61" s="65"/>
      <c r="I61" s="66"/>
      <c r="J61" s="316">
        <f>J60*J58</f>
        <v>0.62906106791079441</v>
      </c>
      <c r="K61" s="68" t="s">
        <v>209</v>
      </c>
    </row>
    <row r="62" spans="1:11" ht="11" thickBot="1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</row>
    <row r="63" spans="1:11">
      <c r="A63" s="28" t="s">
        <v>230</v>
      </c>
      <c r="B63" s="29"/>
      <c r="C63" s="29"/>
      <c r="D63" s="29"/>
      <c r="E63" s="29"/>
      <c r="F63" s="29"/>
      <c r="G63" s="29"/>
      <c r="H63" s="29"/>
      <c r="I63" s="29"/>
      <c r="J63" s="29"/>
      <c r="K63" s="30"/>
    </row>
    <row r="64" spans="1:11">
      <c r="A64" s="31" t="s">
        <v>197</v>
      </c>
      <c r="B64" s="32" t="s">
        <v>198</v>
      </c>
      <c r="C64" s="32" t="s">
        <v>199</v>
      </c>
      <c r="D64" s="32" t="s">
        <v>200</v>
      </c>
      <c r="E64" s="32" t="s">
        <v>201</v>
      </c>
      <c r="F64" s="32" t="s">
        <v>202</v>
      </c>
      <c r="G64" s="32" t="s">
        <v>203</v>
      </c>
      <c r="H64" s="32" t="s">
        <v>204</v>
      </c>
      <c r="I64" s="32" t="s">
        <v>205</v>
      </c>
      <c r="J64" s="32" t="s">
        <v>206</v>
      </c>
      <c r="K64" s="33" t="s">
        <v>207</v>
      </c>
    </row>
    <row r="65" spans="1:11">
      <c r="A65" s="34" t="s">
        <v>208</v>
      </c>
      <c r="B65" s="35">
        <f>ID!I38</f>
        <v>0</v>
      </c>
      <c r="C65" s="36" t="s">
        <v>209</v>
      </c>
      <c r="D65" s="37" t="s">
        <v>210</v>
      </c>
      <c r="E65" s="37">
        <f>SQRT(3)</f>
        <v>1.7320508075688772</v>
      </c>
      <c r="F65" s="69">
        <f>B65/E65</f>
        <v>0</v>
      </c>
      <c r="G65" s="37">
        <v>2</v>
      </c>
      <c r="H65" s="37">
        <v>1</v>
      </c>
      <c r="I65" s="37">
        <f t="shared" ref="I65:I71" si="12">F65*H65</f>
        <v>0</v>
      </c>
      <c r="J65" s="37">
        <f t="shared" ref="J65:J71" si="13">I65^2</f>
        <v>0</v>
      </c>
      <c r="K65" s="38">
        <f t="shared" ref="K65:K71" si="14">(J65^2)/G65</f>
        <v>0</v>
      </c>
    </row>
    <row r="66" spans="1:11">
      <c r="A66" s="34" t="s">
        <v>211</v>
      </c>
      <c r="B66" s="37">
        <f>'Data Sound Level Meter'!H29</f>
        <v>0.16</v>
      </c>
      <c r="C66" s="36" t="s">
        <v>209</v>
      </c>
      <c r="D66" s="37" t="s">
        <v>210</v>
      </c>
      <c r="E66" s="37">
        <v>2</v>
      </c>
      <c r="F66" s="69">
        <f>B66/E66</f>
        <v>0.08</v>
      </c>
      <c r="G66" s="37">
        <v>50</v>
      </c>
      <c r="H66" s="37">
        <v>1</v>
      </c>
      <c r="I66" s="37">
        <f t="shared" si="12"/>
        <v>0.08</v>
      </c>
      <c r="J66" s="37">
        <f t="shared" si="13"/>
        <v>6.4000000000000003E-3</v>
      </c>
      <c r="K66" s="38">
        <f t="shared" si="14"/>
        <v>8.1920000000000003E-7</v>
      </c>
    </row>
    <row r="67" spans="1:11">
      <c r="A67" s="39" t="s">
        <v>212</v>
      </c>
      <c r="B67" s="40">
        <f>'Data Sound Level Meter'!E29</f>
        <v>0.1</v>
      </c>
      <c r="C67" s="36" t="s">
        <v>209</v>
      </c>
      <c r="D67" s="36" t="s">
        <v>210</v>
      </c>
      <c r="E67" s="36">
        <v>2</v>
      </c>
      <c r="F67" s="70">
        <f>B67/E67</f>
        <v>0.05</v>
      </c>
      <c r="G67" s="42">
        <v>50</v>
      </c>
      <c r="H67" s="42">
        <v>1</v>
      </c>
      <c r="I67" s="41">
        <f t="shared" si="12"/>
        <v>0.05</v>
      </c>
      <c r="J67" s="41">
        <f t="shared" si="13"/>
        <v>2.5000000000000005E-3</v>
      </c>
      <c r="K67" s="43">
        <f t="shared" si="14"/>
        <v>1.2500000000000005E-7</v>
      </c>
    </row>
    <row r="68" spans="1:11">
      <c r="A68" s="39" t="s">
        <v>213</v>
      </c>
      <c r="B68" s="36">
        <f>'Data Sound Level Meter'!B33</f>
        <v>0.6</v>
      </c>
      <c r="C68" s="36" t="s">
        <v>209</v>
      </c>
      <c r="D68" s="36" t="s">
        <v>210</v>
      </c>
      <c r="E68" s="36">
        <v>2</v>
      </c>
      <c r="F68" s="70">
        <f>B68/E68</f>
        <v>0.3</v>
      </c>
      <c r="G68" s="42">
        <v>50</v>
      </c>
      <c r="H68" s="42">
        <v>1</v>
      </c>
      <c r="I68" s="41">
        <f t="shared" si="12"/>
        <v>0.3</v>
      </c>
      <c r="J68" s="41">
        <f t="shared" si="13"/>
        <v>0.09</v>
      </c>
      <c r="K68" s="43">
        <f t="shared" si="14"/>
        <v>1.6199999999999998E-4</v>
      </c>
    </row>
    <row r="69" spans="1:11">
      <c r="A69" s="34" t="s">
        <v>214</v>
      </c>
      <c r="B69" s="35">
        <v>0</v>
      </c>
      <c r="C69" s="36" t="s">
        <v>209</v>
      </c>
      <c r="D69" s="37" t="s">
        <v>215</v>
      </c>
      <c r="E69" s="37">
        <f>SQRT(3)</f>
        <v>1.7320508075688772</v>
      </c>
      <c r="F69" s="69">
        <f>B69/E69</f>
        <v>0</v>
      </c>
      <c r="G69" s="37">
        <v>50</v>
      </c>
      <c r="H69" s="37">
        <v>1</v>
      </c>
      <c r="I69" s="37">
        <f t="shared" si="12"/>
        <v>0</v>
      </c>
      <c r="J69" s="37">
        <f t="shared" si="13"/>
        <v>0</v>
      </c>
      <c r="K69" s="38">
        <f t="shared" si="14"/>
        <v>0</v>
      </c>
    </row>
    <row r="70" spans="1:11">
      <c r="A70" s="34" t="s">
        <v>216</v>
      </c>
      <c r="B70" s="314">
        <v>0</v>
      </c>
      <c r="C70" s="36" t="s">
        <v>209</v>
      </c>
      <c r="D70" s="37" t="s">
        <v>215</v>
      </c>
      <c r="E70" s="37">
        <f>SQRT(3)</f>
        <v>1.7320508075688772</v>
      </c>
      <c r="F70" s="69">
        <f>B69/E70</f>
        <v>0</v>
      </c>
      <c r="G70" s="37">
        <v>50</v>
      </c>
      <c r="H70" s="37">
        <v>1</v>
      </c>
      <c r="I70" s="37">
        <f t="shared" si="12"/>
        <v>0</v>
      </c>
      <c r="J70" s="37">
        <f t="shared" si="13"/>
        <v>0</v>
      </c>
      <c r="K70" s="38">
        <f t="shared" si="14"/>
        <v>0</v>
      </c>
    </row>
    <row r="71" spans="1:11">
      <c r="A71" s="34" t="s">
        <v>217</v>
      </c>
      <c r="B71" s="35">
        <v>0</v>
      </c>
      <c r="C71" s="36" t="s">
        <v>209</v>
      </c>
      <c r="D71" s="37" t="s">
        <v>215</v>
      </c>
      <c r="E71" s="37">
        <f>SQRT(3)</f>
        <v>1.7320508075688772</v>
      </c>
      <c r="F71" s="69">
        <f>B71/E71</f>
        <v>0</v>
      </c>
      <c r="G71" s="45">
        <v>50</v>
      </c>
      <c r="H71" s="45">
        <v>1</v>
      </c>
      <c r="I71" s="45">
        <f t="shared" si="12"/>
        <v>0</v>
      </c>
      <c r="J71" s="45">
        <f t="shared" si="13"/>
        <v>0</v>
      </c>
      <c r="K71" s="46">
        <f t="shared" si="14"/>
        <v>0</v>
      </c>
    </row>
    <row r="72" spans="1:11" ht="10.5">
      <c r="A72" s="47" t="s">
        <v>218</v>
      </c>
      <c r="B72" s="48"/>
      <c r="C72" s="48"/>
      <c r="D72" s="48"/>
      <c r="E72" s="48"/>
      <c r="F72" s="48"/>
      <c r="G72" s="48"/>
      <c r="H72" s="48"/>
      <c r="I72" s="49"/>
      <c r="J72" s="50">
        <f>SUM(J65:J71)</f>
        <v>9.8900000000000002E-2</v>
      </c>
      <c r="K72" s="51">
        <f>SUM(K65:K71)</f>
        <v>1.6294419999999998E-4</v>
      </c>
    </row>
    <row r="73" spans="1:11" ht="12.5">
      <c r="A73" s="47" t="s">
        <v>219</v>
      </c>
      <c r="B73" s="48"/>
      <c r="C73" s="48"/>
      <c r="D73" s="48"/>
      <c r="E73" s="48"/>
      <c r="F73" s="49"/>
      <c r="G73" s="52" t="s">
        <v>220</v>
      </c>
      <c r="H73" s="53"/>
      <c r="I73" s="54"/>
      <c r="J73" s="50">
        <f>SQRT(J72)</f>
        <v>0.31448370387032776</v>
      </c>
      <c r="K73" s="51"/>
    </row>
    <row r="74" spans="1:11" ht="13.5">
      <c r="A74" s="47" t="s">
        <v>221</v>
      </c>
      <c r="B74" s="48"/>
      <c r="C74" s="48"/>
      <c r="D74" s="48"/>
      <c r="E74" s="48"/>
      <c r="F74" s="49"/>
      <c r="G74" s="55" t="s">
        <v>222</v>
      </c>
      <c r="H74" s="56"/>
      <c r="I74" s="57"/>
      <c r="J74" s="50">
        <f>J73^4/(K72)</f>
        <v>60.027972766137133</v>
      </c>
      <c r="K74" s="51"/>
    </row>
    <row r="75" spans="1:11" ht="10.5">
      <c r="A75" s="47" t="s">
        <v>223</v>
      </c>
      <c r="B75" s="48"/>
      <c r="C75" s="48"/>
      <c r="D75" s="48"/>
      <c r="E75" s="48"/>
      <c r="F75" s="49"/>
      <c r="G75" s="58" t="s">
        <v>224</v>
      </c>
      <c r="H75" s="59"/>
      <c r="I75" s="60"/>
      <c r="J75" s="50">
        <f>TINV(0.05,J74)</f>
        <v>2.0002978220142609</v>
      </c>
      <c r="K75" s="51"/>
    </row>
    <row r="76" spans="1:11" ht="11" thickBot="1">
      <c r="A76" s="61" t="s">
        <v>225</v>
      </c>
      <c r="B76" s="62"/>
      <c r="C76" s="62"/>
      <c r="D76" s="62"/>
      <c r="E76" s="62"/>
      <c r="F76" s="63"/>
      <c r="G76" s="64" t="s">
        <v>226</v>
      </c>
      <c r="H76" s="65"/>
      <c r="I76" s="66"/>
      <c r="J76" s="315">
        <f>J75*J73</f>
        <v>0.62906106791079441</v>
      </c>
      <c r="K76" s="68" t="s">
        <v>209</v>
      </c>
    </row>
    <row r="77" spans="1:11" ht="11" thickBo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8" spans="1:11">
      <c r="A78" s="28" t="s">
        <v>231</v>
      </c>
      <c r="B78" s="29"/>
      <c r="C78" s="29"/>
      <c r="D78" s="29"/>
      <c r="E78" s="29"/>
      <c r="F78" s="29"/>
      <c r="G78" s="29"/>
      <c r="H78" s="29"/>
      <c r="I78" s="29"/>
      <c r="J78" s="29"/>
      <c r="K78" s="30"/>
    </row>
    <row r="79" spans="1:11">
      <c r="A79" s="31" t="s">
        <v>197</v>
      </c>
      <c r="B79" s="32" t="s">
        <v>198</v>
      </c>
      <c r="C79" s="32" t="s">
        <v>199</v>
      </c>
      <c r="D79" s="32" t="s">
        <v>200</v>
      </c>
      <c r="E79" s="32" t="s">
        <v>201</v>
      </c>
      <c r="F79" s="32" t="s">
        <v>202</v>
      </c>
      <c r="G79" s="32" t="s">
        <v>203</v>
      </c>
      <c r="H79" s="32" t="s">
        <v>204</v>
      </c>
      <c r="I79" s="32" t="s">
        <v>205</v>
      </c>
      <c r="J79" s="32" t="s">
        <v>206</v>
      </c>
      <c r="K79" s="33" t="s">
        <v>207</v>
      </c>
    </row>
    <row r="80" spans="1:11">
      <c r="A80" s="34" t="s">
        <v>208</v>
      </c>
      <c r="B80" s="35">
        <f>ID!I39</f>
        <v>0</v>
      </c>
      <c r="C80" s="36" t="s">
        <v>209</v>
      </c>
      <c r="D80" s="37" t="s">
        <v>210</v>
      </c>
      <c r="E80" s="37">
        <f>SQRT(3)</f>
        <v>1.7320508075688772</v>
      </c>
      <c r="F80" s="69">
        <f>B80/E80</f>
        <v>0</v>
      </c>
      <c r="G80" s="37">
        <v>2</v>
      </c>
      <c r="H80" s="37">
        <v>1</v>
      </c>
      <c r="I80" s="37">
        <f t="shared" ref="I80:I86" si="15">F80*H80</f>
        <v>0</v>
      </c>
      <c r="J80" s="37">
        <f t="shared" ref="J80:J86" si="16">I80^2</f>
        <v>0</v>
      </c>
      <c r="K80" s="38">
        <f t="shared" ref="K80:K86" si="17">(J80^2)/G80</f>
        <v>0</v>
      </c>
    </row>
    <row r="81" spans="1:11">
      <c r="A81" s="34" t="s">
        <v>211</v>
      </c>
      <c r="B81" s="37">
        <f>'Data Sound Level Meter'!H29</f>
        <v>0.16</v>
      </c>
      <c r="C81" s="36" t="s">
        <v>209</v>
      </c>
      <c r="D81" s="37" t="s">
        <v>210</v>
      </c>
      <c r="E81" s="37">
        <v>2</v>
      </c>
      <c r="F81" s="69">
        <f>B81/E81</f>
        <v>0.08</v>
      </c>
      <c r="G81" s="37">
        <v>50</v>
      </c>
      <c r="H81" s="37">
        <v>1</v>
      </c>
      <c r="I81" s="37">
        <f t="shared" si="15"/>
        <v>0.08</v>
      </c>
      <c r="J81" s="37">
        <f t="shared" si="16"/>
        <v>6.4000000000000003E-3</v>
      </c>
      <c r="K81" s="38">
        <f t="shared" si="17"/>
        <v>8.1920000000000003E-7</v>
      </c>
    </row>
    <row r="82" spans="1:11">
      <c r="A82" s="39" t="s">
        <v>212</v>
      </c>
      <c r="B82" s="40">
        <f>'Data Sound Level Meter'!E29</f>
        <v>0.1</v>
      </c>
      <c r="C82" s="36" t="s">
        <v>209</v>
      </c>
      <c r="D82" s="36" t="s">
        <v>210</v>
      </c>
      <c r="E82" s="36">
        <v>2</v>
      </c>
      <c r="F82" s="70">
        <f>B82/E82</f>
        <v>0.05</v>
      </c>
      <c r="G82" s="42">
        <v>50</v>
      </c>
      <c r="H82" s="42">
        <v>1</v>
      </c>
      <c r="I82" s="41">
        <f t="shared" si="15"/>
        <v>0.05</v>
      </c>
      <c r="J82" s="41">
        <f t="shared" si="16"/>
        <v>2.5000000000000005E-3</v>
      </c>
      <c r="K82" s="43">
        <f t="shared" si="17"/>
        <v>1.2500000000000005E-7</v>
      </c>
    </row>
    <row r="83" spans="1:11">
      <c r="A83" s="39" t="s">
        <v>213</v>
      </c>
      <c r="B83" s="36">
        <f>'Data Sound Level Meter'!E29</f>
        <v>0.1</v>
      </c>
      <c r="C83" s="36" t="s">
        <v>209</v>
      </c>
      <c r="D83" s="36" t="s">
        <v>210</v>
      </c>
      <c r="E83" s="36">
        <v>2</v>
      </c>
      <c r="F83" s="70">
        <f>B83/E83</f>
        <v>0.05</v>
      </c>
      <c r="G83" s="42">
        <v>50</v>
      </c>
      <c r="H83" s="42">
        <v>1</v>
      </c>
      <c r="I83" s="41">
        <f t="shared" si="15"/>
        <v>0.05</v>
      </c>
      <c r="J83" s="41">
        <f t="shared" si="16"/>
        <v>2.5000000000000005E-3</v>
      </c>
      <c r="K83" s="43">
        <f t="shared" si="17"/>
        <v>1.2500000000000005E-7</v>
      </c>
    </row>
    <row r="84" spans="1:11">
      <c r="A84" s="34" t="s">
        <v>214</v>
      </c>
      <c r="B84" s="35">
        <v>0</v>
      </c>
      <c r="C84" s="36" t="s">
        <v>209</v>
      </c>
      <c r="D84" s="37" t="s">
        <v>215</v>
      </c>
      <c r="E84" s="37">
        <f>SQRT(3)</f>
        <v>1.7320508075688772</v>
      </c>
      <c r="F84" s="69">
        <f>B84/E84</f>
        <v>0</v>
      </c>
      <c r="G84" s="37">
        <v>50</v>
      </c>
      <c r="H84" s="37">
        <v>1</v>
      </c>
      <c r="I84" s="37">
        <f t="shared" si="15"/>
        <v>0</v>
      </c>
      <c r="J84" s="37">
        <f t="shared" si="16"/>
        <v>0</v>
      </c>
      <c r="K84" s="38">
        <f t="shared" si="17"/>
        <v>0</v>
      </c>
    </row>
    <row r="85" spans="1:11">
      <c r="A85" s="34" t="s">
        <v>216</v>
      </c>
      <c r="B85" s="314">
        <v>0</v>
      </c>
      <c r="C85" s="36" t="s">
        <v>209</v>
      </c>
      <c r="D85" s="37" t="s">
        <v>215</v>
      </c>
      <c r="E85" s="37">
        <f>SQRT(3)</f>
        <v>1.7320508075688772</v>
      </c>
      <c r="F85" s="69">
        <f>B84/E85</f>
        <v>0</v>
      </c>
      <c r="G85" s="37">
        <v>50</v>
      </c>
      <c r="H85" s="37">
        <v>1</v>
      </c>
      <c r="I85" s="37">
        <f t="shared" si="15"/>
        <v>0</v>
      </c>
      <c r="J85" s="37">
        <f t="shared" si="16"/>
        <v>0</v>
      </c>
      <c r="K85" s="38">
        <f t="shared" si="17"/>
        <v>0</v>
      </c>
    </row>
    <row r="86" spans="1:11">
      <c r="A86" s="34" t="s">
        <v>217</v>
      </c>
      <c r="B86" s="35">
        <v>0</v>
      </c>
      <c r="C86" s="36" t="s">
        <v>209</v>
      </c>
      <c r="D86" s="37" t="s">
        <v>215</v>
      </c>
      <c r="E86" s="37">
        <f>SQRT(3)</f>
        <v>1.7320508075688772</v>
      </c>
      <c r="F86" s="69">
        <f>B86/E86</f>
        <v>0</v>
      </c>
      <c r="G86" s="45">
        <v>50</v>
      </c>
      <c r="H86" s="45">
        <v>1</v>
      </c>
      <c r="I86" s="45">
        <f t="shared" si="15"/>
        <v>0</v>
      </c>
      <c r="J86" s="45">
        <f t="shared" si="16"/>
        <v>0</v>
      </c>
      <c r="K86" s="46">
        <f t="shared" si="17"/>
        <v>0</v>
      </c>
    </row>
    <row r="87" spans="1:11" ht="10.5">
      <c r="A87" s="47" t="s">
        <v>218</v>
      </c>
      <c r="B87" s="48"/>
      <c r="C87" s="48"/>
      <c r="D87" s="48"/>
      <c r="E87" s="48"/>
      <c r="F87" s="48"/>
      <c r="G87" s="48"/>
      <c r="H87" s="48"/>
      <c r="I87" s="49"/>
      <c r="J87" s="50">
        <f>SUM(J80:J86)</f>
        <v>1.1400000000000002E-2</v>
      </c>
      <c r="K87" s="51">
        <f>SUM(K80:K86)</f>
        <v>1.0692000000000001E-6</v>
      </c>
    </row>
    <row r="88" spans="1:11" ht="12.5">
      <c r="A88" s="47" t="s">
        <v>219</v>
      </c>
      <c r="B88" s="48"/>
      <c r="C88" s="48"/>
      <c r="D88" s="48"/>
      <c r="E88" s="48"/>
      <c r="F88" s="49"/>
      <c r="G88" s="52" t="s">
        <v>220</v>
      </c>
      <c r="H88" s="53"/>
      <c r="I88" s="54"/>
      <c r="J88" s="50">
        <f>SQRT(J87)</f>
        <v>0.10677078252031312</v>
      </c>
      <c r="K88" s="51"/>
    </row>
    <row r="89" spans="1:11" ht="13.5">
      <c r="A89" s="47" t="s">
        <v>221</v>
      </c>
      <c r="B89" s="48"/>
      <c r="C89" s="48"/>
      <c r="D89" s="48"/>
      <c r="E89" s="48"/>
      <c r="F89" s="49"/>
      <c r="G89" s="55" t="s">
        <v>222</v>
      </c>
      <c r="H89" s="56"/>
      <c r="I89" s="57"/>
      <c r="J89" s="50">
        <f>J88^4/(K87)</f>
        <v>121.54882154882158</v>
      </c>
      <c r="K89" s="51"/>
    </row>
    <row r="90" spans="1:11" ht="10.5">
      <c r="A90" s="47" t="s">
        <v>223</v>
      </c>
      <c r="B90" s="48"/>
      <c r="C90" s="48"/>
      <c r="D90" s="48"/>
      <c r="E90" s="48"/>
      <c r="F90" s="49"/>
      <c r="G90" s="58" t="s">
        <v>224</v>
      </c>
      <c r="H90" s="59"/>
      <c r="I90" s="60"/>
      <c r="J90" s="50">
        <f>TINV(0.05,J89)</f>
        <v>1.9797637625053852</v>
      </c>
      <c r="K90" s="51"/>
    </row>
    <row r="91" spans="1:11" ht="11" thickBot="1">
      <c r="A91" s="61" t="s">
        <v>225</v>
      </c>
      <c r="B91" s="62"/>
      <c r="C91" s="62"/>
      <c r="D91" s="62"/>
      <c r="E91" s="62"/>
      <c r="F91" s="63"/>
      <c r="G91" s="64" t="s">
        <v>226</v>
      </c>
      <c r="H91" s="65"/>
      <c r="I91" s="66"/>
      <c r="J91" s="316">
        <f>J90*J88</f>
        <v>0.21138092612805931</v>
      </c>
      <c r="K91" s="68" t="s">
        <v>209</v>
      </c>
    </row>
    <row r="92" spans="1:11" ht="11" thickBot="1">
      <c r="A92" s="82"/>
      <c r="B92" s="14"/>
      <c r="C92" s="14"/>
      <c r="D92" s="14"/>
      <c r="E92" s="14"/>
      <c r="F92" s="14"/>
      <c r="G92" s="14"/>
      <c r="H92" s="82"/>
      <c r="I92" s="14"/>
      <c r="J92" s="14"/>
      <c r="K92" s="14"/>
    </row>
    <row r="93" spans="1:11">
      <c r="A93" s="28" t="s">
        <v>232</v>
      </c>
      <c r="B93" s="29"/>
      <c r="C93" s="29"/>
      <c r="D93" s="29"/>
      <c r="E93" s="29"/>
      <c r="F93" s="29"/>
      <c r="G93" s="29"/>
      <c r="H93" s="29"/>
      <c r="I93" s="29"/>
      <c r="J93" s="29"/>
      <c r="K93" s="30"/>
    </row>
    <row r="94" spans="1:11">
      <c r="A94" s="31" t="s">
        <v>197</v>
      </c>
      <c r="B94" s="32" t="s">
        <v>198</v>
      </c>
      <c r="C94" s="32" t="s">
        <v>199</v>
      </c>
      <c r="D94" s="32" t="s">
        <v>200</v>
      </c>
      <c r="E94" s="32" t="s">
        <v>201</v>
      </c>
      <c r="F94" s="32" t="s">
        <v>202</v>
      </c>
      <c r="G94" s="32" t="s">
        <v>203</v>
      </c>
      <c r="H94" s="32" t="s">
        <v>204</v>
      </c>
      <c r="I94" s="32" t="s">
        <v>205</v>
      </c>
      <c r="J94" s="32" t="s">
        <v>206</v>
      </c>
      <c r="K94" s="33" t="s">
        <v>207</v>
      </c>
    </row>
    <row r="95" spans="1:11">
      <c r="A95" s="34" t="s">
        <v>208</v>
      </c>
      <c r="B95" s="35">
        <f>ID!I40</f>
        <v>0</v>
      </c>
      <c r="C95" s="36" t="s">
        <v>209</v>
      </c>
      <c r="D95" s="37" t="s">
        <v>210</v>
      </c>
      <c r="E95" s="37">
        <f>SQRT(3)</f>
        <v>1.7320508075688772</v>
      </c>
      <c r="F95" s="69">
        <f>B95/E95</f>
        <v>0</v>
      </c>
      <c r="G95" s="37">
        <v>2</v>
      </c>
      <c r="H95" s="37">
        <v>1</v>
      </c>
      <c r="I95" s="37">
        <f t="shared" ref="I95:I101" si="18">F95*H95</f>
        <v>0</v>
      </c>
      <c r="J95" s="37">
        <f t="shared" ref="J95:J101" si="19">I95^2</f>
        <v>0</v>
      </c>
      <c r="K95" s="38">
        <f t="shared" ref="K95:K101" si="20">(J95^2)/G95</f>
        <v>0</v>
      </c>
    </row>
    <row r="96" spans="1:11">
      <c r="A96" s="34" t="s">
        <v>211</v>
      </c>
      <c r="B96" s="37">
        <f>'Data Sound Level Meter'!H29</f>
        <v>0.16</v>
      </c>
      <c r="C96" s="36" t="s">
        <v>209</v>
      </c>
      <c r="D96" s="37" t="s">
        <v>210</v>
      </c>
      <c r="E96" s="37">
        <v>2</v>
      </c>
      <c r="F96" s="69">
        <f>B96/E96</f>
        <v>0.08</v>
      </c>
      <c r="G96" s="37">
        <v>50</v>
      </c>
      <c r="H96" s="37">
        <v>1</v>
      </c>
      <c r="I96" s="37">
        <f t="shared" si="18"/>
        <v>0.08</v>
      </c>
      <c r="J96" s="37">
        <f t="shared" si="19"/>
        <v>6.4000000000000003E-3</v>
      </c>
      <c r="K96" s="38">
        <f t="shared" si="20"/>
        <v>8.1920000000000003E-7</v>
      </c>
    </row>
    <row r="97" spans="1:11">
      <c r="A97" s="39" t="s">
        <v>212</v>
      </c>
      <c r="B97" s="40">
        <f>'Data Sound Level Meter'!E29</f>
        <v>0.1</v>
      </c>
      <c r="C97" s="36" t="s">
        <v>209</v>
      </c>
      <c r="D97" s="36" t="s">
        <v>210</v>
      </c>
      <c r="E97" s="36">
        <v>2</v>
      </c>
      <c r="F97" s="70">
        <f>B97/E97</f>
        <v>0.05</v>
      </c>
      <c r="G97" s="42">
        <v>50</v>
      </c>
      <c r="H97" s="42">
        <v>1</v>
      </c>
      <c r="I97" s="41">
        <f t="shared" si="18"/>
        <v>0.05</v>
      </c>
      <c r="J97" s="41">
        <f t="shared" si="19"/>
        <v>2.5000000000000005E-3</v>
      </c>
      <c r="K97" s="43">
        <f t="shared" si="20"/>
        <v>1.2500000000000005E-7</v>
      </c>
    </row>
    <row r="98" spans="1:11">
      <c r="A98" s="39" t="s">
        <v>213</v>
      </c>
      <c r="B98" s="36">
        <f>'Data Sound Level Meter'!B35</f>
        <v>0.8</v>
      </c>
      <c r="C98" s="36" t="s">
        <v>209</v>
      </c>
      <c r="D98" s="36" t="s">
        <v>210</v>
      </c>
      <c r="E98" s="36">
        <v>2</v>
      </c>
      <c r="F98" s="70">
        <f>B98/E98</f>
        <v>0.4</v>
      </c>
      <c r="G98" s="42">
        <v>50</v>
      </c>
      <c r="H98" s="42">
        <v>1</v>
      </c>
      <c r="I98" s="41">
        <f t="shared" si="18"/>
        <v>0.4</v>
      </c>
      <c r="J98" s="41">
        <f t="shared" si="19"/>
        <v>0.16000000000000003</v>
      </c>
      <c r="K98" s="43">
        <f t="shared" si="20"/>
        <v>5.1200000000000019E-4</v>
      </c>
    </row>
    <row r="99" spans="1:11">
      <c r="A99" s="34" t="s">
        <v>214</v>
      </c>
      <c r="B99" s="35">
        <v>0</v>
      </c>
      <c r="C99" s="36" t="s">
        <v>209</v>
      </c>
      <c r="D99" s="37" t="s">
        <v>215</v>
      </c>
      <c r="E99" s="37">
        <f>SQRT(3)</f>
        <v>1.7320508075688772</v>
      </c>
      <c r="F99" s="69">
        <f>B99/E99</f>
        <v>0</v>
      </c>
      <c r="G99" s="37">
        <v>50</v>
      </c>
      <c r="H99" s="37">
        <v>1</v>
      </c>
      <c r="I99" s="37">
        <f t="shared" si="18"/>
        <v>0</v>
      </c>
      <c r="J99" s="37">
        <f t="shared" si="19"/>
        <v>0</v>
      </c>
      <c r="K99" s="38">
        <f t="shared" si="20"/>
        <v>0</v>
      </c>
    </row>
    <row r="100" spans="1:11">
      <c r="A100" s="34" t="s">
        <v>216</v>
      </c>
      <c r="B100" s="314">
        <v>0</v>
      </c>
      <c r="C100" s="36" t="s">
        <v>209</v>
      </c>
      <c r="D100" s="37" t="s">
        <v>215</v>
      </c>
      <c r="E100" s="37">
        <f>SQRT(3)</f>
        <v>1.7320508075688772</v>
      </c>
      <c r="F100" s="69">
        <f>B99/E100</f>
        <v>0</v>
      </c>
      <c r="G100" s="37">
        <v>50</v>
      </c>
      <c r="H100" s="37">
        <v>1</v>
      </c>
      <c r="I100" s="37">
        <f t="shared" si="18"/>
        <v>0</v>
      </c>
      <c r="J100" s="37">
        <f t="shared" si="19"/>
        <v>0</v>
      </c>
      <c r="K100" s="38">
        <f t="shared" si="20"/>
        <v>0</v>
      </c>
    </row>
    <row r="101" spans="1:11">
      <c r="A101" s="34" t="s">
        <v>217</v>
      </c>
      <c r="B101" s="35">
        <v>0</v>
      </c>
      <c r="C101" s="36" t="s">
        <v>209</v>
      </c>
      <c r="D101" s="37" t="s">
        <v>215</v>
      </c>
      <c r="E101" s="37">
        <f>SQRT(3)</f>
        <v>1.7320508075688772</v>
      </c>
      <c r="F101" s="69">
        <f>B101/E101</f>
        <v>0</v>
      </c>
      <c r="G101" s="45">
        <v>50</v>
      </c>
      <c r="H101" s="45">
        <v>1</v>
      </c>
      <c r="I101" s="45">
        <f t="shared" si="18"/>
        <v>0</v>
      </c>
      <c r="J101" s="45">
        <f t="shared" si="19"/>
        <v>0</v>
      </c>
      <c r="K101" s="46">
        <f t="shared" si="20"/>
        <v>0</v>
      </c>
    </row>
    <row r="102" spans="1:11" ht="10.5">
      <c r="A102" s="47" t="s">
        <v>218</v>
      </c>
      <c r="B102" s="48"/>
      <c r="C102" s="48"/>
      <c r="D102" s="48"/>
      <c r="E102" s="48"/>
      <c r="F102" s="48"/>
      <c r="G102" s="48"/>
      <c r="H102" s="48"/>
      <c r="I102" s="49"/>
      <c r="J102" s="50">
        <f>SUM(J95:J101)</f>
        <v>0.16890000000000002</v>
      </c>
      <c r="K102" s="51">
        <f>SUM(K95:K101)</f>
        <v>5.1294420000000016E-4</v>
      </c>
    </row>
    <row r="103" spans="1:11" ht="12.5">
      <c r="A103" s="47" t="s">
        <v>219</v>
      </c>
      <c r="B103" s="48"/>
      <c r="C103" s="48"/>
      <c r="D103" s="48"/>
      <c r="E103" s="48"/>
      <c r="F103" s="49"/>
      <c r="G103" s="52" t="s">
        <v>220</v>
      </c>
      <c r="H103" s="53"/>
      <c r="I103" s="54"/>
      <c r="J103" s="50">
        <f>SQRT(J102)</f>
        <v>0.41097445176069036</v>
      </c>
      <c r="K103" s="51"/>
    </row>
    <row r="104" spans="1:11" ht="13.5">
      <c r="A104" s="47" t="s">
        <v>221</v>
      </c>
      <c r="B104" s="48"/>
      <c r="C104" s="48"/>
      <c r="D104" s="48"/>
      <c r="E104" s="48"/>
      <c r="F104" s="49"/>
      <c r="G104" s="55" t="s">
        <v>222</v>
      </c>
      <c r="H104" s="56"/>
      <c r="I104" s="57"/>
      <c r="J104" s="50">
        <f>J103^4/(K102)</f>
        <v>55.614645803578632</v>
      </c>
      <c r="K104" s="51"/>
    </row>
    <row r="105" spans="1:11" ht="10.5">
      <c r="A105" s="47" t="s">
        <v>223</v>
      </c>
      <c r="B105" s="48"/>
      <c r="C105" s="48"/>
      <c r="D105" s="48"/>
      <c r="E105" s="48"/>
      <c r="F105" s="49"/>
      <c r="G105" s="58" t="s">
        <v>224</v>
      </c>
      <c r="H105" s="59"/>
      <c r="I105" s="60"/>
      <c r="J105" s="50">
        <f>TINV(0.05,J104)</f>
        <v>2.0040447832891455</v>
      </c>
      <c r="K105" s="51"/>
    </row>
    <row r="106" spans="1:11" ht="11" thickBot="1">
      <c r="A106" s="61" t="s">
        <v>225</v>
      </c>
      <c r="B106" s="62"/>
      <c r="C106" s="62"/>
      <c r="D106" s="62"/>
      <c r="E106" s="62"/>
      <c r="F106" s="63"/>
      <c r="G106" s="64" t="s">
        <v>226</v>
      </c>
      <c r="H106" s="65"/>
      <c r="I106" s="66"/>
      <c r="J106" s="315">
        <f>J105*J103</f>
        <v>0.82361120611612804</v>
      </c>
      <c r="K106" s="68" t="s">
        <v>209</v>
      </c>
    </row>
    <row r="107" spans="1:11" ht="11" thickBo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</row>
    <row r="108" spans="1:11">
      <c r="A108" s="28" t="s">
        <v>233</v>
      </c>
      <c r="B108" s="29"/>
      <c r="C108" s="29"/>
      <c r="D108" s="29"/>
      <c r="E108" s="29"/>
      <c r="F108" s="29"/>
      <c r="G108" s="29"/>
      <c r="H108" s="29"/>
      <c r="I108" s="29"/>
      <c r="J108" s="29"/>
      <c r="K108" s="30"/>
    </row>
    <row r="109" spans="1:11">
      <c r="A109" s="31" t="s">
        <v>197</v>
      </c>
      <c r="B109" s="32" t="s">
        <v>198</v>
      </c>
      <c r="C109" s="32" t="s">
        <v>199</v>
      </c>
      <c r="D109" s="32" t="s">
        <v>200</v>
      </c>
      <c r="E109" s="32" t="s">
        <v>201</v>
      </c>
      <c r="F109" s="32" t="s">
        <v>202</v>
      </c>
      <c r="G109" s="32" t="s">
        <v>203</v>
      </c>
      <c r="H109" s="32" t="s">
        <v>204</v>
      </c>
      <c r="I109" s="32" t="s">
        <v>205</v>
      </c>
      <c r="J109" s="32" t="s">
        <v>206</v>
      </c>
      <c r="K109" s="33" t="s">
        <v>207</v>
      </c>
    </row>
    <row r="110" spans="1:11">
      <c r="A110" s="34" t="s">
        <v>208</v>
      </c>
      <c r="B110" s="35">
        <f>ID!I41</f>
        <v>1.7404671430534633E-14</v>
      </c>
      <c r="C110" s="36" t="s">
        <v>209</v>
      </c>
      <c r="D110" s="37" t="s">
        <v>210</v>
      </c>
      <c r="E110" s="37">
        <f>SQRT(3)</f>
        <v>1.7320508075688772</v>
      </c>
      <c r="F110" s="69">
        <f>B110/E110</f>
        <v>1.0048591735576159E-14</v>
      </c>
      <c r="G110" s="37">
        <v>2</v>
      </c>
      <c r="H110" s="37">
        <v>1</v>
      </c>
      <c r="I110" s="37">
        <f t="shared" ref="I110:I116" si="21">F110*H110</f>
        <v>1.0048591735576159E-14</v>
      </c>
      <c r="J110" s="37">
        <f t="shared" ref="J110:J116" si="22">I110^2</f>
        <v>1.0097419586828949E-28</v>
      </c>
      <c r="K110" s="38">
        <f t="shared" ref="K110:K116" si="23">(J110^2)/G110</f>
        <v>5.097894115623845E-57</v>
      </c>
    </row>
    <row r="111" spans="1:11">
      <c r="A111" s="34" t="s">
        <v>211</v>
      </c>
      <c r="B111" s="37">
        <f>'Data Sound Level Meter'!H29</f>
        <v>0.16</v>
      </c>
      <c r="C111" s="36" t="s">
        <v>209</v>
      </c>
      <c r="D111" s="37" t="s">
        <v>210</v>
      </c>
      <c r="E111" s="37">
        <v>2</v>
      </c>
      <c r="F111" s="69">
        <f>B111/E111</f>
        <v>0.08</v>
      </c>
      <c r="G111" s="37">
        <v>50</v>
      </c>
      <c r="H111" s="37">
        <v>1</v>
      </c>
      <c r="I111" s="37">
        <f t="shared" si="21"/>
        <v>0.08</v>
      </c>
      <c r="J111" s="37">
        <f t="shared" si="22"/>
        <v>6.4000000000000003E-3</v>
      </c>
      <c r="K111" s="38">
        <f t="shared" si="23"/>
        <v>8.1920000000000003E-7</v>
      </c>
    </row>
    <row r="112" spans="1:11">
      <c r="A112" s="39" t="s">
        <v>212</v>
      </c>
      <c r="B112" s="40">
        <f>'Data Sound Level Meter'!E29</f>
        <v>0.1</v>
      </c>
      <c r="C112" s="36" t="s">
        <v>209</v>
      </c>
      <c r="D112" s="36" t="s">
        <v>210</v>
      </c>
      <c r="E112" s="36">
        <v>2</v>
      </c>
      <c r="F112" s="70">
        <f>B112/E112</f>
        <v>0.05</v>
      </c>
      <c r="G112" s="42">
        <v>50</v>
      </c>
      <c r="H112" s="42">
        <v>1</v>
      </c>
      <c r="I112" s="41">
        <f t="shared" si="21"/>
        <v>0.05</v>
      </c>
      <c r="J112" s="41">
        <f t="shared" si="22"/>
        <v>2.5000000000000005E-3</v>
      </c>
      <c r="K112" s="43">
        <f t="shared" si="23"/>
        <v>1.2500000000000005E-7</v>
      </c>
    </row>
    <row r="113" spans="1:11">
      <c r="A113" s="39" t="s">
        <v>213</v>
      </c>
      <c r="B113" s="36">
        <f>'Data Sound Level Meter'!B36</f>
        <v>0.7</v>
      </c>
      <c r="C113" s="36" t="s">
        <v>209</v>
      </c>
      <c r="D113" s="36" t="s">
        <v>210</v>
      </c>
      <c r="E113" s="36">
        <v>2</v>
      </c>
      <c r="F113" s="70">
        <f>B113/E113</f>
        <v>0.35</v>
      </c>
      <c r="G113" s="42">
        <v>50</v>
      </c>
      <c r="H113" s="42">
        <v>1</v>
      </c>
      <c r="I113" s="41">
        <f t="shared" si="21"/>
        <v>0.35</v>
      </c>
      <c r="J113" s="41">
        <f t="shared" si="22"/>
        <v>0.12249999999999998</v>
      </c>
      <c r="K113" s="43">
        <f t="shared" si="23"/>
        <v>3.0012499999999988E-4</v>
      </c>
    </row>
    <row r="114" spans="1:11">
      <c r="A114" s="34" t="s">
        <v>214</v>
      </c>
      <c r="B114" s="35">
        <v>0</v>
      </c>
      <c r="C114" s="36" t="s">
        <v>209</v>
      </c>
      <c r="D114" s="37" t="s">
        <v>215</v>
      </c>
      <c r="E114" s="37">
        <f>SQRT(3)</f>
        <v>1.7320508075688772</v>
      </c>
      <c r="F114" s="69">
        <f>B114/E114</f>
        <v>0</v>
      </c>
      <c r="G114" s="37">
        <v>50</v>
      </c>
      <c r="H114" s="37">
        <v>1</v>
      </c>
      <c r="I114" s="37">
        <f t="shared" si="21"/>
        <v>0</v>
      </c>
      <c r="J114" s="37">
        <f t="shared" si="22"/>
        <v>0</v>
      </c>
      <c r="K114" s="38">
        <f t="shared" si="23"/>
        <v>0</v>
      </c>
    </row>
    <row r="115" spans="1:11">
      <c r="A115" s="34" t="s">
        <v>216</v>
      </c>
      <c r="B115" s="314">
        <v>0</v>
      </c>
      <c r="C115" s="36" t="s">
        <v>209</v>
      </c>
      <c r="D115" s="37" t="s">
        <v>215</v>
      </c>
      <c r="E115" s="37">
        <f>SQRT(3)</f>
        <v>1.7320508075688772</v>
      </c>
      <c r="F115" s="69">
        <f>B114/E115</f>
        <v>0</v>
      </c>
      <c r="G115" s="37">
        <v>50</v>
      </c>
      <c r="H115" s="37">
        <v>1</v>
      </c>
      <c r="I115" s="37">
        <f t="shared" si="21"/>
        <v>0</v>
      </c>
      <c r="J115" s="37">
        <f t="shared" si="22"/>
        <v>0</v>
      </c>
      <c r="K115" s="38">
        <f t="shared" si="23"/>
        <v>0</v>
      </c>
    </row>
    <row r="116" spans="1:11">
      <c r="A116" s="34" t="s">
        <v>217</v>
      </c>
      <c r="B116" s="35">
        <v>0</v>
      </c>
      <c r="C116" s="36" t="s">
        <v>209</v>
      </c>
      <c r="D116" s="37" t="s">
        <v>215</v>
      </c>
      <c r="E116" s="37">
        <f>SQRT(3)</f>
        <v>1.7320508075688772</v>
      </c>
      <c r="F116" s="69">
        <f>B116/E116</f>
        <v>0</v>
      </c>
      <c r="G116" s="45">
        <v>50</v>
      </c>
      <c r="H116" s="45">
        <v>1</v>
      </c>
      <c r="I116" s="45">
        <f t="shared" si="21"/>
        <v>0</v>
      </c>
      <c r="J116" s="45">
        <f t="shared" si="22"/>
        <v>0</v>
      </c>
      <c r="K116" s="46">
        <f t="shared" si="23"/>
        <v>0</v>
      </c>
    </row>
    <row r="117" spans="1:11" ht="10.5">
      <c r="A117" s="47" t="s">
        <v>218</v>
      </c>
      <c r="B117" s="48"/>
      <c r="C117" s="48"/>
      <c r="D117" s="48"/>
      <c r="E117" s="48"/>
      <c r="F117" s="48"/>
      <c r="G117" s="48"/>
      <c r="H117" s="48"/>
      <c r="I117" s="49"/>
      <c r="J117" s="50">
        <f>SUM(J110:J116)</f>
        <v>0.13139999999999999</v>
      </c>
      <c r="K117" s="51">
        <f>SUM(K110:K116)</f>
        <v>3.0106919999999991E-4</v>
      </c>
    </row>
    <row r="118" spans="1:11" ht="12.5">
      <c r="A118" s="47" t="s">
        <v>219</v>
      </c>
      <c r="B118" s="48"/>
      <c r="C118" s="48"/>
      <c r="D118" s="48"/>
      <c r="E118" s="48"/>
      <c r="F118" s="49"/>
      <c r="G118" s="52" t="s">
        <v>220</v>
      </c>
      <c r="H118" s="53"/>
      <c r="I118" s="54"/>
      <c r="J118" s="50">
        <f>SQRT(J117)</f>
        <v>0.36249137920783714</v>
      </c>
      <c r="K118" s="51"/>
    </row>
    <row r="119" spans="1:11" ht="13.5">
      <c r="A119" s="47" t="s">
        <v>221</v>
      </c>
      <c r="B119" s="48"/>
      <c r="C119" s="48"/>
      <c r="D119" s="48"/>
      <c r="E119" s="48"/>
      <c r="F119" s="49"/>
      <c r="G119" s="55" t="s">
        <v>222</v>
      </c>
      <c r="H119" s="56"/>
      <c r="I119" s="57"/>
      <c r="J119" s="50">
        <f>J118^4/(K117)</f>
        <v>57.348808845275443</v>
      </c>
      <c r="K119" s="51"/>
    </row>
    <row r="120" spans="1:11" ht="10.5">
      <c r="A120" s="47" t="s">
        <v>223</v>
      </c>
      <c r="B120" s="48"/>
      <c r="C120" s="48"/>
      <c r="D120" s="48"/>
      <c r="E120" s="48"/>
      <c r="F120" s="49"/>
      <c r="G120" s="58" t="s">
        <v>224</v>
      </c>
      <c r="H120" s="59"/>
      <c r="I120" s="60"/>
      <c r="J120" s="50">
        <f>TINV(0.05,J119)</f>
        <v>2.0024654592910065</v>
      </c>
      <c r="K120" s="51"/>
    </row>
    <row r="121" spans="1:11" ht="11" thickBot="1">
      <c r="A121" s="61" t="s">
        <v>225</v>
      </c>
      <c r="B121" s="62"/>
      <c r="C121" s="62"/>
      <c r="D121" s="62"/>
      <c r="E121" s="62"/>
      <c r="F121" s="63"/>
      <c r="G121" s="64" t="s">
        <v>226</v>
      </c>
      <c r="H121" s="65"/>
      <c r="I121" s="66"/>
      <c r="J121" s="316">
        <f>J120*J118</f>
        <v>0.725876466154452</v>
      </c>
      <c r="K121" s="68" t="s">
        <v>209</v>
      </c>
    </row>
    <row r="122" spans="1:11" ht="11" thickBo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</row>
    <row r="123" spans="1:11">
      <c r="A123" s="28" t="s">
        <v>234</v>
      </c>
      <c r="B123" s="29"/>
      <c r="C123" s="29"/>
      <c r="D123" s="29"/>
      <c r="E123" s="29"/>
      <c r="F123" s="29"/>
      <c r="G123" s="29"/>
      <c r="H123" s="29"/>
      <c r="I123" s="29"/>
      <c r="J123" s="29"/>
      <c r="K123" s="30"/>
    </row>
    <row r="124" spans="1:11">
      <c r="A124" s="31" t="s">
        <v>197</v>
      </c>
      <c r="B124" s="32" t="s">
        <v>198</v>
      </c>
      <c r="C124" s="32" t="s">
        <v>199</v>
      </c>
      <c r="D124" s="32" t="s">
        <v>200</v>
      </c>
      <c r="E124" s="32" t="s">
        <v>201</v>
      </c>
      <c r="F124" s="32" t="s">
        <v>202</v>
      </c>
      <c r="G124" s="32" t="s">
        <v>203</v>
      </c>
      <c r="H124" s="32" t="s">
        <v>204</v>
      </c>
      <c r="I124" s="32" t="s">
        <v>205</v>
      </c>
      <c r="J124" s="32" t="s">
        <v>206</v>
      </c>
      <c r="K124" s="33" t="s">
        <v>207</v>
      </c>
    </row>
    <row r="125" spans="1:11">
      <c r="A125" s="34" t="s">
        <v>208</v>
      </c>
      <c r="B125" s="35">
        <f>ID!I42</f>
        <v>1.7404671430534633E-14</v>
      </c>
      <c r="C125" s="36" t="s">
        <v>209</v>
      </c>
      <c r="D125" s="37" t="s">
        <v>210</v>
      </c>
      <c r="E125" s="37">
        <f>SQRT(3)</f>
        <v>1.7320508075688772</v>
      </c>
      <c r="F125" s="69">
        <f>B125/E125</f>
        <v>1.0048591735576159E-14</v>
      </c>
      <c r="G125" s="37">
        <v>2</v>
      </c>
      <c r="H125" s="37">
        <v>1</v>
      </c>
      <c r="I125" s="37">
        <f t="shared" ref="I125:I131" si="24">F125*H125</f>
        <v>1.0048591735576159E-14</v>
      </c>
      <c r="J125" s="37">
        <f t="shared" ref="J125:J131" si="25">I125^2</f>
        <v>1.0097419586828949E-28</v>
      </c>
      <c r="K125" s="38">
        <f t="shared" ref="K125:K131" si="26">(J125^2)/G125</f>
        <v>5.097894115623845E-57</v>
      </c>
    </row>
    <row r="126" spans="1:11">
      <c r="A126" s="34" t="s">
        <v>211</v>
      </c>
      <c r="B126" s="37">
        <f>'Data Sound Level Meter'!H29</f>
        <v>0.16</v>
      </c>
      <c r="C126" s="36" t="s">
        <v>209</v>
      </c>
      <c r="D126" s="37" t="s">
        <v>210</v>
      </c>
      <c r="E126" s="37">
        <v>2</v>
      </c>
      <c r="F126" s="69">
        <f>B126/E126</f>
        <v>0.08</v>
      </c>
      <c r="G126" s="37">
        <v>50</v>
      </c>
      <c r="H126" s="37">
        <v>1</v>
      </c>
      <c r="I126" s="37">
        <f t="shared" si="24"/>
        <v>0.08</v>
      </c>
      <c r="J126" s="37">
        <f t="shared" si="25"/>
        <v>6.4000000000000003E-3</v>
      </c>
      <c r="K126" s="38">
        <f t="shared" si="26"/>
        <v>8.1920000000000003E-7</v>
      </c>
    </row>
    <row r="127" spans="1:11">
      <c r="A127" s="39" t="s">
        <v>212</v>
      </c>
      <c r="B127" s="40">
        <f>'Data Sound Level Meter'!E29</f>
        <v>0.1</v>
      </c>
      <c r="C127" s="36" t="s">
        <v>209</v>
      </c>
      <c r="D127" s="36" t="s">
        <v>210</v>
      </c>
      <c r="E127" s="36">
        <v>2</v>
      </c>
      <c r="F127" s="70">
        <f>B127/E127</f>
        <v>0.05</v>
      </c>
      <c r="G127" s="42">
        <v>50</v>
      </c>
      <c r="H127" s="42">
        <v>1</v>
      </c>
      <c r="I127" s="41">
        <f t="shared" si="24"/>
        <v>0.05</v>
      </c>
      <c r="J127" s="41">
        <f t="shared" si="25"/>
        <v>2.5000000000000005E-3</v>
      </c>
      <c r="K127" s="43">
        <f t="shared" si="26"/>
        <v>1.2500000000000005E-7</v>
      </c>
    </row>
    <row r="128" spans="1:11">
      <c r="A128" s="39" t="s">
        <v>213</v>
      </c>
      <c r="B128" s="36">
        <f>'Data Sound Level Meter'!B37</f>
        <v>1.1000000000000001</v>
      </c>
      <c r="C128" s="36" t="s">
        <v>209</v>
      </c>
      <c r="D128" s="36" t="s">
        <v>210</v>
      </c>
      <c r="E128" s="36">
        <v>2</v>
      </c>
      <c r="F128" s="70">
        <f>B128/E128</f>
        <v>0.55000000000000004</v>
      </c>
      <c r="G128" s="42">
        <v>50</v>
      </c>
      <c r="H128" s="42">
        <v>1</v>
      </c>
      <c r="I128" s="41">
        <f t="shared" si="24"/>
        <v>0.55000000000000004</v>
      </c>
      <c r="J128" s="41">
        <f t="shared" si="25"/>
        <v>0.30250000000000005</v>
      </c>
      <c r="K128" s="43">
        <f t="shared" si="26"/>
        <v>1.8301250000000006E-3</v>
      </c>
    </row>
    <row r="129" spans="1:11">
      <c r="A129" s="34" t="s">
        <v>214</v>
      </c>
      <c r="B129" s="35">
        <v>0</v>
      </c>
      <c r="C129" s="36" t="s">
        <v>209</v>
      </c>
      <c r="D129" s="37" t="s">
        <v>215</v>
      </c>
      <c r="E129" s="37">
        <f>SQRT(3)</f>
        <v>1.7320508075688772</v>
      </c>
      <c r="F129" s="69">
        <f>B129/E129</f>
        <v>0</v>
      </c>
      <c r="G129" s="37">
        <v>50</v>
      </c>
      <c r="H129" s="37">
        <v>1</v>
      </c>
      <c r="I129" s="37">
        <f t="shared" si="24"/>
        <v>0</v>
      </c>
      <c r="J129" s="37">
        <f t="shared" si="25"/>
        <v>0</v>
      </c>
      <c r="K129" s="38">
        <f t="shared" si="26"/>
        <v>0</v>
      </c>
    </row>
    <row r="130" spans="1:11">
      <c r="A130" s="34" t="s">
        <v>216</v>
      </c>
      <c r="B130" s="314">
        <v>0</v>
      </c>
      <c r="C130" s="36" t="s">
        <v>209</v>
      </c>
      <c r="D130" s="37" t="s">
        <v>215</v>
      </c>
      <c r="E130" s="37">
        <f>SQRT(3)</f>
        <v>1.7320508075688772</v>
      </c>
      <c r="F130" s="69">
        <f>B129/E130</f>
        <v>0</v>
      </c>
      <c r="G130" s="37">
        <v>50</v>
      </c>
      <c r="H130" s="37">
        <v>1</v>
      </c>
      <c r="I130" s="37">
        <f t="shared" si="24"/>
        <v>0</v>
      </c>
      <c r="J130" s="37">
        <f t="shared" si="25"/>
        <v>0</v>
      </c>
      <c r="K130" s="38">
        <f t="shared" si="26"/>
        <v>0</v>
      </c>
    </row>
    <row r="131" spans="1:11">
      <c r="A131" s="34" t="s">
        <v>217</v>
      </c>
      <c r="B131" s="35">
        <v>0</v>
      </c>
      <c r="C131" s="36" t="s">
        <v>209</v>
      </c>
      <c r="D131" s="37" t="s">
        <v>215</v>
      </c>
      <c r="E131" s="37">
        <f>SQRT(3)</f>
        <v>1.7320508075688772</v>
      </c>
      <c r="F131" s="69">
        <f>B131/E131</f>
        <v>0</v>
      </c>
      <c r="G131" s="45">
        <v>50</v>
      </c>
      <c r="H131" s="45">
        <v>1</v>
      </c>
      <c r="I131" s="45">
        <f t="shared" si="24"/>
        <v>0</v>
      </c>
      <c r="J131" s="45">
        <f t="shared" si="25"/>
        <v>0</v>
      </c>
      <c r="K131" s="46">
        <f t="shared" si="26"/>
        <v>0</v>
      </c>
    </row>
    <row r="132" spans="1:11" ht="10.5">
      <c r="A132" s="47" t="s">
        <v>218</v>
      </c>
      <c r="B132" s="48"/>
      <c r="C132" s="48"/>
      <c r="D132" s="48"/>
      <c r="E132" s="48"/>
      <c r="F132" s="48"/>
      <c r="G132" s="48"/>
      <c r="H132" s="48"/>
      <c r="I132" s="49"/>
      <c r="J132" s="50">
        <f>SUM(J125:J131)</f>
        <v>0.31140000000000007</v>
      </c>
      <c r="K132" s="51">
        <f>SUM(K125:K131)</f>
        <v>1.8310692000000006E-3</v>
      </c>
    </row>
    <row r="133" spans="1:11" ht="12.5">
      <c r="A133" s="47" t="s">
        <v>219</v>
      </c>
      <c r="B133" s="48"/>
      <c r="C133" s="48"/>
      <c r="D133" s="48"/>
      <c r="E133" s="48"/>
      <c r="F133" s="49"/>
      <c r="G133" s="52" t="s">
        <v>220</v>
      </c>
      <c r="H133" s="53"/>
      <c r="I133" s="54"/>
      <c r="J133" s="50">
        <f>SQRT(J132)</f>
        <v>0.55803225713214832</v>
      </c>
      <c r="K133" s="51"/>
    </row>
    <row r="134" spans="1:11" ht="13.5">
      <c r="A134" s="47" t="s">
        <v>221</v>
      </c>
      <c r="B134" s="48"/>
      <c r="C134" s="48"/>
      <c r="D134" s="48"/>
      <c r="E134" s="48"/>
      <c r="F134" s="49"/>
      <c r="G134" s="55" t="s">
        <v>222</v>
      </c>
      <c r="H134" s="56"/>
      <c r="I134" s="57"/>
      <c r="J134" s="50">
        <f>J133^4/(K132)</f>
        <v>52.958107754747907</v>
      </c>
      <c r="K134" s="51"/>
    </row>
    <row r="135" spans="1:11" ht="10.5">
      <c r="A135" s="47" t="s">
        <v>223</v>
      </c>
      <c r="B135" s="48"/>
      <c r="C135" s="48"/>
      <c r="D135" s="48"/>
      <c r="E135" s="48"/>
      <c r="F135" s="49"/>
      <c r="G135" s="58" t="s">
        <v>224</v>
      </c>
      <c r="H135" s="59"/>
      <c r="I135" s="60"/>
      <c r="J135" s="50">
        <f>TINV(0.05,J134)</f>
        <v>2.0066468050616861</v>
      </c>
      <c r="K135" s="51"/>
    </row>
    <row r="136" spans="1:11" ht="11" thickBot="1">
      <c r="A136" s="61" t="s">
        <v>225</v>
      </c>
      <c r="B136" s="62"/>
      <c r="C136" s="62"/>
      <c r="D136" s="62"/>
      <c r="E136" s="62"/>
      <c r="F136" s="63"/>
      <c r="G136" s="64" t="s">
        <v>226</v>
      </c>
      <c r="H136" s="65"/>
      <c r="I136" s="66"/>
      <c r="J136" s="316">
        <f>J135*J133</f>
        <v>1.1197736458955867</v>
      </c>
      <c r="K136" s="68" t="s">
        <v>209</v>
      </c>
    </row>
    <row r="137" spans="1:11" ht="11" thickBo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</row>
    <row r="138" spans="1:11">
      <c r="A138" s="28" t="s">
        <v>235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30"/>
    </row>
    <row r="139" spans="1:11">
      <c r="A139" s="31" t="s">
        <v>197</v>
      </c>
      <c r="B139" s="32" t="s">
        <v>198</v>
      </c>
      <c r="C139" s="32" t="s">
        <v>199</v>
      </c>
      <c r="D139" s="32" t="s">
        <v>200</v>
      </c>
      <c r="E139" s="32" t="s">
        <v>201</v>
      </c>
      <c r="F139" s="32" t="s">
        <v>202</v>
      </c>
      <c r="G139" s="32" t="s">
        <v>203</v>
      </c>
      <c r="H139" s="32" t="s">
        <v>204</v>
      </c>
      <c r="I139" s="32" t="s">
        <v>205</v>
      </c>
      <c r="J139" s="32" t="s">
        <v>206</v>
      </c>
      <c r="K139" s="33" t="s">
        <v>207</v>
      </c>
    </row>
    <row r="140" spans="1:11">
      <c r="A140" s="34" t="s">
        <v>208</v>
      </c>
      <c r="B140" s="35">
        <f>ID!I43</f>
        <v>0</v>
      </c>
      <c r="C140" s="36" t="s">
        <v>209</v>
      </c>
      <c r="D140" s="37" t="s">
        <v>210</v>
      </c>
      <c r="E140" s="37">
        <f>SQRT(3)</f>
        <v>1.7320508075688772</v>
      </c>
      <c r="F140" s="69">
        <f>B140/E140</f>
        <v>0</v>
      </c>
      <c r="G140" s="37">
        <v>2</v>
      </c>
      <c r="H140" s="37">
        <v>1</v>
      </c>
      <c r="I140" s="37">
        <f t="shared" ref="I140:I146" si="27">F140*H140</f>
        <v>0</v>
      </c>
      <c r="J140" s="37">
        <f t="shared" ref="J140:J146" si="28">I140^2</f>
        <v>0</v>
      </c>
      <c r="K140" s="38">
        <f t="shared" ref="K140:K146" si="29">(J140^2)/G140</f>
        <v>0</v>
      </c>
    </row>
    <row r="141" spans="1:11">
      <c r="A141" s="34" t="s">
        <v>211</v>
      </c>
      <c r="B141" s="37">
        <f>'Data Sound Level Meter'!H29</f>
        <v>0.16</v>
      </c>
      <c r="C141" s="36" t="s">
        <v>209</v>
      </c>
      <c r="D141" s="37" t="s">
        <v>210</v>
      </c>
      <c r="E141" s="37">
        <v>2</v>
      </c>
      <c r="F141" s="69">
        <f>B141/E141</f>
        <v>0.08</v>
      </c>
      <c r="G141" s="37">
        <v>50</v>
      </c>
      <c r="H141" s="37">
        <v>1</v>
      </c>
      <c r="I141" s="37">
        <f t="shared" si="27"/>
        <v>0.08</v>
      </c>
      <c r="J141" s="37">
        <f t="shared" si="28"/>
        <v>6.4000000000000003E-3</v>
      </c>
      <c r="K141" s="38">
        <f t="shared" si="29"/>
        <v>8.1920000000000003E-7</v>
      </c>
    </row>
    <row r="142" spans="1:11">
      <c r="A142" s="39" t="s">
        <v>212</v>
      </c>
      <c r="B142" s="40">
        <f>'Data Sound Level Meter'!E29</f>
        <v>0.1</v>
      </c>
      <c r="C142" s="36" t="s">
        <v>209</v>
      </c>
      <c r="D142" s="36" t="s">
        <v>210</v>
      </c>
      <c r="E142" s="36">
        <v>2</v>
      </c>
      <c r="F142" s="70">
        <f>B142/E142</f>
        <v>0.05</v>
      </c>
      <c r="G142" s="42">
        <v>50</v>
      </c>
      <c r="H142" s="42">
        <v>1</v>
      </c>
      <c r="I142" s="41">
        <f t="shared" si="27"/>
        <v>0.05</v>
      </c>
      <c r="J142" s="41">
        <f t="shared" si="28"/>
        <v>2.5000000000000005E-3</v>
      </c>
      <c r="K142" s="43">
        <f t="shared" si="29"/>
        <v>1.2500000000000005E-7</v>
      </c>
    </row>
    <row r="143" spans="1:11">
      <c r="A143" s="39" t="s">
        <v>213</v>
      </c>
      <c r="B143" s="36">
        <f>'Data Sound Level Meter'!B38</f>
        <v>1.3</v>
      </c>
      <c r="C143" s="36" t="s">
        <v>209</v>
      </c>
      <c r="D143" s="36" t="s">
        <v>210</v>
      </c>
      <c r="E143" s="36">
        <v>2</v>
      </c>
      <c r="F143" s="70">
        <f>B143/E143</f>
        <v>0.65</v>
      </c>
      <c r="G143" s="42">
        <v>50</v>
      </c>
      <c r="H143" s="42">
        <v>1</v>
      </c>
      <c r="I143" s="41">
        <f t="shared" si="27"/>
        <v>0.65</v>
      </c>
      <c r="J143" s="41">
        <f t="shared" si="28"/>
        <v>0.42250000000000004</v>
      </c>
      <c r="K143" s="43">
        <f t="shared" si="29"/>
        <v>3.5701250000000008E-3</v>
      </c>
    </row>
    <row r="144" spans="1:11">
      <c r="A144" s="34" t="s">
        <v>214</v>
      </c>
      <c r="B144" s="35">
        <v>0</v>
      </c>
      <c r="C144" s="36" t="s">
        <v>209</v>
      </c>
      <c r="D144" s="37" t="s">
        <v>215</v>
      </c>
      <c r="E144" s="37">
        <f>SQRT(3)</f>
        <v>1.7320508075688772</v>
      </c>
      <c r="F144" s="69">
        <f>B144/E144</f>
        <v>0</v>
      </c>
      <c r="G144" s="37">
        <v>50</v>
      </c>
      <c r="H144" s="37">
        <v>1</v>
      </c>
      <c r="I144" s="37">
        <f t="shared" si="27"/>
        <v>0</v>
      </c>
      <c r="J144" s="37">
        <f t="shared" si="28"/>
        <v>0</v>
      </c>
      <c r="K144" s="38">
        <f t="shared" si="29"/>
        <v>0</v>
      </c>
    </row>
    <row r="145" spans="1:11">
      <c r="A145" s="34" t="s">
        <v>216</v>
      </c>
      <c r="B145" s="314">
        <v>0</v>
      </c>
      <c r="C145" s="36" t="s">
        <v>209</v>
      </c>
      <c r="D145" s="37" t="s">
        <v>215</v>
      </c>
      <c r="E145" s="37">
        <f>SQRT(3)</f>
        <v>1.7320508075688772</v>
      </c>
      <c r="F145" s="69">
        <f>B144/E145</f>
        <v>0</v>
      </c>
      <c r="G145" s="37">
        <v>50</v>
      </c>
      <c r="H145" s="37">
        <v>1</v>
      </c>
      <c r="I145" s="37">
        <f t="shared" si="27"/>
        <v>0</v>
      </c>
      <c r="J145" s="37">
        <f t="shared" si="28"/>
        <v>0</v>
      </c>
      <c r="K145" s="38">
        <f t="shared" si="29"/>
        <v>0</v>
      </c>
    </row>
    <row r="146" spans="1:11">
      <c r="A146" s="34" t="s">
        <v>217</v>
      </c>
      <c r="B146" s="35">
        <v>0</v>
      </c>
      <c r="C146" s="36" t="s">
        <v>209</v>
      </c>
      <c r="D146" s="37" t="s">
        <v>215</v>
      </c>
      <c r="E146" s="37">
        <f>SQRT(3)</f>
        <v>1.7320508075688772</v>
      </c>
      <c r="F146" s="69">
        <f>B146/E146</f>
        <v>0</v>
      </c>
      <c r="G146" s="45">
        <v>50</v>
      </c>
      <c r="H146" s="45">
        <v>1</v>
      </c>
      <c r="I146" s="45">
        <f t="shared" si="27"/>
        <v>0</v>
      </c>
      <c r="J146" s="45">
        <f t="shared" si="28"/>
        <v>0</v>
      </c>
      <c r="K146" s="46">
        <f t="shared" si="29"/>
        <v>0</v>
      </c>
    </row>
    <row r="147" spans="1:11" ht="10.5">
      <c r="A147" s="47" t="s">
        <v>218</v>
      </c>
      <c r="B147" s="48"/>
      <c r="C147" s="48"/>
      <c r="D147" s="48"/>
      <c r="E147" s="48"/>
      <c r="F147" s="48"/>
      <c r="G147" s="48"/>
      <c r="H147" s="48"/>
      <c r="I147" s="49"/>
      <c r="J147" s="50">
        <f>SUM(J140:J146)</f>
        <v>0.43140000000000006</v>
      </c>
      <c r="K147" s="51">
        <f>SUM(K140:K146)</f>
        <v>3.571069200000001E-3</v>
      </c>
    </row>
    <row r="148" spans="1:11" ht="12.5">
      <c r="A148" s="47" t="s">
        <v>219</v>
      </c>
      <c r="B148" s="48"/>
      <c r="C148" s="48"/>
      <c r="D148" s="48"/>
      <c r="E148" s="48"/>
      <c r="F148" s="49"/>
      <c r="G148" s="52" t="s">
        <v>220</v>
      </c>
      <c r="H148" s="53"/>
      <c r="I148" s="54"/>
      <c r="J148" s="50">
        <f>SQRT(J147)</f>
        <v>0.65681047494692113</v>
      </c>
      <c r="K148" s="51"/>
    </row>
    <row r="149" spans="1:11" ht="13.5">
      <c r="A149" s="47" t="s">
        <v>221</v>
      </c>
      <c r="B149" s="48"/>
      <c r="C149" s="48"/>
      <c r="D149" s="48"/>
      <c r="E149" s="48"/>
      <c r="F149" s="49"/>
      <c r="G149" s="55" t="s">
        <v>222</v>
      </c>
      <c r="H149" s="56"/>
      <c r="I149" s="57"/>
      <c r="J149" s="50">
        <f>J148^4/(K147)</f>
        <v>52.114912810986702</v>
      </c>
      <c r="K149" s="51"/>
    </row>
    <row r="150" spans="1:11" ht="10.5">
      <c r="A150" s="47" t="s">
        <v>223</v>
      </c>
      <c r="B150" s="48"/>
      <c r="C150" s="48"/>
      <c r="D150" s="48"/>
      <c r="E150" s="48"/>
      <c r="F150" s="49"/>
      <c r="G150" s="58" t="s">
        <v>224</v>
      </c>
      <c r="H150" s="59"/>
      <c r="I150" s="60"/>
      <c r="J150" s="50">
        <f>TINV(0.05,J149)</f>
        <v>2.0066468050616861</v>
      </c>
      <c r="K150" s="51"/>
    </row>
    <row r="151" spans="1:11" ht="11" thickBot="1">
      <c r="A151" s="61" t="s">
        <v>225</v>
      </c>
      <c r="B151" s="62"/>
      <c r="C151" s="62"/>
      <c r="D151" s="62"/>
      <c r="E151" s="62"/>
      <c r="F151" s="63"/>
      <c r="G151" s="64" t="s">
        <v>226</v>
      </c>
      <c r="H151" s="65"/>
      <c r="I151" s="66"/>
      <c r="J151" s="316">
        <f>J150*J148</f>
        <v>1.3179866410832879</v>
      </c>
      <c r="K151" s="68" t="s">
        <v>209</v>
      </c>
    </row>
    <row r="152" spans="1:11" ht="11" thickBo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</row>
    <row r="153" spans="1:11">
      <c r="A153" s="28" t="s">
        <v>236</v>
      </c>
      <c r="B153" s="29"/>
      <c r="C153" s="29"/>
      <c r="D153" s="29"/>
      <c r="E153" s="29"/>
      <c r="F153" s="29"/>
      <c r="G153" s="29"/>
      <c r="H153" s="29"/>
      <c r="I153" s="29"/>
      <c r="J153" s="29"/>
      <c r="K153" s="30"/>
    </row>
    <row r="154" spans="1:11">
      <c r="A154" s="31" t="s">
        <v>197</v>
      </c>
      <c r="B154" s="32" t="s">
        <v>198</v>
      </c>
      <c r="C154" s="32" t="s">
        <v>199</v>
      </c>
      <c r="D154" s="32" t="s">
        <v>200</v>
      </c>
      <c r="E154" s="32" t="s">
        <v>201</v>
      </c>
      <c r="F154" s="32" t="s">
        <v>202</v>
      </c>
      <c r="G154" s="32" t="s">
        <v>203</v>
      </c>
      <c r="H154" s="32" t="s">
        <v>204</v>
      </c>
      <c r="I154" s="32" t="s">
        <v>205</v>
      </c>
      <c r="J154" s="32" t="s">
        <v>206</v>
      </c>
      <c r="K154" s="33" t="s">
        <v>207</v>
      </c>
    </row>
    <row r="155" spans="1:11">
      <c r="A155" s="34" t="s">
        <v>208</v>
      </c>
      <c r="B155" s="35">
        <f>ID!I44</f>
        <v>0</v>
      </c>
      <c r="C155" s="36" t="s">
        <v>209</v>
      </c>
      <c r="D155" s="37" t="s">
        <v>210</v>
      </c>
      <c r="E155" s="37">
        <f>SQRT(3)</f>
        <v>1.7320508075688772</v>
      </c>
      <c r="F155" s="69">
        <f>B155/E155</f>
        <v>0</v>
      </c>
      <c r="G155" s="37">
        <v>2</v>
      </c>
      <c r="H155" s="37">
        <v>1</v>
      </c>
      <c r="I155" s="37">
        <f t="shared" ref="I155:I161" si="30">F155*H155</f>
        <v>0</v>
      </c>
      <c r="J155" s="37">
        <f t="shared" ref="J155:J161" si="31">I155^2</f>
        <v>0</v>
      </c>
      <c r="K155" s="38">
        <f t="shared" ref="K155:K161" si="32">(J155^2)/G155</f>
        <v>0</v>
      </c>
    </row>
    <row r="156" spans="1:11">
      <c r="A156" s="34" t="s">
        <v>211</v>
      </c>
      <c r="B156" s="37">
        <f>'Data Sound Level Meter'!H29</f>
        <v>0.16</v>
      </c>
      <c r="C156" s="36" t="s">
        <v>209</v>
      </c>
      <c r="D156" s="37" t="s">
        <v>210</v>
      </c>
      <c r="E156" s="37">
        <v>2</v>
      </c>
      <c r="F156" s="69">
        <f>B156/E156</f>
        <v>0.08</v>
      </c>
      <c r="G156" s="37">
        <v>50</v>
      </c>
      <c r="H156" s="37">
        <v>1</v>
      </c>
      <c r="I156" s="37">
        <f t="shared" si="30"/>
        <v>0.08</v>
      </c>
      <c r="J156" s="37">
        <f t="shared" si="31"/>
        <v>6.4000000000000003E-3</v>
      </c>
      <c r="K156" s="38">
        <f t="shared" si="32"/>
        <v>8.1920000000000003E-7</v>
      </c>
    </row>
    <row r="157" spans="1:11">
      <c r="A157" s="39" t="s">
        <v>212</v>
      </c>
      <c r="B157" s="40">
        <f>'Data Sound Level Meter'!E29</f>
        <v>0.1</v>
      </c>
      <c r="C157" s="36" t="s">
        <v>209</v>
      </c>
      <c r="D157" s="36" t="s">
        <v>210</v>
      </c>
      <c r="E157" s="36">
        <v>2</v>
      </c>
      <c r="F157" s="70">
        <f>B157/E157</f>
        <v>0.05</v>
      </c>
      <c r="G157" s="42">
        <v>50</v>
      </c>
      <c r="H157" s="42">
        <v>1</v>
      </c>
      <c r="I157" s="41">
        <f t="shared" si="30"/>
        <v>0.05</v>
      </c>
      <c r="J157" s="41">
        <f t="shared" si="31"/>
        <v>2.5000000000000005E-3</v>
      </c>
      <c r="K157" s="43">
        <f t="shared" si="32"/>
        <v>1.2500000000000005E-7</v>
      </c>
    </row>
    <row r="158" spans="1:11">
      <c r="A158" s="39" t="s">
        <v>213</v>
      </c>
      <c r="B158" s="36">
        <f>'Data Sound Level Meter'!B39</f>
        <v>1.1000000000000001</v>
      </c>
      <c r="C158" s="36" t="s">
        <v>209</v>
      </c>
      <c r="D158" s="36" t="s">
        <v>210</v>
      </c>
      <c r="E158" s="36">
        <v>2</v>
      </c>
      <c r="F158" s="70">
        <f>B158/E158</f>
        <v>0.55000000000000004</v>
      </c>
      <c r="G158" s="42">
        <v>50</v>
      </c>
      <c r="H158" s="42">
        <v>1</v>
      </c>
      <c r="I158" s="41">
        <f t="shared" si="30"/>
        <v>0.55000000000000004</v>
      </c>
      <c r="J158" s="41">
        <f t="shared" si="31"/>
        <v>0.30250000000000005</v>
      </c>
      <c r="K158" s="43">
        <f t="shared" si="32"/>
        <v>1.8301250000000006E-3</v>
      </c>
    </row>
    <row r="159" spans="1:11">
      <c r="A159" s="34" t="s">
        <v>214</v>
      </c>
      <c r="B159" s="35">
        <v>0</v>
      </c>
      <c r="C159" s="36" t="s">
        <v>209</v>
      </c>
      <c r="D159" s="37" t="s">
        <v>215</v>
      </c>
      <c r="E159" s="37">
        <f>SQRT(3)</f>
        <v>1.7320508075688772</v>
      </c>
      <c r="F159" s="69">
        <f>B159/E159</f>
        <v>0</v>
      </c>
      <c r="G159" s="37">
        <v>50</v>
      </c>
      <c r="H159" s="37">
        <v>1</v>
      </c>
      <c r="I159" s="37">
        <f t="shared" si="30"/>
        <v>0</v>
      </c>
      <c r="J159" s="37">
        <f t="shared" si="31"/>
        <v>0</v>
      </c>
      <c r="K159" s="38">
        <f t="shared" si="32"/>
        <v>0</v>
      </c>
    </row>
    <row r="160" spans="1:11">
      <c r="A160" s="34" t="s">
        <v>216</v>
      </c>
      <c r="B160" s="314">
        <v>0</v>
      </c>
      <c r="C160" s="36" t="s">
        <v>209</v>
      </c>
      <c r="D160" s="37" t="s">
        <v>215</v>
      </c>
      <c r="E160" s="37">
        <f>SQRT(3)</f>
        <v>1.7320508075688772</v>
      </c>
      <c r="F160" s="69">
        <f>B159/E160</f>
        <v>0</v>
      </c>
      <c r="G160" s="37">
        <v>50</v>
      </c>
      <c r="H160" s="37">
        <v>1</v>
      </c>
      <c r="I160" s="37">
        <f t="shared" si="30"/>
        <v>0</v>
      </c>
      <c r="J160" s="37">
        <f t="shared" si="31"/>
        <v>0</v>
      </c>
      <c r="K160" s="38">
        <f t="shared" si="32"/>
        <v>0</v>
      </c>
    </row>
    <row r="161" spans="1:11">
      <c r="A161" s="34" t="s">
        <v>217</v>
      </c>
      <c r="B161" s="35">
        <v>0</v>
      </c>
      <c r="C161" s="36" t="s">
        <v>209</v>
      </c>
      <c r="D161" s="37" t="s">
        <v>215</v>
      </c>
      <c r="E161" s="37">
        <f>SQRT(3)</f>
        <v>1.7320508075688772</v>
      </c>
      <c r="F161" s="69">
        <f>B161/E161</f>
        <v>0</v>
      </c>
      <c r="G161" s="45">
        <v>50</v>
      </c>
      <c r="H161" s="45">
        <v>1</v>
      </c>
      <c r="I161" s="45">
        <f t="shared" si="30"/>
        <v>0</v>
      </c>
      <c r="J161" s="45">
        <f t="shared" si="31"/>
        <v>0</v>
      </c>
      <c r="K161" s="46">
        <f t="shared" si="32"/>
        <v>0</v>
      </c>
    </row>
    <row r="162" spans="1:11" ht="10.5">
      <c r="A162" s="47" t="s">
        <v>218</v>
      </c>
      <c r="B162" s="48"/>
      <c r="C162" s="48"/>
      <c r="D162" s="48"/>
      <c r="E162" s="48"/>
      <c r="F162" s="48"/>
      <c r="G162" s="48"/>
      <c r="H162" s="48"/>
      <c r="I162" s="49"/>
      <c r="J162" s="50">
        <f>SUM(J155:J161)</f>
        <v>0.31140000000000007</v>
      </c>
      <c r="K162" s="51">
        <f>SUM(K155:K161)</f>
        <v>1.8310692000000006E-3</v>
      </c>
    </row>
    <row r="163" spans="1:11" ht="12.5">
      <c r="A163" s="47" t="s">
        <v>219</v>
      </c>
      <c r="B163" s="48"/>
      <c r="C163" s="48"/>
      <c r="D163" s="48"/>
      <c r="E163" s="48"/>
      <c r="F163" s="49"/>
      <c r="G163" s="52" t="s">
        <v>220</v>
      </c>
      <c r="H163" s="53"/>
      <c r="I163" s="54"/>
      <c r="J163" s="50">
        <f>SQRT(J162)</f>
        <v>0.55803225713214832</v>
      </c>
      <c r="K163" s="51"/>
    </row>
    <row r="164" spans="1:11" ht="13.5">
      <c r="A164" s="47" t="s">
        <v>221</v>
      </c>
      <c r="B164" s="48"/>
      <c r="C164" s="48"/>
      <c r="D164" s="48"/>
      <c r="E164" s="48"/>
      <c r="F164" s="49"/>
      <c r="G164" s="55" t="s">
        <v>222</v>
      </c>
      <c r="H164" s="56"/>
      <c r="I164" s="57"/>
      <c r="J164" s="50">
        <f>J163^4/(K162)</f>
        <v>52.958107754747907</v>
      </c>
      <c r="K164" s="51"/>
    </row>
    <row r="165" spans="1:11" ht="10.5">
      <c r="A165" s="47" t="s">
        <v>223</v>
      </c>
      <c r="B165" s="48"/>
      <c r="C165" s="48"/>
      <c r="D165" s="48"/>
      <c r="E165" s="48"/>
      <c r="F165" s="49"/>
      <c r="G165" s="58" t="s">
        <v>224</v>
      </c>
      <c r="H165" s="59"/>
      <c r="I165" s="60"/>
      <c r="J165" s="50">
        <f>TINV(0.05,J164)</f>
        <v>2.0066468050616861</v>
      </c>
      <c r="K165" s="51"/>
    </row>
    <row r="166" spans="1:11" ht="11" thickBot="1">
      <c r="A166" s="61" t="s">
        <v>225</v>
      </c>
      <c r="B166" s="62"/>
      <c r="C166" s="62"/>
      <c r="D166" s="62"/>
      <c r="E166" s="62"/>
      <c r="F166" s="63"/>
      <c r="G166" s="64" t="s">
        <v>226</v>
      </c>
      <c r="H166" s="65"/>
      <c r="I166" s="66"/>
      <c r="J166" s="67">
        <f>J165*J163</f>
        <v>1.1197736458955867</v>
      </c>
      <c r="K166" s="68" t="s">
        <v>209</v>
      </c>
    </row>
    <row r="167" spans="1:11" ht="10.5">
      <c r="A167" s="79"/>
      <c r="B167" s="79"/>
      <c r="C167" s="79"/>
      <c r="D167" s="79"/>
      <c r="E167" s="79"/>
      <c r="F167" s="79"/>
      <c r="G167" s="80"/>
      <c r="H167" s="80"/>
      <c r="I167" s="80"/>
      <c r="K167" s="81"/>
    </row>
    <row r="168" spans="1:11" ht="10.5">
      <c r="A168" s="79"/>
      <c r="B168" s="79"/>
      <c r="C168" s="79"/>
      <c r="D168" s="79"/>
      <c r="E168" s="79"/>
      <c r="F168" s="79"/>
      <c r="G168" s="80"/>
      <c r="H168" s="80"/>
      <c r="I168" s="80"/>
      <c r="K168" s="81"/>
    </row>
    <row r="169" spans="1:11" ht="11" thickBo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</row>
    <row r="170" spans="1:11">
      <c r="A170" s="28" t="s">
        <v>237</v>
      </c>
      <c r="B170" s="29"/>
      <c r="C170" s="29"/>
      <c r="D170" s="29"/>
      <c r="E170" s="29"/>
      <c r="F170" s="29"/>
      <c r="G170" s="29"/>
      <c r="H170" s="29"/>
      <c r="I170" s="29"/>
      <c r="J170" s="29"/>
      <c r="K170" s="30"/>
    </row>
    <row r="171" spans="1:11">
      <c r="A171" s="31" t="s">
        <v>197</v>
      </c>
      <c r="B171" s="32" t="s">
        <v>198</v>
      </c>
      <c r="C171" s="32" t="s">
        <v>199</v>
      </c>
      <c r="D171" s="32" t="s">
        <v>200</v>
      </c>
      <c r="E171" s="32" t="s">
        <v>201</v>
      </c>
      <c r="F171" s="32" t="s">
        <v>202</v>
      </c>
      <c r="G171" s="32" t="s">
        <v>203</v>
      </c>
      <c r="H171" s="32" t="s">
        <v>204</v>
      </c>
      <c r="I171" s="32" t="s">
        <v>205</v>
      </c>
      <c r="J171" s="32" t="s">
        <v>206</v>
      </c>
      <c r="K171" s="33" t="s">
        <v>207</v>
      </c>
    </row>
    <row r="172" spans="1:11">
      <c r="A172" s="34" t="s">
        <v>208</v>
      </c>
      <c r="B172" s="35">
        <f>ID!I48</f>
        <v>0</v>
      </c>
      <c r="C172" s="36" t="s">
        <v>238</v>
      </c>
      <c r="D172" s="37" t="s">
        <v>210</v>
      </c>
      <c r="E172" s="37">
        <f>SQRT(3)</f>
        <v>1.7320508075688772</v>
      </c>
      <c r="F172" s="37">
        <f>B172/E172</f>
        <v>0</v>
      </c>
      <c r="G172" s="37">
        <v>2</v>
      </c>
      <c r="H172" s="37">
        <v>1</v>
      </c>
      <c r="I172" s="37">
        <f>F172*H172</f>
        <v>0</v>
      </c>
      <c r="J172" s="37">
        <f>I172^2</f>
        <v>0</v>
      </c>
      <c r="K172" s="38">
        <f>(J172^2)/G172</f>
        <v>0</v>
      </c>
    </row>
    <row r="173" spans="1:11">
      <c r="A173" s="39" t="s">
        <v>212</v>
      </c>
      <c r="B173" s="41">
        <f>'Data Sound Level Meter'!E30</f>
        <v>0.5</v>
      </c>
      <c r="C173" s="36" t="s">
        <v>238</v>
      </c>
      <c r="D173" s="36" t="s">
        <v>210</v>
      </c>
      <c r="E173" s="36">
        <v>2</v>
      </c>
      <c r="F173" s="41">
        <f>B173/E173</f>
        <v>0.25</v>
      </c>
      <c r="G173" s="42">
        <v>50</v>
      </c>
      <c r="H173" s="42">
        <v>1</v>
      </c>
      <c r="I173" s="41">
        <f>F173*H173</f>
        <v>0.25</v>
      </c>
      <c r="J173" s="41">
        <f>I173^2</f>
        <v>6.25E-2</v>
      </c>
      <c r="K173" s="43">
        <f>(J173^2)/G173</f>
        <v>7.8125000000000002E-5</v>
      </c>
    </row>
    <row r="174" spans="1:11">
      <c r="A174" s="34" t="s">
        <v>216</v>
      </c>
      <c r="B174" s="314">
        <v>0</v>
      </c>
      <c r="C174" s="36" t="s">
        <v>238</v>
      </c>
      <c r="D174" s="37" t="s">
        <v>215</v>
      </c>
      <c r="E174" s="37">
        <f>SQRT(3)</f>
        <v>1.7320508075688772</v>
      </c>
      <c r="F174" s="37">
        <f>B174/E174</f>
        <v>0</v>
      </c>
      <c r="G174" s="37">
        <v>50</v>
      </c>
      <c r="H174" s="37">
        <v>1</v>
      </c>
      <c r="I174" s="37">
        <f>F174*H174</f>
        <v>0</v>
      </c>
      <c r="J174" s="37">
        <f>I174^2</f>
        <v>0</v>
      </c>
      <c r="K174" s="38">
        <f>(J174^2)/G174</f>
        <v>0</v>
      </c>
    </row>
    <row r="175" spans="1:11" ht="10.5">
      <c r="A175" s="47" t="s">
        <v>218</v>
      </c>
      <c r="B175" s="48"/>
      <c r="C175" s="48"/>
      <c r="D175" s="48"/>
      <c r="E175" s="48"/>
      <c r="F175" s="48"/>
      <c r="G175" s="48"/>
      <c r="H175" s="48"/>
      <c r="I175" s="49"/>
      <c r="J175" s="50">
        <f>SUM(J172:J174)</f>
        <v>6.25E-2</v>
      </c>
      <c r="K175" s="51">
        <f>SUM(K172:K174)</f>
        <v>7.8125000000000002E-5</v>
      </c>
    </row>
    <row r="176" spans="1:11" ht="12.5">
      <c r="A176" s="47" t="s">
        <v>219</v>
      </c>
      <c r="B176" s="48"/>
      <c r="C176" s="48"/>
      <c r="D176" s="48"/>
      <c r="E176" s="48"/>
      <c r="F176" s="49"/>
      <c r="G176" s="52" t="s">
        <v>220</v>
      </c>
      <c r="H176" s="53"/>
      <c r="I176" s="54"/>
      <c r="J176" s="50">
        <f>SQRT(J175)</f>
        <v>0.25</v>
      </c>
      <c r="K176" s="51"/>
    </row>
    <row r="177" spans="1:11" ht="13.5">
      <c r="A177" s="47" t="s">
        <v>221</v>
      </c>
      <c r="B177" s="48"/>
      <c r="C177" s="48"/>
      <c r="D177" s="48"/>
      <c r="E177" s="48"/>
      <c r="F177" s="49"/>
      <c r="G177" s="55" t="s">
        <v>222</v>
      </c>
      <c r="H177" s="56"/>
      <c r="I177" s="57"/>
      <c r="J177" s="50">
        <f>J176^4/(K175)</f>
        <v>50</v>
      </c>
      <c r="K177" s="51"/>
    </row>
    <row r="178" spans="1:11" ht="10.5">
      <c r="A178" s="47" t="s">
        <v>223</v>
      </c>
      <c r="B178" s="48"/>
      <c r="C178" s="48"/>
      <c r="D178" s="48"/>
      <c r="E178" s="48"/>
      <c r="F178" s="49"/>
      <c r="G178" s="58" t="s">
        <v>224</v>
      </c>
      <c r="H178" s="59"/>
      <c r="I178" s="60"/>
      <c r="J178" s="50">
        <f>TINV(0.05,J177)</f>
        <v>2.0085591121007611</v>
      </c>
      <c r="K178" s="51"/>
    </row>
    <row r="179" spans="1:11" ht="11" thickBot="1">
      <c r="A179" s="61" t="s">
        <v>225</v>
      </c>
      <c r="B179" s="62"/>
      <c r="C179" s="62"/>
      <c r="D179" s="62"/>
      <c r="E179" s="62"/>
      <c r="F179" s="63"/>
      <c r="G179" s="64" t="s">
        <v>226</v>
      </c>
      <c r="H179" s="65"/>
      <c r="I179" s="66"/>
      <c r="J179" s="317">
        <f>J178*J176</f>
        <v>0.50213977802519028</v>
      </c>
      <c r="K179" s="68" t="s">
        <v>238</v>
      </c>
    </row>
    <row r="180" spans="1:11" ht="11" thickBo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</row>
    <row r="181" spans="1:11">
      <c r="A181" s="28" t="s">
        <v>239</v>
      </c>
      <c r="B181" s="29"/>
      <c r="C181" s="29"/>
      <c r="D181" s="29"/>
      <c r="E181" s="29"/>
      <c r="F181" s="29"/>
      <c r="G181" s="29"/>
      <c r="H181" s="29"/>
      <c r="I181" s="29"/>
      <c r="J181" s="29"/>
      <c r="K181" s="30"/>
    </row>
    <row r="182" spans="1:11">
      <c r="A182" s="31" t="s">
        <v>197</v>
      </c>
      <c r="B182" s="32" t="s">
        <v>198</v>
      </c>
      <c r="C182" s="32" t="s">
        <v>199</v>
      </c>
      <c r="D182" s="32" t="s">
        <v>200</v>
      </c>
      <c r="E182" s="32" t="s">
        <v>201</v>
      </c>
      <c r="F182" s="32" t="s">
        <v>202</v>
      </c>
      <c r="G182" s="32" t="s">
        <v>203</v>
      </c>
      <c r="H182" s="32" t="s">
        <v>204</v>
      </c>
      <c r="I182" s="32" t="s">
        <v>205</v>
      </c>
      <c r="J182" s="32" t="s">
        <v>206</v>
      </c>
      <c r="K182" s="33" t="s">
        <v>207</v>
      </c>
    </row>
    <row r="183" spans="1:11">
      <c r="A183" s="34" t="s">
        <v>208</v>
      </c>
      <c r="B183" s="35">
        <f>ID!I49</f>
        <v>0</v>
      </c>
      <c r="C183" s="36" t="s">
        <v>238</v>
      </c>
      <c r="D183" s="37" t="s">
        <v>210</v>
      </c>
      <c r="E183" s="37">
        <f>SQRT(3)</f>
        <v>1.7320508075688772</v>
      </c>
      <c r="F183" s="69">
        <f>B183/E183</f>
        <v>0</v>
      </c>
      <c r="G183" s="37">
        <v>2</v>
      </c>
      <c r="H183" s="37">
        <v>1</v>
      </c>
      <c r="I183" s="37">
        <f>F183*H183</f>
        <v>0</v>
      </c>
      <c r="J183" s="37">
        <f>I183^2</f>
        <v>0</v>
      </c>
      <c r="K183" s="38">
        <f>(J183^2)/G183</f>
        <v>0</v>
      </c>
    </row>
    <row r="184" spans="1:11">
      <c r="A184" s="39" t="s">
        <v>212</v>
      </c>
      <c r="B184" s="41">
        <f>'Data Sound Level Meter'!E30</f>
        <v>0.5</v>
      </c>
      <c r="C184" s="36" t="s">
        <v>238</v>
      </c>
      <c r="D184" s="36" t="s">
        <v>210</v>
      </c>
      <c r="E184" s="36">
        <v>2</v>
      </c>
      <c r="F184" s="70">
        <f>B184/E184</f>
        <v>0.25</v>
      </c>
      <c r="G184" s="42">
        <v>50</v>
      </c>
      <c r="H184" s="42">
        <v>1</v>
      </c>
      <c r="I184" s="41">
        <f>F184*H184</f>
        <v>0.25</v>
      </c>
      <c r="J184" s="41">
        <f>I184^2</f>
        <v>6.25E-2</v>
      </c>
      <c r="K184" s="43">
        <f>(J184^2)/G184</f>
        <v>7.8125000000000002E-5</v>
      </c>
    </row>
    <row r="185" spans="1:11">
      <c r="A185" s="34" t="s">
        <v>216</v>
      </c>
      <c r="B185" s="314">
        <v>0</v>
      </c>
      <c r="C185" s="36" t="s">
        <v>238</v>
      </c>
      <c r="D185" s="37" t="s">
        <v>215</v>
      </c>
      <c r="E185" s="37">
        <f>SQRT(3)</f>
        <v>1.7320508075688772</v>
      </c>
      <c r="F185" s="69">
        <f>B185/E185</f>
        <v>0</v>
      </c>
      <c r="G185" s="37">
        <v>50</v>
      </c>
      <c r="H185" s="37">
        <v>1</v>
      </c>
      <c r="I185" s="37">
        <f>F185*H185</f>
        <v>0</v>
      </c>
      <c r="J185" s="37">
        <f>I185^2</f>
        <v>0</v>
      </c>
      <c r="K185" s="38">
        <f>(J185^2)/G185</f>
        <v>0</v>
      </c>
    </row>
    <row r="186" spans="1:11" ht="10.5">
      <c r="A186" s="47" t="s">
        <v>218</v>
      </c>
      <c r="B186" s="48"/>
      <c r="C186" s="48"/>
      <c r="D186" s="48"/>
      <c r="E186" s="48"/>
      <c r="F186" s="48"/>
      <c r="G186" s="48"/>
      <c r="H186" s="48"/>
      <c r="I186" s="49"/>
      <c r="J186" s="50">
        <f>SUM(J183:J185)</f>
        <v>6.25E-2</v>
      </c>
      <c r="K186" s="51">
        <f>SUM(K183:K185)</f>
        <v>7.8125000000000002E-5</v>
      </c>
    </row>
    <row r="187" spans="1:11" ht="12.5">
      <c r="A187" s="47" t="s">
        <v>219</v>
      </c>
      <c r="B187" s="48"/>
      <c r="C187" s="48"/>
      <c r="D187" s="48"/>
      <c r="E187" s="48"/>
      <c r="F187" s="49"/>
      <c r="G187" s="52" t="s">
        <v>220</v>
      </c>
      <c r="H187" s="53"/>
      <c r="I187" s="54"/>
      <c r="J187" s="50">
        <f>SQRT(J186)</f>
        <v>0.25</v>
      </c>
      <c r="K187" s="51"/>
    </row>
    <row r="188" spans="1:11" ht="13.5">
      <c r="A188" s="47" t="s">
        <v>221</v>
      </c>
      <c r="B188" s="48"/>
      <c r="C188" s="48"/>
      <c r="D188" s="48"/>
      <c r="E188" s="48"/>
      <c r="F188" s="49"/>
      <c r="G188" s="55" t="s">
        <v>222</v>
      </c>
      <c r="H188" s="56"/>
      <c r="I188" s="57"/>
      <c r="J188" s="50">
        <f>J187^4/(K186)</f>
        <v>50</v>
      </c>
      <c r="K188" s="51"/>
    </row>
    <row r="189" spans="1:11" ht="10.5">
      <c r="A189" s="47" t="s">
        <v>223</v>
      </c>
      <c r="B189" s="48"/>
      <c r="C189" s="48"/>
      <c r="D189" s="48"/>
      <c r="E189" s="48"/>
      <c r="F189" s="49"/>
      <c r="G189" s="58" t="s">
        <v>224</v>
      </c>
      <c r="H189" s="59"/>
      <c r="I189" s="60"/>
      <c r="J189" s="50">
        <f>TINV(0.05,J188)</f>
        <v>2.0085591121007611</v>
      </c>
      <c r="K189" s="51"/>
    </row>
    <row r="190" spans="1:11" ht="11" thickBot="1">
      <c r="A190" s="61" t="s">
        <v>225</v>
      </c>
      <c r="B190" s="62"/>
      <c r="C190" s="62"/>
      <c r="D190" s="62"/>
      <c r="E190" s="62"/>
      <c r="F190" s="63"/>
      <c r="G190" s="64" t="s">
        <v>226</v>
      </c>
      <c r="H190" s="65"/>
      <c r="I190" s="66"/>
      <c r="J190" s="317">
        <f>J189*J187</f>
        <v>0.50213977802519028</v>
      </c>
      <c r="K190" s="68" t="s">
        <v>238</v>
      </c>
    </row>
    <row r="191" spans="1:11" ht="11" thickBot="1">
      <c r="A191" s="71"/>
      <c r="B191" s="72"/>
      <c r="C191" s="73"/>
      <c r="D191" s="73"/>
      <c r="E191" s="71"/>
      <c r="F191" s="74"/>
      <c r="G191" s="74"/>
      <c r="H191" s="74"/>
      <c r="I191" s="74"/>
      <c r="J191" s="74"/>
      <c r="K191" s="75"/>
    </row>
    <row r="192" spans="1:11">
      <c r="A192" s="28" t="s">
        <v>240</v>
      </c>
      <c r="B192" s="29"/>
      <c r="C192" s="29"/>
      <c r="D192" s="29"/>
      <c r="E192" s="29"/>
      <c r="F192" s="29"/>
      <c r="G192" s="29"/>
      <c r="H192" s="29"/>
      <c r="I192" s="29"/>
      <c r="J192" s="29"/>
      <c r="K192" s="30"/>
    </row>
    <row r="193" spans="1:11">
      <c r="A193" s="31" t="s">
        <v>197</v>
      </c>
      <c r="B193" s="32" t="s">
        <v>198</v>
      </c>
      <c r="C193" s="32" t="s">
        <v>199</v>
      </c>
      <c r="D193" s="32" t="s">
        <v>200</v>
      </c>
      <c r="E193" s="32" t="s">
        <v>201</v>
      </c>
      <c r="F193" s="32" t="s">
        <v>202</v>
      </c>
      <c r="G193" s="32" t="s">
        <v>203</v>
      </c>
      <c r="H193" s="32" t="s">
        <v>204</v>
      </c>
      <c r="I193" s="32" t="s">
        <v>205</v>
      </c>
      <c r="J193" s="32" t="s">
        <v>206</v>
      </c>
      <c r="K193" s="33" t="s">
        <v>207</v>
      </c>
    </row>
    <row r="194" spans="1:11">
      <c r="A194" s="34" t="s">
        <v>208</v>
      </c>
      <c r="B194" s="35">
        <f>ID!I50</f>
        <v>0</v>
      </c>
      <c r="C194" s="36" t="s">
        <v>238</v>
      </c>
      <c r="D194" s="37" t="s">
        <v>210</v>
      </c>
      <c r="E194" s="37">
        <f>SQRT(3)</f>
        <v>1.7320508075688772</v>
      </c>
      <c r="F194" s="69">
        <f>B194/E194</f>
        <v>0</v>
      </c>
      <c r="G194" s="37">
        <v>2</v>
      </c>
      <c r="H194" s="37">
        <v>1</v>
      </c>
      <c r="I194" s="37">
        <f>F194*H194</f>
        <v>0</v>
      </c>
      <c r="J194" s="37">
        <f>I194^2</f>
        <v>0</v>
      </c>
      <c r="K194" s="38">
        <f>(J194^2)/G194</f>
        <v>0</v>
      </c>
    </row>
    <row r="195" spans="1:11">
      <c r="A195" s="39" t="s">
        <v>212</v>
      </c>
      <c r="B195" s="40">
        <f>'Data Sound Level Meter'!E30</f>
        <v>0.5</v>
      </c>
      <c r="C195" s="36" t="s">
        <v>238</v>
      </c>
      <c r="D195" s="36" t="s">
        <v>210</v>
      </c>
      <c r="E195" s="36">
        <v>2</v>
      </c>
      <c r="F195" s="70">
        <f>B195/E195</f>
        <v>0.25</v>
      </c>
      <c r="G195" s="42">
        <v>50</v>
      </c>
      <c r="H195" s="42">
        <v>1</v>
      </c>
      <c r="I195" s="41">
        <f>F195*H195</f>
        <v>0.25</v>
      </c>
      <c r="J195" s="41">
        <f>I195^2</f>
        <v>6.25E-2</v>
      </c>
      <c r="K195" s="43">
        <f>(J195^2)/G195</f>
        <v>7.8125000000000002E-5</v>
      </c>
    </row>
    <row r="196" spans="1:11">
      <c r="A196" s="34" t="s">
        <v>216</v>
      </c>
      <c r="B196" s="314">
        <v>0</v>
      </c>
      <c r="C196" s="36" t="s">
        <v>238</v>
      </c>
      <c r="D196" s="37" t="s">
        <v>215</v>
      </c>
      <c r="E196" s="37">
        <f>SQRT(3)</f>
        <v>1.7320508075688772</v>
      </c>
      <c r="F196" s="69">
        <f>B196/E196</f>
        <v>0</v>
      </c>
      <c r="G196" s="37">
        <v>50</v>
      </c>
      <c r="H196" s="37">
        <v>1</v>
      </c>
      <c r="I196" s="37">
        <f>F196*H196</f>
        <v>0</v>
      </c>
      <c r="J196" s="37">
        <f>I196^2</f>
        <v>0</v>
      </c>
      <c r="K196" s="38">
        <f>(J196^2)/G196</f>
        <v>0</v>
      </c>
    </row>
    <row r="197" spans="1:11" ht="10.5">
      <c r="A197" s="47" t="s">
        <v>218</v>
      </c>
      <c r="B197" s="48"/>
      <c r="C197" s="48"/>
      <c r="D197" s="48"/>
      <c r="E197" s="48"/>
      <c r="F197" s="48"/>
      <c r="G197" s="48"/>
      <c r="H197" s="48"/>
      <c r="I197" s="49"/>
      <c r="J197" s="50">
        <f>SUM(J194:J196)</f>
        <v>6.25E-2</v>
      </c>
      <c r="K197" s="51">
        <f>SUM(K194:K196)</f>
        <v>7.8125000000000002E-5</v>
      </c>
    </row>
    <row r="198" spans="1:11" ht="12.5">
      <c r="A198" s="47" t="s">
        <v>219</v>
      </c>
      <c r="B198" s="48"/>
      <c r="C198" s="48"/>
      <c r="D198" s="48"/>
      <c r="E198" s="48"/>
      <c r="F198" s="49"/>
      <c r="G198" s="52" t="s">
        <v>220</v>
      </c>
      <c r="H198" s="53"/>
      <c r="I198" s="54"/>
      <c r="J198" s="50">
        <f>SQRT(J197)</f>
        <v>0.25</v>
      </c>
      <c r="K198" s="51"/>
    </row>
    <row r="199" spans="1:11" ht="13.5">
      <c r="A199" s="47" t="s">
        <v>221</v>
      </c>
      <c r="B199" s="48"/>
      <c r="C199" s="48"/>
      <c r="D199" s="48"/>
      <c r="E199" s="48"/>
      <c r="F199" s="49"/>
      <c r="G199" s="55" t="s">
        <v>222</v>
      </c>
      <c r="H199" s="56"/>
      <c r="I199" s="57"/>
      <c r="J199" s="50">
        <f>J198^4/(K197)</f>
        <v>50</v>
      </c>
      <c r="K199" s="51"/>
    </row>
    <row r="200" spans="1:11" ht="10.5">
      <c r="A200" s="47" t="s">
        <v>223</v>
      </c>
      <c r="B200" s="48"/>
      <c r="C200" s="48"/>
      <c r="D200" s="48"/>
      <c r="E200" s="48"/>
      <c r="F200" s="49"/>
      <c r="G200" s="58" t="s">
        <v>224</v>
      </c>
      <c r="H200" s="59"/>
      <c r="I200" s="60"/>
      <c r="J200" s="50">
        <f>TINV(0.05,J199)</f>
        <v>2.0085591121007611</v>
      </c>
      <c r="K200" s="51"/>
    </row>
    <row r="201" spans="1:11" ht="11" thickBot="1">
      <c r="A201" s="61" t="s">
        <v>225</v>
      </c>
      <c r="B201" s="62"/>
      <c r="C201" s="62"/>
      <c r="D201" s="62"/>
      <c r="E201" s="62"/>
      <c r="F201" s="63"/>
      <c r="G201" s="64" t="s">
        <v>226</v>
      </c>
      <c r="H201" s="65"/>
      <c r="I201" s="66"/>
      <c r="J201" s="317">
        <f>J200*J198</f>
        <v>0.50213977802519028</v>
      </c>
      <c r="K201" s="68" t="s">
        <v>238</v>
      </c>
    </row>
    <row r="202" spans="1:11" ht="11" thickBot="1">
      <c r="A202" s="76"/>
      <c r="B202" s="76"/>
      <c r="C202" s="77"/>
      <c r="D202" s="77"/>
      <c r="E202" s="77"/>
      <c r="F202" s="77"/>
      <c r="G202" s="78"/>
      <c r="H202" s="77"/>
      <c r="I202" s="77"/>
      <c r="J202" s="44"/>
      <c r="K202" s="77"/>
    </row>
    <row r="203" spans="1:11">
      <c r="A203" s="28" t="s">
        <v>241</v>
      </c>
      <c r="B203" s="29"/>
      <c r="C203" s="29"/>
      <c r="D203" s="29"/>
      <c r="E203" s="29"/>
      <c r="F203" s="29"/>
      <c r="G203" s="29"/>
      <c r="H203" s="29"/>
      <c r="I203" s="29"/>
      <c r="J203" s="29"/>
      <c r="K203" s="30"/>
    </row>
    <row r="204" spans="1:11">
      <c r="A204" s="31" t="s">
        <v>197</v>
      </c>
      <c r="B204" s="32" t="s">
        <v>198</v>
      </c>
      <c r="C204" s="32" t="s">
        <v>199</v>
      </c>
      <c r="D204" s="32" t="s">
        <v>200</v>
      </c>
      <c r="E204" s="32" t="s">
        <v>201</v>
      </c>
      <c r="F204" s="32" t="s">
        <v>202</v>
      </c>
      <c r="G204" s="32" t="s">
        <v>203</v>
      </c>
      <c r="H204" s="32" t="s">
        <v>204</v>
      </c>
      <c r="I204" s="32" t="s">
        <v>205</v>
      </c>
      <c r="J204" s="32" t="s">
        <v>206</v>
      </c>
      <c r="K204" s="33" t="s">
        <v>207</v>
      </c>
    </row>
    <row r="205" spans="1:11">
      <c r="A205" s="34" t="s">
        <v>208</v>
      </c>
      <c r="B205" s="35">
        <f>ID!I51</f>
        <v>0</v>
      </c>
      <c r="C205" s="36" t="s">
        <v>238</v>
      </c>
      <c r="D205" s="37" t="s">
        <v>210</v>
      </c>
      <c r="E205" s="37">
        <f>SQRT(3)</f>
        <v>1.7320508075688772</v>
      </c>
      <c r="F205" s="69">
        <f>B205/E205</f>
        <v>0</v>
      </c>
      <c r="G205" s="37">
        <v>2</v>
      </c>
      <c r="H205" s="37">
        <v>1</v>
      </c>
      <c r="I205" s="37">
        <f>F205*H205</f>
        <v>0</v>
      </c>
      <c r="J205" s="37">
        <f>I205^2</f>
        <v>0</v>
      </c>
      <c r="K205" s="38">
        <f>(J205^2)/G205</f>
        <v>0</v>
      </c>
    </row>
    <row r="206" spans="1:11">
      <c r="A206" s="39" t="s">
        <v>212</v>
      </c>
      <c r="B206" s="40">
        <f>'Data Sound Level Meter'!E30</f>
        <v>0.5</v>
      </c>
      <c r="C206" s="36" t="s">
        <v>238</v>
      </c>
      <c r="D206" s="36" t="s">
        <v>210</v>
      </c>
      <c r="E206" s="36">
        <v>2</v>
      </c>
      <c r="F206" s="70">
        <f>B206/E206</f>
        <v>0.25</v>
      </c>
      <c r="G206" s="42">
        <v>50</v>
      </c>
      <c r="H206" s="42">
        <v>1</v>
      </c>
      <c r="I206" s="41">
        <f>F206*H206</f>
        <v>0.25</v>
      </c>
      <c r="J206" s="41">
        <f>I206^2</f>
        <v>6.25E-2</v>
      </c>
      <c r="K206" s="43">
        <f>(J206^2)/G206</f>
        <v>7.8125000000000002E-5</v>
      </c>
    </row>
    <row r="207" spans="1:11">
      <c r="A207" s="34" t="s">
        <v>216</v>
      </c>
      <c r="B207" s="314">
        <v>0</v>
      </c>
      <c r="C207" s="36" t="s">
        <v>238</v>
      </c>
      <c r="D207" s="37" t="s">
        <v>215</v>
      </c>
      <c r="E207" s="37">
        <f>SQRT(3)</f>
        <v>1.7320508075688772</v>
      </c>
      <c r="F207" s="69">
        <f>B207/E207</f>
        <v>0</v>
      </c>
      <c r="G207" s="37">
        <v>50</v>
      </c>
      <c r="H207" s="37">
        <v>1</v>
      </c>
      <c r="I207" s="37">
        <f>F207*H207</f>
        <v>0</v>
      </c>
      <c r="J207" s="37">
        <f>I207^2</f>
        <v>0</v>
      </c>
      <c r="K207" s="38">
        <f>(J207^2)/G207</f>
        <v>0</v>
      </c>
    </row>
    <row r="208" spans="1:11" ht="10.5">
      <c r="A208" s="47" t="s">
        <v>218</v>
      </c>
      <c r="B208" s="48"/>
      <c r="C208" s="48"/>
      <c r="D208" s="48"/>
      <c r="E208" s="48"/>
      <c r="F208" s="48"/>
      <c r="G208" s="48"/>
      <c r="H208" s="48"/>
      <c r="I208" s="49"/>
      <c r="J208" s="50">
        <f>SUM(J205:J207)</f>
        <v>6.25E-2</v>
      </c>
      <c r="K208" s="51">
        <f>SUM(K205:K207)</f>
        <v>7.8125000000000002E-5</v>
      </c>
    </row>
    <row r="209" spans="1:11" ht="12.5">
      <c r="A209" s="47" t="s">
        <v>219</v>
      </c>
      <c r="B209" s="48"/>
      <c r="C209" s="48"/>
      <c r="D209" s="48"/>
      <c r="E209" s="48"/>
      <c r="F209" s="49"/>
      <c r="G209" s="52" t="s">
        <v>220</v>
      </c>
      <c r="H209" s="53"/>
      <c r="I209" s="54"/>
      <c r="J209" s="50">
        <f>SQRT(J208)</f>
        <v>0.25</v>
      </c>
      <c r="K209" s="51"/>
    </row>
    <row r="210" spans="1:11" ht="13.5">
      <c r="A210" s="47" t="s">
        <v>221</v>
      </c>
      <c r="B210" s="48"/>
      <c r="C210" s="48"/>
      <c r="D210" s="48"/>
      <c r="E210" s="48"/>
      <c r="F210" s="49"/>
      <c r="G210" s="55" t="s">
        <v>222</v>
      </c>
      <c r="H210" s="56"/>
      <c r="I210" s="57"/>
      <c r="J210" s="50">
        <f>J209^4/(K208)</f>
        <v>50</v>
      </c>
      <c r="K210" s="51"/>
    </row>
    <row r="211" spans="1:11" ht="10.5">
      <c r="A211" s="47" t="s">
        <v>223</v>
      </c>
      <c r="B211" s="48"/>
      <c r="C211" s="48"/>
      <c r="D211" s="48"/>
      <c r="E211" s="48"/>
      <c r="F211" s="49"/>
      <c r="G211" s="58" t="s">
        <v>224</v>
      </c>
      <c r="H211" s="59"/>
      <c r="I211" s="60"/>
      <c r="J211" s="50">
        <f>TINV(0.05,J210)</f>
        <v>2.0085591121007611</v>
      </c>
      <c r="K211" s="51"/>
    </row>
    <row r="212" spans="1:11" ht="11" thickBot="1">
      <c r="A212" s="61" t="s">
        <v>225</v>
      </c>
      <c r="B212" s="62"/>
      <c r="C212" s="62"/>
      <c r="D212" s="62"/>
      <c r="E212" s="62"/>
      <c r="F212" s="63"/>
      <c r="G212" s="64" t="s">
        <v>226</v>
      </c>
      <c r="H212" s="65"/>
      <c r="I212" s="66"/>
      <c r="J212" s="317">
        <f>J211*J209</f>
        <v>0.50213977802519028</v>
      </c>
      <c r="K212" s="68" t="s">
        <v>238</v>
      </c>
    </row>
    <row r="213" spans="1:11" ht="10.5">
      <c r="A213" s="79"/>
      <c r="B213" s="79"/>
      <c r="C213" s="79"/>
      <c r="D213" s="79"/>
      <c r="E213" s="79"/>
      <c r="F213" s="79"/>
      <c r="G213" s="80"/>
      <c r="H213" s="80"/>
      <c r="I213" s="80"/>
      <c r="K213" s="81"/>
    </row>
    <row r="214" spans="1:11" ht="11" thickBot="1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</row>
    <row r="215" spans="1:11">
      <c r="A215" s="28" t="s">
        <v>242</v>
      </c>
      <c r="B215" s="29"/>
      <c r="C215" s="29"/>
      <c r="D215" s="29"/>
      <c r="E215" s="29"/>
      <c r="F215" s="29"/>
      <c r="G215" s="29"/>
      <c r="H215" s="29"/>
      <c r="I215" s="29"/>
      <c r="J215" s="29"/>
      <c r="K215" s="30"/>
    </row>
    <row r="216" spans="1:11">
      <c r="A216" s="31" t="s">
        <v>197</v>
      </c>
      <c r="B216" s="32" t="s">
        <v>198</v>
      </c>
      <c r="C216" s="32" t="s">
        <v>199</v>
      </c>
      <c r="D216" s="32" t="s">
        <v>200</v>
      </c>
      <c r="E216" s="32" t="s">
        <v>201</v>
      </c>
      <c r="F216" s="32" t="s">
        <v>202</v>
      </c>
      <c r="G216" s="32" t="s">
        <v>203</v>
      </c>
      <c r="H216" s="32" t="s">
        <v>204</v>
      </c>
      <c r="I216" s="32" t="s">
        <v>205</v>
      </c>
      <c r="J216" s="32" t="s">
        <v>206</v>
      </c>
      <c r="K216" s="33" t="s">
        <v>207</v>
      </c>
    </row>
    <row r="217" spans="1:11">
      <c r="A217" s="34" t="s">
        <v>208</v>
      </c>
      <c r="B217" s="35">
        <f>ID!I52</f>
        <v>0</v>
      </c>
      <c r="C217" s="36" t="s">
        <v>238</v>
      </c>
      <c r="D217" s="37" t="s">
        <v>210</v>
      </c>
      <c r="E217" s="37">
        <f>SQRT(3)</f>
        <v>1.7320508075688772</v>
      </c>
      <c r="F217" s="69">
        <f>B217/E217</f>
        <v>0</v>
      </c>
      <c r="G217" s="37">
        <v>2</v>
      </c>
      <c r="H217" s="37">
        <v>1</v>
      </c>
      <c r="I217" s="37">
        <f>F217*H217</f>
        <v>0</v>
      </c>
      <c r="J217" s="37">
        <f>I217^2</f>
        <v>0</v>
      </c>
      <c r="K217" s="38">
        <f>(J217^2)/G217</f>
        <v>0</v>
      </c>
    </row>
    <row r="218" spans="1:11">
      <c r="A218" s="39" t="s">
        <v>212</v>
      </c>
      <c r="B218" s="40">
        <f>'Data Sound Level Meter'!E30</f>
        <v>0.5</v>
      </c>
      <c r="C218" s="36" t="s">
        <v>238</v>
      </c>
      <c r="D218" s="36" t="s">
        <v>210</v>
      </c>
      <c r="E218" s="36">
        <v>2</v>
      </c>
      <c r="F218" s="70">
        <f>B218/E218</f>
        <v>0.25</v>
      </c>
      <c r="G218" s="42">
        <v>50</v>
      </c>
      <c r="H218" s="42">
        <v>1</v>
      </c>
      <c r="I218" s="41">
        <f>F218*H218</f>
        <v>0.25</v>
      </c>
      <c r="J218" s="41">
        <f>I218^2</f>
        <v>6.25E-2</v>
      </c>
      <c r="K218" s="43">
        <f>(J218^2)/G218</f>
        <v>7.8125000000000002E-5</v>
      </c>
    </row>
    <row r="219" spans="1:11">
      <c r="A219" s="34" t="s">
        <v>216</v>
      </c>
      <c r="B219" s="314">
        <v>0</v>
      </c>
      <c r="C219" s="36" t="s">
        <v>238</v>
      </c>
      <c r="D219" s="37" t="s">
        <v>215</v>
      </c>
      <c r="E219" s="37">
        <f>SQRT(3)</f>
        <v>1.7320508075688772</v>
      </c>
      <c r="F219" s="69">
        <f>B219/E219</f>
        <v>0</v>
      </c>
      <c r="G219" s="37">
        <v>50</v>
      </c>
      <c r="H219" s="37">
        <v>1</v>
      </c>
      <c r="I219" s="37">
        <f>F219*H219</f>
        <v>0</v>
      </c>
      <c r="J219" s="37">
        <f>I219^2</f>
        <v>0</v>
      </c>
      <c r="K219" s="38">
        <f>(J219^2)/G219</f>
        <v>0</v>
      </c>
    </row>
    <row r="220" spans="1:11" ht="10.5">
      <c r="A220" s="47" t="s">
        <v>218</v>
      </c>
      <c r="B220" s="48"/>
      <c r="C220" s="48"/>
      <c r="D220" s="48"/>
      <c r="E220" s="48"/>
      <c r="F220" s="48"/>
      <c r="G220" s="48"/>
      <c r="H220" s="48"/>
      <c r="I220" s="49"/>
      <c r="J220" s="50">
        <f>SUM(J217:J219)</f>
        <v>6.25E-2</v>
      </c>
      <c r="K220" s="51">
        <f>SUM(K217:K219)</f>
        <v>7.8125000000000002E-5</v>
      </c>
    </row>
    <row r="221" spans="1:11" ht="12.5">
      <c r="A221" s="47" t="s">
        <v>219</v>
      </c>
      <c r="B221" s="48"/>
      <c r="C221" s="48"/>
      <c r="D221" s="48"/>
      <c r="E221" s="48"/>
      <c r="F221" s="49"/>
      <c r="G221" s="52" t="s">
        <v>220</v>
      </c>
      <c r="H221" s="53"/>
      <c r="I221" s="54"/>
      <c r="J221" s="50">
        <f>SQRT(J220)</f>
        <v>0.25</v>
      </c>
      <c r="K221" s="51"/>
    </row>
    <row r="222" spans="1:11" ht="13.5">
      <c r="A222" s="47" t="s">
        <v>221</v>
      </c>
      <c r="B222" s="48"/>
      <c r="C222" s="48"/>
      <c r="D222" s="48"/>
      <c r="E222" s="48"/>
      <c r="F222" s="49"/>
      <c r="G222" s="55" t="s">
        <v>222</v>
      </c>
      <c r="H222" s="56"/>
      <c r="I222" s="57"/>
      <c r="J222" s="50">
        <f>J221^4/(K220)</f>
        <v>50</v>
      </c>
      <c r="K222" s="51"/>
    </row>
    <row r="223" spans="1:11" ht="10.5">
      <c r="A223" s="47" t="s">
        <v>223</v>
      </c>
      <c r="B223" s="48"/>
      <c r="C223" s="48"/>
      <c r="D223" s="48"/>
      <c r="E223" s="48"/>
      <c r="F223" s="49"/>
      <c r="G223" s="58" t="s">
        <v>224</v>
      </c>
      <c r="H223" s="59"/>
      <c r="I223" s="60"/>
      <c r="J223" s="50">
        <f>TINV(0.05,J222)</f>
        <v>2.0085591121007611</v>
      </c>
      <c r="K223" s="51"/>
    </row>
    <row r="224" spans="1:11" ht="11" thickBot="1">
      <c r="A224" s="61" t="s">
        <v>225</v>
      </c>
      <c r="B224" s="62"/>
      <c r="C224" s="62"/>
      <c r="D224" s="62"/>
      <c r="E224" s="62"/>
      <c r="F224" s="63"/>
      <c r="G224" s="64" t="s">
        <v>226</v>
      </c>
      <c r="H224" s="65"/>
      <c r="I224" s="66"/>
      <c r="J224" s="317">
        <f>J223*J221</f>
        <v>0.50213977802519028</v>
      </c>
      <c r="K224" s="68" t="s">
        <v>238</v>
      </c>
    </row>
    <row r="225" spans="1:11" ht="11" thickBo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</row>
    <row r="226" spans="1:11">
      <c r="A226" s="28" t="s">
        <v>243</v>
      </c>
      <c r="B226" s="29"/>
      <c r="C226" s="29"/>
      <c r="D226" s="29"/>
      <c r="E226" s="29"/>
      <c r="F226" s="29"/>
      <c r="G226" s="29"/>
      <c r="H226" s="29"/>
      <c r="I226" s="29"/>
      <c r="J226" s="29"/>
      <c r="K226" s="30"/>
    </row>
    <row r="227" spans="1:11">
      <c r="A227" s="31" t="s">
        <v>197</v>
      </c>
      <c r="B227" s="32" t="s">
        <v>198</v>
      </c>
      <c r="C227" s="32" t="s">
        <v>199</v>
      </c>
      <c r="D227" s="32" t="s">
        <v>200</v>
      </c>
      <c r="E227" s="32" t="s">
        <v>201</v>
      </c>
      <c r="F227" s="32" t="s">
        <v>202</v>
      </c>
      <c r="G227" s="32" t="s">
        <v>203</v>
      </c>
      <c r="H227" s="32" t="s">
        <v>204</v>
      </c>
      <c r="I227" s="32" t="s">
        <v>205</v>
      </c>
      <c r="J227" s="32" t="s">
        <v>206</v>
      </c>
      <c r="K227" s="33" t="s">
        <v>207</v>
      </c>
    </row>
    <row r="228" spans="1:11">
      <c r="A228" s="34" t="s">
        <v>208</v>
      </c>
      <c r="B228" s="35">
        <f>ID!I53</f>
        <v>0</v>
      </c>
      <c r="C228" s="36" t="s">
        <v>238</v>
      </c>
      <c r="D228" s="37" t="s">
        <v>210</v>
      </c>
      <c r="E228" s="37">
        <f>SQRT(3)</f>
        <v>1.7320508075688772</v>
      </c>
      <c r="F228" s="69">
        <f>B228/E228</f>
        <v>0</v>
      </c>
      <c r="G228" s="37">
        <v>2</v>
      </c>
      <c r="H228" s="37">
        <v>1</v>
      </c>
      <c r="I228" s="37">
        <f>F228*H228</f>
        <v>0</v>
      </c>
      <c r="J228" s="37">
        <f>I228^2</f>
        <v>0</v>
      </c>
      <c r="K228" s="38">
        <f>(J228^2)/G228</f>
        <v>0</v>
      </c>
    </row>
    <row r="229" spans="1:11">
      <c r="A229" s="39" t="s">
        <v>212</v>
      </c>
      <c r="B229" s="40">
        <f>'Data Sound Level Meter'!E30</f>
        <v>0.5</v>
      </c>
      <c r="C229" s="36" t="s">
        <v>238</v>
      </c>
      <c r="D229" s="36" t="s">
        <v>210</v>
      </c>
      <c r="E229" s="36">
        <v>2</v>
      </c>
      <c r="F229" s="70">
        <f>B229/E229</f>
        <v>0.25</v>
      </c>
      <c r="G229" s="42">
        <v>50</v>
      </c>
      <c r="H229" s="42">
        <v>1</v>
      </c>
      <c r="I229" s="41">
        <f>F229*H229</f>
        <v>0.25</v>
      </c>
      <c r="J229" s="41">
        <f>I229^2</f>
        <v>6.25E-2</v>
      </c>
      <c r="K229" s="43">
        <f>(J229^2)/G229</f>
        <v>7.8125000000000002E-5</v>
      </c>
    </row>
    <row r="230" spans="1:11">
      <c r="A230" s="34" t="s">
        <v>216</v>
      </c>
      <c r="B230" s="314">
        <v>0</v>
      </c>
      <c r="C230" s="36" t="s">
        <v>238</v>
      </c>
      <c r="D230" s="37" t="s">
        <v>215</v>
      </c>
      <c r="E230" s="37">
        <f>SQRT(3)</f>
        <v>1.7320508075688772</v>
      </c>
      <c r="F230" s="69">
        <f>B230/E230</f>
        <v>0</v>
      </c>
      <c r="G230" s="37">
        <v>50</v>
      </c>
      <c r="H230" s="37">
        <v>1</v>
      </c>
      <c r="I230" s="37">
        <f>F230*H230</f>
        <v>0</v>
      </c>
      <c r="J230" s="37">
        <f>I230^2</f>
        <v>0</v>
      </c>
      <c r="K230" s="38">
        <f>(J230^2)/G230</f>
        <v>0</v>
      </c>
    </row>
    <row r="231" spans="1:11" ht="10.5">
      <c r="A231" s="47" t="s">
        <v>218</v>
      </c>
      <c r="B231" s="48"/>
      <c r="C231" s="48"/>
      <c r="D231" s="48"/>
      <c r="E231" s="48"/>
      <c r="F231" s="48"/>
      <c r="G231" s="48"/>
      <c r="H231" s="48"/>
      <c r="I231" s="49"/>
      <c r="J231" s="50">
        <f>SUM(J228:J230)</f>
        <v>6.25E-2</v>
      </c>
      <c r="K231" s="51">
        <f>SUM(K228:K230)</f>
        <v>7.8125000000000002E-5</v>
      </c>
    </row>
    <row r="232" spans="1:11" ht="12.5">
      <c r="A232" s="47" t="s">
        <v>219</v>
      </c>
      <c r="B232" s="48"/>
      <c r="C232" s="48"/>
      <c r="D232" s="48"/>
      <c r="E232" s="48"/>
      <c r="F232" s="49"/>
      <c r="G232" s="52" t="s">
        <v>220</v>
      </c>
      <c r="H232" s="53"/>
      <c r="I232" s="54"/>
      <c r="J232" s="50">
        <f>SQRT(J231)</f>
        <v>0.25</v>
      </c>
      <c r="K232" s="51"/>
    </row>
    <row r="233" spans="1:11" ht="13.5">
      <c r="A233" s="47" t="s">
        <v>221</v>
      </c>
      <c r="B233" s="48"/>
      <c r="C233" s="48"/>
      <c r="D233" s="48"/>
      <c r="E233" s="48"/>
      <c r="F233" s="49"/>
      <c r="G233" s="55" t="s">
        <v>222</v>
      </c>
      <c r="H233" s="56"/>
      <c r="I233" s="57"/>
      <c r="J233" s="50">
        <f>J232^4/(K231)</f>
        <v>50</v>
      </c>
      <c r="K233" s="51"/>
    </row>
    <row r="234" spans="1:11" ht="10.5">
      <c r="A234" s="47" t="s">
        <v>223</v>
      </c>
      <c r="B234" s="48"/>
      <c r="C234" s="48"/>
      <c r="D234" s="48"/>
      <c r="E234" s="48"/>
      <c r="F234" s="49"/>
      <c r="G234" s="58" t="s">
        <v>224</v>
      </c>
      <c r="H234" s="59"/>
      <c r="I234" s="60"/>
      <c r="J234" s="50">
        <f>TINV(0.05,J233)</f>
        <v>2.0085591121007611</v>
      </c>
      <c r="K234" s="51"/>
    </row>
    <row r="235" spans="1:11" ht="11" thickBot="1">
      <c r="A235" s="61" t="s">
        <v>225</v>
      </c>
      <c r="B235" s="62"/>
      <c r="C235" s="62"/>
      <c r="D235" s="62"/>
      <c r="E235" s="62"/>
      <c r="F235" s="63"/>
      <c r="G235" s="64" t="s">
        <v>226</v>
      </c>
      <c r="H235" s="65"/>
      <c r="I235" s="66"/>
      <c r="J235" s="317">
        <f>J234*J232</f>
        <v>0.50213977802519028</v>
      </c>
      <c r="K235" s="68" t="s">
        <v>238</v>
      </c>
    </row>
    <row r="236" spans="1:11" ht="11" thickBot="1">
      <c r="A236" s="82"/>
      <c r="B236" s="14"/>
      <c r="C236" s="14"/>
      <c r="D236" s="14"/>
      <c r="E236" s="14"/>
      <c r="F236" s="14"/>
      <c r="G236" s="14"/>
      <c r="H236" s="82"/>
      <c r="I236" s="14"/>
      <c r="J236" s="14"/>
      <c r="K236" s="14"/>
    </row>
    <row r="237" spans="1:11">
      <c r="A237" s="28" t="s">
        <v>244</v>
      </c>
      <c r="B237" s="29"/>
      <c r="C237" s="29"/>
      <c r="D237" s="29"/>
      <c r="E237" s="29"/>
      <c r="F237" s="29"/>
      <c r="G237" s="29"/>
      <c r="H237" s="29"/>
      <c r="I237" s="29"/>
      <c r="J237" s="29"/>
      <c r="K237" s="30"/>
    </row>
    <row r="238" spans="1:11">
      <c r="A238" s="31" t="s">
        <v>197</v>
      </c>
      <c r="B238" s="32" t="s">
        <v>198</v>
      </c>
      <c r="C238" s="32" t="s">
        <v>199</v>
      </c>
      <c r="D238" s="32" t="s">
        <v>200</v>
      </c>
      <c r="E238" s="32" t="s">
        <v>201</v>
      </c>
      <c r="F238" s="32" t="s">
        <v>202</v>
      </c>
      <c r="G238" s="32" t="s">
        <v>203</v>
      </c>
      <c r="H238" s="32" t="s">
        <v>204</v>
      </c>
      <c r="I238" s="32" t="s">
        <v>205</v>
      </c>
      <c r="J238" s="32" t="s">
        <v>206</v>
      </c>
      <c r="K238" s="33" t="s">
        <v>207</v>
      </c>
    </row>
    <row r="239" spans="1:11">
      <c r="A239" s="34" t="s">
        <v>208</v>
      </c>
      <c r="B239" s="35">
        <f>ID!I54</f>
        <v>0</v>
      </c>
      <c r="C239" s="36" t="s">
        <v>238</v>
      </c>
      <c r="D239" s="37" t="s">
        <v>210</v>
      </c>
      <c r="E239" s="37">
        <f>SQRT(3)</f>
        <v>1.7320508075688772</v>
      </c>
      <c r="F239" s="69">
        <f>B239/E239</f>
        <v>0</v>
      </c>
      <c r="G239" s="37">
        <v>2</v>
      </c>
      <c r="H239" s="37">
        <v>1</v>
      </c>
      <c r="I239" s="37">
        <f>F239*H239</f>
        <v>0</v>
      </c>
      <c r="J239" s="37">
        <f>I239^2</f>
        <v>0</v>
      </c>
      <c r="K239" s="38">
        <f>(J239^2)/G239</f>
        <v>0</v>
      </c>
    </row>
    <row r="240" spans="1:11">
      <c r="A240" s="39" t="s">
        <v>212</v>
      </c>
      <c r="B240" s="40">
        <f>'Data Sound Level Meter'!E30</f>
        <v>0.5</v>
      </c>
      <c r="C240" s="36" t="s">
        <v>238</v>
      </c>
      <c r="D240" s="36" t="s">
        <v>210</v>
      </c>
      <c r="E240" s="36">
        <v>2</v>
      </c>
      <c r="F240" s="70">
        <f>B240/E240</f>
        <v>0.25</v>
      </c>
      <c r="G240" s="42">
        <v>50</v>
      </c>
      <c r="H240" s="42">
        <v>1</v>
      </c>
      <c r="I240" s="41">
        <f>F240*H240</f>
        <v>0.25</v>
      </c>
      <c r="J240" s="41">
        <f>I240^2</f>
        <v>6.25E-2</v>
      </c>
      <c r="K240" s="43">
        <f>(J240^2)/G240</f>
        <v>7.8125000000000002E-5</v>
      </c>
    </row>
    <row r="241" spans="1:11">
      <c r="A241" s="34" t="s">
        <v>216</v>
      </c>
      <c r="B241" s="314">
        <v>0</v>
      </c>
      <c r="C241" s="36" t="s">
        <v>238</v>
      </c>
      <c r="D241" s="37" t="s">
        <v>215</v>
      </c>
      <c r="E241" s="37">
        <f>SQRT(3)</f>
        <v>1.7320508075688772</v>
      </c>
      <c r="F241" s="69">
        <f>B241/E241</f>
        <v>0</v>
      </c>
      <c r="G241" s="37">
        <v>50</v>
      </c>
      <c r="H241" s="37">
        <v>1</v>
      </c>
      <c r="I241" s="37">
        <f>F241*H241</f>
        <v>0</v>
      </c>
      <c r="J241" s="37">
        <f>I241^2</f>
        <v>0</v>
      </c>
      <c r="K241" s="38">
        <f>(J241^2)/G241</f>
        <v>0</v>
      </c>
    </row>
    <row r="242" spans="1:11" ht="10.5">
      <c r="A242" s="47" t="s">
        <v>218</v>
      </c>
      <c r="B242" s="48"/>
      <c r="C242" s="48"/>
      <c r="D242" s="48"/>
      <c r="E242" s="48"/>
      <c r="F242" s="48"/>
      <c r="G242" s="48"/>
      <c r="H242" s="48"/>
      <c r="I242" s="49"/>
      <c r="J242" s="50">
        <f>SUM(J239:J241)</f>
        <v>6.25E-2</v>
      </c>
      <c r="K242" s="51">
        <f>SUM(K239:K241)</f>
        <v>7.8125000000000002E-5</v>
      </c>
    </row>
    <row r="243" spans="1:11" ht="12.5">
      <c r="A243" s="47" t="s">
        <v>219</v>
      </c>
      <c r="B243" s="48"/>
      <c r="C243" s="48"/>
      <c r="D243" s="48"/>
      <c r="E243" s="48"/>
      <c r="F243" s="49"/>
      <c r="G243" s="52" t="s">
        <v>220</v>
      </c>
      <c r="H243" s="53"/>
      <c r="I243" s="54"/>
      <c r="J243" s="50">
        <f>SQRT(J242)</f>
        <v>0.25</v>
      </c>
      <c r="K243" s="51"/>
    </row>
    <row r="244" spans="1:11" ht="13.5">
      <c r="A244" s="47" t="s">
        <v>221</v>
      </c>
      <c r="B244" s="48"/>
      <c r="C244" s="48"/>
      <c r="D244" s="48"/>
      <c r="E244" s="48"/>
      <c r="F244" s="49"/>
      <c r="G244" s="55" t="s">
        <v>222</v>
      </c>
      <c r="H244" s="56"/>
      <c r="I244" s="57"/>
      <c r="J244" s="50">
        <f>J243^4/(K242)</f>
        <v>50</v>
      </c>
      <c r="K244" s="51"/>
    </row>
    <row r="245" spans="1:11" ht="10.5">
      <c r="A245" s="47" t="s">
        <v>223</v>
      </c>
      <c r="B245" s="48"/>
      <c r="C245" s="48"/>
      <c r="D245" s="48"/>
      <c r="E245" s="48"/>
      <c r="F245" s="49"/>
      <c r="G245" s="58" t="s">
        <v>224</v>
      </c>
      <c r="H245" s="59"/>
      <c r="I245" s="60"/>
      <c r="J245" s="50">
        <f>TINV(0.05,J244)</f>
        <v>2.0085591121007611</v>
      </c>
      <c r="K245" s="51"/>
    </row>
    <row r="246" spans="1:11" ht="11" thickBot="1">
      <c r="A246" s="61" t="s">
        <v>225</v>
      </c>
      <c r="B246" s="62"/>
      <c r="C246" s="62"/>
      <c r="D246" s="62"/>
      <c r="E246" s="62"/>
      <c r="F246" s="63"/>
      <c r="G246" s="64" t="s">
        <v>226</v>
      </c>
      <c r="H246" s="65"/>
      <c r="I246" s="66"/>
      <c r="J246" s="317">
        <f>J245*J243</f>
        <v>0.50213977802519028</v>
      </c>
      <c r="K246" s="68" t="s">
        <v>238</v>
      </c>
    </row>
    <row r="247" spans="1:11" ht="11" thickBo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</row>
    <row r="248" spans="1:11">
      <c r="A248" s="28" t="s">
        <v>245</v>
      </c>
      <c r="B248" s="29"/>
      <c r="C248" s="29"/>
      <c r="D248" s="29"/>
      <c r="E248" s="29"/>
      <c r="F248" s="29"/>
      <c r="G248" s="29"/>
      <c r="H248" s="29"/>
      <c r="I248" s="29"/>
      <c r="J248" s="29"/>
      <c r="K248" s="30"/>
    </row>
    <row r="249" spans="1:11">
      <c r="A249" s="31" t="s">
        <v>197</v>
      </c>
      <c r="B249" s="32" t="s">
        <v>198</v>
      </c>
      <c r="C249" s="32" t="s">
        <v>199</v>
      </c>
      <c r="D249" s="32" t="s">
        <v>200</v>
      </c>
      <c r="E249" s="32" t="s">
        <v>201</v>
      </c>
      <c r="F249" s="32" t="s">
        <v>202</v>
      </c>
      <c r="G249" s="32" t="s">
        <v>203</v>
      </c>
      <c r="H249" s="32" t="s">
        <v>204</v>
      </c>
      <c r="I249" s="32" t="s">
        <v>205</v>
      </c>
      <c r="J249" s="32" t="s">
        <v>206</v>
      </c>
      <c r="K249" s="33" t="s">
        <v>207</v>
      </c>
    </row>
    <row r="250" spans="1:11">
      <c r="A250" s="34" t="s">
        <v>208</v>
      </c>
      <c r="B250" s="35">
        <f>ID!I55</f>
        <v>0</v>
      </c>
      <c r="C250" s="36" t="s">
        <v>238</v>
      </c>
      <c r="D250" s="37" t="s">
        <v>210</v>
      </c>
      <c r="E250" s="37">
        <f>SQRT(3)</f>
        <v>1.7320508075688772</v>
      </c>
      <c r="F250" s="69">
        <f>B250/E250</f>
        <v>0</v>
      </c>
      <c r="G250" s="37">
        <v>2</v>
      </c>
      <c r="H250" s="37">
        <v>1</v>
      </c>
      <c r="I250" s="37">
        <f>F250*H250</f>
        <v>0</v>
      </c>
      <c r="J250" s="37">
        <f>I250^2</f>
        <v>0</v>
      </c>
      <c r="K250" s="38">
        <f>(J250^2)/G250</f>
        <v>0</v>
      </c>
    </row>
    <row r="251" spans="1:11">
      <c r="A251" s="39" t="s">
        <v>212</v>
      </c>
      <c r="B251" s="40">
        <f>'Data Sound Level Meter'!E30</f>
        <v>0.5</v>
      </c>
      <c r="C251" s="36" t="s">
        <v>238</v>
      </c>
      <c r="D251" s="36" t="s">
        <v>210</v>
      </c>
      <c r="E251" s="36">
        <v>2</v>
      </c>
      <c r="F251" s="70">
        <f>B251/E251</f>
        <v>0.25</v>
      </c>
      <c r="G251" s="42">
        <v>50</v>
      </c>
      <c r="H251" s="42">
        <v>1</v>
      </c>
      <c r="I251" s="41">
        <f>F251*H251</f>
        <v>0.25</v>
      </c>
      <c r="J251" s="41">
        <f>I251^2</f>
        <v>6.25E-2</v>
      </c>
      <c r="K251" s="43">
        <f>(J251^2)/G251</f>
        <v>7.8125000000000002E-5</v>
      </c>
    </row>
    <row r="252" spans="1:11">
      <c r="A252" s="34" t="s">
        <v>216</v>
      </c>
      <c r="B252" s="314">
        <v>0</v>
      </c>
      <c r="C252" s="36" t="s">
        <v>238</v>
      </c>
      <c r="D252" s="37" t="s">
        <v>215</v>
      </c>
      <c r="E252" s="37">
        <f>SQRT(3)</f>
        <v>1.7320508075688772</v>
      </c>
      <c r="F252" s="69">
        <f>B252/E252</f>
        <v>0</v>
      </c>
      <c r="G252" s="37">
        <v>50</v>
      </c>
      <c r="H252" s="37">
        <v>1</v>
      </c>
      <c r="I252" s="37">
        <f>F252*H252</f>
        <v>0</v>
      </c>
      <c r="J252" s="37">
        <f>I252^2</f>
        <v>0</v>
      </c>
      <c r="K252" s="38">
        <f>(J252^2)/G252</f>
        <v>0</v>
      </c>
    </row>
    <row r="253" spans="1:11" ht="10.5">
      <c r="A253" s="47" t="s">
        <v>218</v>
      </c>
      <c r="B253" s="48"/>
      <c r="C253" s="48"/>
      <c r="D253" s="48"/>
      <c r="E253" s="48"/>
      <c r="F253" s="48"/>
      <c r="G253" s="48"/>
      <c r="H253" s="48"/>
      <c r="I253" s="49"/>
      <c r="J253" s="50">
        <f>SUM(J250:J252)</f>
        <v>6.25E-2</v>
      </c>
      <c r="K253" s="51">
        <f>SUM(K250:K252)</f>
        <v>7.8125000000000002E-5</v>
      </c>
    </row>
    <row r="254" spans="1:11" ht="12.5">
      <c r="A254" s="47" t="s">
        <v>219</v>
      </c>
      <c r="B254" s="48"/>
      <c r="C254" s="48"/>
      <c r="D254" s="48"/>
      <c r="E254" s="48"/>
      <c r="F254" s="49"/>
      <c r="G254" s="52" t="s">
        <v>220</v>
      </c>
      <c r="H254" s="53"/>
      <c r="I254" s="54"/>
      <c r="J254" s="50">
        <f>SQRT(J253)</f>
        <v>0.25</v>
      </c>
      <c r="K254" s="51"/>
    </row>
    <row r="255" spans="1:11" ht="13.5">
      <c r="A255" s="47" t="s">
        <v>221</v>
      </c>
      <c r="B255" s="48"/>
      <c r="C255" s="48"/>
      <c r="D255" s="48"/>
      <c r="E255" s="48"/>
      <c r="F255" s="49"/>
      <c r="G255" s="55" t="s">
        <v>222</v>
      </c>
      <c r="H255" s="56"/>
      <c r="I255" s="57"/>
      <c r="J255" s="50">
        <f>J254^4/(K253)</f>
        <v>50</v>
      </c>
      <c r="K255" s="51"/>
    </row>
    <row r="256" spans="1:11" ht="10.5">
      <c r="A256" s="47" t="s">
        <v>223</v>
      </c>
      <c r="B256" s="48"/>
      <c r="C256" s="48"/>
      <c r="D256" s="48"/>
      <c r="E256" s="48"/>
      <c r="F256" s="49"/>
      <c r="G256" s="58" t="s">
        <v>224</v>
      </c>
      <c r="H256" s="59"/>
      <c r="I256" s="60"/>
      <c r="J256" s="50">
        <f>TINV(0.05,J255)</f>
        <v>2.0085591121007611</v>
      </c>
      <c r="K256" s="51"/>
    </row>
    <row r="257" spans="1:11" ht="11" thickBot="1">
      <c r="A257" s="61" t="s">
        <v>225</v>
      </c>
      <c r="B257" s="62"/>
      <c r="C257" s="62"/>
      <c r="D257" s="62"/>
      <c r="E257" s="62"/>
      <c r="F257" s="63"/>
      <c r="G257" s="64" t="s">
        <v>226</v>
      </c>
      <c r="H257" s="65"/>
      <c r="I257" s="66"/>
      <c r="J257" s="317">
        <f>J256*J254</f>
        <v>0.50213977802519028</v>
      </c>
      <c r="K257" s="68" t="s">
        <v>238</v>
      </c>
    </row>
    <row r="258" spans="1:11" ht="11" thickBo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</row>
    <row r="259" spans="1:11">
      <c r="A259" s="28" t="s">
        <v>246</v>
      </c>
      <c r="B259" s="29"/>
      <c r="C259" s="29"/>
      <c r="D259" s="29"/>
      <c r="E259" s="29"/>
      <c r="F259" s="29"/>
      <c r="G259" s="29"/>
      <c r="H259" s="29"/>
      <c r="I259" s="29"/>
      <c r="J259" s="29"/>
      <c r="K259" s="30"/>
    </row>
    <row r="260" spans="1:11">
      <c r="A260" s="31" t="s">
        <v>197</v>
      </c>
      <c r="B260" s="32" t="s">
        <v>198</v>
      </c>
      <c r="C260" s="32" t="s">
        <v>199</v>
      </c>
      <c r="D260" s="32" t="s">
        <v>200</v>
      </c>
      <c r="E260" s="32" t="s">
        <v>201</v>
      </c>
      <c r="F260" s="32" t="s">
        <v>202</v>
      </c>
      <c r="G260" s="32" t="s">
        <v>203</v>
      </c>
      <c r="H260" s="32" t="s">
        <v>204</v>
      </c>
      <c r="I260" s="32" t="s">
        <v>205</v>
      </c>
      <c r="J260" s="32" t="s">
        <v>206</v>
      </c>
      <c r="K260" s="33" t="s">
        <v>207</v>
      </c>
    </row>
    <row r="261" spans="1:11">
      <c r="A261" s="34" t="s">
        <v>208</v>
      </c>
      <c r="B261" s="35">
        <f>ID!I56</f>
        <v>0</v>
      </c>
      <c r="C261" s="36" t="s">
        <v>238</v>
      </c>
      <c r="D261" s="37" t="s">
        <v>210</v>
      </c>
      <c r="E261" s="37">
        <f>SQRT(3)</f>
        <v>1.7320508075688772</v>
      </c>
      <c r="F261" s="69">
        <f>B261/E261</f>
        <v>0</v>
      </c>
      <c r="G261" s="37">
        <v>2</v>
      </c>
      <c r="H261" s="37">
        <v>1</v>
      </c>
      <c r="I261" s="37">
        <f>F261*H261</f>
        <v>0</v>
      </c>
      <c r="J261" s="37">
        <f>I261^2</f>
        <v>0</v>
      </c>
      <c r="K261" s="38">
        <f>(J261^2)/G261</f>
        <v>0</v>
      </c>
    </row>
    <row r="262" spans="1:11">
      <c r="A262" s="39" t="s">
        <v>212</v>
      </c>
      <c r="B262" s="40">
        <f>'Data Sound Level Meter'!E30</f>
        <v>0.5</v>
      </c>
      <c r="C262" s="36" t="s">
        <v>238</v>
      </c>
      <c r="D262" s="36" t="s">
        <v>210</v>
      </c>
      <c r="E262" s="36">
        <v>2</v>
      </c>
      <c r="F262" s="70">
        <f>B262/E262</f>
        <v>0.25</v>
      </c>
      <c r="G262" s="42">
        <v>50</v>
      </c>
      <c r="H262" s="42">
        <v>1</v>
      </c>
      <c r="I262" s="41">
        <f>F262*H262</f>
        <v>0.25</v>
      </c>
      <c r="J262" s="41">
        <f>I262^2</f>
        <v>6.25E-2</v>
      </c>
      <c r="K262" s="43">
        <f>(J262^2)/G262</f>
        <v>7.8125000000000002E-5</v>
      </c>
    </row>
    <row r="263" spans="1:11">
      <c r="A263" s="34" t="s">
        <v>216</v>
      </c>
      <c r="B263" s="314">
        <v>0</v>
      </c>
      <c r="C263" s="36" t="s">
        <v>238</v>
      </c>
      <c r="D263" s="37" t="s">
        <v>215</v>
      </c>
      <c r="E263" s="37">
        <f>SQRT(3)</f>
        <v>1.7320508075688772</v>
      </c>
      <c r="F263" s="69">
        <f>B263/E263</f>
        <v>0</v>
      </c>
      <c r="G263" s="37">
        <v>50</v>
      </c>
      <c r="H263" s="37">
        <v>1</v>
      </c>
      <c r="I263" s="37">
        <f>F263*H263</f>
        <v>0</v>
      </c>
      <c r="J263" s="37">
        <f>I263^2</f>
        <v>0</v>
      </c>
      <c r="K263" s="38">
        <f>(J263^2)/G263</f>
        <v>0</v>
      </c>
    </row>
    <row r="264" spans="1:11" ht="10.5">
      <c r="A264" s="47" t="s">
        <v>218</v>
      </c>
      <c r="B264" s="48"/>
      <c r="C264" s="48"/>
      <c r="D264" s="48"/>
      <c r="E264" s="48"/>
      <c r="F264" s="48"/>
      <c r="G264" s="48"/>
      <c r="H264" s="48"/>
      <c r="I264" s="49"/>
      <c r="J264" s="50">
        <f>SUM(J261:J263)</f>
        <v>6.25E-2</v>
      </c>
      <c r="K264" s="51">
        <f>SUM(K261:K263)</f>
        <v>7.8125000000000002E-5</v>
      </c>
    </row>
    <row r="265" spans="1:11" ht="12.5">
      <c r="A265" s="47" t="s">
        <v>219</v>
      </c>
      <c r="B265" s="48"/>
      <c r="C265" s="48"/>
      <c r="D265" s="48"/>
      <c r="E265" s="48"/>
      <c r="F265" s="49"/>
      <c r="G265" s="52" t="s">
        <v>220</v>
      </c>
      <c r="H265" s="53"/>
      <c r="I265" s="54"/>
      <c r="J265" s="50">
        <f>SQRT(J264)</f>
        <v>0.25</v>
      </c>
      <c r="K265" s="51"/>
    </row>
    <row r="266" spans="1:11" ht="13.5">
      <c r="A266" s="47" t="s">
        <v>221</v>
      </c>
      <c r="B266" s="48"/>
      <c r="C266" s="48"/>
      <c r="D266" s="48"/>
      <c r="E266" s="48"/>
      <c r="F266" s="49"/>
      <c r="G266" s="55" t="s">
        <v>222</v>
      </c>
      <c r="H266" s="56"/>
      <c r="I266" s="57"/>
      <c r="J266" s="50">
        <f>J265^4/(K264)</f>
        <v>50</v>
      </c>
      <c r="K266" s="51"/>
    </row>
    <row r="267" spans="1:11" ht="10.5">
      <c r="A267" s="47" t="s">
        <v>223</v>
      </c>
      <c r="B267" s="48"/>
      <c r="C267" s="48"/>
      <c r="D267" s="48"/>
      <c r="E267" s="48"/>
      <c r="F267" s="49"/>
      <c r="G267" s="58" t="s">
        <v>224</v>
      </c>
      <c r="H267" s="59"/>
      <c r="I267" s="60"/>
      <c r="J267" s="50">
        <f>TINV(0.05,J266)</f>
        <v>2.0085591121007611</v>
      </c>
      <c r="K267" s="51"/>
    </row>
    <row r="268" spans="1:11" ht="11" thickBot="1">
      <c r="A268" s="61" t="s">
        <v>225</v>
      </c>
      <c r="B268" s="62"/>
      <c r="C268" s="62"/>
      <c r="D268" s="62"/>
      <c r="E268" s="62"/>
      <c r="F268" s="63"/>
      <c r="G268" s="64" t="s">
        <v>226</v>
      </c>
      <c r="H268" s="65"/>
      <c r="I268" s="66"/>
      <c r="J268" s="317">
        <f>J267*J265</f>
        <v>0.50213977802519028</v>
      </c>
      <c r="K268" s="68" t="s">
        <v>238</v>
      </c>
    </row>
    <row r="269" spans="1:11" ht="11" thickBot="1">
      <c r="A269" s="79"/>
      <c r="B269" s="79"/>
      <c r="C269" s="79"/>
      <c r="D269" s="79"/>
      <c r="E269" s="79"/>
      <c r="F269" s="79"/>
      <c r="G269" s="80"/>
      <c r="H269" s="80"/>
      <c r="I269" s="80"/>
      <c r="K269" s="81"/>
    </row>
    <row r="270" spans="1:11">
      <c r="A270" s="28" t="s">
        <v>247</v>
      </c>
      <c r="B270" s="29"/>
      <c r="C270" s="29"/>
      <c r="D270" s="29"/>
      <c r="E270" s="29"/>
      <c r="F270" s="29"/>
      <c r="G270" s="29"/>
      <c r="H270" s="29"/>
      <c r="I270" s="29"/>
      <c r="J270" s="29"/>
      <c r="K270" s="30"/>
    </row>
    <row r="271" spans="1:11">
      <c r="A271" s="31" t="s">
        <v>197</v>
      </c>
      <c r="B271" s="32" t="s">
        <v>198</v>
      </c>
      <c r="C271" s="32" t="s">
        <v>199</v>
      </c>
      <c r="D271" s="32" t="s">
        <v>200</v>
      </c>
      <c r="E271" s="32" t="s">
        <v>201</v>
      </c>
      <c r="F271" s="32" t="s">
        <v>202</v>
      </c>
      <c r="G271" s="32" t="s">
        <v>203</v>
      </c>
      <c r="H271" s="32" t="s">
        <v>204</v>
      </c>
      <c r="I271" s="32" t="s">
        <v>205</v>
      </c>
      <c r="J271" s="32" t="s">
        <v>206</v>
      </c>
      <c r="K271" s="33" t="s">
        <v>207</v>
      </c>
    </row>
    <row r="272" spans="1:11">
      <c r="A272" s="34" t="s">
        <v>208</v>
      </c>
      <c r="B272" s="35">
        <f>ID!I57</f>
        <v>0</v>
      </c>
      <c r="C272" s="36" t="s">
        <v>238</v>
      </c>
      <c r="D272" s="37" t="s">
        <v>210</v>
      </c>
      <c r="E272" s="37">
        <f>SQRT(3)</f>
        <v>1.7320508075688772</v>
      </c>
      <c r="F272" s="69">
        <f>B272/E272</f>
        <v>0</v>
      </c>
      <c r="G272" s="37">
        <v>2</v>
      </c>
      <c r="H272" s="37">
        <v>1</v>
      </c>
      <c r="I272" s="37">
        <f>F272*H272</f>
        <v>0</v>
      </c>
      <c r="J272" s="37">
        <f>I272^2</f>
        <v>0</v>
      </c>
      <c r="K272" s="38">
        <f>(J272^2)/G272</f>
        <v>0</v>
      </c>
    </row>
    <row r="273" spans="1:11">
      <c r="A273" s="39" t="s">
        <v>212</v>
      </c>
      <c r="B273" s="40">
        <f>'Data Sound Level Meter'!E30</f>
        <v>0.5</v>
      </c>
      <c r="C273" s="36" t="s">
        <v>238</v>
      </c>
      <c r="D273" s="36" t="s">
        <v>210</v>
      </c>
      <c r="E273" s="36">
        <v>2</v>
      </c>
      <c r="F273" s="70">
        <f>B273/E273</f>
        <v>0.25</v>
      </c>
      <c r="G273" s="42">
        <v>50</v>
      </c>
      <c r="H273" s="42">
        <v>1</v>
      </c>
      <c r="I273" s="41">
        <f>F273*H273</f>
        <v>0.25</v>
      </c>
      <c r="J273" s="41">
        <f>I273^2</f>
        <v>6.25E-2</v>
      </c>
      <c r="K273" s="43">
        <f>(J273^2)/G273</f>
        <v>7.8125000000000002E-5</v>
      </c>
    </row>
    <row r="274" spans="1:11">
      <c r="A274" s="34" t="s">
        <v>216</v>
      </c>
      <c r="B274" s="314">
        <v>0</v>
      </c>
      <c r="C274" s="36" t="s">
        <v>238</v>
      </c>
      <c r="D274" s="37" t="s">
        <v>215</v>
      </c>
      <c r="E274" s="37">
        <f>SQRT(3)</f>
        <v>1.7320508075688772</v>
      </c>
      <c r="F274" s="69">
        <f>B274/E274</f>
        <v>0</v>
      </c>
      <c r="G274" s="37">
        <v>50</v>
      </c>
      <c r="H274" s="37">
        <v>1</v>
      </c>
      <c r="I274" s="37">
        <f>F274*H274</f>
        <v>0</v>
      </c>
      <c r="J274" s="37">
        <f>I274^2</f>
        <v>0</v>
      </c>
      <c r="K274" s="38">
        <f>(J274^2)/G274</f>
        <v>0</v>
      </c>
    </row>
    <row r="275" spans="1:11" ht="10.5">
      <c r="A275" s="47" t="s">
        <v>218</v>
      </c>
      <c r="B275" s="48"/>
      <c r="C275" s="48"/>
      <c r="D275" s="48"/>
      <c r="E275" s="48"/>
      <c r="F275" s="48"/>
      <c r="G275" s="48"/>
      <c r="H275" s="48"/>
      <c r="I275" s="49"/>
      <c r="J275" s="50">
        <f>SUM(J272:J274)</f>
        <v>6.25E-2</v>
      </c>
      <c r="K275" s="51">
        <f>SUM(K272:K274)</f>
        <v>7.8125000000000002E-5</v>
      </c>
    </row>
    <row r="276" spans="1:11" ht="12.5">
      <c r="A276" s="47" t="s">
        <v>219</v>
      </c>
      <c r="B276" s="48"/>
      <c r="C276" s="48"/>
      <c r="D276" s="48"/>
      <c r="E276" s="48"/>
      <c r="F276" s="49"/>
      <c r="G276" s="52" t="s">
        <v>220</v>
      </c>
      <c r="H276" s="53"/>
      <c r="I276" s="54"/>
      <c r="J276" s="50">
        <f>SQRT(J275)</f>
        <v>0.25</v>
      </c>
      <c r="K276" s="51"/>
    </row>
    <row r="277" spans="1:11" ht="13.5">
      <c r="A277" s="47" t="s">
        <v>221</v>
      </c>
      <c r="B277" s="48"/>
      <c r="C277" s="48"/>
      <c r="D277" s="48"/>
      <c r="E277" s="48"/>
      <c r="F277" s="49"/>
      <c r="G277" s="55" t="s">
        <v>222</v>
      </c>
      <c r="H277" s="56"/>
      <c r="I277" s="57"/>
      <c r="J277" s="50">
        <f>J276^4/(K275)</f>
        <v>50</v>
      </c>
      <c r="K277" s="51"/>
    </row>
    <row r="278" spans="1:11" ht="10.5">
      <c r="A278" s="47" t="s">
        <v>223</v>
      </c>
      <c r="B278" s="48"/>
      <c r="C278" s="48"/>
      <c r="D278" s="48"/>
      <c r="E278" s="48"/>
      <c r="F278" s="49"/>
      <c r="G278" s="58" t="s">
        <v>224</v>
      </c>
      <c r="H278" s="59"/>
      <c r="I278" s="60"/>
      <c r="J278" s="50">
        <f>TINV(0.05,J277)</f>
        <v>2.0085591121007611</v>
      </c>
      <c r="K278" s="51"/>
    </row>
    <row r="279" spans="1:11" ht="11" thickBot="1">
      <c r="A279" s="61" t="s">
        <v>225</v>
      </c>
      <c r="B279" s="62"/>
      <c r="C279" s="62"/>
      <c r="D279" s="62"/>
      <c r="E279" s="62"/>
      <c r="F279" s="63"/>
      <c r="G279" s="64" t="s">
        <v>226</v>
      </c>
      <c r="H279" s="65"/>
      <c r="I279" s="66"/>
      <c r="J279" s="317">
        <f>J278*J276</f>
        <v>0.50213977802519028</v>
      </c>
      <c r="K279" s="68" t="s">
        <v>238</v>
      </c>
    </row>
    <row r="280" spans="1:11" ht="11" thickBo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</row>
    <row r="281" spans="1:11">
      <c r="A281" s="28" t="s">
        <v>248</v>
      </c>
      <c r="B281" s="29"/>
      <c r="C281" s="29"/>
      <c r="D281" s="29"/>
      <c r="E281" s="29"/>
      <c r="F281" s="29"/>
      <c r="G281" s="29"/>
      <c r="H281" s="29"/>
      <c r="I281" s="29"/>
      <c r="J281" s="29"/>
      <c r="K281" s="30"/>
    </row>
    <row r="282" spans="1:11">
      <c r="A282" s="31" t="s">
        <v>197</v>
      </c>
      <c r="B282" s="32" t="s">
        <v>198</v>
      </c>
      <c r="C282" s="32" t="s">
        <v>199</v>
      </c>
      <c r="D282" s="32" t="s">
        <v>200</v>
      </c>
      <c r="E282" s="32" t="s">
        <v>201</v>
      </c>
      <c r="F282" s="32" t="s">
        <v>202</v>
      </c>
      <c r="G282" s="32" t="s">
        <v>203</v>
      </c>
      <c r="H282" s="32" t="s">
        <v>204</v>
      </c>
      <c r="I282" s="32" t="s">
        <v>205</v>
      </c>
      <c r="J282" s="32" t="s">
        <v>206</v>
      </c>
      <c r="K282" s="33" t="s">
        <v>207</v>
      </c>
    </row>
    <row r="283" spans="1:11">
      <c r="A283" s="34" t="s">
        <v>208</v>
      </c>
      <c r="B283" s="35">
        <f>ID!I58</f>
        <v>0</v>
      </c>
      <c r="C283" s="36" t="s">
        <v>238</v>
      </c>
      <c r="D283" s="37" t="s">
        <v>210</v>
      </c>
      <c r="E283" s="37">
        <f>SQRT(3)</f>
        <v>1.7320508075688772</v>
      </c>
      <c r="F283" s="69">
        <f>B283/E283</f>
        <v>0</v>
      </c>
      <c r="G283" s="37">
        <v>2</v>
      </c>
      <c r="H283" s="37">
        <v>1</v>
      </c>
      <c r="I283" s="37">
        <f>F283*H283</f>
        <v>0</v>
      </c>
      <c r="J283" s="37">
        <f>I283^2</f>
        <v>0</v>
      </c>
      <c r="K283" s="38">
        <f>(J283^2)/G283</f>
        <v>0</v>
      </c>
    </row>
    <row r="284" spans="1:11">
      <c r="A284" s="39" t="s">
        <v>212</v>
      </c>
      <c r="B284" s="40">
        <f>'Data Sound Level Meter'!E30</f>
        <v>0.5</v>
      </c>
      <c r="C284" s="36" t="s">
        <v>238</v>
      </c>
      <c r="D284" s="36" t="s">
        <v>210</v>
      </c>
      <c r="E284" s="36">
        <v>2</v>
      </c>
      <c r="F284" s="70">
        <f>B284/E284</f>
        <v>0.25</v>
      </c>
      <c r="G284" s="42">
        <v>50</v>
      </c>
      <c r="H284" s="42">
        <v>1</v>
      </c>
      <c r="I284" s="41">
        <f>F284*H284</f>
        <v>0.25</v>
      </c>
      <c r="J284" s="41">
        <f>I284^2</f>
        <v>6.25E-2</v>
      </c>
      <c r="K284" s="43">
        <f>(J284^2)/G284</f>
        <v>7.8125000000000002E-5</v>
      </c>
    </row>
    <row r="285" spans="1:11">
      <c r="A285" s="34" t="s">
        <v>216</v>
      </c>
      <c r="B285" s="314">
        <v>0</v>
      </c>
      <c r="C285" s="36" t="s">
        <v>238</v>
      </c>
      <c r="D285" s="37" t="s">
        <v>215</v>
      </c>
      <c r="E285" s="37">
        <f>SQRT(3)</f>
        <v>1.7320508075688772</v>
      </c>
      <c r="F285" s="69">
        <f>B285/E285</f>
        <v>0</v>
      </c>
      <c r="G285" s="37">
        <v>50</v>
      </c>
      <c r="H285" s="37">
        <v>1</v>
      </c>
      <c r="I285" s="37">
        <f>F285*H285</f>
        <v>0</v>
      </c>
      <c r="J285" s="37">
        <f>I285^2</f>
        <v>0</v>
      </c>
      <c r="K285" s="38">
        <f>(J285^2)/G285</f>
        <v>0</v>
      </c>
    </row>
    <row r="286" spans="1:11" ht="10.5">
      <c r="A286" s="47" t="s">
        <v>218</v>
      </c>
      <c r="B286" s="48"/>
      <c r="C286" s="48"/>
      <c r="D286" s="48"/>
      <c r="E286" s="48"/>
      <c r="F286" s="48"/>
      <c r="G286" s="48"/>
      <c r="H286" s="48"/>
      <c r="I286" s="49"/>
      <c r="J286" s="50">
        <f>SUM(J283:J285)</f>
        <v>6.25E-2</v>
      </c>
      <c r="K286" s="51">
        <f>SUM(K283:K285)</f>
        <v>7.8125000000000002E-5</v>
      </c>
    </row>
    <row r="287" spans="1:11" ht="12.5">
      <c r="A287" s="47" t="s">
        <v>219</v>
      </c>
      <c r="B287" s="48"/>
      <c r="C287" s="48"/>
      <c r="D287" s="48"/>
      <c r="E287" s="48"/>
      <c r="F287" s="49"/>
      <c r="G287" s="52" t="s">
        <v>220</v>
      </c>
      <c r="H287" s="53"/>
      <c r="I287" s="54"/>
      <c r="J287" s="50">
        <f>SQRT(J286)</f>
        <v>0.25</v>
      </c>
      <c r="K287" s="51"/>
    </row>
    <row r="288" spans="1:11" ht="13.5">
      <c r="A288" s="47" t="s">
        <v>221</v>
      </c>
      <c r="B288" s="48"/>
      <c r="C288" s="48"/>
      <c r="D288" s="48"/>
      <c r="E288" s="48"/>
      <c r="F288" s="49"/>
      <c r="G288" s="55" t="s">
        <v>222</v>
      </c>
      <c r="H288" s="56"/>
      <c r="I288" s="57"/>
      <c r="J288" s="83">
        <f>J287^4/(K286)</f>
        <v>50</v>
      </c>
      <c r="K288" s="51"/>
    </row>
    <row r="289" spans="1:11" ht="10.5">
      <c r="A289" s="47" t="s">
        <v>223</v>
      </c>
      <c r="B289" s="48"/>
      <c r="C289" s="48"/>
      <c r="D289" s="48"/>
      <c r="E289" s="48"/>
      <c r="F289" s="49"/>
      <c r="G289" s="58" t="s">
        <v>224</v>
      </c>
      <c r="H289" s="59"/>
      <c r="I289" s="60"/>
      <c r="J289" s="50">
        <f>TINV(0.05,J288)</f>
        <v>2.0085591121007611</v>
      </c>
      <c r="K289" s="51"/>
    </row>
    <row r="290" spans="1:11" ht="11" thickBot="1">
      <c r="A290" s="61" t="s">
        <v>225</v>
      </c>
      <c r="B290" s="62"/>
      <c r="C290" s="62"/>
      <c r="D290" s="62"/>
      <c r="E290" s="62"/>
      <c r="F290" s="63"/>
      <c r="G290" s="64" t="s">
        <v>226</v>
      </c>
      <c r="H290" s="65"/>
      <c r="I290" s="66"/>
      <c r="J290" s="317">
        <f>J289*J287</f>
        <v>0.50213977802519028</v>
      </c>
      <c r="K290" s="68" t="s">
        <v>238</v>
      </c>
    </row>
    <row r="291" spans="1:11" ht="10.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</row>
    <row r="292" spans="1:11" hidden="1">
      <c r="A292" s="28" t="s">
        <v>249</v>
      </c>
      <c r="B292" s="29"/>
      <c r="C292" s="29"/>
      <c r="D292" s="29"/>
      <c r="E292" s="29"/>
      <c r="F292" s="29"/>
      <c r="G292" s="29"/>
      <c r="H292" s="29"/>
      <c r="I292" s="29"/>
      <c r="J292" s="29"/>
      <c r="K292" s="30"/>
    </row>
    <row r="293" spans="1:11" hidden="1">
      <c r="A293" s="31" t="s">
        <v>197</v>
      </c>
      <c r="B293" s="32" t="s">
        <v>198</v>
      </c>
      <c r="C293" s="32" t="s">
        <v>199</v>
      </c>
      <c r="D293" s="32" t="s">
        <v>200</v>
      </c>
      <c r="E293" s="32" t="s">
        <v>201</v>
      </c>
      <c r="F293" s="32" t="s">
        <v>202</v>
      </c>
      <c r="G293" s="32" t="s">
        <v>203</v>
      </c>
      <c r="H293" s="32" t="s">
        <v>204</v>
      </c>
      <c r="I293" s="32" t="s">
        <v>205</v>
      </c>
      <c r="J293" s="32" t="s">
        <v>206</v>
      </c>
      <c r="K293" s="33" t="s">
        <v>207</v>
      </c>
    </row>
    <row r="294" spans="1:11" hidden="1">
      <c r="A294" s="34" t="s">
        <v>208</v>
      </c>
      <c r="B294" s="35" t="e">
        <f>ID!I63</f>
        <v>#DIV/0!</v>
      </c>
      <c r="C294" s="36" t="s">
        <v>238</v>
      </c>
      <c r="D294" s="37" t="s">
        <v>210</v>
      </c>
      <c r="E294" s="37">
        <f>SQRT(3)</f>
        <v>1.7320508075688772</v>
      </c>
      <c r="F294" s="37" t="e">
        <f>B294/E294</f>
        <v>#DIV/0!</v>
      </c>
      <c r="G294" s="37">
        <v>5</v>
      </c>
      <c r="H294" s="37">
        <v>1</v>
      </c>
      <c r="I294" s="37" t="e">
        <f t="shared" ref="I294:I296" si="33">F294*H294</f>
        <v>#DIV/0!</v>
      </c>
      <c r="J294" s="37" t="e">
        <f t="shared" ref="J294:J296" si="34">I294^2</f>
        <v>#DIV/0!</v>
      </c>
      <c r="K294" s="38" t="e">
        <f t="shared" ref="K294:K296" si="35">(J294^2)/G294</f>
        <v>#DIV/0!</v>
      </c>
    </row>
    <row r="295" spans="1:11" hidden="1">
      <c r="A295" s="39" t="s">
        <v>212</v>
      </c>
      <c r="B295" s="41">
        <f>'Data Sound Level Meter'!E31</f>
        <v>0.25</v>
      </c>
      <c r="C295" s="36" t="s">
        <v>238</v>
      </c>
      <c r="D295" s="36" t="s">
        <v>210</v>
      </c>
      <c r="E295" s="36">
        <v>2</v>
      </c>
      <c r="F295" s="41">
        <f>B295/E295</f>
        <v>0.125</v>
      </c>
      <c r="G295" s="42">
        <v>50</v>
      </c>
      <c r="H295" s="42">
        <v>1</v>
      </c>
      <c r="I295" s="41">
        <f t="shared" si="33"/>
        <v>0.125</v>
      </c>
      <c r="J295" s="41">
        <f t="shared" si="34"/>
        <v>1.5625E-2</v>
      </c>
      <c r="K295" s="43">
        <f t="shared" si="35"/>
        <v>4.8828125000000001E-6</v>
      </c>
    </row>
    <row r="296" spans="1:11" hidden="1">
      <c r="A296" s="34" t="s">
        <v>216</v>
      </c>
      <c r="B296" s="314">
        <v>0</v>
      </c>
      <c r="C296" s="36" t="s">
        <v>238</v>
      </c>
      <c r="D296" s="37" t="s">
        <v>215</v>
      </c>
      <c r="E296" s="37">
        <f>SQRT(3)</f>
        <v>1.7320508075688772</v>
      </c>
      <c r="F296" s="37">
        <f>B296/E296</f>
        <v>0</v>
      </c>
      <c r="G296" s="37">
        <v>50</v>
      </c>
      <c r="H296" s="37">
        <v>1</v>
      </c>
      <c r="I296" s="37">
        <f t="shared" si="33"/>
        <v>0</v>
      </c>
      <c r="J296" s="37">
        <f t="shared" si="34"/>
        <v>0</v>
      </c>
      <c r="K296" s="38">
        <f t="shared" si="35"/>
        <v>0</v>
      </c>
    </row>
    <row r="297" spans="1:11" ht="10.5" hidden="1">
      <c r="A297" s="47" t="s">
        <v>218</v>
      </c>
      <c r="B297" s="48"/>
      <c r="C297" s="48"/>
      <c r="D297" s="48"/>
      <c r="E297" s="48"/>
      <c r="F297" s="48"/>
      <c r="G297" s="48"/>
      <c r="H297" s="48"/>
      <c r="I297" s="49"/>
      <c r="J297" s="50" t="e">
        <f>SUM(J294:J296)</f>
        <v>#DIV/0!</v>
      </c>
      <c r="K297" s="51" t="e">
        <f>SUM(K294:K296)</f>
        <v>#DIV/0!</v>
      </c>
    </row>
    <row r="298" spans="1:11" ht="12.5" hidden="1">
      <c r="A298" s="47" t="s">
        <v>219</v>
      </c>
      <c r="B298" s="48"/>
      <c r="C298" s="48"/>
      <c r="D298" s="48"/>
      <c r="E298" s="48"/>
      <c r="F298" s="49"/>
      <c r="G298" s="52" t="s">
        <v>220</v>
      </c>
      <c r="H298" s="53"/>
      <c r="I298" s="54"/>
      <c r="J298" s="50" t="e">
        <f>SQRT(J297)</f>
        <v>#DIV/0!</v>
      </c>
      <c r="K298" s="51"/>
    </row>
    <row r="299" spans="1:11" ht="13.5" hidden="1">
      <c r="A299" s="47" t="s">
        <v>221</v>
      </c>
      <c r="B299" s="48"/>
      <c r="C299" s="48"/>
      <c r="D299" s="48"/>
      <c r="E299" s="48"/>
      <c r="F299" s="49"/>
      <c r="G299" s="55" t="s">
        <v>222</v>
      </c>
      <c r="H299" s="56"/>
      <c r="I299" s="57"/>
      <c r="J299" s="50" t="e">
        <f>J298^4/(K297)</f>
        <v>#DIV/0!</v>
      </c>
      <c r="K299" s="51"/>
    </row>
    <row r="300" spans="1:11" ht="10.5" hidden="1">
      <c r="A300" s="47" t="s">
        <v>223</v>
      </c>
      <c r="B300" s="48"/>
      <c r="C300" s="48"/>
      <c r="D300" s="48"/>
      <c r="E300" s="48"/>
      <c r="F300" s="49"/>
      <c r="G300" s="58" t="s">
        <v>224</v>
      </c>
      <c r="H300" s="59"/>
      <c r="I300" s="60"/>
      <c r="J300" s="50" t="e">
        <f>TINV(0.05,J299)</f>
        <v>#DIV/0!</v>
      </c>
      <c r="K300" s="51"/>
    </row>
    <row r="301" spans="1:11" ht="11" hidden="1" thickBot="1">
      <c r="A301" s="61" t="s">
        <v>225</v>
      </c>
      <c r="B301" s="62"/>
      <c r="C301" s="62"/>
      <c r="D301" s="62"/>
      <c r="E301" s="62"/>
      <c r="F301" s="63"/>
      <c r="G301" s="64" t="s">
        <v>226</v>
      </c>
      <c r="H301" s="65"/>
      <c r="I301" s="66"/>
      <c r="J301" s="316" t="e">
        <f>J300*J298</f>
        <v>#DIV/0!</v>
      </c>
      <c r="K301" s="68" t="s">
        <v>250</v>
      </c>
    </row>
    <row r="302" spans="1:11" ht="11" hidden="1" thickBo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</row>
    <row r="303" spans="1:11" hidden="1">
      <c r="A303" s="28" t="s">
        <v>251</v>
      </c>
      <c r="B303" s="29"/>
      <c r="C303" s="29"/>
      <c r="D303" s="29"/>
      <c r="E303" s="29"/>
      <c r="F303" s="29"/>
      <c r="G303" s="29"/>
      <c r="H303" s="29"/>
      <c r="I303" s="29"/>
      <c r="J303" s="29"/>
      <c r="K303" s="30"/>
    </row>
    <row r="304" spans="1:11" hidden="1">
      <c r="A304" s="31" t="s">
        <v>197</v>
      </c>
      <c r="B304" s="32" t="s">
        <v>198</v>
      </c>
      <c r="C304" s="32" t="s">
        <v>199</v>
      </c>
      <c r="D304" s="32" t="s">
        <v>200</v>
      </c>
      <c r="E304" s="32" t="s">
        <v>201</v>
      </c>
      <c r="F304" s="32" t="s">
        <v>202</v>
      </c>
      <c r="G304" s="32" t="s">
        <v>203</v>
      </c>
      <c r="H304" s="32" t="s">
        <v>204</v>
      </c>
      <c r="I304" s="32" t="s">
        <v>205</v>
      </c>
      <c r="J304" s="32" t="s">
        <v>206</v>
      </c>
      <c r="K304" s="33" t="s">
        <v>207</v>
      </c>
    </row>
    <row r="305" spans="1:11" hidden="1">
      <c r="A305" s="34" t="s">
        <v>208</v>
      </c>
      <c r="B305" s="35" t="e">
        <f>ID!I64</f>
        <v>#DIV/0!</v>
      </c>
      <c r="C305" s="36" t="s">
        <v>238</v>
      </c>
      <c r="D305" s="37" t="s">
        <v>210</v>
      </c>
      <c r="E305" s="37">
        <f>SQRT(3)</f>
        <v>1.7320508075688772</v>
      </c>
      <c r="F305" s="69" t="e">
        <f>B305/E305</f>
        <v>#DIV/0!</v>
      </c>
      <c r="G305" s="37">
        <v>5</v>
      </c>
      <c r="H305" s="37">
        <v>1</v>
      </c>
      <c r="I305" s="37" t="e">
        <f t="shared" ref="I305:I307" si="36">F305*H305</f>
        <v>#DIV/0!</v>
      </c>
      <c r="J305" s="37" t="e">
        <f t="shared" ref="J305:J307" si="37">I305^2</f>
        <v>#DIV/0!</v>
      </c>
      <c r="K305" s="38" t="e">
        <f t="shared" ref="K305:K307" si="38">(J305^2)/G305</f>
        <v>#DIV/0!</v>
      </c>
    </row>
    <row r="306" spans="1:11" hidden="1">
      <c r="A306" s="39" t="s">
        <v>212</v>
      </c>
      <c r="B306" s="41">
        <f>'Data Sound Level Meter'!E31</f>
        <v>0.25</v>
      </c>
      <c r="C306" s="36" t="s">
        <v>238</v>
      </c>
      <c r="D306" s="36" t="s">
        <v>210</v>
      </c>
      <c r="E306" s="36">
        <v>2</v>
      </c>
      <c r="F306" s="41">
        <f>B306/E306</f>
        <v>0.125</v>
      </c>
      <c r="G306" s="42">
        <v>50</v>
      </c>
      <c r="H306" s="42">
        <v>1</v>
      </c>
      <c r="I306" s="41">
        <f t="shared" si="36"/>
        <v>0.125</v>
      </c>
      <c r="J306" s="41">
        <f t="shared" si="37"/>
        <v>1.5625E-2</v>
      </c>
      <c r="K306" s="43">
        <f t="shared" si="38"/>
        <v>4.8828125000000001E-6</v>
      </c>
    </row>
    <row r="307" spans="1:11" hidden="1">
      <c r="A307" s="34" t="s">
        <v>216</v>
      </c>
      <c r="B307" s="314">
        <v>0</v>
      </c>
      <c r="C307" s="36" t="s">
        <v>238</v>
      </c>
      <c r="D307" s="37" t="s">
        <v>215</v>
      </c>
      <c r="E307" s="37">
        <f>SQRT(3)</f>
        <v>1.7320508075688772</v>
      </c>
      <c r="F307" s="37">
        <f>B307/E307</f>
        <v>0</v>
      </c>
      <c r="G307" s="37">
        <v>50</v>
      </c>
      <c r="H307" s="37">
        <v>1</v>
      </c>
      <c r="I307" s="37">
        <f t="shared" si="36"/>
        <v>0</v>
      </c>
      <c r="J307" s="37">
        <f t="shared" si="37"/>
        <v>0</v>
      </c>
      <c r="K307" s="38">
        <f t="shared" si="38"/>
        <v>0</v>
      </c>
    </row>
    <row r="308" spans="1:11" ht="10.5" hidden="1">
      <c r="A308" s="47" t="s">
        <v>218</v>
      </c>
      <c r="B308" s="48"/>
      <c r="C308" s="48"/>
      <c r="D308" s="48"/>
      <c r="E308" s="48"/>
      <c r="F308" s="48"/>
      <c r="G308" s="48"/>
      <c r="H308" s="48"/>
      <c r="I308" s="49"/>
      <c r="J308" s="50" t="e">
        <f>SUM(J305:J307)</f>
        <v>#DIV/0!</v>
      </c>
      <c r="K308" s="51" t="e">
        <f>SUM(K305:K307)</f>
        <v>#DIV/0!</v>
      </c>
    </row>
    <row r="309" spans="1:11" ht="12.5" hidden="1">
      <c r="A309" s="47" t="s">
        <v>219</v>
      </c>
      <c r="B309" s="48"/>
      <c r="C309" s="48"/>
      <c r="D309" s="48"/>
      <c r="E309" s="48"/>
      <c r="F309" s="49"/>
      <c r="G309" s="52" t="s">
        <v>220</v>
      </c>
      <c r="H309" s="53"/>
      <c r="I309" s="54"/>
      <c r="J309" s="50" t="e">
        <f>SQRT(J308)</f>
        <v>#DIV/0!</v>
      </c>
      <c r="K309" s="51"/>
    </row>
    <row r="310" spans="1:11" ht="13.5" hidden="1">
      <c r="A310" s="47" t="s">
        <v>221</v>
      </c>
      <c r="B310" s="48"/>
      <c r="C310" s="48"/>
      <c r="D310" s="48"/>
      <c r="E310" s="48"/>
      <c r="F310" s="49"/>
      <c r="G310" s="55" t="s">
        <v>222</v>
      </c>
      <c r="H310" s="56"/>
      <c r="I310" s="57"/>
      <c r="J310" s="50" t="e">
        <f>J309^4/(K308)</f>
        <v>#DIV/0!</v>
      </c>
      <c r="K310" s="51"/>
    </row>
    <row r="311" spans="1:11" ht="10.5" hidden="1">
      <c r="A311" s="47" t="s">
        <v>223</v>
      </c>
      <c r="B311" s="48"/>
      <c r="C311" s="48"/>
      <c r="D311" s="48"/>
      <c r="E311" s="48"/>
      <c r="F311" s="49"/>
      <c r="G311" s="58" t="s">
        <v>224</v>
      </c>
      <c r="H311" s="59"/>
      <c r="I311" s="60"/>
      <c r="J311" s="50" t="e">
        <f>TINV(0.05,J310)</f>
        <v>#DIV/0!</v>
      </c>
      <c r="K311" s="51"/>
    </row>
    <row r="312" spans="1:11" ht="11" hidden="1" thickBot="1">
      <c r="A312" s="61" t="s">
        <v>225</v>
      </c>
      <c r="B312" s="62"/>
      <c r="C312" s="62"/>
      <c r="D312" s="62"/>
      <c r="E312" s="62"/>
      <c r="F312" s="63"/>
      <c r="G312" s="64" t="s">
        <v>226</v>
      </c>
      <c r="H312" s="65"/>
      <c r="I312" s="66"/>
      <c r="J312" s="316" t="e">
        <f>J311*J309</f>
        <v>#DIV/0!</v>
      </c>
      <c r="K312" s="68" t="s">
        <v>250</v>
      </c>
    </row>
    <row r="313" spans="1:11" ht="11" hidden="1" thickBot="1">
      <c r="A313" s="71"/>
      <c r="B313" s="72"/>
      <c r="C313" s="73"/>
      <c r="D313" s="73"/>
      <c r="E313" s="71"/>
      <c r="F313" s="74"/>
      <c r="G313" s="74"/>
      <c r="H313" s="74"/>
      <c r="I313" s="74"/>
      <c r="J313" s="74"/>
      <c r="K313" s="75"/>
    </row>
    <row r="314" spans="1:11" hidden="1">
      <c r="A314" s="28" t="s">
        <v>252</v>
      </c>
      <c r="B314" s="29"/>
      <c r="C314" s="29"/>
      <c r="D314" s="29"/>
      <c r="E314" s="29"/>
      <c r="F314" s="29"/>
      <c r="G314" s="29"/>
      <c r="H314" s="29"/>
      <c r="I314" s="29"/>
      <c r="J314" s="29"/>
      <c r="K314" s="30"/>
    </row>
    <row r="315" spans="1:11" hidden="1">
      <c r="A315" s="31" t="s">
        <v>197</v>
      </c>
      <c r="B315" s="32" t="s">
        <v>198</v>
      </c>
      <c r="C315" s="32" t="s">
        <v>199</v>
      </c>
      <c r="D315" s="32" t="s">
        <v>200</v>
      </c>
      <c r="E315" s="32" t="s">
        <v>201</v>
      </c>
      <c r="F315" s="32" t="s">
        <v>202</v>
      </c>
      <c r="G315" s="32" t="s">
        <v>203</v>
      </c>
      <c r="H315" s="32" t="s">
        <v>204</v>
      </c>
      <c r="I315" s="32" t="s">
        <v>205</v>
      </c>
      <c r="J315" s="32" t="s">
        <v>206</v>
      </c>
      <c r="K315" s="33" t="s">
        <v>207</v>
      </c>
    </row>
    <row r="316" spans="1:11" hidden="1">
      <c r="A316" s="34" t="s">
        <v>208</v>
      </c>
      <c r="B316" s="35" t="e">
        <f>ID!I65</f>
        <v>#DIV/0!</v>
      </c>
      <c r="C316" s="36" t="s">
        <v>238</v>
      </c>
      <c r="D316" s="37" t="s">
        <v>210</v>
      </c>
      <c r="E316" s="37">
        <f>SQRT(3)</f>
        <v>1.7320508075688772</v>
      </c>
      <c r="F316" s="69" t="e">
        <f>B316/E316</f>
        <v>#DIV/0!</v>
      </c>
      <c r="G316" s="37">
        <v>5</v>
      </c>
      <c r="H316" s="37">
        <v>1</v>
      </c>
      <c r="I316" s="37" t="e">
        <f t="shared" ref="I316:I318" si="39">F316*H316</f>
        <v>#DIV/0!</v>
      </c>
      <c r="J316" s="37" t="e">
        <f t="shared" ref="J316:J318" si="40">I316^2</f>
        <v>#DIV/0!</v>
      </c>
      <c r="K316" s="38" t="e">
        <f t="shared" ref="K316:K318" si="41">(J316^2)/G316</f>
        <v>#DIV/0!</v>
      </c>
    </row>
    <row r="317" spans="1:11" hidden="1">
      <c r="A317" s="39" t="s">
        <v>212</v>
      </c>
      <c r="B317" s="41">
        <f>'Data Sound Level Meter'!E31</f>
        <v>0.25</v>
      </c>
      <c r="C317" s="36" t="s">
        <v>238</v>
      </c>
      <c r="D317" s="36" t="s">
        <v>210</v>
      </c>
      <c r="E317" s="36">
        <v>2</v>
      </c>
      <c r="F317" s="41">
        <f>B317/E317</f>
        <v>0.125</v>
      </c>
      <c r="G317" s="42">
        <v>50</v>
      </c>
      <c r="H317" s="42">
        <v>1</v>
      </c>
      <c r="I317" s="41">
        <f t="shared" si="39"/>
        <v>0.125</v>
      </c>
      <c r="J317" s="41">
        <f t="shared" si="40"/>
        <v>1.5625E-2</v>
      </c>
      <c r="K317" s="43">
        <f t="shared" si="41"/>
        <v>4.8828125000000001E-6</v>
      </c>
    </row>
    <row r="318" spans="1:11" hidden="1">
      <c r="A318" s="34" t="s">
        <v>216</v>
      </c>
      <c r="B318" s="314">
        <v>0</v>
      </c>
      <c r="C318" s="36" t="s">
        <v>238</v>
      </c>
      <c r="D318" s="37" t="s">
        <v>215</v>
      </c>
      <c r="E318" s="37">
        <f>SQRT(3)</f>
        <v>1.7320508075688772</v>
      </c>
      <c r="F318" s="37">
        <f>B318/E318</f>
        <v>0</v>
      </c>
      <c r="G318" s="37">
        <v>50</v>
      </c>
      <c r="H318" s="37">
        <v>1</v>
      </c>
      <c r="I318" s="37">
        <f t="shared" si="39"/>
        <v>0</v>
      </c>
      <c r="J318" s="37">
        <f t="shared" si="40"/>
        <v>0</v>
      </c>
      <c r="K318" s="38">
        <f t="shared" si="41"/>
        <v>0</v>
      </c>
    </row>
    <row r="319" spans="1:11" ht="10.5" hidden="1">
      <c r="A319" s="47" t="s">
        <v>218</v>
      </c>
      <c r="B319" s="48"/>
      <c r="C319" s="48"/>
      <c r="D319" s="48"/>
      <c r="E319" s="48"/>
      <c r="F319" s="48"/>
      <c r="G319" s="48"/>
      <c r="H319" s="48"/>
      <c r="I319" s="49"/>
      <c r="J319" s="50" t="e">
        <f>SUM(J316:J318)</f>
        <v>#DIV/0!</v>
      </c>
      <c r="K319" s="51" t="e">
        <f>SUM(K316:K318)</f>
        <v>#DIV/0!</v>
      </c>
    </row>
    <row r="320" spans="1:11" ht="12.5" hidden="1">
      <c r="A320" s="47" t="s">
        <v>219</v>
      </c>
      <c r="B320" s="48"/>
      <c r="C320" s="48"/>
      <c r="D320" s="48"/>
      <c r="E320" s="48"/>
      <c r="F320" s="49"/>
      <c r="G320" s="52" t="s">
        <v>220</v>
      </c>
      <c r="H320" s="53"/>
      <c r="I320" s="54"/>
      <c r="J320" s="50" t="e">
        <f>SQRT(J319)</f>
        <v>#DIV/0!</v>
      </c>
      <c r="K320" s="51"/>
    </row>
    <row r="321" spans="1:11" ht="13.5" hidden="1">
      <c r="A321" s="47" t="s">
        <v>221</v>
      </c>
      <c r="B321" s="48"/>
      <c r="C321" s="48"/>
      <c r="D321" s="48"/>
      <c r="E321" s="48"/>
      <c r="F321" s="49"/>
      <c r="G321" s="55" t="s">
        <v>222</v>
      </c>
      <c r="H321" s="56"/>
      <c r="I321" s="57"/>
      <c r="J321" s="50" t="e">
        <f>J320^4/(K319)</f>
        <v>#DIV/0!</v>
      </c>
      <c r="K321" s="51"/>
    </row>
    <row r="322" spans="1:11" ht="10.5" hidden="1">
      <c r="A322" s="47" t="s">
        <v>223</v>
      </c>
      <c r="B322" s="48"/>
      <c r="C322" s="48"/>
      <c r="D322" s="48"/>
      <c r="E322" s="48"/>
      <c r="F322" s="49"/>
      <c r="G322" s="58" t="s">
        <v>224</v>
      </c>
      <c r="H322" s="59"/>
      <c r="I322" s="60"/>
      <c r="J322" s="50" t="e">
        <f>TINV(0.05,J321)</f>
        <v>#DIV/0!</v>
      </c>
      <c r="K322" s="51"/>
    </row>
    <row r="323" spans="1:11" ht="11" hidden="1" thickBot="1">
      <c r="A323" s="61" t="s">
        <v>225</v>
      </c>
      <c r="B323" s="62"/>
      <c r="C323" s="62"/>
      <c r="D323" s="62"/>
      <c r="E323" s="62"/>
      <c r="F323" s="63"/>
      <c r="G323" s="64" t="s">
        <v>226</v>
      </c>
      <c r="H323" s="65"/>
      <c r="I323" s="66"/>
      <c r="J323" s="316" t="e">
        <f>J322*J320</f>
        <v>#DIV/0!</v>
      </c>
      <c r="K323" s="68" t="s">
        <v>250</v>
      </c>
    </row>
    <row r="324" spans="1:11" ht="11" hidden="1" thickBot="1">
      <c r="A324" s="76"/>
      <c r="B324" s="76"/>
      <c r="C324" s="77"/>
      <c r="D324" s="77"/>
      <c r="E324" s="77"/>
      <c r="F324" s="77"/>
      <c r="G324" s="78"/>
      <c r="H324" s="77"/>
      <c r="I324" s="77"/>
      <c r="J324" s="44"/>
      <c r="K324" s="77"/>
    </row>
    <row r="325" spans="1:11" hidden="1">
      <c r="A325" s="28" t="s">
        <v>253</v>
      </c>
      <c r="B325" s="29"/>
      <c r="C325" s="29"/>
      <c r="D325" s="29"/>
      <c r="E325" s="29"/>
      <c r="F325" s="29"/>
      <c r="G325" s="29"/>
      <c r="H325" s="29"/>
      <c r="I325" s="29"/>
      <c r="J325" s="29"/>
      <c r="K325" s="30"/>
    </row>
    <row r="326" spans="1:11" hidden="1">
      <c r="A326" s="31" t="s">
        <v>197</v>
      </c>
      <c r="B326" s="32" t="s">
        <v>198</v>
      </c>
      <c r="C326" s="32" t="s">
        <v>199</v>
      </c>
      <c r="D326" s="32" t="s">
        <v>200</v>
      </c>
      <c r="E326" s="32" t="s">
        <v>201</v>
      </c>
      <c r="F326" s="32" t="s">
        <v>202</v>
      </c>
      <c r="G326" s="32" t="s">
        <v>203</v>
      </c>
      <c r="H326" s="32" t="s">
        <v>204</v>
      </c>
      <c r="I326" s="32" t="s">
        <v>205</v>
      </c>
      <c r="J326" s="32" t="s">
        <v>206</v>
      </c>
      <c r="K326" s="33" t="s">
        <v>207</v>
      </c>
    </row>
    <row r="327" spans="1:11" hidden="1">
      <c r="A327" s="34" t="s">
        <v>208</v>
      </c>
      <c r="B327" s="35" t="e">
        <f>ID!I66</f>
        <v>#DIV/0!</v>
      </c>
      <c r="C327" s="36" t="s">
        <v>238</v>
      </c>
      <c r="D327" s="37" t="s">
        <v>210</v>
      </c>
      <c r="E327" s="37">
        <f>SQRT(3)</f>
        <v>1.7320508075688772</v>
      </c>
      <c r="F327" s="69" t="e">
        <f>B327/E327</f>
        <v>#DIV/0!</v>
      </c>
      <c r="G327" s="37">
        <v>5</v>
      </c>
      <c r="H327" s="37">
        <v>1</v>
      </c>
      <c r="I327" s="37" t="e">
        <f t="shared" ref="I327:I329" si="42">F327*H327</f>
        <v>#DIV/0!</v>
      </c>
      <c r="J327" s="37" t="e">
        <f t="shared" ref="J327:J329" si="43">I327^2</f>
        <v>#DIV/0!</v>
      </c>
      <c r="K327" s="38" t="e">
        <f t="shared" ref="K327:K329" si="44">(J327^2)/G327</f>
        <v>#DIV/0!</v>
      </c>
    </row>
    <row r="328" spans="1:11" hidden="1">
      <c r="A328" s="39" t="s">
        <v>212</v>
      </c>
      <c r="B328" s="40">
        <f>'Data Sound Level Meter'!E31</f>
        <v>0.25</v>
      </c>
      <c r="C328" s="36" t="s">
        <v>238</v>
      </c>
      <c r="D328" s="36" t="s">
        <v>210</v>
      </c>
      <c r="E328" s="36">
        <v>2</v>
      </c>
      <c r="F328" s="70">
        <f>B328/E328</f>
        <v>0.125</v>
      </c>
      <c r="G328" s="42">
        <v>50</v>
      </c>
      <c r="H328" s="42">
        <v>1</v>
      </c>
      <c r="I328" s="41">
        <f t="shared" si="42"/>
        <v>0.125</v>
      </c>
      <c r="J328" s="41">
        <f t="shared" si="43"/>
        <v>1.5625E-2</v>
      </c>
      <c r="K328" s="43">
        <f t="shared" si="44"/>
        <v>4.8828125000000001E-6</v>
      </c>
    </row>
    <row r="329" spans="1:11" hidden="1">
      <c r="A329" s="34" t="s">
        <v>216</v>
      </c>
      <c r="B329" s="314">
        <v>0</v>
      </c>
      <c r="C329" s="36" t="s">
        <v>238</v>
      </c>
      <c r="D329" s="37" t="s">
        <v>215</v>
      </c>
      <c r="E329" s="37">
        <f>SQRT(3)</f>
        <v>1.7320508075688772</v>
      </c>
      <c r="F329" s="69">
        <f>B329/E329</f>
        <v>0</v>
      </c>
      <c r="G329" s="37">
        <v>50</v>
      </c>
      <c r="H329" s="37">
        <v>1</v>
      </c>
      <c r="I329" s="37">
        <f t="shared" si="42"/>
        <v>0</v>
      </c>
      <c r="J329" s="37">
        <f t="shared" si="43"/>
        <v>0</v>
      </c>
      <c r="K329" s="38">
        <f t="shared" si="44"/>
        <v>0</v>
      </c>
    </row>
    <row r="330" spans="1:11" ht="10.5" hidden="1">
      <c r="A330" s="47" t="s">
        <v>218</v>
      </c>
      <c r="B330" s="48"/>
      <c r="C330" s="48"/>
      <c r="D330" s="48"/>
      <c r="E330" s="48"/>
      <c r="F330" s="48"/>
      <c r="G330" s="48"/>
      <c r="H330" s="48"/>
      <c r="I330" s="49"/>
      <c r="J330" s="50" t="e">
        <f>SUM(J327:J329)</f>
        <v>#DIV/0!</v>
      </c>
      <c r="K330" s="51" t="e">
        <f>SUM(K327:K329)</f>
        <v>#DIV/0!</v>
      </c>
    </row>
    <row r="331" spans="1:11" ht="12.5" hidden="1">
      <c r="A331" s="47" t="s">
        <v>219</v>
      </c>
      <c r="B331" s="48"/>
      <c r="C331" s="48"/>
      <c r="D331" s="48"/>
      <c r="E331" s="48"/>
      <c r="F331" s="49"/>
      <c r="G331" s="52" t="s">
        <v>220</v>
      </c>
      <c r="H331" s="53"/>
      <c r="I331" s="54"/>
      <c r="J331" s="50" t="e">
        <f>SQRT(J330)</f>
        <v>#DIV/0!</v>
      </c>
      <c r="K331" s="51"/>
    </row>
    <row r="332" spans="1:11" ht="13.5" hidden="1">
      <c r="A332" s="47" t="s">
        <v>221</v>
      </c>
      <c r="B332" s="48"/>
      <c r="C332" s="48"/>
      <c r="D332" s="48"/>
      <c r="E332" s="48"/>
      <c r="F332" s="49"/>
      <c r="G332" s="55" t="s">
        <v>222</v>
      </c>
      <c r="H332" s="56"/>
      <c r="I332" s="57"/>
      <c r="J332" s="50" t="e">
        <f>J331^4/(K330)</f>
        <v>#DIV/0!</v>
      </c>
      <c r="K332" s="51"/>
    </row>
    <row r="333" spans="1:11" ht="10.5" hidden="1">
      <c r="A333" s="47" t="s">
        <v>223</v>
      </c>
      <c r="B333" s="48"/>
      <c r="C333" s="48"/>
      <c r="D333" s="48"/>
      <c r="E333" s="48"/>
      <c r="F333" s="49"/>
      <c r="G333" s="58" t="s">
        <v>224</v>
      </c>
      <c r="H333" s="59"/>
      <c r="I333" s="60"/>
      <c r="J333" s="50" t="e">
        <f>TINV(0.05,J332)</f>
        <v>#DIV/0!</v>
      </c>
      <c r="K333" s="51"/>
    </row>
    <row r="334" spans="1:11" ht="11" hidden="1" thickBot="1">
      <c r="A334" s="61" t="s">
        <v>225</v>
      </c>
      <c r="B334" s="62"/>
      <c r="C334" s="62"/>
      <c r="D334" s="62"/>
      <c r="E334" s="62"/>
      <c r="F334" s="63"/>
      <c r="G334" s="64" t="s">
        <v>226</v>
      </c>
      <c r="H334" s="65"/>
      <c r="I334" s="66"/>
      <c r="J334" s="316" t="e">
        <f>J333*J331</f>
        <v>#DIV/0!</v>
      </c>
      <c r="K334" s="68" t="s">
        <v>250</v>
      </c>
    </row>
    <row r="335" spans="1:11" ht="11" hidden="1" thickBo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</row>
    <row r="336" spans="1:11" hidden="1">
      <c r="A336" s="28" t="s">
        <v>254</v>
      </c>
      <c r="B336" s="29"/>
      <c r="C336" s="29"/>
      <c r="D336" s="29"/>
      <c r="E336" s="29"/>
      <c r="F336" s="29"/>
      <c r="G336" s="29"/>
      <c r="H336" s="29"/>
      <c r="I336" s="29"/>
      <c r="J336" s="29"/>
      <c r="K336" s="30"/>
    </row>
    <row r="337" spans="1:11" hidden="1">
      <c r="A337" s="31" t="s">
        <v>197</v>
      </c>
      <c r="B337" s="32" t="s">
        <v>198</v>
      </c>
      <c r="C337" s="32" t="s">
        <v>199</v>
      </c>
      <c r="D337" s="32" t="s">
        <v>200</v>
      </c>
      <c r="E337" s="32" t="s">
        <v>201</v>
      </c>
      <c r="F337" s="32" t="s">
        <v>202</v>
      </c>
      <c r="G337" s="32" t="s">
        <v>203</v>
      </c>
      <c r="H337" s="32" t="s">
        <v>204</v>
      </c>
      <c r="I337" s="32" t="s">
        <v>205</v>
      </c>
      <c r="J337" s="32" t="s">
        <v>206</v>
      </c>
      <c r="K337" s="33" t="s">
        <v>207</v>
      </c>
    </row>
    <row r="338" spans="1:11" hidden="1">
      <c r="A338" s="34" t="s">
        <v>208</v>
      </c>
      <c r="B338" s="35" t="e">
        <f>ID!I67</f>
        <v>#DIV/0!</v>
      </c>
      <c r="C338" s="36" t="s">
        <v>238</v>
      </c>
      <c r="D338" s="37" t="s">
        <v>210</v>
      </c>
      <c r="E338" s="37">
        <f>SQRT(3)</f>
        <v>1.7320508075688772</v>
      </c>
      <c r="F338" s="69" t="e">
        <f>B338/E338</f>
        <v>#DIV/0!</v>
      </c>
      <c r="G338" s="37">
        <v>5</v>
      </c>
      <c r="H338" s="37">
        <v>1</v>
      </c>
      <c r="I338" s="37" t="e">
        <f t="shared" ref="I338:I340" si="45">F338*H338</f>
        <v>#DIV/0!</v>
      </c>
      <c r="J338" s="37" t="e">
        <f t="shared" ref="J338:J340" si="46">I338^2</f>
        <v>#DIV/0!</v>
      </c>
      <c r="K338" s="38" t="e">
        <f t="shared" ref="K338:K340" si="47">(J338^2)/G338</f>
        <v>#DIV/0!</v>
      </c>
    </row>
    <row r="339" spans="1:11" hidden="1">
      <c r="A339" s="39" t="s">
        <v>212</v>
      </c>
      <c r="B339" s="40">
        <f>'Data Sound Level Meter'!E31</f>
        <v>0.25</v>
      </c>
      <c r="C339" s="36" t="s">
        <v>238</v>
      </c>
      <c r="D339" s="36" t="s">
        <v>210</v>
      </c>
      <c r="E339" s="36">
        <v>2</v>
      </c>
      <c r="F339" s="70">
        <f>B339/E339</f>
        <v>0.125</v>
      </c>
      <c r="G339" s="42">
        <v>50</v>
      </c>
      <c r="H339" s="42">
        <v>1</v>
      </c>
      <c r="I339" s="41">
        <f t="shared" si="45"/>
        <v>0.125</v>
      </c>
      <c r="J339" s="41">
        <f t="shared" si="46"/>
        <v>1.5625E-2</v>
      </c>
      <c r="K339" s="43">
        <f t="shared" si="47"/>
        <v>4.8828125000000001E-6</v>
      </c>
    </row>
    <row r="340" spans="1:11" hidden="1">
      <c r="A340" s="34" t="s">
        <v>216</v>
      </c>
      <c r="B340" s="314">
        <v>0</v>
      </c>
      <c r="C340" s="36" t="s">
        <v>238</v>
      </c>
      <c r="D340" s="37" t="s">
        <v>215</v>
      </c>
      <c r="E340" s="37">
        <f>SQRT(3)</f>
        <v>1.7320508075688772</v>
      </c>
      <c r="F340" s="69">
        <f>B340/E340</f>
        <v>0</v>
      </c>
      <c r="G340" s="37">
        <v>50</v>
      </c>
      <c r="H340" s="37">
        <v>1</v>
      </c>
      <c r="I340" s="37">
        <f t="shared" si="45"/>
        <v>0</v>
      </c>
      <c r="J340" s="37">
        <f t="shared" si="46"/>
        <v>0</v>
      </c>
      <c r="K340" s="38">
        <f t="shared" si="47"/>
        <v>0</v>
      </c>
    </row>
    <row r="341" spans="1:11" ht="10.5" hidden="1">
      <c r="A341" s="47" t="s">
        <v>218</v>
      </c>
      <c r="B341" s="48"/>
      <c r="C341" s="48"/>
      <c r="D341" s="48"/>
      <c r="E341" s="48"/>
      <c r="F341" s="48"/>
      <c r="G341" s="48"/>
      <c r="H341" s="48"/>
      <c r="I341" s="49"/>
      <c r="J341" s="50" t="e">
        <f>SUM(J338:J340)</f>
        <v>#DIV/0!</v>
      </c>
      <c r="K341" s="51" t="e">
        <f>SUM(K338:K340)</f>
        <v>#DIV/0!</v>
      </c>
    </row>
    <row r="342" spans="1:11" ht="12.5" hidden="1">
      <c r="A342" s="47" t="s">
        <v>219</v>
      </c>
      <c r="B342" s="48"/>
      <c r="C342" s="48"/>
      <c r="D342" s="48"/>
      <c r="E342" s="48"/>
      <c r="F342" s="49"/>
      <c r="G342" s="52" t="s">
        <v>220</v>
      </c>
      <c r="H342" s="53"/>
      <c r="I342" s="54"/>
      <c r="J342" s="50" t="e">
        <f>SQRT(J341)</f>
        <v>#DIV/0!</v>
      </c>
      <c r="K342" s="51"/>
    </row>
    <row r="343" spans="1:11" ht="13.5" hidden="1">
      <c r="A343" s="47" t="s">
        <v>221</v>
      </c>
      <c r="B343" s="48"/>
      <c r="C343" s="48"/>
      <c r="D343" s="48"/>
      <c r="E343" s="48"/>
      <c r="F343" s="49"/>
      <c r="G343" s="55" t="s">
        <v>222</v>
      </c>
      <c r="H343" s="56"/>
      <c r="I343" s="57"/>
      <c r="J343" s="50" t="e">
        <f>J342^4/(K341)</f>
        <v>#DIV/0!</v>
      </c>
      <c r="K343" s="51"/>
    </row>
    <row r="344" spans="1:11" ht="10.5" hidden="1">
      <c r="A344" s="47" t="s">
        <v>223</v>
      </c>
      <c r="B344" s="48"/>
      <c r="C344" s="48"/>
      <c r="D344" s="48"/>
      <c r="E344" s="48"/>
      <c r="F344" s="49"/>
      <c r="G344" s="58" t="s">
        <v>224</v>
      </c>
      <c r="H344" s="59"/>
      <c r="I344" s="60"/>
      <c r="J344" s="50" t="e">
        <f>TINV(0.05,J343)</f>
        <v>#DIV/0!</v>
      </c>
      <c r="K344" s="51"/>
    </row>
    <row r="345" spans="1:11" ht="11" hidden="1" thickBot="1">
      <c r="A345" s="61" t="s">
        <v>225</v>
      </c>
      <c r="B345" s="62"/>
      <c r="C345" s="62"/>
      <c r="D345" s="62"/>
      <c r="E345" s="62"/>
      <c r="F345" s="63"/>
      <c r="G345" s="64" t="s">
        <v>226</v>
      </c>
      <c r="H345" s="65"/>
      <c r="I345" s="66"/>
      <c r="J345" s="316" t="e">
        <f>J344*J342</f>
        <v>#DIV/0!</v>
      </c>
      <c r="K345" s="68" t="s">
        <v>250</v>
      </c>
    </row>
    <row r="346" spans="1:11" ht="11" hidden="1" thickBo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</row>
    <row r="347" spans="1:11" hidden="1">
      <c r="A347" s="28" t="s">
        <v>255</v>
      </c>
      <c r="B347" s="29"/>
      <c r="C347" s="29"/>
      <c r="D347" s="29"/>
      <c r="E347" s="29"/>
      <c r="F347" s="29"/>
      <c r="G347" s="29"/>
      <c r="H347" s="29"/>
      <c r="I347" s="29"/>
      <c r="J347" s="29"/>
      <c r="K347" s="30"/>
    </row>
    <row r="348" spans="1:11" hidden="1">
      <c r="A348" s="31" t="s">
        <v>197</v>
      </c>
      <c r="B348" s="32" t="s">
        <v>198</v>
      </c>
      <c r="C348" s="32" t="s">
        <v>199</v>
      </c>
      <c r="D348" s="32" t="s">
        <v>200</v>
      </c>
      <c r="E348" s="32" t="s">
        <v>201</v>
      </c>
      <c r="F348" s="32" t="s">
        <v>202</v>
      </c>
      <c r="G348" s="32" t="s">
        <v>203</v>
      </c>
      <c r="H348" s="32" t="s">
        <v>204</v>
      </c>
      <c r="I348" s="32" t="s">
        <v>205</v>
      </c>
      <c r="J348" s="32" t="s">
        <v>206</v>
      </c>
      <c r="K348" s="33" t="s">
        <v>207</v>
      </c>
    </row>
    <row r="349" spans="1:11" hidden="1">
      <c r="A349" s="34" t="s">
        <v>208</v>
      </c>
      <c r="B349" s="35" t="e">
        <f>ID!I68</f>
        <v>#DIV/0!</v>
      </c>
      <c r="C349" s="36" t="s">
        <v>238</v>
      </c>
      <c r="D349" s="37" t="s">
        <v>210</v>
      </c>
      <c r="E349" s="37">
        <f>SQRT(3)</f>
        <v>1.7320508075688772</v>
      </c>
      <c r="F349" s="69" t="e">
        <f>B349/E349</f>
        <v>#DIV/0!</v>
      </c>
      <c r="G349" s="37">
        <v>5</v>
      </c>
      <c r="H349" s="37">
        <v>1</v>
      </c>
      <c r="I349" s="37" t="e">
        <f t="shared" ref="I349:I351" si="48">F349*H349</f>
        <v>#DIV/0!</v>
      </c>
      <c r="J349" s="37" t="e">
        <f t="shared" ref="J349:J351" si="49">I349^2</f>
        <v>#DIV/0!</v>
      </c>
      <c r="K349" s="38" t="e">
        <f t="shared" ref="K349:K351" si="50">(J349^2)/G349</f>
        <v>#DIV/0!</v>
      </c>
    </row>
    <row r="350" spans="1:11" hidden="1">
      <c r="A350" s="39" t="s">
        <v>212</v>
      </c>
      <c r="B350" s="40">
        <f>'Data Sound Level Meter'!E31</f>
        <v>0.25</v>
      </c>
      <c r="C350" s="36" t="s">
        <v>238</v>
      </c>
      <c r="D350" s="36" t="s">
        <v>210</v>
      </c>
      <c r="E350" s="36">
        <v>2</v>
      </c>
      <c r="F350" s="70">
        <f>B350/E350</f>
        <v>0.125</v>
      </c>
      <c r="G350" s="42">
        <v>50</v>
      </c>
      <c r="H350" s="42">
        <v>1</v>
      </c>
      <c r="I350" s="41">
        <f t="shared" si="48"/>
        <v>0.125</v>
      </c>
      <c r="J350" s="41">
        <f t="shared" si="49"/>
        <v>1.5625E-2</v>
      </c>
      <c r="K350" s="43">
        <f t="shared" si="50"/>
        <v>4.8828125000000001E-6</v>
      </c>
    </row>
    <row r="351" spans="1:11" hidden="1">
      <c r="A351" s="34" t="s">
        <v>216</v>
      </c>
      <c r="B351" s="314">
        <v>0</v>
      </c>
      <c r="C351" s="36" t="s">
        <v>238</v>
      </c>
      <c r="D351" s="37" t="s">
        <v>215</v>
      </c>
      <c r="E351" s="37">
        <f>SQRT(3)</f>
        <v>1.7320508075688772</v>
      </c>
      <c r="F351" s="69">
        <f>B351/E351</f>
        <v>0</v>
      </c>
      <c r="G351" s="37">
        <v>50</v>
      </c>
      <c r="H351" s="37">
        <v>1</v>
      </c>
      <c r="I351" s="37">
        <f t="shared" si="48"/>
        <v>0</v>
      </c>
      <c r="J351" s="37">
        <f t="shared" si="49"/>
        <v>0</v>
      </c>
      <c r="K351" s="38">
        <f t="shared" si="50"/>
        <v>0</v>
      </c>
    </row>
    <row r="352" spans="1:11" ht="10.5" hidden="1">
      <c r="A352" s="47" t="s">
        <v>218</v>
      </c>
      <c r="B352" s="48"/>
      <c r="C352" s="48"/>
      <c r="D352" s="48"/>
      <c r="E352" s="48"/>
      <c r="F352" s="48"/>
      <c r="G352" s="48"/>
      <c r="H352" s="48"/>
      <c r="I352" s="49"/>
      <c r="J352" s="50" t="e">
        <f>SUM(J349:J351)</f>
        <v>#DIV/0!</v>
      </c>
      <c r="K352" s="51" t="e">
        <f>SUM(K349:K351)</f>
        <v>#DIV/0!</v>
      </c>
    </row>
    <row r="353" spans="1:11" ht="12.5" hidden="1">
      <c r="A353" s="47" t="s">
        <v>219</v>
      </c>
      <c r="B353" s="48"/>
      <c r="C353" s="48"/>
      <c r="D353" s="48"/>
      <c r="E353" s="48"/>
      <c r="F353" s="49"/>
      <c r="G353" s="52" t="s">
        <v>220</v>
      </c>
      <c r="H353" s="53"/>
      <c r="I353" s="54"/>
      <c r="J353" s="50" t="e">
        <f>SQRT(J352)</f>
        <v>#DIV/0!</v>
      </c>
      <c r="K353" s="51"/>
    </row>
    <row r="354" spans="1:11" ht="13.5" hidden="1">
      <c r="A354" s="47" t="s">
        <v>221</v>
      </c>
      <c r="B354" s="48"/>
      <c r="C354" s="48"/>
      <c r="D354" s="48"/>
      <c r="E354" s="48"/>
      <c r="F354" s="49"/>
      <c r="G354" s="55" t="s">
        <v>222</v>
      </c>
      <c r="H354" s="56"/>
      <c r="I354" s="57"/>
      <c r="J354" s="50" t="e">
        <f>J353^4/(K352)</f>
        <v>#DIV/0!</v>
      </c>
      <c r="K354" s="51"/>
    </row>
    <row r="355" spans="1:11" ht="10.5" hidden="1">
      <c r="A355" s="47" t="s">
        <v>223</v>
      </c>
      <c r="B355" s="48"/>
      <c r="C355" s="48"/>
      <c r="D355" s="48"/>
      <c r="E355" s="48"/>
      <c r="F355" s="49"/>
      <c r="G355" s="58" t="s">
        <v>224</v>
      </c>
      <c r="H355" s="59"/>
      <c r="I355" s="60"/>
      <c r="J355" s="50" t="e">
        <f>TINV(0.05,J354)</f>
        <v>#DIV/0!</v>
      </c>
      <c r="K355" s="51"/>
    </row>
    <row r="356" spans="1:11" ht="11" hidden="1" thickBot="1">
      <c r="A356" s="61" t="s">
        <v>225</v>
      </c>
      <c r="B356" s="62"/>
      <c r="C356" s="62"/>
      <c r="D356" s="62"/>
      <c r="E356" s="62"/>
      <c r="F356" s="63"/>
      <c r="G356" s="64" t="s">
        <v>226</v>
      </c>
      <c r="H356" s="65"/>
      <c r="I356" s="66"/>
      <c r="J356" s="316" t="e">
        <f>J355*J353</f>
        <v>#DIV/0!</v>
      </c>
      <c r="K356" s="68" t="s">
        <v>250</v>
      </c>
    </row>
    <row r="357" spans="1:11" ht="11" hidden="1" thickBot="1">
      <c r="A357" s="82"/>
      <c r="B357" s="14"/>
      <c r="C357" s="14"/>
      <c r="D357" s="14"/>
      <c r="E357" s="14"/>
      <c r="F357" s="14"/>
      <c r="G357" s="14"/>
      <c r="H357" s="82"/>
      <c r="I357" s="14"/>
      <c r="J357" s="14"/>
      <c r="K357" s="14"/>
    </row>
    <row r="358" spans="1:11" hidden="1">
      <c r="A358" s="28" t="s">
        <v>256</v>
      </c>
      <c r="B358" s="29"/>
      <c r="C358" s="29"/>
      <c r="D358" s="29"/>
      <c r="E358" s="29"/>
      <c r="F358" s="29"/>
      <c r="G358" s="29"/>
      <c r="H358" s="29"/>
      <c r="I358" s="29"/>
      <c r="J358" s="29"/>
      <c r="K358" s="30"/>
    </row>
    <row r="359" spans="1:11" hidden="1">
      <c r="A359" s="31" t="s">
        <v>197</v>
      </c>
      <c r="B359" s="32" t="s">
        <v>198</v>
      </c>
      <c r="C359" s="32" t="s">
        <v>199</v>
      </c>
      <c r="D359" s="32" t="s">
        <v>200</v>
      </c>
      <c r="E359" s="32" t="s">
        <v>201</v>
      </c>
      <c r="F359" s="32" t="s">
        <v>202</v>
      </c>
      <c r="G359" s="32" t="s">
        <v>203</v>
      </c>
      <c r="H359" s="32" t="s">
        <v>204</v>
      </c>
      <c r="I359" s="32" t="s">
        <v>205</v>
      </c>
      <c r="J359" s="32" t="s">
        <v>206</v>
      </c>
      <c r="K359" s="33" t="s">
        <v>207</v>
      </c>
    </row>
    <row r="360" spans="1:11" hidden="1">
      <c r="A360" s="34" t="s">
        <v>208</v>
      </c>
      <c r="B360" s="35" t="e">
        <f>ID!I69</f>
        <v>#DIV/0!</v>
      </c>
      <c r="C360" s="36" t="s">
        <v>238</v>
      </c>
      <c r="D360" s="37" t="s">
        <v>210</v>
      </c>
      <c r="E360" s="37">
        <f>SQRT(3)</f>
        <v>1.7320508075688772</v>
      </c>
      <c r="F360" s="69" t="e">
        <f>B360/E360</f>
        <v>#DIV/0!</v>
      </c>
      <c r="G360" s="37">
        <v>5</v>
      </c>
      <c r="H360" s="37">
        <v>1</v>
      </c>
      <c r="I360" s="37" t="e">
        <f t="shared" ref="I360:I362" si="51">F360*H360</f>
        <v>#DIV/0!</v>
      </c>
      <c r="J360" s="37" t="e">
        <f t="shared" ref="J360:J362" si="52">I360^2</f>
        <v>#DIV/0!</v>
      </c>
      <c r="K360" s="38" t="e">
        <f t="shared" ref="K360:K362" si="53">(J360^2)/G360</f>
        <v>#DIV/0!</v>
      </c>
    </row>
    <row r="361" spans="1:11" hidden="1">
      <c r="A361" s="39" t="s">
        <v>212</v>
      </c>
      <c r="B361" s="40">
        <f>'Data Sound Level Meter'!E31</f>
        <v>0.25</v>
      </c>
      <c r="C361" s="36" t="s">
        <v>238</v>
      </c>
      <c r="D361" s="36" t="s">
        <v>210</v>
      </c>
      <c r="E361" s="36">
        <v>2</v>
      </c>
      <c r="F361" s="70">
        <f>B361/E361</f>
        <v>0.125</v>
      </c>
      <c r="G361" s="42">
        <v>50</v>
      </c>
      <c r="H361" s="42">
        <v>1</v>
      </c>
      <c r="I361" s="41">
        <f t="shared" si="51"/>
        <v>0.125</v>
      </c>
      <c r="J361" s="41">
        <f t="shared" si="52"/>
        <v>1.5625E-2</v>
      </c>
      <c r="K361" s="43">
        <f t="shared" si="53"/>
        <v>4.8828125000000001E-6</v>
      </c>
    </row>
    <row r="362" spans="1:11" hidden="1">
      <c r="A362" s="34" t="s">
        <v>216</v>
      </c>
      <c r="B362" s="314">
        <v>0</v>
      </c>
      <c r="C362" s="36" t="s">
        <v>238</v>
      </c>
      <c r="D362" s="37" t="s">
        <v>215</v>
      </c>
      <c r="E362" s="37">
        <f>SQRT(3)</f>
        <v>1.7320508075688772</v>
      </c>
      <c r="F362" s="69">
        <f>B362/E362</f>
        <v>0</v>
      </c>
      <c r="G362" s="37">
        <v>50</v>
      </c>
      <c r="H362" s="37">
        <v>1</v>
      </c>
      <c r="I362" s="37">
        <f t="shared" si="51"/>
        <v>0</v>
      </c>
      <c r="J362" s="37">
        <f t="shared" si="52"/>
        <v>0</v>
      </c>
      <c r="K362" s="38">
        <f t="shared" si="53"/>
        <v>0</v>
      </c>
    </row>
    <row r="363" spans="1:11" ht="10.5" hidden="1">
      <c r="A363" s="47" t="s">
        <v>218</v>
      </c>
      <c r="B363" s="48"/>
      <c r="C363" s="48"/>
      <c r="D363" s="48"/>
      <c r="E363" s="48"/>
      <c r="F363" s="48"/>
      <c r="G363" s="48"/>
      <c r="H363" s="48"/>
      <c r="I363" s="49"/>
      <c r="J363" s="50" t="e">
        <f>SUM(J360:J362)</f>
        <v>#DIV/0!</v>
      </c>
      <c r="K363" s="51" t="e">
        <f>SUM(K360:K362)</f>
        <v>#DIV/0!</v>
      </c>
    </row>
    <row r="364" spans="1:11" ht="12.5" hidden="1">
      <c r="A364" s="47" t="s">
        <v>219</v>
      </c>
      <c r="B364" s="48"/>
      <c r="C364" s="48"/>
      <c r="D364" s="48"/>
      <c r="E364" s="48"/>
      <c r="F364" s="49"/>
      <c r="G364" s="52" t="s">
        <v>220</v>
      </c>
      <c r="H364" s="53"/>
      <c r="I364" s="54"/>
      <c r="J364" s="50" t="e">
        <f>SQRT(J363)</f>
        <v>#DIV/0!</v>
      </c>
      <c r="K364" s="51"/>
    </row>
    <row r="365" spans="1:11" ht="13.5" hidden="1">
      <c r="A365" s="47" t="s">
        <v>221</v>
      </c>
      <c r="B365" s="48"/>
      <c r="C365" s="48"/>
      <c r="D365" s="48"/>
      <c r="E365" s="48"/>
      <c r="F365" s="49"/>
      <c r="G365" s="55" t="s">
        <v>222</v>
      </c>
      <c r="H365" s="56"/>
      <c r="I365" s="57"/>
      <c r="J365" s="50" t="e">
        <f>J364^4/(K363)</f>
        <v>#DIV/0!</v>
      </c>
      <c r="K365" s="51"/>
    </row>
    <row r="366" spans="1:11" ht="10.5" hidden="1">
      <c r="A366" s="47" t="s">
        <v>223</v>
      </c>
      <c r="B366" s="48"/>
      <c r="C366" s="48"/>
      <c r="D366" s="48"/>
      <c r="E366" s="48"/>
      <c r="F366" s="49"/>
      <c r="G366" s="58" t="s">
        <v>224</v>
      </c>
      <c r="H366" s="59"/>
      <c r="I366" s="60"/>
      <c r="J366" s="50" t="e">
        <f>TINV(0.05,J365)</f>
        <v>#DIV/0!</v>
      </c>
      <c r="K366" s="51"/>
    </row>
    <row r="367" spans="1:11" ht="11" hidden="1" thickBot="1">
      <c r="A367" s="61" t="s">
        <v>225</v>
      </c>
      <c r="B367" s="62"/>
      <c r="C367" s="62"/>
      <c r="D367" s="62"/>
      <c r="E367" s="62"/>
      <c r="F367" s="63"/>
      <c r="G367" s="64" t="s">
        <v>226</v>
      </c>
      <c r="H367" s="65"/>
      <c r="I367" s="66"/>
      <c r="J367" s="315" t="e">
        <f>J366*J364</f>
        <v>#DIV/0!</v>
      </c>
      <c r="K367" s="68" t="s">
        <v>250</v>
      </c>
    </row>
    <row r="368" spans="1:11" ht="11" hidden="1" thickBo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</row>
    <row r="369" spans="1:11" hidden="1">
      <c r="A369" s="28" t="s">
        <v>257</v>
      </c>
      <c r="B369" s="29"/>
      <c r="C369" s="29"/>
      <c r="D369" s="29"/>
      <c r="E369" s="29"/>
      <c r="F369" s="29"/>
      <c r="G369" s="29"/>
      <c r="H369" s="29"/>
      <c r="I369" s="29"/>
      <c r="J369" s="29"/>
      <c r="K369" s="30"/>
    </row>
    <row r="370" spans="1:11" hidden="1">
      <c r="A370" s="31" t="s">
        <v>197</v>
      </c>
      <c r="B370" s="32" t="s">
        <v>198</v>
      </c>
      <c r="C370" s="32" t="s">
        <v>199</v>
      </c>
      <c r="D370" s="32" t="s">
        <v>200</v>
      </c>
      <c r="E370" s="32" t="s">
        <v>201</v>
      </c>
      <c r="F370" s="32" t="s">
        <v>202</v>
      </c>
      <c r="G370" s="32" t="s">
        <v>203</v>
      </c>
      <c r="H370" s="32" t="s">
        <v>204</v>
      </c>
      <c r="I370" s="32" t="s">
        <v>205</v>
      </c>
      <c r="J370" s="32" t="s">
        <v>206</v>
      </c>
      <c r="K370" s="33" t="s">
        <v>207</v>
      </c>
    </row>
    <row r="371" spans="1:11" hidden="1">
      <c r="A371" s="34" t="s">
        <v>208</v>
      </c>
      <c r="B371" s="35" t="e">
        <f>ID!I70</f>
        <v>#DIV/0!</v>
      </c>
      <c r="C371" s="36" t="s">
        <v>238</v>
      </c>
      <c r="D371" s="37" t="s">
        <v>210</v>
      </c>
      <c r="E371" s="37">
        <f>SQRT(3)</f>
        <v>1.7320508075688772</v>
      </c>
      <c r="F371" s="69" t="e">
        <f>B371/E371</f>
        <v>#DIV/0!</v>
      </c>
      <c r="G371" s="37">
        <v>5</v>
      </c>
      <c r="H371" s="37">
        <v>1</v>
      </c>
      <c r="I371" s="37" t="e">
        <f t="shared" ref="I371:I373" si="54">F371*H371</f>
        <v>#DIV/0!</v>
      </c>
      <c r="J371" s="37" t="e">
        <f t="shared" ref="J371:J373" si="55">I371^2</f>
        <v>#DIV/0!</v>
      </c>
      <c r="K371" s="38" t="e">
        <f t="shared" ref="K371:K373" si="56">(J371^2)/G371</f>
        <v>#DIV/0!</v>
      </c>
    </row>
    <row r="372" spans="1:11" hidden="1">
      <c r="A372" s="39" t="s">
        <v>212</v>
      </c>
      <c r="B372" s="40">
        <f>'Data Sound Level Meter'!E31</f>
        <v>0.25</v>
      </c>
      <c r="C372" s="36" t="s">
        <v>238</v>
      </c>
      <c r="D372" s="36" t="s">
        <v>210</v>
      </c>
      <c r="E372" s="36">
        <v>2</v>
      </c>
      <c r="F372" s="70">
        <f>B372/E372</f>
        <v>0.125</v>
      </c>
      <c r="G372" s="42">
        <v>50</v>
      </c>
      <c r="H372" s="42">
        <v>1</v>
      </c>
      <c r="I372" s="41">
        <f t="shared" si="54"/>
        <v>0.125</v>
      </c>
      <c r="J372" s="41">
        <f t="shared" si="55"/>
        <v>1.5625E-2</v>
      </c>
      <c r="K372" s="43">
        <f t="shared" si="56"/>
        <v>4.8828125000000001E-6</v>
      </c>
    </row>
    <row r="373" spans="1:11" hidden="1">
      <c r="A373" s="34" t="s">
        <v>216</v>
      </c>
      <c r="B373" s="314">
        <v>0</v>
      </c>
      <c r="C373" s="36" t="s">
        <v>238</v>
      </c>
      <c r="D373" s="37" t="s">
        <v>215</v>
      </c>
      <c r="E373" s="37">
        <f>SQRT(3)</f>
        <v>1.7320508075688772</v>
      </c>
      <c r="F373" s="69">
        <f>B373/E373</f>
        <v>0</v>
      </c>
      <c r="G373" s="37">
        <v>50</v>
      </c>
      <c r="H373" s="37">
        <v>1</v>
      </c>
      <c r="I373" s="37">
        <f t="shared" si="54"/>
        <v>0</v>
      </c>
      <c r="J373" s="37">
        <f t="shared" si="55"/>
        <v>0</v>
      </c>
      <c r="K373" s="38">
        <f t="shared" si="56"/>
        <v>0</v>
      </c>
    </row>
    <row r="374" spans="1:11" ht="10.5" hidden="1">
      <c r="A374" s="47" t="s">
        <v>218</v>
      </c>
      <c r="B374" s="48"/>
      <c r="C374" s="48"/>
      <c r="D374" s="48"/>
      <c r="E374" s="48"/>
      <c r="F374" s="48"/>
      <c r="G374" s="48"/>
      <c r="H374" s="48"/>
      <c r="I374" s="49"/>
      <c r="J374" s="50" t="e">
        <f>SUM(J371:J373)</f>
        <v>#DIV/0!</v>
      </c>
      <c r="K374" s="51" t="e">
        <f>SUM(K371:K373)</f>
        <v>#DIV/0!</v>
      </c>
    </row>
    <row r="375" spans="1:11" ht="12.5" hidden="1">
      <c r="A375" s="47" t="s">
        <v>219</v>
      </c>
      <c r="B375" s="48"/>
      <c r="C375" s="48"/>
      <c r="D375" s="48"/>
      <c r="E375" s="48"/>
      <c r="F375" s="49"/>
      <c r="G375" s="52" t="s">
        <v>220</v>
      </c>
      <c r="H375" s="53"/>
      <c r="I375" s="54"/>
      <c r="J375" s="50" t="e">
        <f>SQRT(J374)</f>
        <v>#DIV/0!</v>
      </c>
      <c r="K375" s="51"/>
    </row>
    <row r="376" spans="1:11" ht="13.5" hidden="1">
      <c r="A376" s="47" t="s">
        <v>221</v>
      </c>
      <c r="B376" s="48"/>
      <c r="C376" s="48"/>
      <c r="D376" s="48"/>
      <c r="E376" s="48"/>
      <c r="F376" s="49"/>
      <c r="G376" s="55" t="s">
        <v>222</v>
      </c>
      <c r="H376" s="56"/>
      <c r="I376" s="57"/>
      <c r="J376" s="50" t="e">
        <f>J375^4/(K374)</f>
        <v>#DIV/0!</v>
      </c>
      <c r="K376" s="51"/>
    </row>
    <row r="377" spans="1:11" ht="10.5" hidden="1">
      <c r="A377" s="47" t="s">
        <v>223</v>
      </c>
      <c r="B377" s="48"/>
      <c r="C377" s="48"/>
      <c r="D377" s="48"/>
      <c r="E377" s="48"/>
      <c r="F377" s="49"/>
      <c r="G377" s="58" t="s">
        <v>224</v>
      </c>
      <c r="H377" s="59"/>
      <c r="I377" s="60"/>
      <c r="J377" s="50" t="e">
        <f>TINV(0.05,J376)</f>
        <v>#DIV/0!</v>
      </c>
      <c r="K377" s="51"/>
    </row>
    <row r="378" spans="1:11" ht="11" hidden="1" thickBot="1">
      <c r="A378" s="61" t="s">
        <v>225</v>
      </c>
      <c r="B378" s="62"/>
      <c r="C378" s="62"/>
      <c r="D378" s="62"/>
      <c r="E378" s="62"/>
      <c r="F378" s="63"/>
      <c r="G378" s="64" t="s">
        <v>226</v>
      </c>
      <c r="H378" s="65"/>
      <c r="I378" s="66"/>
      <c r="J378" s="316" t="e">
        <f>J377*J375</f>
        <v>#DIV/0!</v>
      </c>
      <c r="K378" s="68" t="s">
        <v>250</v>
      </c>
    </row>
    <row r="379" spans="1:11" ht="11" hidden="1" thickBo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</row>
    <row r="380" spans="1:11" hidden="1">
      <c r="A380" s="28" t="s">
        <v>258</v>
      </c>
      <c r="B380" s="29"/>
      <c r="C380" s="29"/>
      <c r="D380" s="29"/>
      <c r="E380" s="29"/>
      <c r="F380" s="29"/>
      <c r="G380" s="29"/>
      <c r="H380" s="29"/>
      <c r="I380" s="29"/>
      <c r="J380" s="29"/>
      <c r="K380" s="30"/>
    </row>
    <row r="381" spans="1:11" hidden="1">
      <c r="A381" s="31" t="s">
        <v>197</v>
      </c>
      <c r="B381" s="32" t="s">
        <v>198</v>
      </c>
      <c r="C381" s="32" t="s">
        <v>199</v>
      </c>
      <c r="D381" s="32" t="s">
        <v>200</v>
      </c>
      <c r="E381" s="32" t="s">
        <v>201</v>
      </c>
      <c r="F381" s="32" t="s">
        <v>202</v>
      </c>
      <c r="G381" s="32" t="s">
        <v>203</v>
      </c>
      <c r="H381" s="32" t="s">
        <v>204</v>
      </c>
      <c r="I381" s="32" t="s">
        <v>205</v>
      </c>
      <c r="J381" s="32" t="s">
        <v>206</v>
      </c>
      <c r="K381" s="33" t="s">
        <v>207</v>
      </c>
    </row>
    <row r="382" spans="1:11" hidden="1">
      <c r="A382" s="34" t="s">
        <v>208</v>
      </c>
      <c r="B382" s="35" t="e">
        <f>ID!I71</f>
        <v>#DIV/0!</v>
      </c>
      <c r="C382" s="36" t="s">
        <v>238</v>
      </c>
      <c r="D382" s="37" t="s">
        <v>210</v>
      </c>
      <c r="E382" s="37">
        <f>SQRT(3)</f>
        <v>1.7320508075688772</v>
      </c>
      <c r="F382" s="69" t="e">
        <f>B382/E382</f>
        <v>#DIV/0!</v>
      </c>
      <c r="G382" s="37">
        <v>5</v>
      </c>
      <c r="H382" s="37">
        <v>1</v>
      </c>
      <c r="I382" s="37" t="e">
        <f t="shared" ref="I382:I384" si="57">F382*H382</f>
        <v>#DIV/0!</v>
      </c>
      <c r="J382" s="37" t="e">
        <f t="shared" ref="J382:J384" si="58">I382^2</f>
        <v>#DIV/0!</v>
      </c>
      <c r="K382" s="38" t="e">
        <f t="shared" ref="K382:K384" si="59">(J382^2)/G382</f>
        <v>#DIV/0!</v>
      </c>
    </row>
    <row r="383" spans="1:11" hidden="1">
      <c r="A383" s="39" t="s">
        <v>212</v>
      </c>
      <c r="B383" s="41">
        <f>'Data Sound Level Meter'!E31</f>
        <v>0.25</v>
      </c>
      <c r="C383" s="36" t="s">
        <v>238</v>
      </c>
      <c r="D383" s="36" t="s">
        <v>210</v>
      </c>
      <c r="E383" s="36">
        <v>2</v>
      </c>
      <c r="F383" s="70">
        <f>B383/E383</f>
        <v>0.125</v>
      </c>
      <c r="G383" s="42">
        <v>50</v>
      </c>
      <c r="H383" s="42">
        <v>1</v>
      </c>
      <c r="I383" s="41">
        <f t="shared" si="57"/>
        <v>0.125</v>
      </c>
      <c r="J383" s="41">
        <f t="shared" si="58"/>
        <v>1.5625E-2</v>
      </c>
      <c r="K383" s="43">
        <f t="shared" si="59"/>
        <v>4.8828125000000001E-6</v>
      </c>
    </row>
    <row r="384" spans="1:11" hidden="1">
      <c r="A384" s="34" t="s">
        <v>216</v>
      </c>
      <c r="B384" s="314">
        <v>0</v>
      </c>
      <c r="C384" s="36" t="s">
        <v>238</v>
      </c>
      <c r="D384" s="37" t="s">
        <v>215</v>
      </c>
      <c r="E384" s="37">
        <f>SQRT(3)</f>
        <v>1.7320508075688772</v>
      </c>
      <c r="F384" s="69">
        <f>B384/E384</f>
        <v>0</v>
      </c>
      <c r="G384" s="37">
        <v>50</v>
      </c>
      <c r="H384" s="37">
        <v>1</v>
      </c>
      <c r="I384" s="37">
        <f t="shared" si="57"/>
        <v>0</v>
      </c>
      <c r="J384" s="37">
        <f t="shared" si="58"/>
        <v>0</v>
      </c>
      <c r="K384" s="38">
        <f t="shared" si="59"/>
        <v>0</v>
      </c>
    </row>
    <row r="385" spans="1:11" ht="10.5" hidden="1">
      <c r="A385" s="47" t="s">
        <v>218</v>
      </c>
      <c r="B385" s="48"/>
      <c r="C385" s="48"/>
      <c r="D385" s="48"/>
      <c r="E385" s="48"/>
      <c r="F385" s="48"/>
      <c r="G385" s="48"/>
      <c r="H385" s="48"/>
      <c r="I385" s="49"/>
      <c r="J385" s="50" t="e">
        <f>SUM(J382:J384)</f>
        <v>#DIV/0!</v>
      </c>
      <c r="K385" s="51" t="e">
        <f>SUM(K382:K384)</f>
        <v>#DIV/0!</v>
      </c>
    </row>
    <row r="386" spans="1:11" ht="12.5" hidden="1">
      <c r="A386" s="47" t="s">
        <v>219</v>
      </c>
      <c r="B386" s="48"/>
      <c r="C386" s="48"/>
      <c r="D386" s="48"/>
      <c r="E386" s="48"/>
      <c r="F386" s="49"/>
      <c r="G386" s="52" t="s">
        <v>220</v>
      </c>
      <c r="H386" s="53"/>
      <c r="I386" s="54"/>
      <c r="J386" s="50" t="e">
        <f>SQRT(J385)</f>
        <v>#DIV/0!</v>
      </c>
      <c r="K386" s="51"/>
    </row>
    <row r="387" spans="1:11" ht="13.5" hidden="1">
      <c r="A387" s="47" t="s">
        <v>221</v>
      </c>
      <c r="B387" s="48"/>
      <c r="C387" s="48"/>
      <c r="D387" s="48"/>
      <c r="E387" s="48"/>
      <c r="F387" s="49"/>
      <c r="G387" s="55" t="s">
        <v>222</v>
      </c>
      <c r="H387" s="56"/>
      <c r="I387" s="57"/>
      <c r="J387" s="50" t="e">
        <f>J386^4/(K385)</f>
        <v>#DIV/0!</v>
      </c>
      <c r="K387" s="51"/>
    </row>
    <row r="388" spans="1:11" ht="10.5" hidden="1">
      <c r="A388" s="47" t="s">
        <v>223</v>
      </c>
      <c r="B388" s="48"/>
      <c r="C388" s="48"/>
      <c r="D388" s="48"/>
      <c r="E388" s="48"/>
      <c r="F388" s="49"/>
      <c r="G388" s="58" t="s">
        <v>224</v>
      </c>
      <c r="H388" s="59"/>
      <c r="I388" s="60"/>
      <c r="J388" s="50" t="e">
        <f>TINV(0.05,J387)</f>
        <v>#DIV/0!</v>
      </c>
      <c r="K388" s="51"/>
    </row>
    <row r="389" spans="1:11" ht="11" hidden="1" thickBot="1">
      <c r="A389" s="61" t="s">
        <v>225</v>
      </c>
      <c r="B389" s="62"/>
      <c r="C389" s="62"/>
      <c r="D389" s="62"/>
      <c r="E389" s="62"/>
      <c r="F389" s="63"/>
      <c r="G389" s="64" t="s">
        <v>226</v>
      </c>
      <c r="H389" s="65"/>
      <c r="I389" s="66"/>
      <c r="J389" s="316" t="e">
        <f>J388*J386</f>
        <v>#DIV/0!</v>
      </c>
      <c r="K389" s="68" t="s">
        <v>250</v>
      </c>
    </row>
    <row r="390" spans="1:11" ht="11" hidden="1" thickBo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</row>
    <row r="391" spans="1:11" hidden="1">
      <c r="A391" s="28" t="s">
        <v>259</v>
      </c>
      <c r="B391" s="29"/>
      <c r="C391" s="29"/>
      <c r="D391" s="29"/>
      <c r="E391" s="29"/>
      <c r="F391" s="29"/>
      <c r="G391" s="29"/>
      <c r="H391" s="29"/>
      <c r="I391" s="29"/>
      <c r="J391" s="29"/>
      <c r="K391" s="30"/>
    </row>
    <row r="392" spans="1:11" hidden="1">
      <c r="A392" s="31" t="s">
        <v>197</v>
      </c>
      <c r="B392" s="32" t="s">
        <v>198</v>
      </c>
      <c r="C392" s="32" t="s">
        <v>199</v>
      </c>
      <c r="D392" s="32" t="s">
        <v>200</v>
      </c>
      <c r="E392" s="32" t="s">
        <v>201</v>
      </c>
      <c r="F392" s="32" t="s">
        <v>202</v>
      </c>
      <c r="G392" s="32" t="s">
        <v>203</v>
      </c>
      <c r="H392" s="32" t="s">
        <v>204</v>
      </c>
      <c r="I392" s="32" t="s">
        <v>205</v>
      </c>
      <c r="J392" s="32" t="s">
        <v>206</v>
      </c>
      <c r="K392" s="33" t="s">
        <v>207</v>
      </c>
    </row>
    <row r="393" spans="1:11" hidden="1">
      <c r="A393" s="34" t="s">
        <v>208</v>
      </c>
      <c r="B393" s="35" t="e">
        <f>ID!I72</f>
        <v>#DIV/0!</v>
      </c>
      <c r="C393" s="36" t="s">
        <v>238</v>
      </c>
      <c r="D393" s="37" t="s">
        <v>210</v>
      </c>
      <c r="E393" s="37">
        <f>SQRT(3)</f>
        <v>1.7320508075688772</v>
      </c>
      <c r="F393" s="69" t="e">
        <f>B393/E393</f>
        <v>#DIV/0!</v>
      </c>
      <c r="G393" s="37">
        <v>5</v>
      </c>
      <c r="H393" s="37">
        <v>1</v>
      </c>
      <c r="I393" s="37" t="e">
        <f t="shared" ref="I393:I395" si="60">F393*H393</f>
        <v>#DIV/0!</v>
      </c>
      <c r="J393" s="37" t="e">
        <f t="shared" ref="J393:J395" si="61">I393^2</f>
        <v>#DIV/0!</v>
      </c>
      <c r="K393" s="38" t="e">
        <f t="shared" ref="K393:K395" si="62">(J393^2)/G393</f>
        <v>#DIV/0!</v>
      </c>
    </row>
    <row r="394" spans="1:11" hidden="1">
      <c r="A394" s="39" t="s">
        <v>212</v>
      </c>
      <c r="B394" s="41">
        <f>'Data Sound Level Meter'!E31</f>
        <v>0.25</v>
      </c>
      <c r="C394" s="36" t="s">
        <v>238</v>
      </c>
      <c r="D394" s="36" t="s">
        <v>210</v>
      </c>
      <c r="E394" s="36">
        <v>2</v>
      </c>
      <c r="F394" s="70">
        <f>B394/E394</f>
        <v>0.125</v>
      </c>
      <c r="G394" s="42">
        <v>50</v>
      </c>
      <c r="H394" s="42">
        <v>1</v>
      </c>
      <c r="I394" s="41">
        <f t="shared" si="60"/>
        <v>0.125</v>
      </c>
      <c r="J394" s="41">
        <f t="shared" si="61"/>
        <v>1.5625E-2</v>
      </c>
      <c r="K394" s="43">
        <f t="shared" si="62"/>
        <v>4.8828125000000001E-6</v>
      </c>
    </row>
    <row r="395" spans="1:11" hidden="1">
      <c r="A395" s="34" t="s">
        <v>216</v>
      </c>
      <c r="B395" s="314">
        <v>0</v>
      </c>
      <c r="C395" s="36" t="s">
        <v>238</v>
      </c>
      <c r="D395" s="37" t="s">
        <v>215</v>
      </c>
      <c r="E395" s="37">
        <f>SQRT(3)</f>
        <v>1.7320508075688772</v>
      </c>
      <c r="F395" s="69">
        <f>B395/E395</f>
        <v>0</v>
      </c>
      <c r="G395" s="37">
        <v>50</v>
      </c>
      <c r="H395" s="37">
        <v>1</v>
      </c>
      <c r="I395" s="37">
        <f t="shared" si="60"/>
        <v>0</v>
      </c>
      <c r="J395" s="37">
        <f t="shared" si="61"/>
        <v>0</v>
      </c>
      <c r="K395" s="38">
        <f t="shared" si="62"/>
        <v>0</v>
      </c>
    </row>
    <row r="396" spans="1:11" ht="10.5" hidden="1">
      <c r="A396" s="47" t="s">
        <v>218</v>
      </c>
      <c r="B396" s="48"/>
      <c r="C396" s="48"/>
      <c r="D396" s="48"/>
      <c r="E396" s="48"/>
      <c r="F396" s="48"/>
      <c r="G396" s="48"/>
      <c r="H396" s="48"/>
      <c r="I396" s="49"/>
      <c r="J396" s="50" t="e">
        <f>SUM(J393:J395)</f>
        <v>#DIV/0!</v>
      </c>
      <c r="K396" s="51" t="e">
        <f>SUM(K393:K395)</f>
        <v>#DIV/0!</v>
      </c>
    </row>
    <row r="397" spans="1:11" ht="12.5" hidden="1">
      <c r="A397" s="47" t="s">
        <v>219</v>
      </c>
      <c r="B397" s="48"/>
      <c r="C397" s="48"/>
      <c r="D397" s="48"/>
      <c r="E397" s="48"/>
      <c r="F397" s="49"/>
      <c r="G397" s="52" t="s">
        <v>220</v>
      </c>
      <c r="H397" s="53"/>
      <c r="I397" s="54"/>
      <c r="J397" s="50" t="e">
        <f>SQRT(J396)</f>
        <v>#DIV/0!</v>
      </c>
      <c r="K397" s="51"/>
    </row>
    <row r="398" spans="1:11" ht="13.5" hidden="1">
      <c r="A398" s="47" t="s">
        <v>221</v>
      </c>
      <c r="B398" s="48"/>
      <c r="C398" s="48"/>
      <c r="D398" s="48"/>
      <c r="E398" s="48"/>
      <c r="F398" s="49"/>
      <c r="G398" s="55" t="s">
        <v>222</v>
      </c>
      <c r="H398" s="56"/>
      <c r="I398" s="57"/>
      <c r="J398" s="50" t="e">
        <f>J397^4/(K396)</f>
        <v>#DIV/0!</v>
      </c>
      <c r="K398" s="51"/>
    </row>
    <row r="399" spans="1:11" ht="10.5" hidden="1">
      <c r="A399" s="47" t="s">
        <v>223</v>
      </c>
      <c r="B399" s="48"/>
      <c r="C399" s="48"/>
      <c r="D399" s="48"/>
      <c r="E399" s="48"/>
      <c r="F399" s="49"/>
      <c r="G399" s="58" t="s">
        <v>224</v>
      </c>
      <c r="H399" s="59"/>
      <c r="I399" s="60"/>
      <c r="J399" s="50" t="e">
        <f>TINV(0.05,J398)</f>
        <v>#DIV/0!</v>
      </c>
      <c r="K399" s="51"/>
    </row>
    <row r="400" spans="1:11" ht="11" hidden="1" thickBot="1">
      <c r="A400" s="61" t="s">
        <v>225</v>
      </c>
      <c r="B400" s="62"/>
      <c r="C400" s="62"/>
      <c r="D400" s="62"/>
      <c r="E400" s="62"/>
      <c r="F400" s="63"/>
      <c r="G400" s="64" t="s">
        <v>226</v>
      </c>
      <c r="H400" s="65"/>
      <c r="I400" s="66"/>
      <c r="J400" s="316" t="e">
        <f>J399*J397</f>
        <v>#DIV/0!</v>
      </c>
      <c r="K400" s="68" t="s">
        <v>250</v>
      </c>
    </row>
    <row r="401" spans="1:11" ht="11" hidden="1" thickBo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</row>
    <row r="402" spans="1:11" hidden="1">
      <c r="A402" s="28" t="s">
        <v>260</v>
      </c>
      <c r="B402" s="29"/>
      <c r="C402" s="29"/>
      <c r="D402" s="29"/>
      <c r="E402" s="29"/>
      <c r="F402" s="29"/>
      <c r="G402" s="29"/>
      <c r="H402" s="29"/>
      <c r="I402" s="29"/>
      <c r="J402" s="29"/>
      <c r="K402" s="30"/>
    </row>
    <row r="403" spans="1:11" hidden="1">
      <c r="A403" s="31" t="s">
        <v>197</v>
      </c>
      <c r="B403" s="32" t="s">
        <v>198</v>
      </c>
      <c r="C403" s="32" t="s">
        <v>199</v>
      </c>
      <c r="D403" s="32" t="s">
        <v>200</v>
      </c>
      <c r="E403" s="32" t="s">
        <v>201</v>
      </c>
      <c r="F403" s="32" t="s">
        <v>202</v>
      </c>
      <c r="G403" s="32" t="s">
        <v>203</v>
      </c>
      <c r="H403" s="32" t="s">
        <v>204</v>
      </c>
      <c r="I403" s="32" t="s">
        <v>205</v>
      </c>
      <c r="J403" s="32" t="s">
        <v>206</v>
      </c>
      <c r="K403" s="33" t="s">
        <v>207</v>
      </c>
    </row>
    <row r="404" spans="1:11" hidden="1">
      <c r="A404" s="34" t="s">
        <v>208</v>
      </c>
      <c r="B404" s="35" t="e">
        <f>ID!I73</f>
        <v>#DIV/0!</v>
      </c>
      <c r="C404" s="36" t="s">
        <v>238</v>
      </c>
      <c r="D404" s="37" t="s">
        <v>210</v>
      </c>
      <c r="E404" s="37">
        <f>SQRT(3)</f>
        <v>1.7320508075688772</v>
      </c>
      <c r="F404" s="69" t="e">
        <f>B404/E404</f>
        <v>#DIV/0!</v>
      </c>
      <c r="G404" s="37">
        <v>5</v>
      </c>
      <c r="H404" s="37">
        <v>1</v>
      </c>
      <c r="I404" s="37" t="e">
        <f t="shared" ref="I404:I406" si="63">F404*H404</f>
        <v>#DIV/0!</v>
      </c>
      <c r="J404" s="37" t="e">
        <f t="shared" ref="J404:J406" si="64">I404^2</f>
        <v>#DIV/0!</v>
      </c>
      <c r="K404" s="38" t="e">
        <f t="shared" ref="K404:K406" si="65">(J404^2)/G404</f>
        <v>#DIV/0!</v>
      </c>
    </row>
    <row r="405" spans="1:11" hidden="1">
      <c r="A405" s="39" t="s">
        <v>212</v>
      </c>
      <c r="B405" s="41">
        <f>'Data Sound Level Meter'!E31</f>
        <v>0.25</v>
      </c>
      <c r="C405" s="36" t="s">
        <v>238</v>
      </c>
      <c r="D405" s="36" t="s">
        <v>210</v>
      </c>
      <c r="E405" s="36">
        <v>2</v>
      </c>
      <c r="F405" s="70">
        <f>B405/E405</f>
        <v>0.125</v>
      </c>
      <c r="G405" s="42">
        <v>50</v>
      </c>
      <c r="H405" s="42">
        <v>1</v>
      </c>
      <c r="I405" s="41">
        <f t="shared" si="63"/>
        <v>0.125</v>
      </c>
      <c r="J405" s="41">
        <f t="shared" si="64"/>
        <v>1.5625E-2</v>
      </c>
      <c r="K405" s="43">
        <f t="shared" si="65"/>
        <v>4.8828125000000001E-6</v>
      </c>
    </row>
    <row r="406" spans="1:11" hidden="1">
      <c r="A406" s="34" t="s">
        <v>216</v>
      </c>
      <c r="B406" s="314">
        <v>0</v>
      </c>
      <c r="C406" s="36" t="s">
        <v>238</v>
      </c>
      <c r="D406" s="37" t="s">
        <v>215</v>
      </c>
      <c r="E406" s="37">
        <f>SQRT(3)</f>
        <v>1.7320508075688772</v>
      </c>
      <c r="F406" s="69">
        <f>B406/E406</f>
        <v>0</v>
      </c>
      <c r="G406" s="37">
        <v>50</v>
      </c>
      <c r="H406" s="37">
        <v>1</v>
      </c>
      <c r="I406" s="37">
        <f t="shared" si="63"/>
        <v>0</v>
      </c>
      <c r="J406" s="37">
        <f t="shared" si="64"/>
        <v>0</v>
      </c>
      <c r="K406" s="38">
        <f t="shared" si="65"/>
        <v>0</v>
      </c>
    </row>
    <row r="407" spans="1:11" ht="10.5" hidden="1">
      <c r="A407" s="47" t="s">
        <v>218</v>
      </c>
      <c r="B407" s="48"/>
      <c r="C407" s="48"/>
      <c r="D407" s="48"/>
      <c r="E407" s="48"/>
      <c r="F407" s="48"/>
      <c r="G407" s="48"/>
      <c r="H407" s="48"/>
      <c r="I407" s="49"/>
      <c r="J407" s="50" t="e">
        <f>SUM(J404:J406)</f>
        <v>#DIV/0!</v>
      </c>
      <c r="K407" s="51" t="e">
        <f>SUM(K404:K406)</f>
        <v>#DIV/0!</v>
      </c>
    </row>
    <row r="408" spans="1:11" ht="12.5" hidden="1">
      <c r="A408" s="47" t="s">
        <v>219</v>
      </c>
      <c r="B408" s="48"/>
      <c r="C408" s="48"/>
      <c r="D408" s="48"/>
      <c r="E408" s="48"/>
      <c r="F408" s="49"/>
      <c r="G408" s="52" t="s">
        <v>220</v>
      </c>
      <c r="H408" s="53"/>
      <c r="I408" s="54"/>
      <c r="J408" s="50" t="e">
        <f>SQRT(J407)</f>
        <v>#DIV/0!</v>
      </c>
      <c r="K408" s="51"/>
    </row>
    <row r="409" spans="1:11" ht="13.5" hidden="1">
      <c r="A409" s="47" t="s">
        <v>221</v>
      </c>
      <c r="B409" s="48"/>
      <c r="C409" s="48"/>
      <c r="D409" s="48"/>
      <c r="E409" s="48"/>
      <c r="F409" s="49"/>
      <c r="G409" s="55" t="s">
        <v>222</v>
      </c>
      <c r="H409" s="56"/>
      <c r="I409" s="57"/>
      <c r="J409" s="50" t="e">
        <f>J408^4/(K407)</f>
        <v>#DIV/0!</v>
      </c>
      <c r="K409" s="51"/>
    </row>
    <row r="410" spans="1:11" ht="10.5" hidden="1">
      <c r="A410" s="47" t="s">
        <v>223</v>
      </c>
      <c r="B410" s="48"/>
      <c r="C410" s="48"/>
      <c r="D410" s="48"/>
      <c r="E410" s="48"/>
      <c r="F410" s="49"/>
      <c r="G410" s="58" t="s">
        <v>224</v>
      </c>
      <c r="H410" s="59"/>
      <c r="I410" s="60"/>
      <c r="J410" s="50" t="e">
        <f>TINV(0.05,J409)</f>
        <v>#DIV/0!</v>
      </c>
      <c r="K410" s="51"/>
    </row>
    <row r="411" spans="1:11" ht="11" hidden="1" thickBot="1">
      <c r="A411" s="61" t="s">
        <v>225</v>
      </c>
      <c r="B411" s="62"/>
      <c r="C411" s="62"/>
      <c r="D411" s="62"/>
      <c r="E411" s="62"/>
      <c r="F411" s="63"/>
      <c r="G411" s="64" t="s">
        <v>226</v>
      </c>
      <c r="H411" s="65"/>
      <c r="I411" s="66"/>
      <c r="J411" s="316" t="e">
        <f>J410*J408</f>
        <v>#DIV/0!</v>
      </c>
      <c r="K411" s="68" t="s">
        <v>250</v>
      </c>
    </row>
    <row r="412" spans="1:11" hidden="1"/>
  </sheetData>
  <sheetProtection algorithmName="SHA-512" hashValue="WDCw82pkCphw41rKEYNpDx5c+h9RCJZQ7d32PKTldBdMES8VWRfL+cZbw1Qa5MV+Ua7IMAADrF8ZCm6tCI8jIA==" saltValue="kHBiA6FGp+3rZknQf28oYA==" spinCount="100000" sheet="1" objects="1" scenarios="1"/>
  <mergeCells count="1">
    <mergeCell ref="A1:K1"/>
  </mergeCells>
  <printOptions horizontalCentered="1"/>
  <pageMargins left="0.5" right="0.25" top="0.5" bottom="0.25" header="0.25" footer="0.25"/>
  <pageSetup paperSize="9" scale="63" orientation="portrait" horizontalDpi="4294967294" r:id="rId1"/>
  <headerFooter>
    <oddHeader>&amp;R&amp;"-,Regular"&amp;8OA.UB - 007 - 18 / REV . 0</oddHeader>
    <oddFooter>&amp;C&amp;"-,Regular"&amp;8&amp;K00-024software audiometer 2017&amp;R&amp;"-,Regular"&amp;8Page &amp;P of &amp;N</oddFooter>
  </headerFooter>
  <rowBreaks count="4" manualBreakCount="4">
    <brk id="106" max="10" man="1"/>
    <brk id="213" max="10" man="1"/>
    <brk id="309" max="10" man="1"/>
    <brk id="389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Lembar Kerja</vt:lpstr>
      <vt:lpstr>Riwayat Revisi</vt:lpstr>
      <vt:lpstr>ID</vt:lpstr>
      <vt:lpstr>LH</vt:lpstr>
      <vt:lpstr>DB ESA</vt:lpstr>
      <vt:lpstr>SERTIFIKAT</vt:lpstr>
      <vt:lpstr>Lembar Penyelia</vt:lpstr>
      <vt:lpstr>DB Suhu</vt:lpstr>
      <vt:lpstr>UB Earphone Kanan</vt:lpstr>
      <vt:lpstr>UB Earphone Kiri</vt:lpstr>
      <vt:lpstr>UB BONE</vt:lpstr>
      <vt:lpstr>SURAT KETERANGAN</vt:lpstr>
      <vt:lpstr>DB SERTIFIKAT</vt:lpstr>
      <vt:lpstr>Interpolasi dB</vt:lpstr>
      <vt:lpstr>Data Sound Level Meter</vt:lpstr>
      <vt:lpstr>SLM DB</vt:lpstr>
      <vt:lpstr>KESIMPULAN</vt:lpstr>
      <vt:lpstr>'Data Sound Level Meter'!Print_Area</vt:lpstr>
      <vt:lpstr>'DB Suhu'!Print_Area</vt:lpstr>
      <vt:lpstr>ID!Print_Area</vt:lpstr>
      <vt:lpstr>'Lembar Kerja'!Print_Area</vt:lpstr>
      <vt:lpstr>'Lembar Penyelia'!Print_Area</vt:lpstr>
      <vt:lpstr>LH!Print_Area</vt:lpstr>
      <vt:lpstr>'SLM DB'!Print_Area</vt:lpstr>
      <vt:lpstr>'SURAT KETERANGAN'!Print_Area</vt:lpstr>
      <vt:lpstr>'UB BONE'!Print_Area</vt:lpstr>
      <vt:lpstr>'UB Earphone Kanan'!Print_Area</vt:lpstr>
      <vt:lpstr>'UB Earphone Kiri'!Print_Area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SOFTWARE AUDIO 2017</dc:title>
  <dc:subject/>
  <dc:creator>LPFK BJB</dc:creator>
  <cp:keywords/>
  <dc:description/>
  <cp:lastModifiedBy>MyBook PRO K5</cp:lastModifiedBy>
  <cp:revision/>
  <dcterms:created xsi:type="dcterms:W3CDTF">2002-06-28T22:09:13Z</dcterms:created>
  <dcterms:modified xsi:type="dcterms:W3CDTF">2023-12-04T09:00:26Z</dcterms:modified>
  <cp:category/>
  <cp:contentStatus/>
</cp:coreProperties>
</file>