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drawings/drawing2.xml" ContentType="application/vnd.openxmlformats-officedocument.drawing+xml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5835BE2E-A661-4084-8EFB-1D5F5D4B4127}" xr6:coauthVersionLast="47" xr6:coauthVersionMax="47" xr10:uidLastSave="{00000000-0000-0000-0000-000000000000}"/>
  <bookViews>
    <workbookView xWindow="-110" yWindow="-110" windowWidth="19420" windowHeight="10300" tabRatio="601" firstSheet="2" activeTab="4" xr2:uid="{00000000-000D-0000-FFFF-FFFF00000000}"/>
  </bookViews>
  <sheets>
    <sheet name="LK" sheetId="7" state="hidden" r:id="rId1"/>
    <sheet name="Riwayat Revisi" sheetId="22" state="hidden" r:id="rId2"/>
    <sheet name="DB Kelistrikan" sheetId="33" r:id="rId3"/>
    <sheet name="DB Thermohygro" sheetId="32" r:id="rId4"/>
    <sheet name="ID" sheetId="6" r:id="rId5"/>
    <sheet name="LH" sheetId="12" r:id="rId6"/>
    <sheet name="UB" sheetId="8" r:id="rId7"/>
    <sheet name="Data Phantom" sheetId="27" r:id="rId8"/>
    <sheet name="Input Sertifikat" sheetId="28" state="hidden" r:id="rId9"/>
    <sheet name="SURAT KETERANGAN" sheetId="25" state="hidden" r:id="rId10"/>
    <sheet name="DB SERTIFIKAT" sheetId="26" state="hidden" r:id="rId11"/>
    <sheet name="List cetik - cetik" sheetId="11" r:id="rId12"/>
    <sheet name="Kesimpulan" sheetId="17" r:id="rId13"/>
    <sheet name="PENYELIA" sheetId="16" r:id="rId14"/>
    <sheet name="SERTIFIKAT" sheetId="29" r:id="rId15"/>
  </sheets>
  <externalReferences>
    <externalReference r:id="rId16"/>
    <externalReference r:id="rId17"/>
    <externalReference r:id="rId18"/>
    <externalReference r:id="rId19"/>
  </externalReferences>
  <definedNames>
    <definedName name="_xlnm.Print_Area" localSheetId="3">'DB Thermohygro'!#REF!,'DB Thermohygro'!#REF!</definedName>
    <definedName name="_xlnm.Print_Area" localSheetId="4">ID!$A$1:$L$64</definedName>
    <definedName name="_xlnm.Print_Area" localSheetId="5">LH!$A$1:$K$68</definedName>
    <definedName name="_xlnm.Print_Area" localSheetId="0">LK!$A$1:$M$64</definedName>
    <definedName name="_xlnm.Print_Area" localSheetId="13">PENYELIA!$A$1:$K$66</definedName>
    <definedName name="_xlnm.Print_Area" localSheetId="14">SERTIFIKAT!$A$1:$F$33</definedName>
    <definedName name="_xlnm.Print_Area" localSheetId="9">'SURAT KETERANGAN'!$A$1:$G$33</definedName>
    <definedName name="_xlnm.Print_Area" localSheetId="6">UB!$A$1:$L$43</definedName>
  </definedNames>
  <calcPr calcId="191029"/>
</workbook>
</file>

<file path=xl/calcChain.xml><?xml version="1.0" encoding="utf-8"?>
<calcChain xmlns="http://schemas.openxmlformats.org/spreadsheetml/2006/main">
  <c r="P50" i="6" l="1"/>
  <c r="G54" i="27"/>
  <c r="F54" i="27"/>
  <c r="E54" i="27"/>
  <c r="G53" i="27"/>
  <c r="F53" i="27"/>
  <c r="E53" i="27"/>
  <c r="G52" i="27"/>
  <c r="F52" i="27"/>
  <c r="E52" i="27"/>
  <c r="G51" i="27"/>
  <c r="F51" i="27"/>
  <c r="E51" i="27"/>
  <c r="M26" i="16" l="1"/>
  <c r="N19" i="6"/>
  <c r="N18" i="6"/>
  <c r="N17" i="6"/>
  <c r="N16" i="6"/>
  <c r="P16" i="6"/>
  <c r="N20" i="6"/>
  <c r="P20" i="6" s="1"/>
  <c r="B47" i="6" s="1"/>
  <c r="M70" i="6" l="1"/>
  <c r="M68" i="6"/>
  <c r="F14" i="16"/>
  <c r="G14" i="16"/>
  <c r="H14" i="16"/>
  <c r="F15" i="16"/>
  <c r="G15" i="16"/>
  <c r="H15" i="16"/>
  <c r="E15" i="16"/>
  <c r="E14" i="16"/>
  <c r="T378" i="32"/>
  <c r="T377" i="32"/>
  <c r="A389" i="32"/>
  <c r="H16" i="16"/>
  <c r="F16" i="16"/>
  <c r="G16" i="16"/>
  <c r="E16" i="16"/>
  <c r="H27" i="16"/>
  <c r="H25" i="16"/>
  <c r="B45" i="6"/>
  <c r="M272" i="33"/>
  <c r="M270" i="33"/>
  <c r="M271" i="33"/>
  <c r="M269" i="33"/>
  <c r="M268" i="33"/>
  <c r="A298" i="33"/>
  <c r="B265" i="33" s="1"/>
  <c r="I4" i="33"/>
  <c r="P4" i="33"/>
  <c r="F6" i="33"/>
  <c r="G6" i="33"/>
  <c r="M6" i="33"/>
  <c r="G132" i="33" s="1"/>
  <c r="N6" i="33"/>
  <c r="H132" i="33" s="1"/>
  <c r="T6" i="33"/>
  <c r="U6" i="33"/>
  <c r="H133" i="33" s="1"/>
  <c r="F7" i="33"/>
  <c r="G7" i="33"/>
  <c r="M7" i="33"/>
  <c r="N7" i="33"/>
  <c r="T7" i="33"/>
  <c r="U7" i="33"/>
  <c r="H146" i="33" s="1"/>
  <c r="F8" i="33"/>
  <c r="G8" i="33"/>
  <c r="H157" i="33" s="1"/>
  <c r="M8" i="33"/>
  <c r="N8" i="33"/>
  <c r="T8" i="33"/>
  <c r="U8" i="33"/>
  <c r="F9" i="33"/>
  <c r="G9" i="33"/>
  <c r="H170" i="33" s="1"/>
  <c r="M9" i="33"/>
  <c r="G171" i="33" s="1"/>
  <c r="N9" i="33"/>
  <c r="H171" i="33" s="1"/>
  <c r="T9" i="33"/>
  <c r="U9" i="33"/>
  <c r="F10" i="33"/>
  <c r="G10" i="33"/>
  <c r="M10" i="33"/>
  <c r="G184" i="33" s="1"/>
  <c r="N10" i="33"/>
  <c r="H184" i="33" s="1"/>
  <c r="T10" i="33"/>
  <c r="G185" i="33" s="1"/>
  <c r="U10" i="33"/>
  <c r="H185" i="33" s="1"/>
  <c r="F11" i="33"/>
  <c r="G11" i="33"/>
  <c r="M11" i="33"/>
  <c r="T11" i="33"/>
  <c r="U11" i="33"/>
  <c r="H198" i="33" s="1"/>
  <c r="I12" i="33"/>
  <c r="P12" i="33"/>
  <c r="C13" i="33"/>
  <c r="D13" i="33"/>
  <c r="E13" i="33"/>
  <c r="J13" i="33"/>
  <c r="K13" i="33"/>
  <c r="L13" i="33"/>
  <c r="Q13" i="33"/>
  <c r="R13" i="33"/>
  <c r="S13" i="33"/>
  <c r="F14" i="33"/>
  <c r="M14" i="33"/>
  <c r="T14" i="33"/>
  <c r="U14" i="33"/>
  <c r="F15" i="33"/>
  <c r="G15" i="33"/>
  <c r="M15" i="33"/>
  <c r="P145" i="33" s="1"/>
  <c r="N15" i="33"/>
  <c r="Q145" i="33" s="1"/>
  <c r="T15" i="33"/>
  <c r="U15" i="33"/>
  <c r="F16" i="33"/>
  <c r="G16" i="33"/>
  <c r="M16" i="33"/>
  <c r="P158" i="33" s="1"/>
  <c r="N16" i="33"/>
  <c r="Q158" i="33" s="1"/>
  <c r="T16" i="33"/>
  <c r="P159" i="33" s="1"/>
  <c r="U16" i="33"/>
  <c r="Q159" i="33" s="1"/>
  <c r="F17" i="33"/>
  <c r="G17" i="33"/>
  <c r="M17" i="33"/>
  <c r="N17" i="33"/>
  <c r="T17" i="33"/>
  <c r="U17" i="33"/>
  <c r="F18" i="33"/>
  <c r="P183" i="33" s="1"/>
  <c r="G18" i="33"/>
  <c r="Q183" i="33" s="1"/>
  <c r="M18" i="33"/>
  <c r="N18" i="33"/>
  <c r="T18" i="33"/>
  <c r="U18" i="33"/>
  <c r="F19" i="33"/>
  <c r="M19" i="33"/>
  <c r="P197" i="33" s="1"/>
  <c r="T19" i="33"/>
  <c r="P198" i="33" s="1"/>
  <c r="U19" i="33"/>
  <c r="Q198" i="33" s="1"/>
  <c r="I20" i="33"/>
  <c r="P20" i="33"/>
  <c r="C21" i="33"/>
  <c r="D21" i="33"/>
  <c r="E21" i="33"/>
  <c r="J21" i="33"/>
  <c r="K21" i="33"/>
  <c r="L21" i="33"/>
  <c r="Q21" i="33"/>
  <c r="R21" i="33"/>
  <c r="S21" i="33"/>
  <c r="F22" i="33"/>
  <c r="M22" i="33"/>
  <c r="N22" i="33"/>
  <c r="T22" i="33"/>
  <c r="G214" i="33" s="1"/>
  <c r="U22" i="33"/>
  <c r="H214" i="33" s="1"/>
  <c r="F23" i="33"/>
  <c r="M23" i="33"/>
  <c r="N23" i="33"/>
  <c r="T23" i="33"/>
  <c r="U23" i="33"/>
  <c r="H227" i="33" s="1"/>
  <c r="F24" i="33"/>
  <c r="G238" i="33" s="1"/>
  <c r="M24" i="33"/>
  <c r="G239" i="33" s="1"/>
  <c r="N24" i="33"/>
  <c r="H239" i="33" s="1"/>
  <c r="T24" i="33"/>
  <c r="U24" i="33"/>
  <c r="F25" i="33"/>
  <c r="M25" i="33"/>
  <c r="N25" i="33"/>
  <c r="T25" i="33"/>
  <c r="G253" i="33" s="1"/>
  <c r="U25" i="33"/>
  <c r="H253" i="33" s="1"/>
  <c r="I26" i="33"/>
  <c r="P26" i="33"/>
  <c r="C27" i="33"/>
  <c r="D27" i="33"/>
  <c r="E27" i="33"/>
  <c r="J27" i="33"/>
  <c r="K27" i="33"/>
  <c r="L27" i="33"/>
  <c r="Q27" i="33"/>
  <c r="R27" i="33"/>
  <c r="S27" i="33"/>
  <c r="F28" i="33"/>
  <c r="G28" i="33"/>
  <c r="M28" i="33"/>
  <c r="P213" i="33" s="1"/>
  <c r="N28" i="33"/>
  <c r="Q213" i="33" s="1"/>
  <c r="T28" i="33"/>
  <c r="P214" i="33" s="1"/>
  <c r="U28" i="33"/>
  <c r="Q214" i="33" s="1"/>
  <c r="F29" i="33"/>
  <c r="G29" i="33"/>
  <c r="M29" i="33"/>
  <c r="N29" i="33"/>
  <c r="T29" i="33"/>
  <c r="U29" i="33"/>
  <c r="Q227" i="33" s="1"/>
  <c r="F30" i="33"/>
  <c r="P238" i="33" s="1"/>
  <c r="G30" i="33"/>
  <c r="Q238" i="33" s="1"/>
  <c r="M30" i="33"/>
  <c r="N30" i="33"/>
  <c r="T30" i="33"/>
  <c r="U30" i="33"/>
  <c r="F31" i="33"/>
  <c r="G31" i="33"/>
  <c r="Q251" i="33" s="1"/>
  <c r="M31" i="33"/>
  <c r="P252" i="33" s="1"/>
  <c r="N31" i="33"/>
  <c r="Q252" i="33" s="1"/>
  <c r="T31" i="33"/>
  <c r="U31" i="33"/>
  <c r="B35" i="33"/>
  <c r="I35" i="33" s="1"/>
  <c r="P35" i="33" s="1"/>
  <c r="F37" i="33"/>
  <c r="G134" i="33" s="1"/>
  <c r="G37" i="33"/>
  <c r="H134" i="33" s="1"/>
  <c r="M37" i="33"/>
  <c r="G135" i="33" s="1"/>
  <c r="N37" i="33"/>
  <c r="T37" i="33"/>
  <c r="U37" i="33"/>
  <c r="F38" i="33"/>
  <c r="G38" i="33"/>
  <c r="M38" i="33"/>
  <c r="N38" i="33"/>
  <c r="H148" i="33" s="1"/>
  <c r="T38" i="33"/>
  <c r="G149" i="33" s="1"/>
  <c r="U38" i="33"/>
  <c r="F39" i="33"/>
  <c r="G39" i="33"/>
  <c r="M39" i="33"/>
  <c r="N39" i="33"/>
  <c r="H161" i="33" s="1"/>
  <c r="T39" i="33"/>
  <c r="G162" i="33" s="1"/>
  <c r="U39" i="33"/>
  <c r="H162" i="33" s="1"/>
  <c r="F40" i="33"/>
  <c r="G173" i="33" s="1"/>
  <c r="G40" i="33"/>
  <c r="M40" i="33"/>
  <c r="N40" i="33"/>
  <c r="T40" i="33"/>
  <c r="U40" i="33"/>
  <c r="F41" i="33"/>
  <c r="G186" i="33" s="1"/>
  <c r="G41" i="33"/>
  <c r="H186" i="33" s="1"/>
  <c r="M41" i="33"/>
  <c r="G187" i="33" s="1"/>
  <c r="N41" i="33"/>
  <c r="T41" i="33"/>
  <c r="U41" i="33"/>
  <c r="F42" i="33"/>
  <c r="M42" i="33"/>
  <c r="T42" i="33"/>
  <c r="G201" i="33" s="1"/>
  <c r="U42" i="33"/>
  <c r="H201" i="33" s="1"/>
  <c r="B43" i="33"/>
  <c r="I43" i="33" s="1"/>
  <c r="P43" i="33" s="1"/>
  <c r="C44" i="33"/>
  <c r="D44" i="33"/>
  <c r="E44" i="33"/>
  <c r="J44" i="33"/>
  <c r="K44" i="33"/>
  <c r="L44" i="33"/>
  <c r="Q44" i="33"/>
  <c r="R44" i="33"/>
  <c r="S44" i="33"/>
  <c r="F45" i="33"/>
  <c r="M45" i="33"/>
  <c r="N45" i="33"/>
  <c r="T45" i="33"/>
  <c r="P136" i="33" s="1"/>
  <c r="F46" i="33"/>
  <c r="P147" i="33" s="1"/>
  <c r="G46" i="33"/>
  <c r="M46" i="33"/>
  <c r="N46" i="33"/>
  <c r="T46" i="33"/>
  <c r="U46" i="33"/>
  <c r="Q149" i="33" s="1"/>
  <c r="F47" i="33"/>
  <c r="P160" i="33" s="1"/>
  <c r="G47" i="33"/>
  <c r="Q160" i="33" s="1"/>
  <c r="M47" i="33"/>
  <c r="P161" i="33" s="1"/>
  <c r="N47" i="33"/>
  <c r="T47" i="33"/>
  <c r="U47" i="33"/>
  <c r="F48" i="33"/>
  <c r="G48" i="33"/>
  <c r="Q173" i="33" s="1"/>
  <c r="M48" i="33"/>
  <c r="N48" i="33"/>
  <c r="T48" i="33"/>
  <c r="P175" i="33" s="1"/>
  <c r="U48" i="33"/>
  <c r="F49" i="33"/>
  <c r="G49" i="33"/>
  <c r="M49" i="33"/>
  <c r="N49" i="33"/>
  <c r="T49" i="33"/>
  <c r="P188" i="33" s="1"/>
  <c r="U49" i="33"/>
  <c r="Q188" i="33" s="1"/>
  <c r="F50" i="33"/>
  <c r="P199" i="33" s="1"/>
  <c r="G50" i="33"/>
  <c r="M50" i="33"/>
  <c r="T50" i="33"/>
  <c r="B51" i="33"/>
  <c r="I51" i="33"/>
  <c r="P51" i="33"/>
  <c r="C52" i="33"/>
  <c r="D52" i="33"/>
  <c r="E52" i="33"/>
  <c r="J52" i="33"/>
  <c r="K52" i="33"/>
  <c r="L52" i="33"/>
  <c r="Q52" i="33"/>
  <c r="R52" i="33"/>
  <c r="S52" i="33"/>
  <c r="F53" i="33"/>
  <c r="G215" i="33" s="1"/>
  <c r="G53" i="33"/>
  <c r="M53" i="33"/>
  <c r="N53" i="33"/>
  <c r="T53" i="33"/>
  <c r="U53" i="33"/>
  <c r="F54" i="33"/>
  <c r="G54" i="33"/>
  <c r="M54" i="33"/>
  <c r="G229" i="33" s="1"/>
  <c r="N54" i="33"/>
  <c r="T54" i="33"/>
  <c r="U54" i="33"/>
  <c r="F55" i="33"/>
  <c r="G55" i="33"/>
  <c r="M55" i="33"/>
  <c r="G242" i="33" s="1"/>
  <c r="N55" i="33"/>
  <c r="H242" i="33" s="1"/>
  <c r="T55" i="33"/>
  <c r="G243" i="33" s="1"/>
  <c r="U55" i="33"/>
  <c r="F56" i="33"/>
  <c r="G56" i="33"/>
  <c r="M56" i="33"/>
  <c r="N56" i="33"/>
  <c r="H255" i="33" s="1"/>
  <c r="T56" i="33"/>
  <c r="U56" i="33"/>
  <c r="B57" i="33"/>
  <c r="I57" i="33" s="1"/>
  <c r="P57" i="33" s="1"/>
  <c r="C58" i="33"/>
  <c r="D58" i="33"/>
  <c r="E58" i="33"/>
  <c r="J58" i="33"/>
  <c r="K58" i="33"/>
  <c r="L58" i="33"/>
  <c r="Q58" i="33"/>
  <c r="R58" i="33"/>
  <c r="S58" i="33"/>
  <c r="F59" i="33"/>
  <c r="G59" i="33"/>
  <c r="M59" i="33"/>
  <c r="N59" i="33"/>
  <c r="Q216" i="33" s="1"/>
  <c r="T59" i="33"/>
  <c r="P217" i="33" s="1"/>
  <c r="U59" i="33"/>
  <c r="F60" i="33"/>
  <c r="G60" i="33"/>
  <c r="M60" i="33"/>
  <c r="N60" i="33"/>
  <c r="Q229" i="33" s="1"/>
  <c r="T60" i="33"/>
  <c r="P230" i="33" s="1"/>
  <c r="U60" i="33"/>
  <c r="Q230" i="33" s="1"/>
  <c r="F61" i="33"/>
  <c r="P241" i="33" s="1"/>
  <c r="G61" i="33"/>
  <c r="M61" i="33"/>
  <c r="N61" i="33"/>
  <c r="T61" i="33"/>
  <c r="U61" i="33"/>
  <c r="F62" i="33"/>
  <c r="P254" i="33" s="1"/>
  <c r="G62" i="33"/>
  <c r="Q254" i="33" s="1"/>
  <c r="M62" i="33"/>
  <c r="N62" i="33"/>
  <c r="T62" i="33"/>
  <c r="U62" i="33"/>
  <c r="I66" i="33"/>
  <c r="P66" i="33"/>
  <c r="F68" i="33"/>
  <c r="G68" i="33"/>
  <c r="H137" i="33" s="1"/>
  <c r="M68" i="33"/>
  <c r="G138" i="33" s="1"/>
  <c r="N68" i="33"/>
  <c r="T68" i="33"/>
  <c r="U68" i="33"/>
  <c r="F69" i="33"/>
  <c r="G69" i="33"/>
  <c r="H150" i="33" s="1"/>
  <c r="M69" i="33"/>
  <c r="G151" i="33" s="1"/>
  <c r="N69" i="33"/>
  <c r="H151" i="33" s="1"/>
  <c r="T69" i="33"/>
  <c r="U69" i="33"/>
  <c r="F70" i="33"/>
  <c r="G70" i="33"/>
  <c r="M70" i="33"/>
  <c r="N70" i="33"/>
  <c r="T70" i="33"/>
  <c r="U70" i="33"/>
  <c r="H165" i="33" s="1"/>
  <c r="F71" i="33"/>
  <c r="G71" i="33"/>
  <c r="M71" i="33"/>
  <c r="N71" i="33"/>
  <c r="T71" i="33"/>
  <c r="U71" i="33"/>
  <c r="H178" i="33" s="1"/>
  <c r="F72" i="33"/>
  <c r="G72" i="33"/>
  <c r="H189" i="33" s="1"/>
  <c r="M72" i="33"/>
  <c r="G190" i="33" s="1"/>
  <c r="N72" i="33"/>
  <c r="T72" i="33"/>
  <c r="U72" i="33"/>
  <c r="F73" i="33"/>
  <c r="G73" i="33"/>
  <c r="H202" i="33" s="1"/>
  <c r="M73" i="33"/>
  <c r="G203" i="33" s="1"/>
  <c r="N73" i="33"/>
  <c r="H203" i="33" s="1"/>
  <c r="T73" i="33"/>
  <c r="U73" i="33"/>
  <c r="I74" i="33"/>
  <c r="P74" i="33"/>
  <c r="C75" i="33"/>
  <c r="D75" i="33"/>
  <c r="E75" i="33"/>
  <c r="J75" i="33"/>
  <c r="K75" i="33"/>
  <c r="L75" i="33"/>
  <c r="Q75" i="33"/>
  <c r="R75" i="33"/>
  <c r="S75" i="33"/>
  <c r="F76" i="33"/>
  <c r="M76" i="33"/>
  <c r="P138" i="33" s="1"/>
  <c r="N76" i="33"/>
  <c r="Q138" i="33" s="1"/>
  <c r="T76" i="33"/>
  <c r="P139" i="33" s="1"/>
  <c r="F77" i="33"/>
  <c r="G77" i="33"/>
  <c r="M77" i="33"/>
  <c r="N77" i="33"/>
  <c r="T77" i="33"/>
  <c r="U77" i="33"/>
  <c r="F78" i="33"/>
  <c r="P163" i="33" s="1"/>
  <c r="G78" i="33"/>
  <c r="M78" i="33"/>
  <c r="N78" i="33"/>
  <c r="T78" i="33"/>
  <c r="U78" i="33"/>
  <c r="F79" i="33"/>
  <c r="G79" i="33"/>
  <c r="M79" i="33"/>
  <c r="P177" i="33" s="1"/>
  <c r="N79" i="33"/>
  <c r="Q177" i="33" s="1"/>
  <c r="T79" i="33"/>
  <c r="U79" i="33"/>
  <c r="F80" i="33"/>
  <c r="G80" i="33"/>
  <c r="M80" i="33"/>
  <c r="P190" i="33" s="1"/>
  <c r="N80" i="33"/>
  <c r="Q190" i="33" s="1"/>
  <c r="T80" i="33"/>
  <c r="P191" i="33" s="1"/>
  <c r="U80" i="33"/>
  <c r="F81" i="33"/>
  <c r="M81" i="33"/>
  <c r="N81" i="33"/>
  <c r="T81" i="33"/>
  <c r="P82" i="33"/>
  <c r="C83" i="33"/>
  <c r="D83" i="33"/>
  <c r="E83" i="33"/>
  <c r="J83" i="33"/>
  <c r="K83" i="33"/>
  <c r="L83" i="33"/>
  <c r="Q83" i="33"/>
  <c r="R83" i="33"/>
  <c r="S83" i="33"/>
  <c r="F84" i="33"/>
  <c r="G218" i="33" s="1"/>
  <c r="G84" i="33"/>
  <c r="H218" i="33" s="1"/>
  <c r="M84" i="33"/>
  <c r="N84" i="33"/>
  <c r="T84" i="33"/>
  <c r="F85" i="33"/>
  <c r="G85" i="33"/>
  <c r="H231" i="33" s="1"/>
  <c r="M85" i="33"/>
  <c r="N85" i="33"/>
  <c r="T85" i="33"/>
  <c r="G233" i="33" s="1"/>
  <c r="F86" i="33"/>
  <c r="G86" i="33"/>
  <c r="M86" i="33"/>
  <c r="N86" i="33"/>
  <c r="T86" i="33"/>
  <c r="G246" i="33" s="1"/>
  <c r="F87" i="33"/>
  <c r="G257" i="33" s="1"/>
  <c r="G87" i="33"/>
  <c r="H257" i="33" s="1"/>
  <c r="M87" i="33"/>
  <c r="G258" i="33" s="1"/>
  <c r="N87" i="33"/>
  <c r="T87" i="33"/>
  <c r="P88" i="33"/>
  <c r="C89" i="33"/>
  <c r="D89" i="33"/>
  <c r="E89" i="33"/>
  <c r="J89" i="33"/>
  <c r="K89" i="33"/>
  <c r="L89" i="33"/>
  <c r="Q89" i="33"/>
  <c r="R89" i="33"/>
  <c r="S89" i="33"/>
  <c r="F90" i="33"/>
  <c r="M90" i="33"/>
  <c r="P219" i="33" s="1"/>
  <c r="N90" i="33"/>
  <c r="Q219" i="33" s="1"/>
  <c r="T90" i="33"/>
  <c r="U90" i="33"/>
  <c r="F91" i="33"/>
  <c r="G91" i="33"/>
  <c r="M91" i="33"/>
  <c r="N91" i="33"/>
  <c r="T91" i="33"/>
  <c r="U91" i="33"/>
  <c r="Q233" i="33" s="1"/>
  <c r="F92" i="33"/>
  <c r="G92" i="33"/>
  <c r="M92" i="33"/>
  <c r="N92" i="33"/>
  <c r="T92" i="33"/>
  <c r="U92" i="33"/>
  <c r="Q246" i="33" s="1"/>
  <c r="F93" i="33"/>
  <c r="G93" i="33"/>
  <c r="Q257" i="33" s="1"/>
  <c r="M93" i="33"/>
  <c r="P258" i="33" s="1"/>
  <c r="N93" i="33"/>
  <c r="T93" i="33"/>
  <c r="U93" i="33"/>
  <c r="I97" i="33"/>
  <c r="P97" i="33"/>
  <c r="F99" i="33"/>
  <c r="G140" i="33" s="1"/>
  <c r="M99" i="33"/>
  <c r="T99" i="33"/>
  <c r="G142" i="33" s="1"/>
  <c r="F100" i="33"/>
  <c r="M100" i="33"/>
  <c r="T100" i="33"/>
  <c r="F101" i="33"/>
  <c r="M101" i="33"/>
  <c r="T101" i="33"/>
  <c r="G168" i="33" s="1"/>
  <c r="F102" i="33"/>
  <c r="G179" i="33" s="1"/>
  <c r="M102" i="33"/>
  <c r="T102" i="33"/>
  <c r="F103" i="33"/>
  <c r="M103" i="33"/>
  <c r="T103" i="33"/>
  <c r="F104" i="33"/>
  <c r="G205" i="33" s="1"/>
  <c r="M104" i="33"/>
  <c r="T104" i="33"/>
  <c r="G207" i="33" s="1"/>
  <c r="I105" i="33"/>
  <c r="P105" i="33"/>
  <c r="C106" i="33"/>
  <c r="D106" i="33"/>
  <c r="E106" i="33"/>
  <c r="J106" i="33"/>
  <c r="K106" i="33"/>
  <c r="L106" i="33"/>
  <c r="Q106" i="33"/>
  <c r="R106" i="33"/>
  <c r="S106" i="33"/>
  <c r="F107" i="33"/>
  <c r="M107" i="33"/>
  <c r="T107" i="33"/>
  <c r="P142" i="33" s="1"/>
  <c r="F108" i="33"/>
  <c r="P153" i="33" s="1"/>
  <c r="M108" i="33"/>
  <c r="P154" i="33" s="1"/>
  <c r="T108" i="33"/>
  <c r="P155" i="33" s="1"/>
  <c r="F109" i="33"/>
  <c r="M109" i="33"/>
  <c r="T109" i="33"/>
  <c r="F110" i="33"/>
  <c r="M110" i="33"/>
  <c r="T110" i="33"/>
  <c r="P181" i="33" s="1"/>
  <c r="F111" i="33"/>
  <c r="P192" i="33" s="1"/>
  <c r="M111" i="33"/>
  <c r="P193" i="33" s="1"/>
  <c r="T111" i="33"/>
  <c r="F112" i="33"/>
  <c r="M112" i="33"/>
  <c r="T112" i="33"/>
  <c r="P113" i="33"/>
  <c r="C114" i="33"/>
  <c r="D114" i="33"/>
  <c r="E114" i="33"/>
  <c r="J114" i="33"/>
  <c r="K114" i="33"/>
  <c r="L114" i="33"/>
  <c r="Q114" i="33"/>
  <c r="R114" i="33"/>
  <c r="S114" i="33"/>
  <c r="F115" i="33"/>
  <c r="G221" i="33" s="1"/>
  <c r="M115" i="33"/>
  <c r="G222" i="33" s="1"/>
  <c r="T115" i="33"/>
  <c r="F116" i="33"/>
  <c r="M116" i="33"/>
  <c r="T116" i="33"/>
  <c r="F117" i="33"/>
  <c r="M117" i="33"/>
  <c r="G248" i="33" s="1"/>
  <c r="T117" i="33"/>
  <c r="G249" i="33" s="1"/>
  <c r="F118" i="33"/>
  <c r="G260" i="33" s="1"/>
  <c r="M118" i="33"/>
  <c r="T118" i="33"/>
  <c r="P119" i="33"/>
  <c r="C120" i="33"/>
  <c r="D120" i="33"/>
  <c r="E120" i="33"/>
  <c r="J120" i="33"/>
  <c r="K120" i="33"/>
  <c r="L120" i="33"/>
  <c r="Q120" i="33"/>
  <c r="R120" i="33"/>
  <c r="S120" i="33"/>
  <c r="F121" i="33"/>
  <c r="P221" i="33" s="1"/>
  <c r="M121" i="33"/>
  <c r="T121" i="33"/>
  <c r="P223" i="33" s="1"/>
  <c r="F122" i="33"/>
  <c r="P234" i="33" s="1"/>
  <c r="M122" i="33"/>
  <c r="T122" i="33"/>
  <c r="F123" i="33"/>
  <c r="M123" i="33"/>
  <c r="T123" i="33"/>
  <c r="P249" i="33" s="1"/>
  <c r="F124" i="33"/>
  <c r="P260" i="33" s="1"/>
  <c r="M124" i="33"/>
  <c r="T124" i="33"/>
  <c r="P262" i="33" s="1"/>
  <c r="J128" i="33"/>
  <c r="C129" i="33"/>
  <c r="L129" i="33"/>
  <c r="C131" i="33"/>
  <c r="D131" i="33"/>
  <c r="E131" i="33"/>
  <c r="F131" i="33"/>
  <c r="G131" i="33"/>
  <c r="H131" i="33"/>
  <c r="L131" i="33"/>
  <c r="M131" i="33"/>
  <c r="N131" i="33"/>
  <c r="O131" i="33"/>
  <c r="P131" i="33"/>
  <c r="Q131" i="33"/>
  <c r="C132" i="33"/>
  <c r="D132" i="33"/>
  <c r="E132" i="33"/>
  <c r="F132" i="33"/>
  <c r="L132" i="33"/>
  <c r="M132" i="33"/>
  <c r="N132" i="33"/>
  <c r="O132" i="33"/>
  <c r="P132" i="33"/>
  <c r="Q132" i="33"/>
  <c r="C133" i="33"/>
  <c r="D133" i="33"/>
  <c r="E133" i="33"/>
  <c r="F133" i="33"/>
  <c r="G133" i="33"/>
  <c r="L133" i="33"/>
  <c r="M133" i="33"/>
  <c r="N133" i="33"/>
  <c r="O133" i="33"/>
  <c r="P133" i="33"/>
  <c r="Q133" i="33"/>
  <c r="C134" i="33"/>
  <c r="D134" i="33"/>
  <c r="E134" i="33"/>
  <c r="F134" i="33"/>
  <c r="L134" i="33"/>
  <c r="M134" i="33"/>
  <c r="N134" i="33"/>
  <c r="O134" i="33"/>
  <c r="P134" i="33"/>
  <c r="Q134" i="33"/>
  <c r="C135" i="33"/>
  <c r="D135" i="33"/>
  <c r="E135" i="33"/>
  <c r="F135" i="33"/>
  <c r="H135" i="33"/>
  <c r="L135" i="33"/>
  <c r="M135" i="33"/>
  <c r="N135" i="33"/>
  <c r="O135" i="33"/>
  <c r="P135" i="33"/>
  <c r="Q135" i="33"/>
  <c r="C136" i="33"/>
  <c r="D136" i="33"/>
  <c r="E136" i="33"/>
  <c r="F136" i="33"/>
  <c r="G136" i="33"/>
  <c r="H136" i="33"/>
  <c r="L136" i="33"/>
  <c r="M136" i="33"/>
  <c r="N136" i="33"/>
  <c r="O136" i="33"/>
  <c r="Q136" i="33"/>
  <c r="C137" i="33"/>
  <c r="D137" i="33"/>
  <c r="E137" i="33"/>
  <c r="F137" i="33"/>
  <c r="G137" i="33"/>
  <c r="L137" i="33"/>
  <c r="M137" i="33"/>
  <c r="N137" i="33"/>
  <c r="O137" i="33"/>
  <c r="P137" i="33"/>
  <c r="Q137" i="33"/>
  <c r="C138" i="33"/>
  <c r="D138" i="33"/>
  <c r="E138" i="33"/>
  <c r="F138" i="33"/>
  <c r="H138" i="33"/>
  <c r="L138" i="33"/>
  <c r="M138" i="33"/>
  <c r="N138" i="33"/>
  <c r="O138" i="33"/>
  <c r="C139" i="33"/>
  <c r="D139" i="33"/>
  <c r="E139" i="33"/>
  <c r="F139" i="33"/>
  <c r="G139" i="33"/>
  <c r="H139" i="33"/>
  <c r="L139" i="33"/>
  <c r="M139" i="33"/>
  <c r="N139" i="33"/>
  <c r="O139" i="33"/>
  <c r="Q139" i="33"/>
  <c r="C140" i="33"/>
  <c r="D140" i="33"/>
  <c r="E140" i="33"/>
  <c r="F140" i="33"/>
  <c r="H140" i="33"/>
  <c r="L140" i="33"/>
  <c r="M140" i="33"/>
  <c r="N140" i="33"/>
  <c r="O140" i="33"/>
  <c r="P140" i="33"/>
  <c r="Q140" i="33"/>
  <c r="C141" i="33"/>
  <c r="D141" i="33"/>
  <c r="E141" i="33"/>
  <c r="F141" i="33"/>
  <c r="G141" i="33"/>
  <c r="H141" i="33"/>
  <c r="L141" i="33"/>
  <c r="M141" i="33"/>
  <c r="N141" i="33"/>
  <c r="O141" i="33"/>
  <c r="P141" i="33"/>
  <c r="Q141" i="33"/>
  <c r="C142" i="33"/>
  <c r="D142" i="33"/>
  <c r="E142" i="33"/>
  <c r="F142" i="33"/>
  <c r="H142" i="33"/>
  <c r="L142" i="33"/>
  <c r="M142" i="33"/>
  <c r="N142" i="33"/>
  <c r="O142" i="33"/>
  <c r="Q142" i="33"/>
  <c r="C144" i="33"/>
  <c r="D144" i="33"/>
  <c r="E144" i="33"/>
  <c r="F144" i="33"/>
  <c r="G144" i="33"/>
  <c r="H144" i="33"/>
  <c r="L144" i="33"/>
  <c r="M144" i="33"/>
  <c r="N144" i="33"/>
  <c r="O144" i="33"/>
  <c r="P144" i="33"/>
  <c r="Q144" i="33"/>
  <c r="C145" i="33"/>
  <c r="D145" i="33"/>
  <c r="E145" i="33"/>
  <c r="F145" i="33"/>
  <c r="G145" i="33"/>
  <c r="H145" i="33"/>
  <c r="L145" i="33"/>
  <c r="M145" i="33"/>
  <c r="N145" i="33"/>
  <c r="O145" i="33"/>
  <c r="C146" i="33"/>
  <c r="D146" i="33"/>
  <c r="E146" i="33"/>
  <c r="F146" i="33"/>
  <c r="G146" i="33"/>
  <c r="L146" i="33"/>
  <c r="M146" i="33"/>
  <c r="N146" i="33"/>
  <c r="O146" i="33"/>
  <c r="P146" i="33"/>
  <c r="Q146" i="33"/>
  <c r="C147" i="33"/>
  <c r="D147" i="33"/>
  <c r="E147" i="33"/>
  <c r="F147" i="33"/>
  <c r="G147" i="33"/>
  <c r="H147" i="33"/>
  <c r="L147" i="33"/>
  <c r="M147" i="33"/>
  <c r="N147" i="33"/>
  <c r="O147" i="33"/>
  <c r="Q147" i="33"/>
  <c r="C148" i="33"/>
  <c r="D148" i="33"/>
  <c r="E148" i="33"/>
  <c r="F148" i="33"/>
  <c r="G148" i="33"/>
  <c r="L148" i="33"/>
  <c r="M148" i="33"/>
  <c r="N148" i="33"/>
  <c r="O148" i="33"/>
  <c r="P148" i="33"/>
  <c r="Q148" i="33"/>
  <c r="C149" i="33"/>
  <c r="D149" i="33"/>
  <c r="E149" i="33"/>
  <c r="F149" i="33"/>
  <c r="H149" i="33"/>
  <c r="L149" i="33"/>
  <c r="M149" i="33"/>
  <c r="N149" i="33"/>
  <c r="O149" i="33"/>
  <c r="P149" i="33"/>
  <c r="C150" i="33"/>
  <c r="D150" i="33"/>
  <c r="E150" i="33"/>
  <c r="F150" i="33"/>
  <c r="G150" i="33"/>
  <c r="L150" i="33"/>
  <c r="M150" i="33"/>
  <c r="N150" i="33"/>
  <c r="O150" i="33"/>
  <c r="P150" i="33"/>
  <c r="Q150" i="33"/>
  <c r="C151" i="33"/>
  <c r="D151" i="33"/>
  <c r="E151" i="33"/>
  <c r="F151" i="33"/>
  <c r="L151" i="33"/>
  <c r="M151" i="33"/>
  <c r="N151" i="33"/>
  <c r="O151" i="33"/>
  <c r="P151" i="33"/>
  <c r="Q151" i="33"/>
  <c r="C152" i="33"/>
  <c r="D152" i="33"/>
  <c r="E152" i="33"/>
  <c r="F152" i="33"/>
  <c r="G152" i="33"/>
  <c r="H152" i="33"/>
  <c r="L152" i="33"/>
  <c r="M152" i="33"/>
  <c r="N152" i="33"/>
  <c r="O152" i="33"/>
  <c r="P152" i="33"/>
  <c r="Q152" i="33"/>
  <c r="C153" i="33"/>
  <c r="D153" i="33"/>
  <c r="E153" i="33"/>
  <c r="F153" i="33"/>
  <c r="G153" i="33"/>
  <c r="H153" i="33"/>
  <c r="L153" i="33"/>
  <c r="M153" i="33"/>
  <c r="N153" i="33"/>
  <c r="O153" i="33"/>
  <c r="Q153" i="33"/>
  <c r="C154" i="33"/>
  <c r="D154" i="33"/>
  <c r="E154" i="33"/>
  <c r="F154" i="33"/>
  <c r="G154" i="33"/>
  <c r="H154" i="33"/>
  <c r="L154" i="33"/>
  <c r="M154" i="33"/>
  <c r="N154" i="33"/>
  <c r="O154" i="33"/>
  <c r="Q154" i="33"/>
  <c r="C155" i="33"/>
  <c r="D155" i="33"/>
  <c r="E155" i="33"/>
  <c r="F155" i="33"/>
  <c r="G155" i="33"/>
  <c r="H155" i="33"/>
  <c r="L155" i="33"/>
  <c r="M155" i="33"/>
  <c r="N155" i="33"/>
  <c r="O155" i="33"/>
  <c r="Q155" i="33"/>
  <c r="C157" i="33"/>
  <c r="D157" i="33"/>
  <c r="E157" i="33"/>
  <c r="F157" i="33"/>
  <c r="G157" i="33"/>
  <c r="L157" i="33"/>
  <c r="M157" i="33"/>
  <c r="N157" i="33"/>
  <c r="O157" i="33"/>
  <c r="P157" i="33"/>
  <c r="Q157" i="33"/>
  <c r="C158" i="33"/>
  <c r="D158" i="33"/>
  <c r="E158" i="33"/>
  <c r="F158" i="33"/>
  <c r="G158" i="33"/>
  <c r="H158" i="33"/>
  <c r="L158" i="33"/>
  <c r="M158" i="33"/>
  <c r="N158" i="33"/>
  <c r="O158" i="33"/>
  <c r="C159" i="33"/>
  <c r="D159" i="33"/>
  <c r="E159" i="33"/>
  <c r="F159" i="33"/>
  <c r="G159" i="33"/>
  <c r="H159" i="33"/>
  <c r="L159" i="33"/>
  <c r="M159" i="33"/>
  <c r="N159" i="33"/>
  <c r="O159" i="33"/>
  <c r="C160" i="33"/>
  <c r="D160" i="33"/>
  <c r="E160" i="33"/>
  <c r="F160" i="33"/>
  <c r="G160" i="33"/>
  <c r="H160" i="33"/>
  <c r="L160" i="33"/>
  <c r="M160" i="33"/>
  <c r="N160" i="33"/>
  <c r="O160" i="33"/>
  <c r="C161" i="33"/>
  <c r="D161" i="33"/>
  <c r="E161" i="33"/>
  <c r="F161" i="33"/>
  <c r="G161" i="33"/>
  <c r="L161" i="33"/>
  <c r="M161" i="33"/>
  <c r="N161" i="33"/>
  <c r="O161" i="33"/>
  <c r="Q161" i="33"/>
  <c r="C162" i="33"/>
  <c r="D162" i="33"/>
  <c r="E162" i="33"/>
  <c r="F162" i="33"/>
  <c r="L162" i="33"/>
  <c r="M162" i="33"/>
  <c r="N162" i="33"/>
  <c r="O162" i="33"/>
  <c r="P162" i="33"/>
  <c r="Q162" i="33"/>
  <c r="C163" i="33"/>
  <c r="D163" i="33"/>
  <c r="E163" i="33"/>
  <c r="F163" i="33"/>
  <c r="G163" i="33"/>
  <c r="H163" i="33"/>
  <c r="L163" i="33"/>
  <c r="M163" i="33"/>
  <c r="N163" i="33"/>
  <c r="O163" i="33"/>
  <c r="Q163" i="33"/>
  <c r="C164" i="33"/>
  <c r="D164" i="33"/>
  <c r="E164" i="33"/>
  <c r="F164" i="33"/>
  <c r="G164" i="33"/>
  <c r="H164" i="33"/>
  <c r="L164" i="33"/>
  <c r="M164" i="33"/>
  <c r="N164" i="33"/>
  <c r="O164" i="33"/>
  <c r="P164" i="33"/>
  <c r="Q164" i="33"/>
  <c r="C165" i="33"/>
  <c r="D165" i="33"/>
  <c r="E165" i="33"/>
  <c r="F165" i="33"/>
  <c r="G165" i="33"/>
  <c r="L165" i="33"/>
  <c r="M165" i="33"/>
  <c r="N165" i="33"/>
  <c r="O165" i="33"/>
  <c r="P165" i="33"/>
  <c r="Q165" i="33"/>
  <c r="C166" i="33"/>
  <c r="D166" i="33"/>
  <c r="E166" i="33"/>
  <c r="F166" i="33"/>
  <c r="G166" i="33"/>
  <c r="H166" i="33"/>
  <c r="L166" i="33"/>
  <c r="M166" i="33"/>
  <c r="N166" i="33"/>
  <c r="O166" i="33"/>
  <c r="P166" i="33"/>
  <c r="Q166" i="33"/>
  <c r="C167" i="33"/>
  <c r="D167" i="33"/>
  <c r="E167" i="33"/>
  <c r="F167" i="33"/>
  <c r="G167" i="33"/>
  <c r="H167" i="33"/>
  <c r="L167" i="33"/>
  <c r="M167" i="33"/>
  <c r="N167" i="33"/>
  <c r="O167" i="33"/>
  <c r="P167" i="33"/>
  <c r="Q167" i="33"/>
  <c r="C168" i="33"/>
  <c r="D168" i="33"/>
  <c r="E168" i="33"/>
  <c r="F168" i="33"/>
  <c r="H168" i="33"/>
  <c r="L168" i="33"/>
  <c r="M168" i="33"/>
  <c r="N168" i="33"/>
  <c r="O168" i="33"/>
  <c r="P168" i="33"/>
  <c r="Q168" i="33"/>
  <c r="C170" i="33"/>
  <c r="D170" i="33"/>
  <c r="E170" i="33"/>
  <c r="F170" i="33"/>
  <c r="G170" i="33"/>
  <c r="L170" i="33"/>
  <c r="M170" i="33"/>
  <c r="N170" i="33"/>
  <c r="O170" i="33"/>
  <c r="P170" i="33"/>
  <c r="Q170" i="33"/>
  <c r="C171" i="33"/>
  <c r="D171" i="33"/>
  <c r="E171" i="33"/>
  <c r="F171" i="33"/>
  <c r="L171" i="33"/>
  <c r="M171" i="33"/>
  <c r="N171" i="33"/>
  <c r="O171" i="33"/>
  <c r="P171" i="33"/>
  <c r="Q171" i="33"/>
  <c r="C172" i="33"/>
  <c r="D172" i="33"/>
  <c r="E172" i="33"/>
  <c r="F172" i="33"/>
  <c r="G172" i="33"/>
  <c r="H172" i="33"/>
  <c r="L172" i="33"/>
  <c r="M172" i="33"/>
  <c r="N172" i="33"/>
  <c r="O172" i="33"/>
  <c r="P172" i="33"/>
  <c r="Q172" i="33"/>
  <c r="C173" i="33"/>
  <c r="D173" i="33"/>
  <c r="E173" i="33"/>
  <c r="F173" i="33"/>
  <c r="H173" i="33"/>
  <c r="L173" i="33"/>
  <c r="M173" i="33"/>
  <c r="N173" i="33"/>
  <c r="O173" i="33"/>
  <c r="P173" i="33"/>
  <c r="C174" i="33"/>
  <c r="D174" i="33"/>
  <c r="E174" i="33"/>
  <c r="F174" i="33"/>
  <c r="G174" i="33"/>
  <c r="H174" i="33"/>
  <c r="L174" i="33"/>
  <c r="M174" i="33"/>
  <c r="N174" i="33"/>
  <c r="O174" i="33"/>
  <c r="P174" i="33"/>
  <c r="Q174" i="33"/>
  <c r="C175" i="33"/>
  <c r="D175" i="33"/>
  <c r="E175" i="33"/>
  <c r="F175" i="33"/>
  <c r="G175" i="33"/>
  <c r="H175" i="33"/>
  <c r="L175" i="33"/>
  <c r="M175" i="33"/>
  <c r="N175" i="33"/>
  <c r="O175" i="33"/>
  <c r="Q175" i="33"/>
  <c r="C176" i="33"/>
  <c r="D176" i="33"/>
  <c r="E176" i="33"/>
  <c r="F176" i="33"/>
  <c r="G176" i="33"/>
  <c r="H176" i="33"/>
  <c r="L176" i="33"/>
  <c r="M176" i="33"/>
  <c r="N176" i="33"/>
  <c r="O176" i="33"/>
  <c r="P176" i="33"/>
  <c r="Q176" i="33"/>
  <c r="C177" i="33"/>
  <c r="D177" i="33"/>
  <c r="E177" i="33"/>
  <c r="F177" i="33"/>
  <c r="G177" i="33"/>
  <c r="H177" i="33"/>
  <c r="L177" i="33"/>
  <c r="M177" i="33"/>
  <c r="N177" i="33"/>
  <c r="O177" i="33"/>
  <c r="C178" i="33"/>
  <c r="D178" i="33"/>
  <c r="E178" i="33"/>
  <c r="F178" i="33"/>
  <c r="G178" i="33"/>
  <c r="L178" i="33"/>
  <c r="M178" i="33"/>
  <c r="N178" i="33"/>
  <c r="O178" i="33"/>
  <c r="P178" i="33"/>
  <c r="Q178" i="33"/>
  <c r="C179" i="33"/>
  <c r="D179" i="33"/>
  <c r="E179" i="33"/>
  <c r="F179" i="33"/>
  <c r="H179" i="33"/>
  <c r="L179" i="33"/>
  <c r="M179" i="33"/>
  <c r="N179" i="33"/>
  <c r="O179" i="33"/>
  <c r="P179" i="33"/>
  <c r="Q179" i="33"/>
  <c r="C180" i="33"/>
  <c r="D180" i="33"/>
  <c r="E180" i="33"/>
  <c r="F180" i="33"/>
  <c r="G180" i="33"/>
  <c r="H180" i="33"/>
  <c r="L180" i="33"/>
  <c r="M180" i="33"/>
  <c r="N180" i="33"/>
  <c r="O180" i="33"/>
  <c r="P180" i="33"/>
  <c r="Q180" i="33"/>
  <c r="C181" i="33"/>
  <c r="D181" i="33"/>
  <c r="E181" i="33"/>
  <c r="F181" i="33"/>
  <c r="G181" i="33"/>
  <c r="H181" i="33"/>
  <c r="L181" i="33"/>
  <c r="M181" i="33"/>
  <c r="N181" i="33"/>
  <c r="O181" i="33"/>
  <c r="Q181" i="33"/>
  <c r="C183" i="33"/>
  <c r="D183" i="33"/>
  <c r="E183" i="33"/>
  <c r="F183" i="33"/>
  <c r="G183" i="33"/>
  <c r="H183" i="33"/>
  <c r="L183" i="33"/>
  <c r="M183" i="33"/>
  <c r="N183" i="33"/>
  <c r="O183" i="33"/>
  <c r="C184" i="33"/>
  <c r="D184" i="33"/>
  <c r="E184" i="33"/>
  <c r="F184" i="33"/>
  <c r="L184" i="33"/>
  <c r="M184" i="33"/>
  <c r="N184" i="33"/>
  <c r="O184" i="33"/>
  <c r="P184" i="33"/>
  <c r="Q184" i="33"/>
  <c r="C185" i="33"/>
  <c r="D185" i="33"/>
  <c r="E185" i="33"/>
  <c r="F185" i="33"/>
  <c r="L185" i="33"/>
  <c r="M185" i="33"/>
  <c r="N185" i="33"/>
  <c r="O185" i="33"/>
  <c r="P185" i="33"/>
  <c r="Q185" i="33"/>
  <c r="C186" i="33"/>
  <c r="D186" i="33"/>
  <c r="E186" i="33"/>
  <c r="F186" i="33"/>
  <c r="L186" i="33"/>
  <c r="M186" i="33"/>
  <c r="N186" i="33"/>
  <c r="O186" i="33"/>
  <c r="P186" i="33"/>
  <c r="Q186" i="33"/>
  <c r="C187" i="33"/>
  <c r="D187" i="33"/>
  <c r="E187" i="33"/>
  <c r="F187" i="33"/>
  <c r="H187" i="33"/>
  <c r="L187" i="33"/>
  <c r="M187" i="33"/>
  <c r="N187" i="33"/>
  <c r="O187" i="33"/>
  <c r="P187" i="33"/>
  <c r="Q187" i="33"/>
  <c r="C188" i="33"/>
  <c r="D188" i="33"/>
  <c r="E188" i="33"/>
  <c r="F188" i="33"/>
  <c r="G188" i="33"/>
  <c r="H188" i="33"/>
  <c r="L188" i="33"/>
  <c r="M188" i="33"/>
  <c r="N188" i="33"/>
  <c r="O188" i="33"/>
  <c r="C189" i="33"/>
  <c r="D189" i="33"/>
  <c r="E189" i="33"/>
  <c r="F189" i="33"/>
  <c r="G189" i="33"/>
  <c r="L189" i="33"/>
  <c r="M189" i="33"/>
  <c r="N189" i="33"/>
  <c r="O189" i="33"/>
  <c r="P189" i="33"/>
  <c r="Q189" i="33"/>
  <c r="C190" i="33"/>
  <c r="D190" i="33"/>
  <c r="E190" i="33"/>
  <c r="F190" i="33"/>
  <c r="H190" i="33"/>
  <c r="L190" i="33"/>
  <c r="M190" i="33"/>
  <c r="N190" i="33"/>
  <c r="O190" i="33"/>
  <c r="C191" i="33"/>
  <c r="D191" i="33"/>
  <c r="E191" i="33"/>
  <c r="F191" i="33"/>
  <c r="G191" i="33"/>
  <c r="H191" i="33"/>
  <c r="L191" i="33"/>
  <c r="M191" i="33"/>
  <c r="N191" i="33"/>
  <c r="O191" i="33"/>
  <c r="Q191" i="33"/>
  <c r="C192" i="33"/>
  <c r="D192" i="33"/>
  <c r="E192" i="33"/>
  <c r="F192" i="33"/>
  <c r="G192" i="33"/>
  <c r="H192" i="33"/>
  <c r="L192" i="33"/>
  <c r="M192" i="33"/>
  <c r="N192" i="33"/>
  <c r="O192" i="33"/>
  <c r="Q192" i="33"/>
  <c r="C193" i="33"/>
  <c r="D193" i="33"/>
  <c r="E193" i="33"/>
  <c r="F193" i="33"/>
  <c r="G193" i="33"/>
  <c r="H193" i="33"/>
  <c r="L193" i="33"/>
  <c r="M193" i="33"/>
  <c r="N193" i="33"/>
  <c r="O193" i="33"/>
  <c r="Q193" i="33"/>
  <c r="C194" i="33"/>
  <c r="D194" i="33"/>
  <c r="E194" i="33"/>
  <c r="F194" i="33"/>
  <c r="G194" i="33"/>
  <c r="H194" i="33"/>
  <c r="L194" i="33"/>
  <c r="M194" i="33"/>
  <c r="N194" i="33"/>
  <c r="O194" i="33"/>
  <c r="P194" i="33"/>
  <c r="Q194" i="33"/>
  <c r="C196" i="33"/>
  <c r="D196" i="33"/>
  <c r="E196" i="33"/>
  <c r="F196" i="33"/>
  <c r="G196" i="33"/>
  <c r="H196" i="33"/>
  <c r="L196" i="33"/>
  <c r="M196" i="33"/>
  <c r="N196" i="33"/>
  <c r="O196" i="33"/>
  <c r="P196" i="33"/>
  <c r="Q196" i="33"/>
  <c r="C197" i="33"/>
  <c r="D197" i="33"/>
  <c r="E197" i="33"/>
  <c r="F197" i="33"/>
  <c r="G197" i="33"/>
  <c r="H197" i="33"/>
  <c r="L197" i="33"/>
  <c r="M197" i="33"/>
  <c r="N197" i="33"/>
  <c r="O197" i="33"/>
  <c r="Q197" i="33"/>
  <c r="C198" i="33"/>
  <c r="D198" i="33"/>
  <c r="E198" i="33"/>
  <c r="F198" i="33"/>
  <c r="G198" i="33"/>
  <c r="L198" i="33"/>
  <c r="M198" i="33"/>
  <c r="N198" i="33"/>
  <c r="O198" i="33"/>
  <c r="C199" i="33"/>
  <c r="D199" i="33"/>
  <c r="E199" i="33"/>
  <c r="F199" i="33"/>
  <c r="G199" i="33"/>
  <c r="H199" i="33"/>
  <c r="L199" i="33"/>
  <c r="M199" i="33"/>
  <c r="N199" i="33"/>
  <c r="O199" i="33"/>
  <c r="Q199" i="33"/>
  <c r="C200" i="33"/>
  <c r="D200" i="33"/>
  <c r="E200" i="33"/>
  <c r="F200" i="33"/>
  <c r="G200" i="33"/>
  <c r="H200" i="33"/>
  <c r="L200" i="33"/>
  <c r="M200" i="33"/>
  <c r="N200" i="33"/>
  <c r="O200" i="33"/>
  <c r="P200" i="33"/>
  <c r="Q200" i="33"/>
  <c r="C201" i="33"/>
  <c r="D201" i="33"/>
  <c r="E201" i="33"/>
  <c r="F201" i="33"/>
  <c r="L201" i="33"/>
  <c r="M201" i="33"/>
  <c r="N201" i="33"/>
  <c r="O201" i="33"/>
  <c r="P201" i="33"/>
  <c r="Q201" i="33"/>
  <c r="C202" i="33"/>
  <c r="D202" i="33"/>
  <c r="E202" i="33"/>
  <c r="F202" i="33"/>
  <c r="G202" i="33"/>
  <c r="L202" i="33"/>
  <c r="M202" i="33"/>
  <c r="N202" i="33"/>
  <c r="O202" i="33"/>
  <c r="P202" i="33"/>
  <c r="Q202" i="33"/>
  <c r="C203" i="33"/>
  <c r="D203" i="33"/>
  <c r="E203" i="33"/>
  <c r="F203" i="33"/>
  <c r="L203" i="33"/>
  <c r="M203" i="33"/>
  <c r="N203" i="33"/>
  <c r="O203" i="33"/>
  <c r="P203" i="33"/>
  <c r="Q203" i="33"/>
  <c r="C204" i="33"/>
  <c r="D204" i="33"/>
  <c r="E204" i="33"/>
  <c r="F204" i="33"/>
  <c r="G204" i="33"/>
  <c r="H204" i="33"/>
  <c r="L204" i="33"/>
  <c r="M204" i="33"/>
  <c r="N204" i="33"/>
  <c r="O204" i="33"/>
  <c r="P204" i="33"/>
  <c r="Q204" i="33"/>
  <c r="C205" i="33"/>
  <c r="D205" i="33"/>
  <c r="E205" i="33"/>
  <c r="F205" i="33"/>
  <c r="H205" i="33"/>
  <c r="L205" i="33"/>
  <c r="M205" i="33"/>
  <c r="N205" i="33"/>
  <c r="O205" i="33"/>
  <c r="P205" i="33"/>
  <c r="Q205" i="33"/>
  <c r="C206" i="33"/>
  <c r="D206" i="33"/>
  <c r="E206" i="33"/>
  <c r="F206" i="33"/>
  <c r="G206" i="33"/>
  <c r="H206" i="33"/>
  <c r="L206" i="33"/>
  <c r="M206" i="33"/>
  <c r="N206" i="33"/>
  <c r="O206" i="33"/>
  <c r="P206" i="33"/>
  <c r="Q206" i="33"/>
  <c r="C207" i="33"/>
  <c r="D207" i="33"/>
  <c r="E207" i="33"/>
  <c r="F207" i="33"/>
  <c r="H207" i="33"/>
  <c r="L207" i="33"/>
  <c r="M207" i="33"/>
  <c r="N207" i="33"/>
  <c r="O207" i="33"/>
  <c r="P207" i="33"/>
  <c r="Q207" i="33"/>
  <c r="C210" i="33"/>
  <c r="L210" i="33"/>
  <c r="C212" i="33"/>
  <c r="D212" i="33"/>
  <c r="E212" i="33"/>
  <c r="F212" i="33"/>
  <c r="G212" i="33"/>
  <c r="H212" i="33"/>
  <c r="L212" i="33"/>
  <c r="M212" i="33"/>
  <c r="N212" i="33"/>
  <c r="O212" i="33"/>
  <c r="P212" i="33"/>
  <c r="Q212" i="33"/>
  <c r="C213" i="33"/>
  <c r="D213" i="33"/>
  <c r="E213" i="33"/>
  <c r="F213" i="33"/>
  <c r="G213" i="33"/>
  <c r="H213" i="33"/>
  <c r="L213" i="33"/>
  <c r="M213" i="33"/>
  <c r="N213" i="33"/>
  <c r="O213" i="33"/>
  <c r="C214" i="33"/>
  <c r="D214" i="33"/>
  <c r="E214" i="33"/>
  <c r="F214" i="33"/>
  <c r="L214" i="33"/>
  <c r="M214" i="33"/>
  <c r="N214" i="33"/>
  <c r="O214" i="33"/>
  <c r="C215" i="33"/>
  <c r="D215" i="33"/>
  <c r="E215" i="33"/>
  <c r="F215" i="33"/>
  <c r="H215" i="33"/>
  <c r="L215" i="33"/>
  <c r="M215" i="33"/>
  <c r="N215" i="33"/>
  <c r="O215" i="33"/>
  <c r="P215" i="33"/>
  <c r="Q215" i="33"/>
  <c r="C216" i="33"/>
  <c r="D216" i="33"/>
  <c r="E216" i="33"/>
  <c r="F216" i="33"/>
  <c r="G216" i="33"/>
  <c r="H216" i="33"/>
  <c r="L216" i="33"/>
  <c r="M216" i="33"/>
  <c r="N216" i="33"/>
  <c r="O216" i="33"/>
  <c r="P216" i="33"/>
  <c r="C217" i="33"/>
  <c r="D217" i="33"/>
  <c r="E217" i="33"/>
  <c r="F217" i="33"/>
  <c r="G217" i="33"/>
  <c r="H217" i="33"/>
  <c r="L217" i="33"/>
  <c r="M217" i="33"/>
  <c r="N217" i="33"/>
  <c r="O217" i="33"/>
  <c r="Q217" i="33"/>
  <c r="C218" i="33"/>
  <c r="D218" i="33"/>
  <c r="E218" i="33"/>
  <c r="F218" i="33"/>
  <c r="L218" i="33"/>
  <c r="M218" i="33"/>
  <c r="N218" i="33"/>
  <c r="O218" i="33"/>
  <c r="P218" i="33"/>
  <c r="Q218" i="33"/>
  <c r="C219" i="33"/>
  <c r="D219" i="33"/>
  <c r="E219" i="33"/>
  <c r="F219" i="33"/>
  <c r="G219" i="33"/>
  <c r="H219" i="33"/>
  <c r="L219" i="33"/>
  <c r="M219" i="33"/>
  <c r="N219" i="33"/>
  <c r="O219" i="33"/>
  <c r="C220" i="33"/>
  <c r="D220" i="33"/>
  <c r="E220" i="33"/>
  <c r="F220" i="33"/>
  <c r="G220" i="33"/>
  <c r="H220" i="33"/>
  <c r="L220" i="33"/>
  <c r="M220" i="33"/>
  <c r="N220" i="33"/>
  <c r="O220" i="33"/>
  <c r="P220" i="33"/>
  <c r="Q220" i="33"/>
  <c r="C221" i="33"/>
  <c r="D221" i="33"/>
  <c r="E221" i="33"/>
  <c r="F221" i="33"/>
  <c r="H221" i="33"/>
  <c r="L221" i="33"/>
  <c r="M221" i="33"/>
  <c r="N221" i="33"/>
  <c r="O221" i="33"/>
  <c r="Q221" i="33"/>
  <c r="C222" i="33"/>
  <c r="D222" i="33"/>
  <c r="E222" i="33"/>
  <c r="F222" i="33"/>
  <c r="H222" i="33"/>
  <c r="L222" i="33"/>
  <c r="M222" i="33"/>
  <c r="N222" i="33"/>
  <c r="O222" i="33"/>
  <c r="P222" i="33"/>
  <c r="Q222" i="33"/>
  <c r="C223" i="33"/>
  <c r="D223" i="33"/>
  <c r="E223" i="33"/>
  <c r="F223" i="33"/>
  <c r="G223" i="33"/>
  <c r="H223" i="33"/>
  <c r="L223" i="33"/>
  <c r="M223" i="33"/>
  <c r="N223" i="33"/>
  <c r="O223" i="33"/>
  <c r="Q223" i="33"/>
  <c r="C225" i="33"/>
  <c r="D225" i="33"/>
  <c r="E225" i="33"/>
  <c r="F225" i="33"/>
  <c r="G225" i="33"/>
  <c r="H225" i="33"/>
  <c r="L225" i="33"/>
  <c r="M225" i="33"/>
  <c r="N225" i="33"/>
  <c r="O225" i="33"/>
  <c r="P225" i="33"/>
  <c r="Q225" i="33"/>
  <c r="C226" i="33"/>
  <c r="D226" i="33"/>
  <c r="E226" i="33"/>
  <c r="F226" i="33"/>
  <c r="G226" i="33"/>
  <c r="H226" i="33"/>
  <c r="L226" i="33"/>
  <c r="M226" i="33"/>
  <c r="N226" i="33"/>
  <c r="O226" i="33"/>
  <c r="P226" i="33"/>
  <c r="Q226" i="33"/>
  <c r="C227" i="33"/>
  <c r="D227" i="33"/>
  <c r="E227" i="33"/>
  <c r="F227" i="33"/>
  <c r="G227" i="33"/>
  <c r="L227" i="33"/>
  <c r="M227" i="33"/>
  <c r="N227" i="33"/>
  <c r="O227" i="33"/>
  <c r="P227" i="33"/>
  <c r="C228" i="33"/>
  <c r="D228" i="33"/>
  <c r="E228" i="33"/>
  <c r="F228" i="33"/>
  <c r="G228" i="33"/>
  <c r="H228" i="33"/>
  <c r="L228" i="33"/>
  <c r="M228" i="33"/>
  <c r="N228" i="33"/>
  <c r="O228" i="33"/>
  <c r="P228" i="33"/>
  <c r="Q228" i="33"/>
  <c r="C229" i="33"/>
  <c r="D229" i="33"/>
  <c r="E229" i="33"/>
  <c r="F229" i="33"/>
  <c r="H229" i="33"/>
  <c r="L229" i="33"/>
  <c r="M229" i="33"/>
  <c r="N229" i="33"/>
  <c r="O229" i="33"/>
  <c r="P229" i="33"/>
  <c r="C230" i="33"/>
  <c r="D230" i="33"/>
  <c r="E230" i="33"/>
  <c r="F230" i="33"/>
  <c r="G230" i="33"/>
  <c r="H230" i="33"/>
  <c r="L230" i="33"/>
  <c r="M230" i="33"/>
  <c r="N230" i="33"/>
  <c r="O230" i="33"/>
  <c r="C231" i="33"/>
  <c r="D231" i="33"/>
  <c r="E231" i="33"/>
  <c r="F231" i="33"/>
  <c r="G231" i="33"/>
  <c r="L231" i="33"/>
  <c r="M231" i="33"/>
  <c r="N231" i="33"/>
  <c r="O231" i="33"/>
  <c r="P231" i="33"/>
  <c r="Q231" i="33"/>
  <c r="C232" i="33"/>
  <c r="D232" i="33"/>
  <c r="E232" i="33"/>
  <c r="F232" i="33"/>
  <c r="G232" i="33"/>
  <c r="H232" i="33"/>
  <c r="L232" i="33"/>
  <c r="M232" i="33"/>
  <c r="N232" i="33"/>
  <c r="O232" i="33"/>
  <c r="P232" i="33"/>
  <c r="Q232" i="33"/>
  <c r="C233" i="33"/>
  <c r="D233" i="33"/>
  <c r="E233" i="33"/>
  <c r="F233" i="33"/>
  <c r="H233" i="33"/>
  <c r="L233" i="33"/>
  <c r="M233" i="33"/>
  <c r="N233" i="33"/>
  <c r="O233" i="33"/>
  <c r="P233" i="33"/>
  <c r="C234" i="33"/>
  <c r="D234" i="33"/>
  <c r="E234" i="33"/>
  <c r="F234" i="33"/>
  <c r="G234" i="33"/>
  <c r="H234" i="33"/>
  <c r="L234" i="33"/>
  <c r="M234" i="33"/>
  <c r="N234" i="33"/>
  <c r="O234" i="33"/>
  <c r="Q234" i="33"/>
  <c r="C235" i="33"/>
  <c r="D235" i="33"/>
  <c r="E235" i="33"/>
  <c r="F235" i="33"/>
  <c r="G235" i="33"/>
  <c r="H235" i="33"/>
  <c r="L235" i="33"/>
  <c r="M235" i="33"/>
  <c r="N235" i="33"/>
  <c r="O235" i="33"/>
  <c r="P235" i="33"/>
  <c r="Q235" i="33"/>
  <c r="C236" i="33"/>
  <c r="D236" i="33"/>
  <c r="E236" i="33"/>
  <c r="F236" i="33"/>
  <c r="G236" i="33"/>
  <c r="H236" i="33"/>
  <c r="L236" i="33"/>
  <c r="M236" i="33"/>
  <c r="N236" i="33"/>
  <c r="O236" i="33"/>
  <c r="P236" i="33"/>
  <c r="Q236" i="33"/>
  <c r="C238" i="33"/>
  <c r="D238" i="33"/>
  <c r="E238" i="33"/>
  <c r="F238" i="33"/>
  <c r="H238" i="33"/>
  <c r="L238" i="33"/>
  <c r="M238" i="33"/>
  <c r="N238" i="33"/>
  <c r="O238" i="33"/>
  <c r="C239" i="33"/>
  <c r="D239" i="33"/>
  <c r="E239" i="33"/>
  <c r="F239" i="33"/>
  <c r="L239" i="33"/>
  <c r="M239" i="33"/>
  <c r="N239" i="33"/>
  <c r="O239" i="33"/>
  <c r="P239" i="33"/>
  <c r="Q239" i="33"/>
  <c r="C240" i="33"/>
  <c r="D240" i="33"/>
  <c r="E240" i="33"/>
  <c r="F240" i="33"/>
  <c r="G240" i="33"/>
  <c r="H240" i="33"/>
  <c r="L240" i="33"/>
  <c r="M240" i="33"/>
  <c r="N240" i="33"/>
  <c r="O240" i="33"/>
  <c r="P240" i="33"/>
  <c r="Q240" i="33"/>
  <c r="C241" i="33"/>
  <c r="D241" i="33"/>
  <c r="E241" i="33"/>
  <c r="F241" i="33"/>
  <c r="G241" i="33"/>
  <c r="H241" i="33"/>
  <c r="L241" i="33"/>
  <c r="M241" i="33"/>
  <c r="N241" i="33"/>
  <c r="O241" i="33"/>
  <c r="Q241" i="33"/>
  <c r="C242" i="33"/>
  <c r="D242" i="33"/>
  <c r="E242" i="33"/>
  <c r="F242" i="33"/>
  <c r="L242" i="33"/>
  <c r="M242" i="33"/>
  <c r="N242" i="33"/>
  <c r="O242" i="33"/>
  <c r="P242" i="33"/>
  <c r="Q242" i="33"/>
  <c r="C243" i="33"/>
  <c r="D243" i="33"/>
  <c r="E243" i="33"/>
  <c r="F243" i="33"/>
  <c r="H243" i="33"/>
  <c r="L243" i="33"/>
  <c r="M243" i="33"/>
  <c r="N243" i="33"/>
  <c r="O243" i="33"/>
  <c r="P243" i="33"/>
  <c r="Q243" i="33"/>
  <c r="C244" i="33"/>
  <c r="D244" i="33"/>
  <c r="E244" i="33"/>
  <c r="F244" i="33"/>
  <c r="G244" i="33"/>
  <c r="H244" i="33"/>
  <c r="L244" i="33"/>
  <c r="M244" i="33"/>
  <c r="N244" i="33"/>
  <c r="O244" i="33"/>
  <c r="P244" i="33"/>
  <c r="Q244" i="33"/>
  <c r="C245" i="33"/>
  <c r="D245" i="33"/>
  <c r="E245" i="33"/>
  <c r="F245" i="33"/>
  <c r="G245" i="33"/>
  <c r="H245" i="33"/>
  <c r="L245" i="33"/>
  <c r="M245" i="33"/>
  <c r="N245" i="33"/>
  <c r="O245" i="33"/>
  <c r="P245" i="33"/>
  <c r="Q245" i="33"/>
  <c r="C246" i="33"/>
  <c r="D246" i="33"/>
  <c r="E246" i="33"/>
  <c r="F246" i="33"/>
  <c r="H246" i="33"/>
  <c r="L246" i="33"/>
  <c r="M246" i="33"/>
  <c r="N246" i="33"/>
  <c r="O246" i="33"/>
  <c r="P246" i="33"/>
  <c r="C247" i="33"/>
  <c r="D247" i="33"/>
  <c r="E247" i="33"/>
  <c r="F247" i="33"/>
  <c r="G247" i="33"/>
  <c r="H247" i="33"/>
  <c r="L247" i="33"/>
  <c r="M247" i="33"/>
  <c r="N247" i="33"/>
  <c r="O247" i="33"/>
  <c r="P247" i="33"/>
  <c r="Q247" i="33"/>
  <c r="C248" i="33"/>
  <c r="D248" i="33"/>
  <c r="E248" i="33"/>
  <c r="F248" i="33"/>
  <c r="H248" i="33"/>
  <c r="L248" i="33"/>
  <c r="M248" i="33"/>
  <c r="N248" i="33"/>
  <c r="O248" i="33"/>
  <c r="P248" i="33"/>
  <c r="Q248" i="33"/>
  <c r="C249" i="33"/>
  <c r="D249" i="33"/>
  <c r="E249" i="33"/>
  <c r="F249" i="33"/>
  <c r="H249" i="33"/>
  <c r="L249" i="33"/>
  <c r="M249" i="33"/>
  <c r="N249" i="33"/>
  <c r="O249" i="33"/>
  <c r="Q249" i="33"/>
  <c r="C251" i="33"/>
  <c r="D251" i="33"/>
  <c r="E251" i="33"/>
  <c r="F251" i="33"/>
  <c r="G251" i="33"/>
  <c r="H251" i="33"/>
  <c r="L251" i="33"/>
  <c r="M251" i="33"/>
  <c r="N251" i="33"/>
  <c r="O251" i="33"/>
  <c r="P251" i="33"/>
  <c r="C252" i="33"/>
  <c r="D252" i="33"/>
  <c r="E252" i="33"/>
  <c r="F252" i="33"/>
  <c r="G252" i="33"/>
  <c r="H252" i="33"/>
  <c r="L252" i="33"/>
  <c r="M252" i="33"/>
  <c r="N252" i="33"/>
  <c r="O252" i="33"/>
  <c r="C253" i="33"/>
  <c r="D253" i="33"/>
  <c r="E253" i="33"/>
  <c r="F253" i="33"/>
  <c r="L253" i="33"/>
  <c r="M253" i="33"/>
  <c r="N253" i="33"/>
  <c r="O253" i="33"/>
  <c r="P253" i="33"/>
  <c r="Q253" i="33"/>
  <c r="C254" i="33"/>
  <c r="D254" i="33"/>
  <c r="E254" i="33"/>
  <c r="F254" i="33"/>
  <c r="G254" i="33"/>
  <c r="H254" i="33"/>
  <c r="L254" i="33"/>
  <c r="M254" i="33"/>
  <c r="N254" i="33"/>
  <c r="O254" i="33"/>
  <c r="C255" i="33"/>
  <c r="D255" i="33"/>
  <c r="E255" i="33"/>
  <c r="F255" i="33"/>
  <c r="G255" i="33"/>
  <c r="L255" i="33"/>
  <c r="M255" i="33"/>
  <c r="N255" i="33"/>
  <c r="O255" i="33"/>
  <c r="P255" i="33"/>
  <c r="Q255" i="33"/>
  <c r="C256" i="33"/>
  <c r="D256" i="33"/>
  <c r="E256" i="33"/>
  <c r="F256" i="33"/>
  <c r="G256" i="33"/>
  <c r="H256" i="33"/>
  <c r="L256" i="33"/>
  <c r="M256" i="33"/>
  <c r="N256" i="33"/>
  <c r="O256" i="33"/>
  <c r="P256" i="33"/>
  <c r="Q256" i="33"/>
  <c r="C257" i="33"/>
  <c r="D257" i="33"/>
  <c r="E257" i="33"/>
  <c r="F257" i="33"/>
  <c r="L257" i="33"/>
  <c r="M257" i="33"/>
  <c r="N257" i="33"/>
  <c r="O257" i="33"/>
  <c r="P257" i="33"/>
  <c r="C258" i="33"/>
  <c r="D258" i="33"/>
  <c r="E258" i="33"/>
  <c r="F258" i="33"/>
  <c r="H258" i="33"/>
  <c r="L258" i="33"/>
  <c r="M258" i="33"/>
  <c r="N258" i="33"/>
  <c r="O258" i="33"/>
  <c r="Q258" i="33"/>
  <c r="C259" i="33"/>
  <c r="D259" i="33"/>
  <c r="E259" i="33"/>
  <c r="F259" i="33"/>
  <c r="G259" i="33"/>
  <c r="H259" i="33"/>
  <c r="L259" i="33"/>
  <c r="M259" i="33"/>
  <c r="N259" i="33"/>
  <c r="O259" i="33"/>
  <c r="P259" i="33"/>
  <c r="Q259" i="33"/>
  <c r="C260" i="33"/>
  <c r="D260" i="33"/>
  <c r="E260" i="33"/>
  <c r="F260" i="33"/>
  <c r="H260" i="33"/>
  <c r="L260" i="33"/>
  <c r="M260" i="33"/>
  <c r="N260" i="33"/>
  <c r="O260" i="33"/>
  <c r="Q260" i="33"/>
  <c r="C261" i="33"/>
  <c r="D261" i="33"/>
  <c r="E261" i="33"/>
  <c r="F261" i="33"/>
  <c r="G261" i="33"/>
  <c r="H261" i="33"/>
  <c r="L261" i="33"/>
  <c r="M261" i="33"/>
  <c r="N261" i="33"/>
  <c r="O261" i="33"/>
  <c r="P261" i="33"/>
  <c r="Q261" i="33"/>
  <c r="C262" i="33"/>
  <c r="D262" i="33"/>
  <c r="E262" i="33"/>
  <c r="F262" i="33"/>
  <c r="G262" i="33"/>
  <c r="H262" i="33"/>
  <c r="L262" i="33"/>
  <c r="M262" i="33"/>
  <c r="N262" i="33"/>
  <c r="O262" i="33"/>
  <c r="Q262" i="33"/>
  <c r="A267" i="33"/>
  <c r="A275" i="33"/>
  <c r="N278" i="33"/>
  <c r="P278" i="33"/>
  <c r="H281" i="33"/>
  <c r="A283" i="33"/>
  <c r="H285" i="33"/>
  <c r="A289" i="33"/>
  <c r="H289" i="33"/>
  <c r="I299" i="33"/>
  <c r="J299" i="33"/>
  <c r="K299" i="33"/>
  <c r="I300" i="33"/>
  <c r="J300" i="33"/>
  <c r="K300" i="33"/>
  <c r="I301" i="33"/>
  <c r="J301" i="33"/>
  <c r="K301" i="33"/>
  <c r="I302" i="33"/>
  <c r="J302" i="33"/>
  <c r="K302" i="33"/>
  <c r="I303" i="33"/>
  <c r="J303" i="33"/>
  <c r="K303" i="33"/>
  <c r="I304" i="33"/>
  <c r="J304" i="33"/>
  <c r="K304" i="33"/>
  <c r="I305" i="33"/>
  <c r="J305" i="33"/>
  <c r="K305" i="33"/>
  <c r="I306" i="33"/>
  <c r="J306" i="33"/>
  <c r="K306" i="33"/>
  <c r="I307" i="33"/>
  <c r="J307" i="33"/>
  <c r="K307" i="33"/>
  <c r="I308" i="33"/>
  <c r="J308" i="33"/>
  <c r="K308" i="33"/>
  <c r="I309" i="33"/>
  <c r="J309" i="33"/>
  <c r="K309" i="33"/>
  <c r="I310" i="33"/>
  <c r="J310" i="33"/>
  <c r="K310" i="33"/>
  <c r="A311" i="33"/>
  <c r="I2" i="32"/>
  <c r="P2" i="32" s="1"/>
  <c r="K4" i="32"/>
  <c r="L4" i="32"/>
  <c r="S4" i="32" s="1"/>
  <c r="M4" i="32"/>
  <c r="T4" i="32" s="1"/>
  <c r="R4" i="32"/>
  <c r="G5" i="32"/>
  <c r="G226" i="32" s="1"/>
  <c r="N5" i="32"/>
  <c r="U5" i="32"/>
  <c r="G6" i="32"/>
  <c r="N6" i="32"/>
  <c r="U6" i="32"/>
  <c r="W247" i="32" s="1"/>
  <c r="G7" i="32"/>
  <c r="N7" i="32"/>
  <c r="U7" i="32"/>
  <c r="W268" i="32" s="1"/>
  <c r="G8" i="32"/>
  <c r="N8" i="32"/>
  <c r="U8" i="32"/>
  <c r="W289" i="32" s="1"/>
  <c r="G9" i="32"/>
  <c r="N9" i="32"/>
  <c r="U9" i="32"/>
  <c r="G10" i="32"/>
  <c r="N10" i="32"/>
  <c r="U10" i="32"/>
  <c r="G11" i="32"/>
  <c r="N11" i="32"/>
  <c r="O352" i="32" s="1"/>
  <c r="U11" i="32"/>
  <c r="W352" i="32" s="1"/>
  <c r="I13" i="32"/>
  <c r="P13" i="32" s="1"/>
  <c r="K15" i="32"/>
  <c r="R15" i="32" s="1"/>
  <c r="L15" i="32"/>
  <c r="S15" i="32" s="1"/>
  <c r="M15" i="32"/>
  <c r="T15" i="32"/>
  <c r="G16" i="32"/>
  <c r="G227" i="32" s="1"/>
  <c r="N16" i="32"/>
  <c r="U16" i="32"/>
  <c r="G17" i="32"/>
  <c r="N17" i="32"/>
  <c r="U17" i="32"/>
  <c r="G18" i="32"/>
  <c r="N18" i="32"/>
  <c r="U18" i="32"/>
  <c r="W269" i="32" s="1"/>
  <c r="G19" i="32"/>
  <c r="N19" i="32"/>
  <c r="O290" i="32" s="1"/>
  <c r="U19" i="32"/>
  <c r="W290" i="32" s="1"/>
  <c r="G20" i="32"/>
  <c r="N20" i="32"/>
  <c r="U20" i="32"/>
  <c r="G21" i="32"/>
  <c r="N21" i="32"/>
  <c r="O332" i="32" s="1"/>
  <c r="U21" i="32"/>
  <c r="G22" i="32"/>
  <c r="N22" i="32"/>
  <c r="U22" i="32"/>
  <c r="I24" i="32"/>
  <c r="P24" i="32"/>
  <c r="K26" i="32"/>
  <c r="R26" i="32" s="1"/>
  <c r="L26" i="32"/>
  <c r="S26" i="32" s="1"/>
  <c r="M26" i="32"/>
  <c r="T26" i="32"/>
  <c r="G27" i="32"/>
  <c r="N27" i="32"/>
  <c r="O228" i="32" s="1"/>
  <c r="U27" i="32"/>
  <c r="G28" i="32"/>
  <c r="G249" i="32" s="1"/>
  <c r="N28" i="32"/>
  <c r="U28" i="32"/>
  <c r="G29" i="32"/>
  <c r="G270" i="32" s="1"/>
  <c r="N29" i="32"/>
  <c r="U29" i="32"/>
  <c r="G30" i="32"/>
  <c r="N30" i="32"/>
  <c r="O291" i="32" s="1"/>
  <c r="U30" i="32"/>
  <c r="W291" i="32" s="1"/>
  <c r="G31" i="32"/>
  <c r="N31" i="32"/>
  <c r="U31" i="32"/>
  <c r="G32" i="32"/>
  <c r="N32" i="32"/>
  <c r="U32" i="32"/>
  <c r="G33" i="32"/>
  <c r="G354" i="32" s="1"/>
  <c r="N33" i="32"/>
  <c r="U33" i="32"/>
  <c r="I35" i="32"/>
  <c r="P35" i="32"/>
  <c r="K37" i="32"/>
  <c r="L37" i="32"/>
  <c r="M37" i="32"/>
  <c r="T37" i="32" s="1"/>
  <c r="R37" i="32"/>
  <c r="S37" i="32"/>
  <c r="G38" i="32"/>
  <c r="G229" i="32" s="1"/>
  <c r="N38" i="32"/>
  <c r="O229" i="32" s="1"/>
  <c r="U38" i="32"/>
  <c r="G39" i="32"/>
  <c r="N39" i="32"/>
  <c r="U39" i="32"/>
  <c r="G40" i="32"/>
  <c r="N40" i="32"/>
  <c r="U40" i="32"/>
  <c r="G41" i="32"/>
  <c r="N41" i="32"/>
  <c r="U41" i="32"/>
  <c r="G42" i="32"/>
  <c r="G313" i="32" s="1"/>
  <c r="N42" i="32"/>
  <c r="O313" i="32" s="1"/>
  <c r="U42" i="32"/>
  <c r="G43" i="32"/>
  <c r="N43" i="32"/>
  <c r="U43" i="32"/>
  <c r="G44" i="32"/>
  <c r="N44" i="32"/>
  <c r="U44" i="32"/>
  <c r="I46" i="32"/>
  <c r="P46" i="32"/>
  <c r="K48" i="32"/>
  <c r="L48" i="32"/>
  <c r="S48" i="32" s="1"/>
  <c r="M48" i="32"/>
  <c r="T48" i="32" s="1"/>
  <c r="R48" i="32"/>
  <c r="G49" i="32"/>
  <c r="G230" i="32" s="1"/>
  <c r="N49" i="32"/>
  <c r="O230" i="32" s="1"/>
  <c r="U49" i="32"/>
  <c r="G50" i="32"/>
  <c r="G251" i="32" s="1"/>
  <c r="N50" i="32"/>
  <c r="U50" i="32"/>
  <c r="G51" i="32"/>
  <c r="N51" i="32"/>
  <c r="O272" i="32" s="1"/>
  <c r="U51" i="32"/>
  <c r="W272" i="32" s="1"/>
  <c r="G52" i="32"/>
  <c r="N52" i="32"/>
  <c r="U52" i="32"/>
  <c r="W293" i="32" s="1"/>
  <c r="G53" i="32"/>
  <c r="N53" i="32"/>
  <c r="U53" i="32"/>
  <c r="G54" i="32"/>
  <c r="N54" i="32"/>
  <c r="O335" i="32" s="1"/>
  <c r="U54" i="32"/>
  <c r="W335" i="32" s="1"/>
  <c r="G55" i="32"/>
  <c r="N55" i="32"/>
  <c r="U55" i="32"/>
  <c r="I57" i="32"/>
  <c r="P57" i="32"/>
  <c r="K59" i="32"/>
  <c r="R59" i="32" s="1"/>
  <c r="L59" i="32"/>
  <c r="S59" i="32" s="1"/>
  <c r="M59" i="32"/>
  <c r="T59" i="32" s="1"/>
  <c r="G60" i="32"/>
  <c r="N60" i="32"/>
  <c r="U60" i="32"/>
  <c r="G61" i="32"/>
  <c r="G252" i="32" s="1"/>
  <c r="N61" i="32"/>
  <c r="U61" i="32"/>
  <c r="G62" i="32"/>
  <c r="N62" i="32"/>
  <c r="U62" i="32"/>
  <c r="G63" i="32"/>
  <c r="N63" i="32"/>
  <c r="U63" i="32"/>
  <c r="G64" i="32"/>
  <c r="G315" i="32" s="1"/>
  <c r="N64" i="32"/>
  <c r="U64" i="32"/>
  <c r="W315" i="32" s="1"/>
  <c r="G65" i="32"/>
  <c r="N65" i="32"/>
  <c r="U65" i="32"/>
  <c r="G66" i="32"/>
  <c r="N66" i="32"/>
  <c r="U66" i="32"/>
  <c r="W357" i="32" s="1"/>
  <c r="I68" i="32"/>
  <c r="P68" i="32"/>
  <c r="K70" i="32"/>
  <c r="R70" i="32" s="1"/>
  <c r="L70" i="32"/>
  <c r="M70" i="32"/>
  <c r="S70" i="32"/>
  <c r="T70" i="32"/>
  <c r="G71" i="32"/>
  <c r="N71" i="32"/>
  <c r="O232" i="32" s="1"/>
  <c r="U71" i="32"/>
  <c r="G72" i="32"/>
  <c r="N72" i="32"/>
  <c r="U72" i="32"/>
  <c r="G73" i="32"/>
  <c r="N73" i="32"/>
  <c r="U73" i="32"/>
  <c r="G74" i="32"/>
  <c r="G295" i="32" s="1"/>
  <c r="N74" i="32"/>
  <c r="U74" i="32"/>
  <c r="G75" i="32"/>
  <c r="N75" i="32"/>
  <c r="U75" i="32"/>
  <c r="G76" i="32"/>
  <c r="G337" i="32" s="1"/>
  <c r="N76" i="32"/>
  <c r="U76" i="32"/>
  <c r="G77" i="32"/>
  <c r="G358" i="32" s="1"/>
  <c r="N77" i="32"/>
  <c r="U77" i="32"/>
  <c r="I79" i="32"/>
  <c r="P79" i="32"/>
  <c r="K81" i="32"/>
  <c r="R81" i="32" s="1"/>
  <c r="L81" i="32"/>
  <c r="M81" i="32"/>
  <c r="T81" i="32" s="1"/>
  <c r="S81" i="32"/>
  <c r="G82" i="32"/>
  <c r="G233" i="32" s="1"/>
  <c r="N82" i="32"/>
  <c r="O233" i="32" s="1"/>
  <c r="U82" i="32"/>
  <c r="G83" i="32"/>
  <c r="N83" i="32"/>
  <c r="U83" i="32"/>
  <c r="G84" i="32"/>
  <c r="N84" i="32"/>
  <c r="U84" i="32"/>
  <c r="G85" i="32"/>
  <c r="G296" i="32" s="1"/>
  <c r="N85" i="32"/>
  <c r="O296" i="32" s="1"/>
  <c r="U85" i="32"/>
  <c r="G86" i="32"/>
  <c r="N86" i="32"/>
  <c r="O317" i="32" s="1"/>
  <c r="U86" i="32"/>
  <c r="G87" i="32"/>
  <c r="N87" i="32"/>
  <c r="O338" i="32" s="1"/>
  <c r="U87" i="32"/>
  <c r="G88" i="32"/>
  <c r="N88" i="32"/>
  <c r="U88" i="32"/>
  <c r="I90" i="32"/>
  <c r="P90" i="32" s="1"/>
  <c r="K92" i="32"/>
  <c r="L92" i="32"/>
  <c r="S92" i="32" s="1"/>
  <c r="M92" i="32"/>
  <c r="T92" i="32" s="1"/>
  <c r="R92" i="32"/>
  <c r="G93" i="32"/>
  <c r="G234" i="32" s="1"/>
  <c r="N93" i="32"/>
  <c r="U93" i="32"/>
  <c r="G94" i="32"/>
  <c r="G255" i="32" s="1"/>
  <c r="N94" i="32"/>
  <c r="U94" i="32"/>
  <c r="G95" i="32"/>
  <c r="N95" i="32"/>
  <c r="U95" i="32"/>
  <c r="G96" i="32"/>
  <c r="N96" i="32"/>
  <c r="U96" i="32"/>
  <c r="W297" i="32" s="1"/>
  <c r="G97" i="32"/>
  <c r="N97" i="32"/>
  <c r="O318" i="32" s="1"/>
  <c r="U97" i="32"/>
  <c r="G98" i="32"/>
  <c r="N98" i="32"/>
  <c r="U98" i="32"/>
  <c r="G99" i="32"/>
  <c r="N99" i="32"/>
  <c r="O360" i="32" s="1"/>
  <c r="U99" i="32"/>
  <c r="W360" i="32" s="1"/>
  <c r="I101" i="32"/>
  <c r="P101" i="32" s="1"/>
  <c r="K103" i="32"/>
  <c r="R103" i="32" s="1"/>
  <c r="L103" i="32"/>
  <c r="M103" i="32"/>
  <c r="S103" i="32"/>
  <c r="T103" i="32"/>
  <c r="G104" i="32"/>
  <c r="G235" i="32" s="1"/>
  <c r="N104" i="32"/>
  <c r="U104" i="32"/>
  <c r="G105" i="32"/>
  <c r="G256" i="32" s="1"/>
  <c r="N105" i="32"/>
  <c r="U105" i="32"/>
  <c r="G106" i="32"/>
  <c r="N106" i="32"/>
  <c r="U106" i="32"/>
  <c r="W277" i="32" s="1"/>
  <c r="G107" i="32"/>
  <c r="N107" i="32"/>
  <c r="U107" i="32"/>
  <c r="W298" i="32" s="1"/>
  <c r="G108" i="32"/>
  <c r="N108" i="32"/>
  <c r="U108" i="32"/>
  <c r="G109" i="32"/>
  <c r="N109" i="32"/>
  <c r="O340" i="32" s="1"/>
  <c r="U109" i="32"/>
  <c r="G110" i="32"/>
  <c r="N110" i="32"/>
  <c r="U110" i="32"/>
  <c r="I112" i="32"/>
  <c r="P112" i="32"/>
  <c r="K114" i="32"/>
  <c r="R114" i="32" s="1"/>
  <c r="L114" i="32"/>
  <c r="S114" i="32" s="1"/>
  <c r="M114" i="32"/>
  <c r="T114" i="32"/>
  <c r="G115" i="32"/>
  <c r="N115" i="32"/>
  <c r="O236" i="32" s="1"/>
  <c r="U115" i="32"/>
  <c r="G116" i="32"/>
  <c r="G257" i="32" s="1"/>
  <c r="N116" i="32"/>
  <c r="U116" i="32"/>
  <c r="G117" i="32"/>
  <c r="N117" i="32"/>
  <c r="U117" i="32"/>
  <c r="G118" i="32"/>
  <c r="G299" i="32" s="1"/>
  <c r="N118" i="32"/>
  <c r="U118" i="32"/>
  <c r="W299" i="32" s="1"/>
  <c r="G119" i="32"/>
  <c r="N119" i="32"/>
  <c r="U119" i="32"/>
  <c r="G120" i="32"/>
  <c r="N120" i="32"/>
  <c r="U120" i="32"/>
  <c r="G121" i="32"/>
  <c r="G362" i="32" s="1"/>
  <c r="N121" i="32"/>
  <c r="O362" i="32" s="1"/>
  <c r="U121" i="32"/>
  <c r="I123" i="32"/>
  <c r="P123" i="32"/>
  <c r="K125" i="32"/>
  <c r="L125" i="32"/>
  <c r="M125" i="32"/>
  <c r="T125" i="32" s="1"/>
  <c r="R125" i="32"/>
  <c r="S125" i="32"/>
  <c r="G126" i="32"/>
  <c r="G237" i="32" s="1"/>
  <c r="N126" i="32"/>
  <c r="O237" i="32" s="1"/>
  <c r="U126" i="32"/>
  <c r="G127" i="32"/>
  <c r="N127" i="32"/>
  <c r="U127" i="32"/>
  <c r="G128" i="32"/>
  <c r="N128" i="32"/>
  <c r="U128" i="32"/>
  <c r="G129" i="32"/>
  <c r="N129" i="32"/>
  <c r="U129" i="32"/>
  <c r="G130" i="32"/>
  <c r="G321" i="32" s="1"/>
  <c r="N130" i="32"/>
  <c r="O321" i="32" s="1"/>
  <c r="U130" i="32"/>
  <c r="G131" i="32"/>
  <c r="N131" i="32"/>
  <c r="U131" i="32"/>
  <c r="G132" i="32"/>
  <c r="N132" i="32"/>
  <c r="U132" i="32"/>
  <c r="I134" i="32"/>
  <c r="P134" i="32"/>
  <c r="K136" i="32"/>
  <c r="R136" i="32" s="1"/>
  <c r="L136" i="32"/>
  <c r="S136" i="32" s="1"/>
  <c r="M136" i="32"/>
  <c r="T136" i="32"/>
  <c r="G137" i="32"/>
  <c r="G238" i="32" s="1"/>
  <c r="N137" i="32"/>
  <c r="O238" i="32" s="1"/>
  <c r="U137" i="32"/>
  <c r="G138" i="32"/>
  <c r="G259" i="32" s="1"/>
  <c r="N138" i="32"/>
  <c r="U138" i="32"/>
  <c r="G139" i="32"/>
  <c r="N139" i="32"/>
  <c r="U139" i="32"/>
  <c r="G140" i="32"/>
  <c r="N140" i="32"/>
  <c r="U140" i="32"/>
  <c r="W301" i="32" s="1"/>
  <c r="G141" i="32"/>
  <c r="N141" i="32"/>
  <c r="U141" i="32"/>
  <c r="G142" i="32"/>
  <c r="N142" i="32"/>
  <c r="O343" i="32" s="1"/>
  <c r="U142" i="32"/>
  <c r="W343" i="32" s="1"/>
  <c r="G143" i="32"/>
  <c r="N143" i="32"/>
  <c r="U143" i="32"/>
  <c r="W364" i="32" s="1"/>
  <c r="I145" i="32"/>
  <c r="P145" i="32"/>
  <c r="K147" i="32"/>
  <c r="R147" i="32" s="1"/>
  <c r="L147" i="32"/>
  <c r="S147" i="32" s="1"/>
  <c r="M147" i="32"/>
  <c r="T147" i="32" s="1"/>
  <c r="G148" i="32"/>
  <c r="N148" i="32"/>
  <c r="U148" i="32"/>
  <c r="G149" i="32"/>
  <c r="G260" i="32" s="1"/>
  <c r="N149" i="32"/>
  <c r="O260" i="32" s="1"/>
  <c r="U149" i="32"/>
  <c r="G150" i="32"/>
  <c r="N150" i="32"/>
  <c r="U150" i="32"/>
  <c r="G151" i="32"/>
  <c r="N151" i="32"/>
  <c r="U151" i="32"/>
  <c r="G152" i="32"/>
  <c r="G323" i="32" s="1"/>
  <c r="N152" i="32"/>
  <c r="U152" i="32"/>
  <c r="W323" i="32" s="1"/>
  <c r="G153" i="32"/>
  <c r="N153" i="32"/>
  <c r="U153" i="32"/>
  <c r="G154" i="32"/>
  <c r="N154" i="32"/>
  <c r="U154" i="32"/>
  <c r="W365" i="32" s="1"/>
  <c r="I156" i="32"/>
  <c r="P156" i="32"/>
  <c r="K158" i="32"/>
  <c r="L158" i="32"/>
  <c r="M158" i="32"/>
  <c r="R158" i="32"/>
  <c r="S158" i="32"/>
  <c r="T158" i="32"/>
  <c r="G159" i="32"/>
  <c r="N159" i="32"/>
  <c r="O240" i="32" s="1"/>
  <c r="U159" i="32"/>
  <c r="G160" i="32"/>
  <c r="N160" i="32"/>
  <c r="U160" i="32"/>
  <c r="G161" i="32"/>
  <c r="N161" i="32"/>
  <c r="O282" i="32" s="1"/>
  <c r="U161" i="32"/>
  <c r="G162" i="32"/>
  <c r="G303" i="32" s="1"/>
  <c r="N162" i="32"/>
  <c r="U162" i="32"/>
  <c r="G163" i="32"/>
  <c r="N163" i="32"/>
  <c r="U163" i="32"/>
  <c r="G164" i="32"/>
  <c r="G345" i="32" s="1"/>
  <c r="N164" i="32"/>
  <c r="U164" i="32"/>
  <c r="G165" i="32"/>
  <c r="G366" i="32" s="1"/>
  <c r="N165" i="32"/>
  <c r="U165" i="32"/>
  <c r="I167" i="32"/>
  <c r="P167" i="32"/>
  <c r="K169" i="32"/>
  <c r="R169" i="32" s="1"/>
  <c r="L169" i="32"/>
  <c r="M169" i="32"/>
  <c r="T169" i="32" s="1"/>
  <c r="S169" i="32"/>
  <c r="G170" i="32"/>
  <c r="G241" i="32" s="1"/>
  <c r="N170" i="32"/>
  <c r="O241" i="32" s="1"/>
  <c r="U170" i="32"/>
  <c r="G171" i="32"/>
  <c r="N171" i="32"/>
  <c r="U171" i="32"/>
  <c r="G172" i="32"/>
  <c r="N172" i="32"/>
  <c r="U172" i="32"/>
  <c r="G173" i="32"/>
  <c r="G304" i="32" s="1"/>
  <c r="N173" i="32"/>
  <c r="O304" i="32" s="1"/>
  <c r="U173" i="32"/>
  <c r="G174" i="32"/>
  <c r="N174" i="32"/>
  <c r="O325" i="32" s="1"/>
  <c r="U174" i="32"/>
  <c r="G175" i="32"/>
  <c r="N175" i="32"/>
  <c r="O346" i="32" s="1"/>
  <c r="U175" i="32"/>
  <c r="G176" i="32"/>
  <c r="N176" i="32"/>
  <c r="U176" i="32"/>
  <c r="I178" i="32"/>
  <c r="P178" i="32" s="1"/>
  <c r="K180" i="32"/>
  <c r="L180" i="32"/>
  <c r="S180" i="32" s="1"/>
  <c r="M180" i="32"/>
  <c r="T180" i="32" s="1"/>
  <c r="R180" i="32"/>
  <c r="G181" i="32"/>
  <c r="G242" i="32" s="1"/>
  <c r="N181" i="32"/>
  <c r="U181" i="32"/>
  <c r="G182" i="32"/>
  <c r="G263" i="32" s="1"/>
  <c r="N182" i="32"/>
  <c r="U182" i="32"/>
  <c r="G183" i="32"/>
  <c r="N183" i="32"/>
  <c r="U183" i="32"/>
  <c r="G184" i="32"/>
  <c r="N184" i="32"/>
  <c r="U184" i="32"/>
  <c r="W305" i="32" s="1"/>
  <c r="G185" i="32"/>
  <c r="N185" i="32"/>
  <c r="O326" i="32" s="1"/>
  <c r="U185" i="32"/>
  <c r="G186" i="32"/>
  <c r="N186" i="32"/>
  <c r="U186" i="32"/>
  <c r="G187" i="32"/>
  <c r="N187" i="32"/>
  <c r="O368" i="32" s="1"/>
  <c r="U187" i="32"/>
  <c r="W368" i="32" s="1"/>
  <c r="I189" i="32"/>
  <c r="P189" i="32" s="1"/>
  <c r="K191" i="32"/>
  <c r="R191" i="32" s="1"/>
  <c r="L191" i="32"/>
  <c r="M191" i="32"/>
  <c r="S191" i="32"/>
  <c r="T191" i="32"/>
  <c r="G192" i="32"/>
  <c r="G243" i="32" s="1"/>
  <c r="N192" i="32"/>
  <c r="U192" i="32"/>
  <c r="G193" i="32"/>
  <c r="G264" i="32" s="1"/>
  <c r="N193" i="32"/>
  <c r="U193" i="32"/>
  <c r="G194" i="32"/>
  <c r="N194" i="32"/>
  <c r="O285" i="32" s="1"/>
  <c r="U194" i="32"/>
  <c r="G195" i="32"/>
  <c r="N195" i="32"/>
  <c r="U195" i="32"/>
  <c r="W306" i="32" s="1"/>
  <c r="G196" i="32"/>
  <c r="N196" i="32"/>
  <c r="U196" i="32"/>
  <c r="G197" i="32"/>
  <c r="G348" i="32" s="1"/>
  <c r="N197" i="32"/>
  <c r="U197" i="32"/>
  <c r="G198" i="32"/>
  <c r="N198" i="32"/>
  <c r="U198" i="32"/>
  <c r="I200" i="32"/>
  <c r="P200" i="32"/>
  <c r="K202" i="32"/>
  <c r="R202" i="32" s="1"/>
  <c r="L202" i="32"/>
  <c r="S202" i="32" s="1"/>
  <c r="M202" i="32"/>
  <c r="T202" i="32"/>
  <c r="G203" i="32"/>
  <c r="G244" i="32" s="1"/>
  <c r="N203" i="32"/>
  <c r="O244" i="32" s="1"/>
  <c r="U203" i="32"/>
  <c r="W244" i="32" s="1"/>
  <c r="G204" i="32"/>
  <c r="G265" i="32" s="1"/>
  <c r="N204" i="32"/>
  <c r="U204" i="32"/>
  <c r="G205" i="32"/>
  <c r="N205" i="32"/>
  <c r="U205" i="32"/>
  <c r="G206" i="32"/>
  <c r="G307" i="32" s="1"/>
  <c r="N206" i="32"/>
  <c r="O307" i="32" s="1"/>
  <c r="U206" i="32"/>
  <c r="G207" i="32"/>
  <c r="N207" i="32"/>
  <c r="U207" i="32"/>
  <c r="G208" i="32"/>
  <c r="N208" i="32"/>
  <c r="U208" i="32"/>
  <c r="G209" i="32"/>
  <c r="G370" i="32" s="1"/>
  <c r="N209" i="32"/>
  <c r="U209" i="32"/>
  <c r="I211" i="32"/>
  <c r="P211" i="32"/>
  <c r="K213" i="32"/>
  <c r="L213" i="32"/>
  <c r="M213" i="32"/>
  <c r="T213" i="32" s="1"/>
  <c r="R213" i="32"/>
  <c r="S213" i="32"/>
  <c r="G214" i="32"/>
  <c r="G245" i="32" s="1"/>
  <c r="N214" i="32"/>
  <c r="O245" i="32" s="1"/>
  <c r="U214" i="32"/>
  <c r="G215" i="32"/>
  <c r="G266" i="32" s="1"/>
  <c r="N215" i="32"/>
  <c r="U215" i="32"/>
  <c r="G216" i="32"/>
  <c r="N216" i="32"/>
  <c r="U216" i="32"/>
  <c r="G217" i="32"/>
  <c r="N217" i="32"/>
  <c r="U217" i="32"/>
  <c r="G218" i="32"/>
  <c r="G329" i="32" s="1"/>
  <c r="N218" i="32"/>
  <c r="O329" i="32" s="1"/>
  <c r="U218" i="32"/>
  <c r="G219" i="32"/>
  <c r="N219" i="32"/>
  <c r="O350" i="32" s="1"/>
  <c r="U219" i="32"/>
  <c r="G220" i="32"/>
  <c r="N220" i="32"/>
  <c r="U220" i="32"/>
  <c r="Z225" i="32"/>
  <c r="C226" i="32"/>
  <c r="D226" i="32"/>
  <c r="E226" i="32"/>
  <c r="F226" i="32"/>
  <c r="K226" i="32"/>
  <c r="L226" i="32"/>
  <c r="M226" i="32"/>
  <c r="N226" i="32"/>
  <c r="O226" i="32"/>
  <c r="S226" i="32"/>
  <c r="T226" i="32"/>
  <c r="U226" i="32"/>
  <c r="V226" i="32"/>
  <c r="W226" i="32"/>
  <c r="Z226" i="32"/>
  <c r="C227" i="32"/>
  <c r="D227" i="32"/>
  <c r="E227" i="32"/>
  <c r="F227" i="32"/>
  <c r="K227" i="32"/>
  <c r="L227" i="32"/>
  <c r="M227" i="32"/>
  <c r="N227" i="32"/>
  <c r="O227" i="32"/>
  <c r="S227" i="32"/>
  <c r="T227" i="32"/>
  <c r="U227" i="32"/>
  <c r="V227" i="32"/>
  <c r="W227" i="32"/>
  <c r="Z227" i="32"/>
  <c r="C228" i="32"/>
  <c r="D228" i="32"/>
  <c r="E228" i="32"/>
  <c r="F228" i="32"/>
  <c r="G228" i="32"/>
  <c r="K228" i="32"/>
  <c r="L228" i="32"/>
  <c r="M228" i="32"/>
  <c r="N228" i="32"/>
  <c r="S228" i="32"/>
  <c r="T228" i="32"/>
  <c r="U228" i="32"/>
  <c r="V228" i="32"/>
  <c r="W228" i="32"/>
  <c r="Z228" i="32"/>
  <c r="C229" i="32"/>
  <c r="D229" i="32"/>
  <c r="E229" i="32"/>
  <c r="F229" i="32"/>
  <c r="K229" i="32"/>
  <c r="L229" i="32"/>
  <c r="M229" i="32"/>
  <c r="N229" i="32"/>
  <c r="S229" i="32"/>
  <c r="T229" i="32"/>
  <c r="U229" i="32"/>
  <c r="V229" i="32"/>
  <c r="W229" i="32"/>
  <c r="Z229" i="32"/>
  <c r="C230" i="32"/>
  <c r="D230" i="32"/>
  <c r="E230" i="32"/>
  <c r="F230" i="32"/>
  <c r="K230" i="32"/>
  <c r="L230" i="32"/>
  <c r="M230" i="32"/>
  <c r="N230" i="32"/>
  <c r="S230" i="32"/>
  <c r="T230" i="32"/>
  <c r="U230" i="32"/>
  <c r="V230" i="32"/>
  <c r="W230" i="32"/>
  <c r="Z230" i="32"/>
  <c r="C231" i="32"/>
  <c r="D231" i="32"/>
  <c r="E231" i="32"/>
  <c r="F231" i="32"/>
  <c r="G231" i="32"/>
  <c r="K231" i="32"/>
  <c r="L231" i="32"/>
  <c r="M231" i="32"/>
  <c r="N231" i="32"/>
  <c r="O231" i="32"/>
  <c r="S231" i="32"/>
  <c r="T231" i="32"/>
  <c r="U231" i="32"/>
  <c r="V231" i="32"/>
  <c r="W231" i="32"/>
  <c r="Z231" i="32"/>
  <c r="C232" i="32"/>
  <c r="D232" i="32"/>
  <c r="E232" i="32"/>
  <c r="F232" i="32"/>
  <c r="G232" i="32"/>
  <c r="K232" i="32"/>
  <c r="L232" i="32"/>
  <c r="M232" i="32"/>
  <c r="N232" i="32"/>
  <c r="S232" i="32"/>
  <c r="T232" i="32"/>
  <c r="U232" i="32"/>
  <c r="V232" i="32"/>
  <c r="W232" i="32"/>
  <c r="Z232" i="32"/>
  <c r="C233" i="32"/>
  <c r="D233" i="32"/>
  <c r="E233" i="32"/>
  <c r="F233" i="32"/>
  <c r="K233" i="32"/>
  <c r="L233" i="32"/>
  <c r="M233" i="32"/>
  <c r="N233" i="32"/>
  <c r="S233" i="32"/>
  <c r="T233" i="32"/>
  <c r="U233" i="32"/>
  <c r="V233" i="32"/>
  <c r="W233" i="32"/>
  <c r="Z233" i="32"/>
  <c r="C234" i="32"/>
  <c r="D234" i="32"/>
  <c r="E234" i="32"/>
  <c r="F234" i="32"/>
  <c r="K234" i="32"/>
  <c r="L234" i="32"/>
  <c r="M234" i="32"/>
  <c r="N234" i="32"/>
  <c r="O234" i="32"/>
  <c r="S234" i="32"/>
  <c r="T234" i="32"/>
  <c r="U234" i="32"/>
  <c r="V234" i="32"/>
  <c r="W234" i="32"/>
  <c r="Z234" i="32"/>
  <c r="C235" i="32"/>
  <c r="D235" i="32"/>
  <c r="E235" i="32"/>
  <c r="F235" i="32"/>
  <c r="K235" i="32"/>
  <c r="L235" i="32"/>
  <c r="M235" i="32"/>
  <c r="N235" i="32"/>
  <c r="O235" i="32"/>
  <c r="S235" i="32"/>
  <c r="T235" i="32"/>
  <c r="U235" i="32"/>
  <c r="V235" i="32"/>
  <c r="W235" i="32"/>
  <c r="Z235" i="32"/>
  <c r="C236" i="32"/>
  <c r="D236" i="32"/>
  <c r="E236" i="32"/>
  <c r="F236" i="32"/>
  <c r="G236" i="32"/>
  <c r="K236" i="32"/>
  <c r="L236" i="32"/>
  <c r="M236" i="32"/>
  <c r="N236" i="32"/>
  <c r="S236" i="32"/>
  <c r="T236" i="32"/>
  <c r="U236" i="32"/>
  <c r="V236" i="32"/>
  <c r="W236" i="32"/>
  <c r="Z236" i="32"/>
  <c r="C237" i="32"/>
  <c r="D237" i="32"/>
  <c r="E237" i="32"/>
  <c r="F237" i="32"/>
  <c r="K237" i="32"/>
  <c r="L237" i="32"/>
  <c r="M237" i="32"/>
  <c r="N237" i="32"/>
  <c r="S237" i="32"/>
  <c r="T237" i="32"/>
  <c r="U237" i="32"/>
  <c r="V237" i="32"/>
  <c r="W237" i="32"/>
  <c r="Z237" i="32"/>
  <c r="C238" i="32"/>
  <c r="D238" i="32"/>
  <c r="E238" i="32"/>
  <c r="F238" i="32"/>
  <c r="K238" i="32"/>
  <c r="L238" i="32"/>
  <c r="M238" i="32"/>
  <c r="N238" i="32"/>
  <c r="S238" i="32"/>
  <c r="T238" i="32"/>
  <c r="U238" i="32"/>
  <c r="V238" i="32"/>
  <c r="W238" i="32"/>
  <c r="Z238" i="32"/>
  <c r="C239" i="32"/>
  <c r="D239" i="32"/>
  <c r="E239" i="32"/>
  <c r="F239" i="32"/>
  <c r="G239" i="32"/>
  <c r="K239" i="32"/>
  <c r="L239" i="32"/>
  <c r="M239" i="32"/>
  <c r="N239" i="32"/>
  <c r="O239" i="32"/>
  <c r="S239" i="32"/>
  <c r="T239" i="32"/>
  <c r="U239" i="32"/>
  <c r="V239" i="32"/>
  <c r="W239" i="32"/>
  <c r="Z239" i="32"/>
  <c r="C240" i="32"/>
  <c r="D240" i="32"/>
  <c r="E240" i="32"/>
  <c r="F240" i="32"/>
  <c r="G240" i="32"/>
  <c r="K240" i="32"/>
  <c r="L240" i="32"/>
  <c r="M240" i="32"/>
  <c r="N240" i="32"/>
  <c r="S240" i="32"/>
  <c r="T240" i="32"/>
  <c r="U240" i="32"/>
  <c r="V240" i="32"/>
  <c r="W240" i="32"/>
  <c r="Z240" i="32"/>
  <c r="C241" i="32"/>
  <c r="D241" i="32"/>
  <c r="E241" i="32"/>
  <c r="F241" i="32"/>
  <c r="K241" i="32"/>
  <c r="L241" i="32"/>
  <c r="M241" i="32"/>
  <c r="N241" i="32"/>
  <c r="S241" i="32"/>
  <c r="T241" i="32"/>
  <c r="U241" i="32"/>
  <c r="V241" i="32"/>
  <c r="W241" i="32"/>
  <c r="Z241" i="32"/>
  <c r="C242" i="32"/>
  <c r="D242" i="32"/>
  <c r="E242" i="32"/>
  <c r="F242" i="32"/>
  <c r="K242" i="32"/>
  <c r="L242" i="32"/>
  <c r="M242" i="32"/>
  <c r="N242" i="32"/>
  <c r="O242" i="32"/>
  <c r="S242" i="32"/>
  <c r="T242" i="32"/>
  <c r="U242" i="32"/>
  <c r="V242" i="32"/>
  <c r="W242" i="32"/>
  <c r="Z242" i="32"/>
  <c r="C243" i="32"/>
  <c r="D243" i="32"/>
  <c r="E243" i="32"/>
  <c r="F243" i="32"/>
  <c r="K243" i="32"/>
  <c r="L243" i="32"/>
  <c r="M243" i="32"/>
  <c r="N243" i="32"/>
  <c r="O243" i="32"/>
  <c r="S243" i="32"/>
  <c r="T243" i="32"/>
  <c r="U243" i="32"/>
  <c r="V243" i="32"/>
  <c r="W243" i="32"/>
  <c r="Z243" i="32"/>
  <c r="C244" i="32"/>
  <c r="D244" i="32"/>
  <c r="E244" i="32"/>
  <c r="F244" i="32"/>
  <c r="K244" i="32"/>
  <c r="L244" i="32"/>
  <c r="M244" i="32"/>
  <c r="N244" i="32"/>
  <c r="S244" i="32"/>
  <c r="T244" i="32"/>
  <c r="U244" i="32"/>
  <c r="V244" i="32"/>
  <c r="Z244" i="32"/>
  <c r="C245" i="32"/>
  <c r="D245" i="32"/>
  <c r="E245" i="32"/>
  <c r="F245" i="32"/>
  <c r="K245" i="32"/>
  <c r="L245" i="32"/>
  <c r="M245" i="32"/>
  <c r="N245" i="32"/>
  <c r="S245" i="32"/>
  <c r="T245" i="32"/>
  <c r="U245" i="32"/>
  <c r="V245" i="32"/>
  <c r="W245" i="32"/>
  <c r="C247" i="32"/>
  <c r="D247" i="32"/>
  <c r="E247" i="32"/>
  <c r="F247" i="32"/>
  <c r="G247" i="32"/>
  <c r="K247" i="32"/>
  <c r="L247" i="32"/>
  <c r="M247" i="32"/>
  <c r="N247" i="32"/>
  <c r="O247" i="32"/>
  <c r="S247" i="32"/>
  <c r="T247" i="32"/>
  <c r="U247" i="32"/>
  <c r="V247" i="32"/>
  <c r="C248" i="32"/>
  <c r="D248" i="32"/>
  <c r="E248" i="32"/>
  <c r="F248" i="32"/>
  <c r="G248" i="32"/>
  <c r="K248" i="32"/>
  <c r="L248" i="32"/>
  <c r="M248" i="32"/>
  <c r="N248" i="32"/>
  <c r="O248" i="32"/>
  <c r="S248" i="32"/>
  <c r="T248" i="32"/>
  <c r="U248" i="32"/>
  <c r="V248" i="32"/>
  <c r="W248" i="32"/>
  <c r="C249" i="32"/>
  <c r="D249" i="32"/>
  <c r="E249" i="32"/>
  <c r="F249" i="32"/>
  <c r="K249" i="32"/>
  <c r="L249" i="32"/>
  <c r="M249" i="32"/>
  <c r="N249" i="32"/>
  <c r="O249" i="32"/>
  <c r="S249" i="32"/>
  <c r="T249" i="32"/>
  <c r="U249" i="32"/>
  <c r="V249" i="32"/>
  <c r="W249" i="32"/>
  <c r="Z249" i="32"/>
  <c r="C250" i="32"/>
  <c r="D250" i="32"/>
  <c r="E250" i="32"/>
  <c r="F250" i="32"/>
  <c r="G250" i="32"/>
  <c r="K250" i="32"/>
  <c r="L250" i="32"/>
  <c r="M250" i="32"/>
  <c r="N250" i="32"/>
  <c r="O250" i="32"/>
  <c r="S250" i="32"/>
  <c r="T250" i="32"/>
  <c r="U250" i="32"/>
  <c r="V250" i="32"/>
  <c r="W250" i="32"/>
  <c r="Z250" i="32"/>
  <c r="C251" i="32"/>
  <c r="D251" i="32"/>
  <c r="E251" i="32"/>
  <c r="F251" i="32"/>
  <c r="K251" i="32"/>
  <c r="L251" i="32"/>
  <c r="M251" i="32"/>
  <c r="N251" i="32"/>
  <c r="O251" i="32"/>
  <c r="S251" i="32"/>
  <c r="T251" i="32"/>
  <c r="U251" i="32"/>
  <c r="V251" i="32"/>
  <c r="W251" i="32"/>
  <c r="Z251" i="32"/>
  <c r="C252" i="32"/>
  <c r="D252" i="32"/>
  <c r="E252" i="32"/>
  <c r="F252" i="32"/>
  <c r="K252" i="32"/>
  <c r="L252" i="32"/>
  <c r="M252" i="32"/>
  <c r="N252" i="32"/>
  <c r="O252" i="32"/>
  <c r="S252" i="32"/>
  <c r="T252" i="32"/>
  <c r="U252" i="32"/>
  <c r="V252" i="32"/>
  <c r="W252" i="32"/>
  <c r="Z252" i="32"/>
  <c r="C253" i="32"/>
  <c r="D253" i="32"/>
  <c r="E253" i="32"/>
  <c r="F253" i="32"/>
  <c r="G253" i="32"/>
  <c r="K253" i="32"/>
  <c r="L253" i="32"/>
  <c r="M253" i="32"/>
  <c r="N253" i="32"/>
  <c r="O253" i="32"/>
  <c r="S253" i="32"/>
  <c r="T253" i="32"/>
  <c r="U253" i="32"/>
  <c r="V253" i="32"/>
  <c r="W253" i="32"/>
  <c r="Z253" i="32"/>
  <c r="C254" i="32"/>
  <c r="D254" i="32"/>
  <c r="E254" i="32"/>
  <c r="F254" i="32"/>
  <c r="G254" i="32"/>
  <c r="K254" i="32"/>
  <c r="L254" i="32"/>
  <c r="M254" i="32"/>
  <c r="N254" i="32"/>
  <c r="O254" i="32"/>
  <c r="S254" i="32"/>
  <c r="T254" i="32"/>
  <c r="U254" i="32"/>
  <c r="V254" i="32"/>
  <c r="W254" i="32"/>
  <c r="Z254" i="32"/>
  <c r="C255" i="32"/>
  <c r="D255" i="32"/>
  <c r="E255" i="32"/>
  <c r="F255" i="32"/>
  <c r="K255" i="32"/>
  <c r="L255" i="32"/>
  <c r="M255" i="32"/>
  <c r="N255" i="32"/>
  <c r="O255" i="32"/>
  <c r="S255" i="32"/>
  <c r="T255" i="32"/>
  <c r="U255" i="32"/>
  <c r="V255" i="32"/>
  <c r="W255" i="32"/>
  <c r="Z255" i="32"/>
  <c r="C256" i="32"/>
  <c r="D256" i="32"/>
  <c r="E256" i="32"/>
  <c r="F256" i="32"/>
  <c r="K256" i="32"/>
  <c r="L256" i="32"/>
  <c r="M256" i="32"/>
  <c r="N256" i="32"/>
  <c r="O256" i="32"/>
  <c r="S256" i="32"/>
  <c r="T256" i="32"/>
  <c r="U256" i="32"/>
  <c r="V256" i="32"/>
  <c r="W256" i="32"/>
  <c r="Z256" i="32"/>
  <c r="C257" i="32"/>
  <c r="D257" i="32"/>
  <c r="E257" i="32"/>
  <c r="F257" i="32"/>
  <c r="K257" i="32"/>
  <c r="L257" i="32"/>
  <c r="M257" i="32"/>
  <c r="N257" i="32"/>
  <c r="O257" i="32"/>
  <c r="S257" i="32"/>
  <c r="T257" i="32"/>
  <c r="U257" i="32"/>
  <c r="V257" i="32"/>
  <c r="W257" i="32"/>
  <c r="Z257" i="32"/>
  <c r="C258" i="32"/>
  <c r="D258" i="32"/>
  <c r="E258" i="32"/>
  <c r="F258" i="32"/>
  <c r="G258" i="32"/>
  <c r="K258" i="32"/>
  <c r="L258" i="32"/>
  <c r="M258" i="32"/>
  <c r="N258" i="32"/>
  <c r="O258" i="32"/>
  <c r="S258" i="32"/>
  <c r="T258" i="32"/>
  <c r="U258" i="32"/>
  <c r="V258" i="32"/>
  <c r="W258" i="32"/>
  <c r="Z258" i="32"/>
  <c r="C259" i="32"/>
  <c r="D259" i="32"/>
  <c r="E259" i="32"/>
  <c r="F259" i="32"/>
  <c r="K259" i="32"/>
  <c r="L259" i="32"/>
  <c r="M259" i="32"/>
  <c r="N259" i="32"/>
  <c r="O259" i="32"/>
  <c r="S259" i="32"/>
  <c r="T259" i="32"/>
  <c r="U259" i="32"/>
  <c r="V259" i="32"/>
  <c r="W259" i="32"/>
  <c r="Z259" i="32"/>
  <c r="C260" i="32"/>
  <c r="D260" i="32"/>
  <c r="E260" i="32"/>
  <c r="F260" i="32"/>
  <c r="K260" i="32"/>
  <c r="L260" i="32"/>
  <c r="M260" i="32"/>
  <c r="N260" i="32"/>
  <c r="S260" i="32"/>
  <c r="T260" i="32"/>
  <c r="U260" i="32"/>
  <c r="V260" i="32"/>
  <c r="W260" i="32"/>
  <c r="Z260" i="32"/>
  <c r="C261" i="32"/>
  <c r="D261" i="32"/>
  <c r="E261" i="32"/>
  <c r="F261" i="32"/>
  <c r="G261" i="32"/>
  <c r="K261" i="32"/>
  <c r="L261" i="32"/>
  <c r="M261" i="32"/>
  <c r="N261" i="32"/>
  <c r="O261" i="32"/>
  <c r="S261" i="32"/>
  <c r="T261" i="32"/>
  <c r="U261" i="32"/>
  <c r="V261" i="32"/>
  <c r="W261" i="32"/>
  <c r="Z261" i="32"/>
  <c r="C262" i="32"/>
  <c r="D262" i="32"/>
  <c r="E262" i="32"/>
  <c r="F262" i="32"/>
  <c r="G262" i="32"/>
  <c r="K262" i="32"/>
  <c r="L262" i="32"/>
  <c r="M262" i="32"/>
  <c r="N262" i="32"/>
  <c r="O262" i="32"/>
  <c r="S262" i="32"/>
  <c r="T262" i="32"/>
  <c r="U262" i="32"/>
  <c r="V262" i="32"/>
  <c r="W262" i="32"/>
  <c r="Z262" i="32"/>
  <c r="C263" i="32"/>
  <c r="D263" i="32"/>
  <c r="E263" i="32"/>
  <c r="F263" i="32"/>
  <c r="K263" i="32"/>
  <c r="L263" i="32"/>
  <c r="M263" i="32"/>
  <c r="N263" i="32"/>
  <c r="O263" i="32"/>
  <c r="S263" i="32"/>
  <c r="T263" i="32"/>
  <c r="U263" i="32"/>
  <c r="V263" i="32"/>
  <c r="W263" i="32"/>
  <c r="Z263" i="32"/>
  <c r="C264" i="32"/>
  <c r="D264" i="32"/>
  <c r="E264" i="32"/>
  <c r="F264" i="32"/>
  <c r="K264" i="32"/>
  <c r="L264" i="32"/>
  <c r="M264" i="32"/>
  <c r="N264" i="32"/>
  <c r="O264" i="32"/>
  <c r="S264" i="32"/>
  <c r="T264" i="32"/>
  <c r="U264" i="32"/>
  <c r="V264" i="32"/>
  <c r="W264" i="32"/>
  <c r="Z264" i="32"/>
  <c r="C265" i="32"/>
  <c r="D265" i="32"/>
  <c r="E265" i="32"/>
  <c r="F265" i="32"/>
  <c r="K265" i="32"/>
  <c r="L265" i="32"/>
  <c r="M265" i="32"/>
  <c r="N265" i="32"/>
  <c r="O265" i="32"/>
  <c r="S265" i="32"/>
  <c r="T265" i="32"/>
  <c r="U265" i="32"/>
  <c r="V265" i="32"/>
  <c r="W265" i="32"/>
  <c r="Z265" i="32"/>
  <c r="C266" i="32"/>
  <c r="D266" i="32"/>
  <c r="E266" i="32"/>
  <c r="F266" i="32"/>
  <c r="K266" i="32"/>
  <c r="L266" i="32"/>
  <c r="M266" i="32"/>
  <c r="N266" i="32"/>
  <c r="O266" i="32"/>
  <c r="S266" i="32"/>
  <c r="T266" i="32"/>
  <c r="U266" i="32"/>
  <c r="V266" i="32"/>
  <c r="W266" i="32"/>
  <c r="Z266" i="32"/>
  <c r="Z267" i="32"/>
  <c r="C268" i="32"/>
  <c r="D268" i="32"/>
  <c r="E268" i="32"/>
  <c r="F268" i="32"/>
  <c r="G268" i="32"/>
  <c r="K268" i="32"/>
  <c r="L268" i="32"/>
  <c r="M268" i="32"/>
  <c r="N268" i="32"/>
  <c r="O268" i="32"/>
  <c r="S268" i="32"/>
  <c r="T268" i="32"/>
  <c r="U268" i="32"/>
  <c r="V268" i="32"/>
  <c r="Z268" i="32"/>
  <c r="C269" i="32"/>
  <c r="D269" i="32"/>
  <c r="E269" i="32"/>
  <c r="F269" i="32"/>
  <c r="G269" i="32"/>
  <c r="K269" i="32"/>
  <c r="L269" i="32"/>
  <c r="M269" i="32"/>
  <c r="N269" i="32"/>
  <c r="O269" i="32"/>
  <c r="S269" i="32"/>
  <c r="T269" i="32"/>
  <c r="U269" i="32"/>
  <c r="V269" i="32"/>
  <c r="C270" i="32"/>
  <c r="D270" i="32"/>
  <c r="E270" i="32"/>
  <c r="F270" i="32"/>
  <c r="K270" i="32"/>
  <c r="L270" i="32"/>
  <c r="M270" i="32"/>
  <c r="N270" i="32"/>
  <c r="O270" i="32"/>
  <c r="S270" i="32"/>
  <c r="T270" i="32"/>
  <c r="U270" i="32"/>
  <c r="V270" i="32"/>
  <c r="W270" i="32"/>
  <c r="C271" i="32"/>
  <c r="D271" i="32"/>
  <c r="E271" i="32"/>
  <c r="F271" i="32"/>
  <c r="G271" i="32"/>
  <c r="K271" i="32"/>
  <c r="L271" i="32"/>
  <c r="M271" i="32"/>
  <c r="N271" i="32"/>
  <c r="O271" i="32"/>
  <c r="S271" i="32"/>
  <c r="T271" i="32"/>
  <c r="U271" i="32"/>
  <c r="V271" i="32"/>
  <c r="W271" i="32"/>
  <c r="C272" i="32"/>
  <c r="D272" i="32"/>
  <c r="E272" i="32"/>
  <c r="F272" i="32"/>
  <c r="G272" i="32"/>
  <c r="K272" i="32"/>
  <c r="L272" i="32"/>
  <c r="M272" i="32"/>
  <c r="N272" i="32"/>
  <c r="S272" i="32"/>
  <c r="T272" i="32"/>
  <c r="U272" i="32"/>
  <c r="V272" i="32"/>
  <c r="C273" i="32"/>
  <c r="D273" i="32"/>
  <c r="E273" i="32"/>
  <c r="F273" i="32"/>
  <c r="G273" i="32"/>
  <c r="K273" i="32"/>
  <c r="L273" i="32"/>
  <c r="M273" i="32"/>
  <c r="N273" i="32"/>
  <c r="O273" i="32"/>
  <c r="S273" i="32"/>
  <c r="T273" i="32"/>
  <c r="U273" i="32"/>
  <c r="V273" i="32"/>
  <c r="W273" i="32"/>
  <c r="Z273" i="32"/>
  <c r="C274" i="32"/>
  <c r="D274" i="32"/>
  <c r="E274" i="32"/>
  <c r="F274" i="32"/>
  <c r="G274" i="32"/>
  <c r="K274" i="32"/>
  <c r="L274" i="32"/>
  <c r="M274" i="32"/>
  <c r="N274" i="32"/>
  <c r="O274" i="32"/>
  <c r="S274" i="32"/>
  <c r="T274" i="32"/>
  <c r="U274" i="32"/>
  <c r="V274" i="32"/>
  <c r="W274" i="32"/>
  <c r="Z274" i="32"/>
  <c r="C275" i="32"/>
  <c r="D275" i="32"/>
  <c r="E275" i="32"/>
  <c r="F275" i="32"/>
  <c r="G275" i="32"/>
  <c r="K275" i="32"/>
  <c r="L275" i="32"/>
  <c r="M275" i="32"/>
  <c r="N275" i="32"/>
  <c r="O275" i="32"/>
  <c r="S275" i="32"/>
  <c r="T275" i="32"/>
  <c r="U275" i="32"/>
  <c r="V275" i="32"/>
  <c r="W275" i="32"/>
  <c r="Z275" i="32"/>
  <c r="C276" i="32"/>
  <c r="D276" i="32"/>
  <c r="E276" i="32"/>
  <c r="F276" i="32"/>
  <c r="G276" i="32"/>
  <c r="K276" i="32"/>
  <c r="L276" i="32"/>
  <c r="M276" i="32"/>
  <c r="N276" i="32"/>
  <c r="O276" i="32"/>
  <c r="S276" i="32"/>
  <c r="T276" i="32"/>
  <c r="U276" i="32"/>
  <c r="V276" i="32"/>
  <c r="W276" i="32"/>
  <c r="Z276" i="32"/>
  <c r="C277" i="32"/>
  <c r="D277" i="32"/>
  <c r="E277" i="32"/>
  <c r="F277" i="32"/>
  <c r="G277" i="32"/>
  <c r="K277" i="32"/>
  <c r="L277" i="32"/>
  <c r="M277" i="32"/>
  <c r="N277" i="32"/>
  <c r="O277" i="32"/>
  <c r="S277" i="32"/>
  <c r="T277" i="32"/>
  <c r="U277" i="32"/>
  <c r="V277" i="32"/>
  <c r="Z277" i="32"/>
  <c r="C278" i="32"/>
  <c r="D278" i="32"/>
  <c r="E278" i="32"/>
  <c r="F278" i="32"/>
  <c r="G278" i="32"/>
  <c r="K278" i="32"/>
  <c r="L278" i="32"/>
  <c r="M278" i="32"/>
  <c r="N278" i="32"/>
  <c r="O278" i="32"/>
  <c r="S278" i="32"/>
  <c r="T278" i="32"/>
  <c r="U278" i="32"/>
  <c r="V278" i="32"/>
  <c r="W278" i="32"/>
  <c r="Z278" i="32"/>
  <c r="C279" i="32"/>
  <c r="D279" i="32"/>
  <c r="E279" i="32"/>
  <c r="F279" i="32"/>
  <c r="G279" i="32"/>
  <c r="K279" i="32"/>
  <c r="L279" i="32"/>
  <c r="M279" i="32"/>
  <c r="N279" i="32"/>
  <c r="O279" i="32"/>
  <c r="S279" i="32"/>
  <c r="T279" i="32"/>
  <c r="U279" i="32"/>
  <c r="V279" i="32"/>
  <c r="W279" i="32"/>
  <c r="Z279" i="32"/>
  <c r="C280" i="32"/>
  <c r="D280" i="32"/>
  <c r="E280" i="32"/>
  <c r="F280" i="32"/>
  <c r="G280" i="32"/>
  <c r="K280" i="32"/>
  <c r="L280" i="32"/>
  <c r="M280" i="32"/>
  <c r="N280" i="32"/>
  <c r="O280" i="32"/>
  <c r="S280" i="32"/>
  <c r="T280" i="32"/>
  <c r="U280" i="32"/>
  <c r="V280" i="32"/>
  <c r="W280" i="32"/>
  <c r="Z280" i="32"/>
  <c r="C281" i="32"/>
  <c r="D281" i="32"/>
  <c r="E281" i="32"/>
  <c r="F281" i="32"/>
  <c r="G281" i="32"/>
  <c r="K281" i="32"/>
  <c r="L281" i="32"/>
  <c r="M281" i="32"/>
  <c r="N281" i="32"/>
  <c r="O281" i="32"/>
  <c r="S281" i="32"/>
  <c r="T281" i="32"/>
  <c r="U281" i="32"/>
  <c r="V281" i="32"/>
  <c r="W281" i="32"/>
  <c r="Z281" i="32"/>
  <c r="C282" i="32"/>
  <c r="D282" i="32"/>
  <c r="E282" i="32"/>
  <c r="F282" i="32"/>
  <c r="G282" i="32"/>
  <c r="K282" i="32"/>
  <c r="L282" i="32"/>
  <c r="M282" i="32"/>
  <c r="N282" i="32"/>
  <c r="S282" i="32"/>
  <c r="T282" i="32"/>
  <c r="U282" i="32"/>
  <c r="V282" i="32"/>
  <c r="W282" i="32"/>
  <c r="Z282" i="32"/>
  <c r="C283" i="32"/>
  <c r="D283" i="32"/>
  <c r="E283" i="32"/>
  <c r="F283" i="32"/>
  <c r="G283" i="32"/>
  <c r="K283" i="32"/>
  <c r="L283" i="32"/>
  <c r="M283" i="32"/>
  <c r="N283" i="32"/>
  <c r="O283" i="32"/>
  <c r="S283" i="32"/>
  <c r="T283" i="32"/>
  <c r="U283" i="32"/>
  <c r="V283" i="32"/>
  <c r="W283" i="32"/>
  <c r="Z283" i="32"/>
  <c r="C284" i="32"/>
  <c r="D284" i="32"/>
  <c r="E284" i="32"/>
  <c r="F284" i="32"/>
  <c r="G284" i="32"/>
  <c r="K284" i="32"/>
  <c r="L284" i="32"/>
  <c r="M284" i="32"/>
  <c r="N284" i="32"/>
  <c r="O284" i="32"/>
  <c r="S284" i="32"/>
  <c r="T284" i="32"/>
  <c r="U284" i="32"/>
  <c r="V284" i="32"/>
  <c r="W284" i="32"/>
  <c r="Z284" i="32"/>
  <c r="C285" i="32"/>
  <c r="D285" i="32"/>
  <c r="E285" i="32"/>
  <c r="F285" i="32"/>
  <c r="G285" i="32"/>
  <c r="K285" i="32"/>
  <c r="L285" i="32"/>
  <c r="M285" i="32"/>
  <c r="N285" i="32"/>
  <c r="S285" i="32"/>
  <c r="T285" i="32"/>
  <c r="U285" i="32"/>
  <c r="V285" i="32"/>
  <c r="W285" i="32"/>
  <c r="Z285" i="32"/>
  <c r="C286" i="32"/>
  <c r="D286" i="32"/>
  <c r="E286" i="32"/>
  <c r="F286" i="32"/>
  <c r="G286" i="32"/>
  <c r="K286" i="32"/>
  <c r="L286" i="32"/>
  <c r="M286" i="32"/>
  <c r="N286" i="32"/>
  <c r="O286" i="32"/>
  <c r="S286" i="32"/>
  <c r="T286" i="32"/>
  <c r="U286" i="32"/>
  <c r="V286" i="32"/>
  <c r="W286" i="32"/>
  <c r="Z286" i="32"/>
  <c r="C287" i="32"/>
  <c r="D287" i="32"/>
  <c r="E287" i="32"/>
  <c r="F287" i="32"/>
  <c r="G287" i="32"/>
  <c r="K287" i="32"/>
  <c r="L287" i="32"/>
  <c r="M287" i="32"/>
  <c r="N287" i="32"/>
  <c r="O287" i="32"/>
  <c r="S287" i="32"/>
  <c r="T287" i="32"/>
  <c r="U287" i="32"/>
  <c r="V287" i="32"/>
  <c r="W287" i="32"/>
  <c r="Z287" i="32"/>
  <c r="Z288" i="32"/>
  <c r="C289" i="32"/>
  <c r="D289" i="32"/>
  <c r="E289" i="32"/>
  <c r="F289" i="32"/>
  <c r="G289" i="32"/>
  <c r="K289" i="32"/>
  <c r="L289" i="32"/>
  <c r="M289" i="32"/>
  <c r="N289" i="32"/>
  <c r="O289" i="32"/>
  <c r="S289" i="32"/>
  <c r="T289" i="32"/>
  <c r="U289" i="32"/>
  <c r="V289" i="32"/>
  <c r="Z289" i="32"/>
  <c r="C290" i="32"/>
  <c r="D290" i="32"/>
  <c r="E290" i="32"/>
  <c r="F290" i="32"/>
  <c r="G290" i="32"/>
  <c r="K290" i="32"/>
  <c r="L290" i="32"/>
  <c r="M290" i="32"/>
  <c r="N290" i="32"/>
  <c r="S290" i="32"/>
  <c r="T290" i="32"/>
  <c r="U290" i="32"/>
  <c r="V290" i="32"/>
  <c r="Z290" i="32"/>
  <c r="C291" i="32"/>
  <c r="D291" i="32"/>
  <c r="E291" i="32"/>
  <c r="F291" i="32"/>
  <c r="G291" i="32"/>
  <c r="K291" i="32"/>
  <c r="L291" i="32"/>
  <c r="M291" i="32"/>
  <c r="N291" i="32"/>
  <c r="S291" i="32"/>
  <c r="T291" i="32"/>
  <c r="U291" i="32"/>
  <c r="V291" i="32"/>
  <c r="Z291" i="32"/>
  <c r="C292" i="32"/>
  <c r="D292" i="32"/>
  <c r="E292" i="32"/>
  <c r="F292" i="32"/>
  <c r="G292" i="32"/>
  <c r="K292" i="32"/>
  <c r="L292" i="32"/>
  <c r="M292" i="32"/>
  <c r="N292" i="32"/>
  <c r="O292" i="32"/>
  <c r="S292" i="32"/>
  <c r="T292" i="32"/>
  <c r="U292" i="32"/>
  <c r="V292" i="32"/>
  <c r="W292" i="32"/>
  <c r="Z292" i="32"/>
  <c r="C293" i="32"/>
  <c r="D293" i="32"/>
  <c r="E293" i="32"/>
  <c r="F293" i="32"/>
  <c r="G293" i="32"/>
  <c r="K293" i="32"/>
  <c r="L293" i="32"/>
  <c r="M293" i="32"/>
  <c r="N293" i="32"/>
  <c r="O293" i="32"/>
  <c r="S293" i="32"/>
  <c r="T293" i="32"/>
  <c r="U293" i="32"/>
  <c r="V293" i="32"/>
  <c r="C294" i="32"/>
  <c r="D294" i="32"/>
  <c r="E294" i="32"/>
  <c r="F294" i="32"/>
  <c r="G294" i="32"/>
  <c r="K294" i="32"/>
  <c r="L294" i="32"/>
  <c r="M294" i="32"/>
  <c r="N294" i="32"/>
  <c r="O294" i="32"/>
  <c r="S294" i="32"/>
  <c r="T294" i="32"/>
  <c r="U294" i="32"/>
  <c r="V294" i="32"/>
  <c r="W294" i="32"/>
  <c r="C295" i="32"/>
  <c r="D295" i="32"/>
  <c r="E295" i="32"/>
  <c r="F295" i="32"/>
  <c r="K295" i="32"/>
  <c r="L295" i="32"/>
  <c r="M295" i="32"/>
  <c r="N295" i="32"/>
  <c r="O295" i="32"/>
  <c r="S295" i="32"/>
  <c r="T295" i="32"/>
  <c r="U295" i="32"/>
  <c r="V295" i="32"/>
  <c r="W295" i="32"/>
  <c r="C296" i="32"/>
  <c r="D296" i="32"/>
  <c r="E296" i="32"/>
  <c r="F296" i="32"/>
  <c r="K296" i="32"/>
  <c r="L296" i="32"/>
  <c r="M296" i="32"/>
  <c r="N296" i="32"/>
  <c r="S296" i="32"/>
  <c r="T296" i="32"/>
  <c r="U296" i="32"/>
  <c r="V296" i="32"/>
  <c r="W296" i="32"/>
  <c r="C297" i="32"/>
  <c r="D297" i="32"/>
  <c r="E297" i="32"/>
  <c r="F297" i="32"/>
  <c r="G297" i="32"/>
  <c r="K297" i="32"/>
  <c r="L297" i="32"/>
  <c r="M297" i="32"/>
  <c r="N297" i="32"/>
  <c r="O297" i="32"/>
  <c r="S297" i="32"/>
  <c r="T297" i="32"/>
  <c r="U297" i="32"/>
  <c r="V297" i="32"/>
  <c r="C298" i="32"/>
  <c r="D298" i="32"/>
  <c r="E298" i="32"/>
  <c r="F298" i="32"/>
  <c r="G298" i="32"/>
  <c r="K298" i="32"/>
  <c r="L298" i="32"/>
  <c r="M298" i="32"/>
  <c r="N298" i="32"/>
  <c r="O298" i="32"/>
  <c r="S298" i="32"/>
  <c r="T298" i="32"/>
  <c r="U298" i="32"/>
  <c r="V298" i="32"/>
  <c r="C299" i="32"/>
  <c r="D299" i="32"/>
  <c r="E299" i="32"/>
  <c r="F299" i="32"/>
  <c r="K299" i="32"/>
  <c r="L299" i="32"/>
  <c r="M299" i="32"/>
  <c r="N299" i="32"/>
  <c r="O299" i="32"/>
  <c r="S299" i="32"/>
  <c r="T299" i="32"/>
  <c r="U299" i="32"/>
  <c r="V299" i="32"/>
  <c r="C300" i="32"/>
  <c r="D300" i="32"/>
  <c r="E300" i="32"/>
  <c r="F300" i="32"/>
  <c r="G300" i="32"/>
  <c r="K300" i="32"/>
  <c r="L300" i="32"/>
  <c r="M300" i="32"/>
  <c r="N300" i="32"/>
  <c r="O300" i="32"/>
  <c r="S300" i="32"/>
  <c r="T300" i="32"/>
  <c r="U300" i="32"/>
  <c r="V300" i="32"/>
  <c r="W300" i="32"/>
  <c r="C301" i="32"/>
  <c r="D301" i="32"/>
  <c r="E301" i="32"/>
  <c r="F301" i="32"/>
  <c r="G301" i="32"/>
  <c r="K301" i="32"/>
  <c r="L301" i="32"/>
  <c r="M301" i="32"/>
  <c r="N301" i="32"/>
  <c r="O301" i="32"/>
  <c r="S301" i="32"/>
  <c r="T301" i="32"/>
  <c r="U301" i="32"/>
  <c r="V301" i="32"/>
  <c r="C302" i="32"/>
  <c r="D302" i="32"/>
  <c r="E302" i="32"/>
  <c r="F302" i="32"/>
  <c r="G302" i="32"/>
  <c r="K302" i="32"/>
  <c r="L302" i="32"/>
  <c r="M302" i="32"/>
  <c r="N302" i="32"/>
  <c r="O302" i="32"/>
  <c r="S302" i="32"/>
  <c r="T302" i="32"/>
  <c r="U302" i="32"/>
  <c r="V302" i="32"/>
  <c r="W302" i="32"/>
  <c r="C303" i="32"/>
  <c r="D303" i="32"/>
  <c r="E303" i="32"/>
  <c r="F303" i="32"/>
  <c r="K303" i="32"/>
  <c r="L303" i="32"/>
  <c r="M303" i="32"/>
  <c r="N303" i="32"/>
  <c r="O303" i="32"/>
  <c r="S303" i="32"/>
  <c r="T303" i="32"/>
  <c r="U303" i="32"/>
  <c r="V303" i="32"/>
  <c r="W303" i="32"/>
  <c r="C304" i="32"/>
  <c r="D304" i="32"/>
  <c r="E304" i="32"/>
  <c r="F304" i="32"/>
  <c r="K304" i="32"/>
  <c r="L304" i="32"/>
  <c r="M304" i="32"/>
  <c r="N304" i="32"/>
  <c r="S304" i="32"/>
  <c r="T304" i="32"/>
  <c r="U304" i="32"/>
  <c r="V304" i="32"/>
  <c r="W304" i="32"/>
  <c r="C305" i="32"/>
  <c r="D305" i="32"/>
  <c r="E305" i="32"/>
  <c r="F305" i="32"/>
  <c r="G305" i="32"/>
  <c r="K305" i="32"/>
  <c r="L305" i="32"/>
  <c r="M305" i="32"/>
  <c r="N305" i="32"/>
  <c r="O305" i="32"/>
  <c r="S305" i="32"/>
  <c r="T305" i="32"/>
  <c r="U305" i="32"/>
  <c r="V305" i="32"/>
  <c r="C306" i="32"/>
  <c r="D306" i="32"/>
  <c r="E306" i="32"/>
  <c r="F306" i="32"/>
  <c r="G306" i="32"/>
  <c r="K306" i="32"/>
  <c r="L306" i="32"/>
  <c r="M306" i="32"/>
  <c r="N306" i="32"/>
  <c r="O306" i="32"/>
  <c r="S306" i="32"/>
  <c r="T306" i="32"/>
  <c r="U306" i="32"/>
  <c r="V306" i="32"/>
  <c r="C307" i="32"/>
  <c r="D307" i="32"/>
  <c r="E307" i="32"/>
  <c r="F307" i="32"/>
  <c r="K307" i="32"/>
  <c r="L307" i="32"/>
  <c r="M307" i="32"/>
  <c r="N307" i="32"/>
  <c r="S307" i="32"/>
  <c r="T307" i="32"/>
  <c r="U307" i="32"/>
  <c r="V307" i="32"/>
  <c r="W307" i="32"/>
  <c r="C308" i="32"/>
  <c r="D308" i="32"/>
  <c r="E308" i="32"/>
  <c r="F308" i="32"/>
  <c r="G308" i="32"/>
  <c r="K308" i="32"/>
  <c r="L308" i="32"/>
  <c r="M308" i="32"/>
  <c r="N308" i="32"/>
  <c r="O308" i="32"/>
  <c r="S308" i="32"/>
  <c r="T308" i="32"/>
  <c r="U308" i="32"/>
  <c r="V308" i="32"/>
  <c r="W308" i="32"/>
  <c r="C310" i="32"/>
  <c r="D310" i="32"/>
  <c r="E310" i="32"/>
  <c r="F310" i="32"/>
  <c r="G310" i="32"/>
  <c r="K310" i="32"/>
  <c r="L310" i="32"/>
  <c r="M310" i="32"/>
  <c r="N310" i="32"/>
  <c r="O310" i="32"/>
  <c r="S310" i="32"/>
  <c r="T310" i="32"/>
  <c r="U310" i="32"/>
  <c r="V310" i="32"/>
  <c r="W310" i="32"/>
  <c r="C311" i="32"/>
  <c r="D311" i="32"/>
  <c r="E311" i="32"/>
  <c r="F311" i="32"/>
  <c r="G311" i="32"/>
  <c r="K311" i="32"/>
  <c r="L311" i="32"/>
  <c r="M311" i="32"/>
  <c r="N311" i="32"/>
  <c r="O311" i="32"/>
  <c r="S311" i="32"/>
  <c r="T311" i="32"/>
  <c r="U311" i="32"/>
  <c r="V311" i="32"/>
  <c r="W311" i="32"/>
  <c r="C312" i="32"/>
  <c r="D312" i="32"/>
  <c r="E312" i="32"/>
  <c r="F312" i="32"/>
  <c r="G312" i="32"/>
  <c r="K312" i="32"/>
  <c r="L312" i="32"/>
  <c r="M312" i="32"/>
  <c r="N312" i="32"/>
  <c r="O312" i="32"/>
  <c r="S312" i="32"/>
  <c r="T312" i="32"/>
  <c r="U312" i="32"/>
  <c r="V312" i="32"/>
  <c r="W312" i="32"/>
  <c r="C313" i="32"/>
  <c r="D313" i="32"/>
  <c r="E313" i="32"/>
  <c r="F313" i="32"/>
  <c r="K313" i="32"/>
  <c r="L313" i="32"/>
  <c r="M313" i="32"/>
  <c r="N313" i="32"/>
  <c r="S313" i="32"/>
  <c r="T313" i="32"/>
  <c r="U313" i="32"/>
  <c r="V313" i="32"/>
  <c r="W313" i="32"/>
  <c r="C314" i="32"/>
  <c r="D314" i="32"/>
  <c r="E314" i="32"/>
  <c r="F314" i="32"/>
  <c r="G314" i="32"/>
  <c r="K314" i="32"/>
  <c r="L314" i="32"/>
  <c r="M314" i="32"/>
  <c r="N314" i="32"/>
  <c r="O314" i="32"/>
  <c r="S314" i="32"/>
  <c r="T314" i="32"/>
  <c r="U314" i="32"/>
  <c r="V314" i="32"/>
  <c r="W314" i="32"/>
  <c r="C315" i="32"/>
  <c r="D315" i="32"/>
  <c r="E315" i="32"/>
  <c r="F315" i="32"/>
  <c r="K315" i="32"/>
  <c r="L315" i="32"/>
  <c r="M315" i="32"/>
  <c r="N315" i="32"/>
  <c r="O315" i="32"/>
  <c r="S315" i="32"/>
  <c r="T315" i="32"/>
  <c r="U315" i="32"/>
  <c r="V315" i="32"/>
  <c r="C316" i="32"/>
  <c r="D316" i="32"/>
  <c r="E316" i="32"/>
  <c r="F316" i="32"/>
  <c r="G316" i="32"/>
  <c r="K316" i="32"/>
  <c r="L316" i="32"/>
  <c r="M316" i="32"/>
  <c r="N316" i="32"/>
  <c r="O316" i="32"/>
  <c r="S316" i="32"/>
  <c r="T316" i="32"/>
  <c r="U316" i="32"/>
  <c r="V316" i="32"/>
  <c r="W316" i="32"/>
  <c r="C317" i="32"/>
  <c r="D317" i="32"/>
  <c r="E317" i="32"/>
  <c r="F317" i="32"/>
  <c r="G317" i="32"/>
  <c r="K317" i="32"/>
  <c r="L317" i="32"/>
  <c r="M317" i="32"/>
  <c r="N317" i="32"/>
  <c r="S317" i="32"/>
  <c r="T317" i="32"/>
  <c r="U317" i="32"/>
  <c r="V317" i="32"/>
  <c r="W317" i="32"/>
  <c r="C318" i="32"/>
  <c r="D318" i="32"/>
  <c r="E318" i="32"/>
  <c r="F318" i="32"/>
  <c r="G318" i="32"/>
  <c r="K318" i="32"/>
  <c r="L318" i="32"/>
  <c r="M318" i="32"/>
  <c r="N318" i="32"/>
  <c r="S318" i="32"/>
  <c r="T318" i="32"/>
  <c r="U318" i="32"/>
  <c r="V318" i="32"/>
  <c r="W318" i="32"/>
  <c r="C319" i="32"/>
  <c r="D319" i="32"/>
  <c r="E319" i="32"/>
  <c r="F319" i="32"/>
  <c r="G319" i="32"/>
  <c r="K319" i="32"/>
  <c r="L319" i="32"/>
  <c r="M319" i="32"/>
  <c r="N319" i="32"/>
  <c r="O319" i="32"/>
  <c r="S319" i="32"/>
  <c r="T319" i="32"/>
  <c r="U319" i="32"/>
  <c r="V319" i="32"/>
  <c r="W319" i="32"/>
  <c r="C320" i="32"/>
  <c r="D320" i="32"/>
  <c r="E320" i="32"/>
  <c r="F320" i="32"/>
  <c r="G320" i="32"/>
  <c r="K320" i="32"/>
  <c r="L320" i="32"/>
  <c r="M320" i="32"/>
  <c r="N320" i="32"/>
  <c r="O320" i="32"/>
  <c r="S320" i="32"/>
  <c r="T320" i="32"/>
  <c r="U320" i="32"/>
  <c r="V320" i="32"/>
  <c r="W320" i="32"/>
  <c r="C321" i="32"/>
  <c r="D321" i="32"/>
  <c r="E321" i="32"/>
  <c r="F321" i="32"/>
  <c r="K321" i="32"/>
  <c r="L321" i="32"/>
  <c r="M321" i="32"/>
  <c r="N321" i="32"/>
  <c r="S321" i="32"/>
  <c r="T321" i="32"/>
  <c r="U321" i="32"/>
  <c r="V321" i="32"/>
  <c r="W321" i="32"/>
  <c r="C322" i="32"/>
  <c r="D322" i="32"/>
  <c r="E322" i="32"/>
  <c r="F322" i="32"/>
  <c r="G322" i="32"/>
  <c r="K322" i="32"/>
  <c r="L322" i="32"/>
  <c r="M322" i="32"/>
  <c r="N322" i="32"/>
  <c r="O322" i="32"/>
  <c r="S322" i="32"/>
  <c r="T322" i="32"/>
  <c r="U322" i="32"/>
  <c r="V322" i="32"/>
  <c r="W322" i="32"/>
  <c r="C323" i="32"/>
  <c r="D323" i="32"/>
  <c r="E323" i="32"/>
  <c r="F323" i="32"/>
  <c r="K323" i="32"/>
  <c r="L323" i="32"/>
  <c r="M323" i="32"/>
  <c r="N323" i="32"/>
  <c r="O323" i="32"/>
  <c r="S323" i="32"/>
  <c r="T323" i="32"/>
  <c r="U323" i="32"/>
  <c r="V323" i="32"/>
  <c r="C324" i="32"/>
  <c r="D324" i="32"/>
  <c r="E324" i="32"/>
  <c r="F324" i="32"/>
  <c r="G324" i="32"/>
  <c r="K324" i="32"/>
  <c r="L324" i="32"/>
  <c r="M324" i="32"/>
  <c r="N324" i="32"/>
  <c r="O324" i="32"/>
  <c r="S324" i="32"/>
  <c r="T324" i="32"/>
  <c r="U324" i="32"/>
  <c r="V324" i="32"/>
  <c r="W324" i="32"/>
  <c r="C325" i="32"/>
  <c r="D325" i="32"/>
  <c r="E325" i="32"/>
  <c r="F325" i="32"/>
  <c r="G325" i="32"/>
  <c r="K325" i="32"/>
  <c r="L325" i="32"/>
  <c r="M325" i="32"/>
  <c r="N325" i="32"/>
  <c r="S325" i="32"/>
  <c r="T325" i="32"/>
  <c r="U325" i="32"/>
  <c r="V325" i="32"/>
  <c r="W325" i="32"/>
  <c r="C326" i="32"/>
  <c r="D326" i="32"/>
  <c r="E326" i="32"/>
  <c r="F326" i="32"/>
  <c r="G326" i="32"/>
  <c r="K326" i="32"/>
  <c r="L326" i="32"/>
  <c r="M326" i="32"/>
  <c r="N326" i="32"/>
  <c r="S326" i="32"/>
  <c r="T326" i="32"/>
  <c r="U326" i="32"/>
  <c r="V326" i="32"/>
  <c r="W326" i="32"/>
  <c r="C327" i="32"/>
  <c r="D327" i="32"/>
  <c r="E327" i="32"/>
  <c r="F327" i="32"/>
  <c r="G327" i="32"/>
  <c r="K327" i="32"/>
  <c r="L327" i="32"/>
  <c r="M327" i="32"/>
  <c r="N327" i="32"/>
  <c r="O327" i="32"/>
  <c r="S327" i="32"/>
  <c r="T327" i="32"/>
  <c r="U327" i="32"/>
  <c r="V327" i="32"/>
  <c r="W327" i="32"/>
  <c r="C328" i="32"/>
  <c r="D328" i="32"/>
  <c r="E328" i="32"/>
  <c r="F328" i="32"/>
  <c r="G328" i="32"/>
  <c r="K328" i="32"/>
  <c r="L328" i="32"/>
  <c r="M328" i="32"/>
  <c r="N328" i="32"/>
  <c r="O328" i="32"/>
  <c r="S328" i="32"/>
  <c r="T328" i="32"/>
  <c r="U328" i="32"/>
  <c r="V328" i="32"/>
  <c r="W328" i="32"/>
  <c r="C329" i="32"/>
  <c r="D329" i="32"/>
  <c r="E329" i="32"/>
  <c r="F329" i="32"/>
  <c r="K329" i="32"/>
  <c r="L329" i="32"/>
  <c r="M329" i="32"/>
  <c r="N329" i="32"/>
  <c r="S329" i="32"/>
  <c r="T329" i="32"/>
  <c r="U329" i="32"/>
  <c r="V329" i="32"/>
  <c r="W329" i="32"/>
  <c r="C331" i="32"/>
  <c r="D331" i="32"/>
  <c r="E331" i="32"/>
  <c r="F331" i="32"/>
  <c r="G331" i="32"/>
  <c r="K331" i="32"/>
  <c r="L331" i="32"/>
  <c r="M331" i="32"/>
  <c r="N331" i="32"/>
  <c r="O331" i="32"/>
  <c r="S331" i="32"/>
  <c r="T331" i="32"/>
  <c r="U331" i="32"/>
  <c r="V331" i="32"/>
  <c r="W331" i="32"/>
  <c r="C332" i="32"/>
  <c r="D332" i="32"/>
  <c r="E332" i="32"/>
  <c r="F332" i="32"/>
  <c r="G332" i="32"/>
  <c r="K332" i="32"/>
  <c r="L332" i="32"/>
  <c r="M332" i="32"/>
  <c r="N332" i="32"/>
  <c r="S332" i="32"/>
  <c r="T332" i="32"/>
  <c r="U332" i="32"/>
  <c r="V332" i="32"/>
  <c r="W332" i="32"/>
  <c r="C333" i="32"/>
  <c r="D333" i="32"/>
  <c r="E333" i="32"/>
  <c r="F333" i="32"/>
  <c r="G333" i="32"/>
  <c r="K333" i="32"/>
  <c r="L333" i="32"/>
  <c r="M333" i="32"/>
  <c r="N333" i="32"/>
  <c r="O333" i="32"/>
  <c r="S333" i="32"/>
  <c r="T333" i="32"/>
  <c r="U333" i="32"/>
  <c r="V333" i="32"/>
  <c r="W333" i="32"/>
  <c r="C334" i="32"/>
  <c r="D334" i="32"/>
  <c r="E334" i="32"/>
  <c r="F334" i="32"/>
  <c r="G334" i="32"/>
  <c r="K334" i="32"/>
  <c r="L334" i="32"/>
  <c r="M334" i="32"/>
  <c r="N334" i="32"/>
  <c r="O334" i="32"/>
  <c r="S334" i="32"/>
  <c r="T334" i="32"/>
  <c r="U334" i="32"/>
  <c r="V334" i="32"/>
  <c r="W334" i="32"/>
  <c r="C335" i="32"/>
  <c r="D335" i="32"/>
  <c r="E335" i="32"/>
  <c r="F335" i="32"/>
  <c r="G335" i="32"/>
  <c r="K335" i="32"/>
  <c r="L335" i="32"/>
  <c r="M335" i="32"/>
  <c r="N335" i="32"/>
  <c r="S335" i="32"/>
  <c r="T335" i="32"/>
  <c r="U335" i="32"/>
  <c r="V335" i="32"/>
  <c r="C336" i="32"/>
  <c r="D336" i="32"/>
  <c r="E336" i="32"/>
  <c r="F336" i="32"/>
  <c r="G336" i="32"/>
  <c r="K336" i="32"/>
  <c r="L336" i="32"/>
  <c r="M336" i="32"/>
  <c r="N336" i="32"/>
  <c r="O336" i="32"/>
  <c r="S336" i="32"/>
  <c r="T336" i="32"/>
  <c r="U336" i="32"/>
  <c r="V336" i="32"/>
  <c r="W336" i="32"/>
  <c r="C337" i="32"/>
  <c r="D337" i="32"/>
  <c r="E337" i="32"/>
  <c r="F337" i="32"/>
  <c r="K337" i="32"/>
  <c r="L337" i="32"/>
  <c r="M337" i="32"/>
  <c r="N337" i="32"/>
  <c r="O337" i="32"/>
  <c r="S337" i="32"/>
  <c r="T337" i="32"/>
  <c r="U337" i="32"/>
  <c r="V337" i="32"/>
  <c r="W337" i="32"/>
  <c r="C338" i="32"/>
  <c r="D338" i="32"/>
  <c r="E338" i="32"/>
  <c r="F338" i="32"/>
  <c r="G338" i="32"/>
  <c r="K338" i="32"/>
  <c r="L338" i="32"/>
  <c r="M338" i="32"/>
  <c r="N338" i="32"/>
  <c r="S338" i="32"/>
  <c r="T338" i="32"/>
  <c r="U338" i="32"/>
  <c r="V338" i="32"/>
  <c r="W338" i="32"/>
  <c r="C339" i="32"/>
  <c r="D339" i="32"/>
  <c r="E339" i="32"/>
  <c r="F339" i="32"/>
  <c r="G339" i="32"/>
  <c r="K339" i="32"/>
  <c r="L339" i="32"/>
  <c r="M339" i="32"/>
  <c r="N339" i="32"/>
  <c r="O339" i="32"/>
  <c r="S339" i="32"/>
  <c r="T339" i="32"/>
  <c r="U339" i="32"/>
  <c r="V339" i="32"/>
  <c r="W339" i="32"/>
  <c r="C340" i="32"/>
  <c r="D340" i="32"/>
  <c r="E340" i="32"/>
  <c r="F340" i="32"/>
  <c r="G340" i="32"/>
  <c r="K340" i="32"/>
  <c r="L340" i="32"/>
  <c r="M340" i="32"/>
  <c r="N340" i="32"/>
  <c r="S340" i="32"/>
  <c r="T340" i="32"/>
  <c r="U340" i="32"/>
  <c r="V340" i="32"/>
  <c r="W340" i="32"/>
  <c r="C341" i="32"/>
  <c r="D341" i="32"/>
  <c r="E341" i="32"/>
  <c r="F341" i="32"/>
  <c r="G341" i="32"/>
  <c r="K341" i="32"/>
  <c r="L341" i="32"/>
  <c r="M341" i="32"/>
  <c r="N341" i="32"/>
  <c r="O341" i="32"/>
  <c r="S341" i="32"/>
  <c r="T341" i="32"/>
  <c r="U341" i="32"/>
  <c r="V341" i="32"/>
  <c r="W341" i="32"/>
  <c r="C342" i="32"/>
  <c r="D342" i="32"/>
  <c r="E342" i="32"/>
  <c r="F342" i="32"/>
  <c r="G342" i="32"/>
  <c r="K342" i="32"/>
  <c r="L342" i="32"/>
  <c r="M342" i="32"/>
  <c r="N342" i="32"/>
  <c r="O342" i="32"/>
  <c r="S342" i="32"/>
  <c r="T342" i="32"/>
  <c r="U342" i="32"/>
  <c r="V342" i="32"/>
  <c r="W342" i="32"/>
  <c r="C343" i="32"/>
  <c r="D343" i="32"/>
  <c r="E343" i="32"/>
  <c r="F343" i="32"/>
  <c r="G343" i="32"/>
  <c r="K343" i="32"/>
  <c r="L343" i="32"/>
  <c r="M343" i="32"/>
  <c r="N343" i="32"/>
  <c r="S343" i="32"/>
  <c r="T343" i="32"/>
  <c r="U343" i="32"/>
  <c r="V343" i="32"/>
  <c r="C344" i="32"/>
  <c r="D344" i="32"/>
  <c r="E344" i="32"/>
  <c r="F344" i="32"/>
  <c r="G344" i="32"/>
  <c r="K344" i="32"/>
  <c r="L344" i="32"/>
  <c r="M344" i="32"/>
  <c r="N344" i="32"/>
  <c r="O344" i="32"/>
  <c r="S344" i="32"/>
  <c r="T344" i="32"/>
  <c r="U344" i="32"/>
  <c r="V344" i="32"/>
  <c r="W344" i="32"/>
  <c r="C345" i="32"/>
  <c r="D345" i="32"/>
  <c r="E345" i="32"/>
  <c r="F345" i="32"/>
  <c r="K345" i="32"/>
  <c r="L345" i="32"/>
  <c r="M345" i="32"/>
  <c r="N345" i="32"/>
  <c r="O345" i="32"/>
  <c r="S345" i="32"/>
  <c r="T345" i="32"/>
  <c r="U345" i="32"/>
  <c r="V345" i="32"/>
  <c r="W345" i="32"/>
  <c r="C346" i="32"/>
  <c r="D346" i="32"/>
  <c r="E346" i="32"/>
  <c r="F346" i="32"/>
  <c r="G346" i="32"/>
  <c r="K346" i="32"/>
  <c r="L346" i="32"/>
  <c r="M346" i="32"/>
  <c r="N346" i="32"/>
  <c r="S346" i="32"/>
  <c r="T346" i="32"/>
  <c r="U346" i="32"/>
  <c r="V346" i="32"/>
  <c r="W346" i="32"/>
  <c r="C347" i="32"/>
  <c r="D347" i="32"/>
  <c r="E347" i="32"/>
  <c r="F347" i="32"/>
  <c r="G347" i="32"/>
  <c r="K347" i="32"/>
  <c r="L347" i="32"/>
  <c r="M347" i="32"/>
  <c r="N347" i="32"/>
  <c r="O347" i="32"/>
  <c r="S347" i="32"/>
  <c r="T347" i="32"/>
  <c r="U347" i="32"/>
  <c r="V347" i="32"/>
  <c r="W347" i="32"/>
  <c r="C348" i="32"/>
  <c r="D348" i="32"/>
  <c r="E348" i="32"/>
  <c r="F348" i="32"/>
  <c r="K348" i="32"/>
  <c r="L348" i="32"/>
  <c r="M348" i="32"/>
  <c r="N348" i="32"/>
  <c r="O348" i="32"/>
  <c r="S348" i="32"/>
  <c r="T348" i="32"/>
  <c r="U348" i="32"/>
  <c r="V348" i="32"/>
  <c r="W348" i="32"/>
  <c r="C349" i="32"/>
  <c r="D349" i="32"/>
  <c r="E349" i="32"/>
  <c r="F349" i="32"/>
  <c r="G349" i="32"/>
  <c r="K349" i="32"/>
  <c r="L349" i="32"/>
  <c r="M349" i="32"/>
  <c r="N349" i="32"/>
  <c r="O349" i="32"/>
  <c r="S349" i="32"/>
  <c r="T349" i="32"/>
  <c r="U349" i="32"/>
  <c r="V349" i="32"/>
  <c r="W349" i="32"/>
  <c r="C350" i="32"/>
  <c r="D350" i="32"/>
  <c r="E350" i="32"/>
  <c r="F350" i="32"/>
  <c r="G350" i="32"/>
  <c r="K350" i="32"/>
  <c r="L350" i="32"/>
  <c r="M350" i="32"/>
  <c r="N350" i="32"/>
  <c r="S350" i="32"/>
  <c r="T350" i="32"/>
  <c r="U350" i="32"/>
  <c r="V350" i="32"/>
  <c r="W350" i="32"/>
  <c r="C352" i="32"/>
  <c r="D352" i="32"/>
  <c r="E352" i="32"/>
  <c r="F352" i="32"/>
  <c r="G352" i="32"/>
  <c r="K352" i="32"/>
  <c r="L352" i="32"/>
  <c r="M352" i="32"/>
  <c r="N352" i="32"/>
  <c r="S352" i="32"/>
  <c r="T352" i="32"/>
  <c r="U352" i="32"/>
  <c r="V352" i="32"/>
  <c r="C353" i="32"/>
  <c r="D353" i="32"/>
  <c r="E353" i="32"/>
  <c r="F353" i="32"/>
  <c r="G353" i="32"/>
  <c r="K353" i="32"/>
  <c r="L353" i="32"/>
  <c r="M353" i="32"/>
  <c r="N353" i="32"/>
  <c r="O353" i="32"/>
  <c r="S353" i="32"/>
  <c r="T353" i="32"/>
  <c r="U353" i="32"/>
  <c r="V353" i="32"/>
  <c r="W353" i="32"/>
  <c r="C354" i="32"/>
  <c r="D354" i="32"/>
  <c r="E354" i="32"/>
  <c r="F354" i="32"/>
  <c r="K354" i="32"/>
  <c r="L354" i="32"/>
  <c r="M354" i="32"/>
  <c r="N354" i="32"/>
  <c r="O354" i="32"/>
  <c r="S354" i="32"/>
  <c r="T354" i="32"/>
  <c r="U354" i="32"/>
  <c r="V354" i="32"/>
  <c r="W354" i="32"/>
  <c r="C355" i="32"/>
  <c r="D355" i="32"/>
  <c r="E355" i="32"/>
  <c r="F355" i="32"/>
  <c r="G355" i="32"/>
  <c r="K355" i="32"/>
  <c r="L355" i="32"/>
  <c r="M355" i="32"/>
  <c r="N355" i="32"/>
  <c r="O355" i="32"/>
  <c r="S355" i="32"/>
  <c r="T355" i="32"/>
  <c r="U355" i="32"/>
  <c r="V355" i="32"/>
  <c r="W355" i="32"/>
  <c r="C356" i="32"/>
  <c r="D356" i="32"/>
  <c r="E356" i="32"/>
  <c r="F356" i="32"/>
  <c r="G356" i="32"/>
  <c r="K356" i="32"/>
  <c r="L356" i="32"/>
  <c r="M356" i="32"/>
  <c r="N356" i="32"/>
  <c r="O356" i="32"/>
  <c r="S356" i="32"/>
  <c r="T356" i="32"/>
  <c r="U356" i="32"/>
  <c r="V356" i="32"/>
  <c r="W356" i="32"/>
  <c r="C357" i="32"/>
  <c r="D357" i="32"/>
  <c r="E357" i="32"/>
  <c r="F357" i="32"/>
  <c r="G357" i="32"/>
  <c r="K357" i="32"/>
  <c r="L357" i="32"/>
  <c r="M357" i="32"/>
  <c r="N357" i="32"/>
  <c r="O357" i="32"/>
  <c r="S357" i="32"/>
  <c r="T357" i="32"/>
  <c r="U357" i="32"/>
  <c r="V357" i="32"/>
  <c r="C358" i="32"/>
  <c r="D358" i="32"/>
  <c r="E358" i="32"/>
  <c r="F358" i="32"/>
  <c r="K358" i="32"/>
  <c r="L358" i="32"/>
  <c r="M358" i="32"/>
  <c r="N358" i="32"/>
  <c r="O358" i="32"/>
  <c r="S358" i="32"/>
  <c r="T358" i="32"/>
  <c r="U358" i="32"/>
  <c r="V358" i="32"/>
  <c r="W358" i="32"/>
  <c r="C359" i="32"/>
  <c r="D359" i="32"/>
  <c r="E359" i="32"/>
  <c r="F359" i="32"/>
  <c r="G359" i="32"/>
  <c r="K359" i="32"/>
  <c r="L359" i="32"/>
  <c r="M359" i="32"/>
  <c r="N359" i="32"/>
  <c r="O359" i="32"/>
  <c r="S359" i="32"/>
  <c r="T359" i="32"/>
  <c r="U359" i="32"/>
  <c r="V359" i="32"/>
  <c r="W359" i="32"/>
  <c r="C360" i="32"/>
  <c r="D360" i="32"/>
  <c r="E360" i="32"/>
  <c r="F360" i="32"/>
  <c r="G360" i="32"/>
  <c r="K360" i="32"/>
  <c r="L360" i="32"/>
  <c r="M360" i="32"/>
  <c r="N360" i="32"/>
  <c r="S360" i="32"/>
  <c r="T360" i="32"/>
  <c r="U360" i="32"/>
  <c r="V360" i="32"/>
  <c r="C361" i="32"/>
  <c r="D361" i="32"/>
  <c r="E361" i="32"/>
  <c r="F361" i="32"/>
  <c r="G361" i="32"/>
  <c r="K361" i="32"/>
  <c r="L361" i="32"/>
  <c r="M361" i="32"/>
  <c r="N361" i="32"/>
  <c r="O361" i="32"/>
  <c r="S361" i="32"/>
  <c r="T361" i="32"/>
  <c r="U361" i="32"/>
  <c r="V361" i="32"/>
  <c r="W361" i="32"/>
  <c r="C362" i="32"/>
  <c r="D362" i="32"/>
  <c r="E362" i="32"/>
  <c r="F362" i="32"/>
  <c r="K362" i="32"/>
  <c r="L362" i="32"/>
  <c r="M362" i="32"/>
  <c r="N362" i="32"/>
  <c r="S362" i="32"/>
  <c r="T362" i="32"/>
  <c r="U362" i="32"/>
  <c r="V362" i="32"/>
  <c r="W362" i="32"/>
  <c r="C363" i="32"/>
  <c r="D363" i="32"/>
  <c r="E363" i="32"/>
  <c r="F363" i="32"/>
  <c r="G363" i="32"/>
  <c r="K363" i="32"/>
  <c r="L363" i="32"/>
  <c r="M363" i="32"/>
  <c r="N363" i="32"/>
  <c r="O363" i="32"/>
  <c r="S363" i="32"/>
  <c r="T363" i="32"/>
  <c r="U363" i="32"/>
  <c r="V363" i="32"/>
  <c r="W363" i="32"/>
  <c r="C364" i="32"/>
  <c r="D364" i="32"/>
  <c r="E364" i="32"/>
  <c r="F364" i="32"/>
  <c r="G364" i="32"/>
  <c r="K364" i="32"/>
  <c r="L364" i="32"/>
  <c r="M364" i="32"/>
  <c r="N364" i="32"/>
  <c r="O364" i="32"/>
  <c r="S364" i="32"/>
  <c r="T364" i="32"/>
  <c r="U364" i="32"/>
  <c r="V364" i="32"/>
  <c r="C365" i="32"/>
  <c r="D365" i="32"/>
  <c r="E365" i="32"/>
  <c r="F365" i="32"/>
  <c r="G365" i="32"/>
  <c r="K365" i="32"/>
  <c r="L365" i="32"/>
  <c r="M365" i="32"/>
  <c r="N365" i="32"/>
  <c r="O365" i="32"/>
  <c r="S365" i="32"/>
  <c r="T365" i="32"/>
  <c r="U365" i="32"/>
  <c r="V365" i="32"/>
  <c r="C366" i="32"/>
  <c r="D366" i="32"/>
  <c r="E366" i="32"/>
  <c r="F366" i="32"/>
  <c r="K366" i="32"/>
  <c r="L366" i="32"/>
  <c r="M366" i="32"/>
  <c r="N366" i="32"/>
  <c r="O366" i="32"/>
  <c r="S366" i="32"/>
  <c r="T366" i="32"/>
  <c r="U366" i="32"/>
  <c r="V366" i="32"/>
  <c r="W366" i="32"/>
  <c r="C367" i="32"/>
  <c r="D367" i="32"/>
  <c r="E367" i="32"/>
  <c r="F367" i="32"/>
  <c r="G367" i="32"/>
  <c r="K367" i="32"/>
  <c r="L367" i="32"/>
  <c r="M367" i="32"/>
  <c r="N367" i="32"/>
  <c r="O367" i="32"/>
  <c r="S367" i="32"/>
  <c r="T367" i="32"/>
  <c r="U367" i="32"/>
  <c r="V367" i="32"/>
  <c r="W367" i="32"/>
  <c r="C368" i="32"/>
  <c r="D368" i="32"/>
  <c r="E368" i="32"/>
  <c r="F368" i="32"/>
  <c r="G368" i="32"/>
  <c r="K368" i="32"/>
  <c r="L368" i="32"/>
  <c r="M368" i="32"/>
  <c r="N368" i="32"/>
  <c r="S368" i="32"/>
  <c r="T368" i="32"/>
  <c r="U368" i="32"/>
  <c r="V368" i="32"/>
  <c r="C369" i="32"/>
  <c r="D369" i="32"/>
  <c r="E369" i="32"/>
  <c r="F369" i="32"/>
  <c r="G369" i="32"/>
  <c r="K369" i="32"/>
  <c r="L369" i="32"/>
  <c r="M369" i="32"/>
  <c r="N369" i="32"/>
  <c r="O369" i="32"/>
  <c r="S369" i="32"/>
  <c r="T369" i="32"/>
  <c r="U369" i="32"/>
  <c r="V369" i="32"/>
  <c r="W369" i="32"/>
  <c r="C370" i="32"/>
  <c r="D370" i="32"/>
  <c r="E370" i="32"/>
  <c r="F370" i="32"/>
  <c r="K370" i="32"/>
  <c r="L370" i="32"/>
  <c r="M370" i="32"/>
  <c r="N370" i="32"/>
  <c r="O370" i="32"/>
  <c r="S370" i="32"/>
  <c r="T370" i="32"/>
  <c r="U370" i="32"/>
  <c r="V370" i="32"/>
  <c r="W370" i="32"/>
  <c r="C371" i="32"/>
  <c r="D371" i="32"/>
  <c r="E371" i="32"/>
  <c r="F371" i="32"/>
  <c r="G371" i="32"/>
  <c r="K371" i="32"/>
  <c r="L371" i="32"/>
  <c r="M371" i="32"/>
  <c r="N371" i="32"/>
  <c r="O371" i="32"/>
  <c r="S371" i="32"/>
  <c r="T371" i="32"/>
  <c r="U371" i="32"/>
  <c r="V371" i="32"/>
  <c r="W371" i="32"/>
  <c r="V377" i="32"/>
  <c r="V378" i="32"/>
  <c r="V379" i="32"/>
  <c r="A410" i="32"/>
  <c r="A373" i="32" s="1"/>
  <c r="T389" i="32"/>
  <c r="V389" i="32"/>
  <c r="I390" i="32"/>
  <c r="J390" i="32"/>
  <c r="K390" i="32"/>
  <c r="T390" i="32"/>
  <c r="V390" i="32"/>
  <c r="I391" i="32"/>
  <c r="J391" i="32"/>
  <c r="K391" i="32"/>
  <c r="I392" i="32"/>
  <c r="J392" i="32"/>
  <c r="K392" i="32"/>
  <c r="I393" i="32"/>
  <c r="J393" i="32"/>
  <c r="K393" i="32"/>
  <c r="I394" i="32"/>
  <c r="J394" i="32"/>
  <c r="K394" i="32"/>
  <c r="I395" i="32"/>
  <c r="J395" i="32"/>
  <c r="K395" i="32"/>
  <c r="I396" i="32"/>
  <c r="J396" i="32"/>
  <c r="K396" i="32"/>
  <c r="I397" i="32"/>
  <c r="J397" i="32"/>
  <c r="K397" i="32"/>
  <c r="I398" i="32"/>
  <c r="J398" i="32"/>
  <c r="K398" i="32"/>
  <c r="I399" i="32"/>
  <c r="J399" i="32"/>
  <c r="K399" i="32"/>
  <c r="I400" i="32"/>
  <c r="J400" i="32"/>
  <c r="K400" i="32"/>
  <c r="I401" i="32"/>
  <c r="J401" i="32"/>
  <c r="K401" i="32"/>
  <c r="I402" i="32"/>
  <c r="J402" i="32"/>
  <c r="K402" i="32"/>
  <c r="I403" i="32"/>
  <c r="J403" i="32"/>
  <c r="K403" i="32"/>
  <c r="I404" i="32"/>
  <c r="J404" i="32"/>
  <c r="K404" i="32"/>
  <c r="I405" i="32"/>
  <c r="J405" i="32"/>
  <c r="K405" i="32"/>
  <c r="I406" i="32"/>
  <c r="J406" i="32"/>
  <c r="K406" i="32"/>
  <c r="I407" i="32"/>
  <c r="J407" i="32"/>
  <c r="K407" i="32"/>
  <c r="J408" i="32"/>
  <c r="K408" i="32"/>
  <c r="I409" i="32"/>
  <c r="J409" i="32"/>
  <c r="K409" i="32"/>
  <c r="A265" i="33" l="1"/>
  <c r="N298" i="33"/>
  <c r="N311" i="33" s="1"/>
  <c r="O269" i="33"/>
  <c r="H277" i="33"/>
  <c r="H273" i="33"/>
  <c r="D268" i="33"/>
  <c r="D276" i="33" s="1"/>
  <c r="D284" i="33" s="1"/>
  <c r="D290" i="33" s="1"/>
  <c r="B268" i="33"/>
  <c r="B276" i="33" s="1"/>
  <c r="B284" i="33" s="1"/>
  <c r="B290" i="33" s="1"/>
  <c r="C268" i="33"/>
  <c r="C276" i="33" s="1"/>
  <c r="C284" i="33" s="1"/>
  <c r="C290" i="33" s="1"/>
  <c r="E376" i="32"/>
  <c r="C378" i="32"/>
  <c r="S373" i="32"/>
  <c r="D378" i="32"/>
  <c r="A379" i="32"/>
  <c r="G373" i="32"/>
  <c r="B376" i="32"/>
  <c r="S386" i="32" s="1"/>
  <c r="U377" i="32" s="1"/>
  <c r="C377" i="32"/>
  <c r="E379" i="32"/>
  <c r="C380" i="32"/>
  <c r="D381" i="32"/>
  <c r="D382" i="32"/>
  <c r="E377" i="32"/>
  <c r="D379" i="32"/>
  <c r="E382" i="32"/>
  <c r="C376" i="32"/>
  <c r="D377" i="32"/>
  <c r="A378" i="32"/>
  <c r="E380" i="32"/>
  <c r="C382" i="32"/>
  <c r="B378" i="32"/>
  <c r="A380" i="32"/>
  <c r="C381" i="32"/>
  <c r="C379" i="32"/>
  <c r="E378" i="32"/>
  <c r="B380" i="32"/>
  <c r="A381" i="32"/>
  <c r="A376" i="32"/>
  <c r="D380" i="32"/>
  <c r="A377" i="32"/>
  <c r="B381" i="32"/>
  <c r="A382" i="32"/>
  <c r="D376" i="32"/>
  <c r="B377" i="32"/>
  <c r="B379" i="32"/>
  <c r="E381" i="32"/>
  <c r="B382" i="32"/>
  <c r="B373" i="32"/>
  <c r="F271" i="33" l="1"/>
  <c r="E272" i="33"/>
  <c r="B273" i="33"/>
  <c r="B274" i="33"/>
  <c r="D277" i="33"/>
  <c r="D278" i="33"/>
  <c r="B280" i="33"/>
  <c r="B281" i="33"/>
  <c r="B282" i="33"/>
  <c r="D285" i="33"/>
  <c r="D286" i="33"/>
  <c r="D287" i="33"/>
  <c r="F288" i="33"/>
  <c r="F291" i="33"/>
  <c r="A285" i="33"/>
  <c r="E292" i="33"/>
  <c r="A269" i="33"/>
  <c r="F272" i="33"/>
  <c r="C273" i="33"/>
  <c r="C274" i="33"/>
  <c r="E277" i="33"/>
  <c r="E278" i="33"/>
  <c r="A279" i="33"/>
  <c r="C280" i="33"/>
  <c r="C281" i="33"/>
  <c r="C282" i="33"/>
  <c r="E285" i="33"/>
  <c r="E286" i="33"/>
  <c r="E287" i="33"/>
  <c r="A292" i="33"/>
  <c r="A293" i="33"/>
  <c r="A294" i="33"/>
  <c r="C270" i="33"/>
  <c r="A272" i="33"/>
  <c r="F274" i="33"/>
  <c r="D279" i="33"/>
  <c r="F280" i="33"/>
  <c r="F281" i="33"/>
  <c r="D292" i="33"/>
  <c r="D294" i="33"/>
  <c r="D270" i="33"/>
  <c r="B272" i="33"/>
  <c r="A277" i="33"/>
  <c r="E279" i="33"/>
  <c r="A287" i="33"/>
  <c r="B269" i="33"/>
  <c r="A270" i="33"/>
  <c r="K294" i="33" s="1"/>
  <c r="D273" i="33"/>
  <c r="D274" i="33"/>
  <c r="F277" i="33"/>
  <c r="F278" i="33"/>
  <c r="B279" i="33"/>
  <c r="D280" i="33"/>
  <c r="D281" i="33"/>
  <c r="D282" i="33"/>
  <c r="F285" i="33"/>
  <c r="F286" i="33"/>
  <c r="F287" i="33"/>
  <c r="B292" i="33"/>
  <c r="B293" i="33"/>
  <c r="B294" i="33"/>
  <c r="D269" i="33"/>
  <c r="B288" i="33"/>
  <c r="D293" i="33"/>
  <c r="E269" i="33"/>
  <c r="C271" i="33"/>
  <c r="C288" i="33"/>
  <c r="E293" i="33"/>
  <c r="C269" i="33"/>
  <c r="B270" i="33"/>
  <c r="A271" i="33"/>
  <c r="E273" i="33"/>
  <c r="E274" i="33"/>
  <c r="C279" i="33"/>
  <c r="E280" i="33"/>
  <c r="E281" i="33"/>
  <c r="E282" i="33"/>
  <c r="A288" i="33"/>
  <c r="A291" i="33"/>
  <c r="C292" i="33"/>
  <c r="C293" i="33"/>
  <c r="C294" i="33"/>
  <c r="B271" i="33"/>
  <c r="F273" i="33"/>
  <c r="F282" i="33"/>
  <c r="B291" i="33"/>
  <c r="A278" i="33"/>
  <c r="A286" i="33"/>
  <c r="K278" i="33" s="1"/>
  <c r="C291" i="33"/>
  <c r="E294" i="33"/>
  <c r="C287" i="33"/>
  <c r="E291" i="33"/>
  <c r="D271" i="33"/>
  <c r="A274" i="33"/>
  <c r="F269" i="33"/>
  <c r="C272" i="33"/>
  <c r="F279" i="33"/>
  <c r="D288" i="33"/>
  <c r="F292" i="33"/>
  <c r="B286" i="33"/>
  <c r="B287" i="33"/>
  <c r="D272" i="33"/>
  <c r="B277" i="33"/>
  <c r="A280" i="33"/>
  <c r="B285" i="33"/>
  <c r="E288" i="33"/>
  <c r="F270" i="33"/>
  <c r="B278" i="33"/>
  <c r="A281" i="33"/>
  <c r="C278" i="33"/>
  <c r="F294" i="33"/>
  <c r="C286" i="33"/>
  <c r="E270" i="33"/>
  <c r="C277" i="33"/>
  <c r="C285" i="33"/>
  <c r="F293" i="33"/>
  <c r="A273" i="33"/>
  <c r="E271" i="33"/>
  <c r="A282" i="33"/>
  <c r="D291" i="33"/>
  <c r="G377" i="32"/>
  <c r="I379" i="32"/>
  <c r="G380" i="32"/>
  <c r="H381" i="32"/>
  <c r="H382" i="32"/>
  <c r="H380" i="32"/>
  <c r="I381" i="32"/>
  <c r="I382" i="32"/>
  <c r="G376" i="32"/>
  <c r="H377" i="32"/>
  <c r="J379" i="32"/>
  <c r="K376" i="32"/>
  <c r="I378" i="32"/>
  <c r="I376" i="32"/>
  <c r="K380" i="32"/>
  <c r="J381" i="32"/>
  <c r="J380" i="32"/>
  <c r="J376" i="32"/>
  <c r="I377" i="32"/>
  <c r="G379" i="32"/>
  <c r="K381" i="32"/>
  <c r="G382" i="32"/>
  <c r="J377" i="32"/>
  <c r="H379" i="32"/>
  <c r="J382" i="32"/>
  <c r="K377" i="32"/>
  <c r="K379" i="32"/>
  <c r="K382" i="32"/>
  <c r="H376" i="32"/>
  <c r="G381" i="32"/>
  <c r="M373" i="32"/>
  <c r="G378" i="32"/>
  <c r="H378" i="32"/>
  <c r="J378" i="32"/>
  <c r="I380" i="32"/>
  <c r="K378" i="32"/>
  <c r="D375" i="32"/>
  <c r="J375" i="32" s="1"/>
  <c r="P375" i="32" s="1"/>
  <c r="H373" i="32"/>
  <c r="C375" i="32"/>
  <c r="I375" i="32" s="1"/>
  <c r="O375" i="32" s="1"/>
  <c r="B375" i="32"/>
  <c r="H375" i="32" s="1"/>
  <c r="N375" i="32" s="1"/>
  <c r="W378" i="32"/>
  <c r="W377" i="32"/>
  <c r="W379" i="32"/>
  <c r="O392" i="32" s="1"/>
  <c r="N390" i="32"/>
  <c r="S389" i="32"/>
  <c r="I276" i="33" l="1"/>
  <c r="K272" i="33"/>
  <c r="I274" i="33"/>
  <c r="I272" i="33"/>
  <c r="K292" i="33"/>
  <c r="I292" i="33"/>
  <c r="K284" i="33"/>
  <c r="I286" i="33"/>
  <c r="K286" i="33"/>
  <c r="I284" i="33"/>
  <c r="K288" i="33"/>
  <c r="K290" i="33"/>
  <c r="I290" i="33"/>
  <c r="I288" i="33"/>
  <c r="K282" i="33"/>
  <c r="K280" i="33"/>
  <c r="I280" i="33"/>
  <c r="I282" i="33"/>
  <c r="K276" i="33"/>
  <c r="J277" i="33" s="1"/>
  <c r="N269" i="33" s="1"/>
  <c r="I278" i="33"/>
  <c r="I294" i="33"/>
  <c r="K274" i="33"/>
  <c r="J273" i="33" s="1"/>
  <c r="N268" i="33" s="1"/>
  <c r="T386" i="32"/>
  <c r="U378" i="32" s="1"/>
  <c r="O376" i="32"/>
  <c r="P377" i="32"/>
  <c r="M378" i="32"/>
  <c r="P380" i="32"/>
  <c r="Q381" i="32"/>
  <c r="Q382" i="32"/>
  <c r="Q380" i="32"/>
  <c r="P376" i="32"/>
  <c r="Q377" i="32"/>
  <c r="N378" i="32"/>
  <c r="M377" i="32"/>
  <c r="O379" i="32"/>
  <c r="M380" i="32"/>
  <c r="N381" i="32"/>
  <c r="N382" i="32"/>
  <c r="O378" i="32"/>
  <c r="N379" i="32"/>
  <c r="O382" i="32"/>
  <c r="P378" i="32"/>
  <c r="N380" i="32"/>
  <c r="M376" i="32"/>
  <c r="Q378" i="32"/>
  <c r="O380" i="32"/>
  <c r="M381" i="32"/>
  <c r="O377" i="32"/>
  <c r="N376" i="32"/>
  <c r="O381" i="32"/>
  <c r="N377" i="32"/>
  <c r="M379" i="32"/>
  <c r="P381" i="32"/>
  <c r="Q376" i="32"/>
  <c r="M382" i="32"/>
  <c r="Q379" i="32"/>
  <c r="P379" i="32"/>
  <c r="P382" i="32"/>
  <c r="N373" i="32"/>
  <c r="T373" i="32"/>
  <c r="U389" i="32"/>
  <c r="O390" i="32"/>
  <c r="T381" i="32" s="1"/>
  <c r="O391" i="32"/>
  <c r="U390" i="32"/>
  <c r="J285" i="33" l="1"/>
  <c r="N271" i="33" s="1"/>
  <c r="O271" i="33" s="1"/>
  <c r="H293" i="33"/>
  <c r="J293" i="33" s="1"/>
  <c r="O268" i="33"/>
  <c r="J281" i="33"/>
  <c r="N270" i="33" s="1"/>
  <c r="O270" i="33" s="1"/>
  <c r="H26" i="16" s="1"/>
  <c r="J289" i="33"/>
  <c r="N272" i="33" s="1"/>
  <c r="O272" i="33" s="1"/>
  <c r="U386" i="32"/>
  <c r="U379" i="32" s="1"/>
  <c r="N392" i="32" s="1"/>
  <c r="T383" i="32" s="1"/>
  <c r="S390" i="32"/>
  <c r="N391" i="32"/>
  <c r="T382" i="32" s="1"/>
  <c r="M278" i="33" l="1"/>
  <c r="H266" i="33"/>
  <c r="H268" i="33" s="1"/>
  <c r="I266" i="33"/>
  <c r="O278" i="33"/>
  <c r="G33" i="16"/>
  <c r="F33" i="12" s="1"/>
  <c r="E33" i="16"/>
  <c r="G15" i="12"/>
  <c r="G16" i="12"/>
  <c r="E16" i="12"/>
  <c r="E15" i="12"/>
  <c r="B45" i="29"/>
  <c r="B46" i="29" s="1"/>
  <c r="D4" i="29"/>
  <c r="D23" i="29" s="1"/>
  <c r="E26" i="29"/>
  <c r="D22" i="29"/>
  <c r="A17" i="29"/>
  <c r="D12" i="29"/>
  <c r="F11" i="29"/>
  <c r="D11" i="29"/>
  <c r="A2" i="29" l="1"/>
  <c r="B50" i="29" s="1"/>
  <c r="A22" i="29" l="1"/>
  <c r="A19" i="29"/>
  <c r="A21" i="29"/>
  <c r="A20" i="29"/>
  <c r="I66" i="12" l="1"/>
  <c r="H59" i="12"/>
  <c r="D29" i="28" l="1"/>
  <c r="D28" i="28"/>
  <c r="D27" i="28"/>
  <c r="D26" i="28"/>
  <c r="D25" i="28"/>
  <c r="D24" i="28"/>
  <c r="D19" i="28" l="1"/>
  <c r="D14" i="28"/>
  <c r="D18" i="28"/>
  <c r="D17" i="28"/>
  <c r="D16" i="28"/>
  <c r="D15" i="28"/>
  <c r="D5" i="28" l="1"/>
  <c r="D6" i="28"/>
  <c r="D7" i="28"/>
  <c r="D8" i="28"/>
  <c r="D9" i="28"/>
  <c r="D4" i="28"/>
  <c r="T40" i="27"/>
  <c r="J27" i="27" l="1"/>
  <c r="K40" i="6" l="1"/>
  <c r="K41" i="6"/>
  <c r="K39" i="6"/>
  <c r="B32" i="16"/>
  <c r="B32" i="12" s="1"/>
  <c r="B33" i="16"/>
  <c r="B33" i="12" s="1"/>
  <c r="B31" i="16"/>
  <c r="B31" i="12" s="1"/>
  <c r="B40" i="6"/>
  <c r="B38" i="12" s="1"/>
  <c r="B46" i="6"/>
  <c r="F16" i="8"/>
  <c r="B39" i="16" l="1"/>
  <c r="G38" i="6"/>
  <c r="F37" i="16" s="1"/>
  <c r="D51" i="27" s="1"/>
  <c r="B38" i="6"/>
  <c r="G41" i="6"/>
  <c r="G40" i="6"/>
  <c r="G39" i="6"/>
  <c r="F38" i="16" s="1"/>
  <c r="F6" i="8"/>
  <c r="F26" i="8"/>
  <c r="F37" i="8"/>
  <c r="F40" i="6"/>
  <c r="C53" i="27" s="1"/>
  <c r="F39" i="6"/>
  <c r="C52" i="27" s="1"/>
  <c r="F38" i="6"/>
  <c r="C51" i="27" s="1"/>
  <c r="F24" i="27"/>
  <c r="F19" i="27"/>
  <c r="F20" i="27" s="1"/>
  <c r="Z33" i="27"/>
  <c r="Z34" i="27"/>
  <c r="Z35" i="27"/>
  <c r="Z36" i="27"/>
  <c r="Z37" i="27"/>
  <c r="Z38" i="27"/>
  <c r="Z39" i="27"/>
  <c r="Z40" i="27"/>
  <c r="Z41" i="27"/>
  <c r="Z42" i="27"/>
  <c r="Z43" i="27"/>
  <c r="Z44" i="27"/>
  <c r="Z45" i="27"/>
  <c r="Y45" i="27"/>
  <c r="Y44" i="27"/>
  <c r="Y43" i="27"/>
  <c r="Y42" i="27"/>
  <c r="Y41" i="27"/>
  <c r="Y40" i="27"/>
  <c r="Y39" i="27"/>
  <c r="Y38" i="27"/>
  <c r="Y37" i="27"/>
  <c r="Y36" i="27"/>
  <c r="Y35" i="27"/>
  <c r="Y34" i="27"/>
  <c r="Y33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Y32" i="27"/>
  <c r="Y31" i="27"/>
  <c r="Y30" i="27"/>
  <c r="Y29" i="27"/>
  <c r="Y28" i="27"/>
  <c r="Y27" i="27"/>
  <c r="Y26" i="27"/>
  <c r="Y25" i="27"/>
  <c r="Y24" i="27"/>
  <c r="Y23" i="27"/>
  <c r="Y22" i="27"/>
  <c r="Y21" i="27"/>
  <c r="Y20" i="27"/>
  <c r="W33" i="27"/>
  <c r="W20" i="27"/>
  <c r="T45" i="27"/>
  <c r="T44" i="27"/>
  <c r="T43" i="27"/>
  <c r="T42" i="27"/>
  <c r="T41" i="27"/>
  <c r="T39" i="27"/>
  <c r="T38" i="27"/>
  <c r="T37" i="27"/>
  <c r="T36" i="27"/>
  <c r="T35" i="27"/>
  <c r="T34" i="27"/>
  <c r="T33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T32" i="27"/>
  <c r="T31" i="27"/>
  <c r="T30" i="27"/>
  <c r="T29" i="27"/>
  <c r="T28" i="27"/>
  <c r="T27" i="27"/>
  <c r="T26" i="27"/>
  <c r="T25" i="27"/>
  <c r="T24" i="27"/>
  <c r="T23" i="27"/>
  <c r="T22" i="27"/>
  <c r="T21" i="27"/>
  <c r="T20" i="27"/>
  <c r="R33" i="27"/>
  <c r="R20" i="27"/>
  <c r="U45" i="27"/>
  <c r="U44" i="27"/>
  <c r="U43" i="27"/>
  <c r="U42" i="27"/>
  <c r="U41" i="27"/>
  <c r="U40" i="27"/>
  <c r="U39" i="27"/>
  <c r="U38" i="27"/>
  <c r="U37" i="27"/>
  <c r="U36" i="27"/>
  <c r="U35" i="27"/>
  <c r="U34" i="27"/>
  <c r="U33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O45" i="27"/>
  <c r="O44" i="27"/>
  <c r="O43" i="27"/>
  <c r="O42" i="27"/>
  <c r="O41" i="27"/>
  <c r="O40" i="27"/>
  <c r="O39" i="27"/>
  <c r="O38" i="27"/>
  <c r="O37" i="27"/>
  <c r="O36" i="27"/>
  <c r="O35" i="27"/>
  <c r="O34" i="27"/>
  <c r="O33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O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M33" i="27"/>
  <c r="M20" i="27"/>
  <c r="B59" i="27"/>
  <c r="B18" i="27"/>
  <c r="B23" i="27" s="1"/>
  <c r="A18" i="27"/>
  <c r="J20" i="27"/>
  <c r="K20" i="27"/>
  <c r="J21" i="27"/>
  <c r="K21" i="27"/>
  <c r="J22" i="27"/>
  <c r="K22" i="27"/>
  <c r="J23" i="27"/>
  <c r="K23" i="27"/>
  <c r="J24" i="27"/>
  <c r="K24" i="27"/>
  <c r="J25" i="27"/>
  <c r="K25" i="27"/>
  <c r="J26" i="27"/>
  <c r="K26" i="27"/>
  <c r="K27" i="27"/>
  <c r="J28" i="27"/>
  <c r="K28" i="27"/>
  <c r="J29" i="27"/>
  <c r="K29" i="27"/>
  <c r="J30" i="27"/>
  <c r="K30" i="27"/>
  <c r="J31" i="27"/>
  <c r="K31" i="27"/>
  <c r="J32" i="27"/>
  <c r="K32" i="27"/>
  <c r="J33" i="27"/>
  <c r="K33" i="27"/>
  <c r="J34" i="27"/>
  <c r="K34" i="27"/>
  <c r="J35" i="27"/>
  <c r="K35" i="27"/>
  <c r="J36" i="27"/>
  <c r="K36" i="27"/>
  <c r="J37" i="27"/>
  <c r="K37" i="27"/>
  <c r="J38" i="27"/>
  <c r="K38" i="27"/>
  <c r="J39" i="27"/>
  <c r="K39" i="27"/>
  <c r="J40" i="27"/>
  <c r="K40" i="27"/>
  <c r="J41" i="27"/>
  <c r="K41" i="27"/>
  <c r="J42" i="27"/>
  <c r="K42" i="27"/>
  <c r="J43" i="27"/>
  <c r="K43" i="27"/>
  <c r="J44" i="27"/>
  <c r="K44" i="27"/>
  <c r="J45" i="27"/>
  <c r="K45" i="27"/>
  <c r="F39" i="16" l="1"/>
  <c r="F38" i="12" s="1"/>
  <c r="A20" i="27"/>
  <c r="F40" i="16"/>
  <c r="F39" i="12" s="1"/>
  <c r="A21" i="27"/>
  <c r="F37" i="12"/>
  <c r="D52" i="27"/>
  <c r="F36" i="12"/>
  <c r="B36" i="12"/>
  <c r="B37" i="16"/>
  <c r="F25" i="27"/>
  <c r="I59" i="27"/>
  <c r="F18" i="27" s="1"/>
  <c r="D53" i="27" l="1"/>
  <c r="D54" i="27"/>
  <c r="A7" i="27"/>
  <c r="H33" i="27" s="1"/>
  <c r="A6" i="27"/>
  <c r="H20" i="27" s="1"/>
  <c r="B20" i="27"/>
  <c r="F21" i="27" s="1"/>
  <c r="E23" i="27"/>
  <c r="B28" i="27" s="1"/>
  <c r="C20" i="27"/>
  <c r="C21" i="27"/>
  <c r="B21" i="27"/>
  <c r="F22" i="27" s="1"/>
  <c r="B29" i="27" l="1"/>
  <c r="B31" i="27" s="1"/>
  <c r="F27" i="27" s="1"/>
  <c r="B26" i="27"/>
  <c r="B30" i="27"/>
  <c r="B27" i="27"/>
  <c r="B25" i="27"/>
  <c r="F26" i="27" s="1"/>
  <c r="C26" i="27"/>
  <c r="C28" i="27"/>
  <c r="C25" i="27"/>
  <c r="C30" i="27"/>
  <c r="C27" i="27"/>
  <c r="C29" i="27"/>
  <c r="D21" i="27"/>
  <c r="D37" i="8" s="1"/>
  <c r="H37" i="8" s="1"/>
  <c r="J37" i="8" s="1"/>
  <c r="K37" i="8" s="1"/>
  <c r="L37" i="8" s="1"/>
  <c r="D20" i="27"/>
  <c r="D26" i="8" s="1"/>
  <c r="H26" i="8" s="1"/>
  <c r="J26" i="8" s="1"/>
  <c r="K26" i="8" s="1"/>
  <c r="L26" i="8" s="1"/>
  <c r="D26" i="27" l="1"/>
  <c r="D27" i="27"/>
  <c r="D30" i="27"/>
  <c r="D16" i="8" s="1"/>
  <c r="H16" i="8" s="1"/>
  <c r="J16" i="8" s="1"/>
  <c r="K16" i="8" s="1"/>
  <c r="L16" i="8" s="1"/>
  <c r="D31" i="27"/>
  <c r="D29" i="27"/>
  <c r="D28" i="27"/>
  <c r="D25" i="27"/>
  <c r="H53" i="27"/>
  <c r="I53" i="27" s="1"/>
  <c r="H54" i="27"/>
  <c r="I54" i="27" s="1"/>
  <c r="M47" i="16" s="1"/>
  <c r="N47" i="16" s="1"/>
  <c r="H40" i="16" s="1"/>
  <c r="A4" i="25"/>
  <c r="G26" i="25"/>
  <c r="B18" i="25"/>
  <c r="G2" i="25" s="1"/>
  <c r="D11" i="25"/>
  <c r="D10" i="25"/>
  <c r="M46" i="16" l="1"/>
  <c r="M34" i="16"/>
  <c r="G40" i="16"/>
  <c r="D6" i="8"/>
  <c r="H6" i="8" s="1"/>
  <c r="J6" i="8" s="1"/>
  <c r="K6" i="8" s="1"/>
  <c r="L6" i="8" s="1"/>
  <c r="H52" i="27"/>
  <c r="I52" i="27" s="1"/>
  <c r="M45" i="16" s="1"/>
  <c r="N45" i="16" s="1"/>
  <c r="H38" i="16" s="1"/>
  <c r="H51" i="27"/>
  <c r="D12" i="25"/>
  <c r="J44" i="16" l="1"/>
  <c r="G39" i="16"/>
  <c r="N46" i="16"/>
  <c r="G38" i="16"/>
  <c r="M32" i="16"/>
  <c r="I51" i="27"/>
  <c r="M44" i="16" s="1"/>
  <c r="N44" i="16" s="1"/>
  <c r="H37" i="16" s="1"/>
  <c r="J33" i="6"/>
  <c r="E33" i="12" s="1"/>
  <c r="M38" i="6"/>
  <c r="N34" i="6" s="1"/>
  <c r="G39" i="12"/>
  <c r="F24" i="8"/>
  <c r="P24" i="8"/>
  <c r="T24" i="8" s="1"/>
  <c r="R24" i="8"/>
  <c r="D25" i="8"/>
  <c r="F25" i="8"/>
  <c r="P25" i="8"/>
  <c r="T25" i="8" s="1"/>
  <c r="R25" i="8"/>
  <c r="H32" i="16"/>
  <c r="H32" i="12" s="1"/>
  <c r="H31" i="16"/>
  <c r="H31" i="12" s="1"/>
  <c r="E32" i="16"/>
  <c r="E32" i="12" s="1"/>
  <c r="E31" i="16"/>
  <c r="E31" i="12" s="1"/>
  <c r="C32" i="16"/>
  <c r="C32" i="12" s="1"/>
  <c r="C33" i="16"/>
  <c r="C33" i="12" s="1"/>
  <c r="C31" i="16"/>
  <c r="C31" i="12" s="1"/>
  <c r="K18" i="16"/>
  <c r="C27" i="12"/>
  <c r="M27" i="6"/>
  <c r="M69" i="6" s="1"/>
  <c r="L26" i="6"/>
  <c r="I26" i="16" s="1"/>
  <c r="L27" i="6"/>
  <c r="J27" i="12" s="1"/>
  <c r="L25" i="6"/>
  <c r="I25" i="16" s="1"/>
  <c r="K26" i="6"/>
  <c r="I26" i="12" s="1"/>
  <c r="K27" i="6"/>
  <c r="K25" i="6"/>
  <c r="I25" i="12" s="1"/>
  <c r="B46" i="16"/>
  <c r="B45" i="12" s="1"/>
  <c r="C27" i="16"/>
  <c r="C26" i="6"/>
  <c r="C26" i="12" s="1"/>
  <c r="C25" i="6"/>
  <c r="C25" i="12" s="1"/>
  <c r="B45" i="16"/>
  <c r="B44" i="12" s="1"/>
  <c r="B51" i="16"/>
  <c r="B50" i="12" s="1"/>
  <c r="F7" i="16"/>
  <c r="F7" i="12" s="1"/>
  <c r="G33" i="12" s="1"/>
  <c r="E39" i="16"/>
  <c r="E38" i="16"/>
  <c r="E37" i="16"/>
  <c r="E36" i="12" s="1"/>
  <c r="C40" i="6"/>
  <c r="C38" i="6"/>
  <c r="E2" i="8"/>
  <c r="L11" i="8" s="1"/>
  <c r="X11" i="8" s="1"/>
  <c r="P36" i="8"/>
  <c r="T36" i="8" s="1"/>
  <c r="P15" i="8"/>
  <c r="T15" i="8" s="1"/>
  <c r="P5" i="8"/>
  <c r="T5" i="8" s="1"/>
  <c r="R36" i="8"/>
  <c r="R35" i="8"/>
  <c r="N35" i="8"/>
  <c r="R15" i="8"/>
  <c r="R14" i="8"/>
  <c r="N14" i="8"/>
  <c r="R5" i="8"/>
  <c r="R4" i="8"/>
  <c r="P4" i="8"/>
  <c r="T4" i="8" s="1"/>
  <c r="P14" i="8"/>
  <c r="T14" i="8" s="1"/>
  <c r="P35" i="8"/>
  <c r="T35" i="8" s="1"/>
  <c r="W35" i="8" s="1"/>
  <c r="D14" i="8"/>
  <c r="D24" i="8"/>
  <c r="D35" i="8"/>
  <c r="K38" i="6"/>
  <c r="D4" i="8" s="1"/>
  <c r="B50" i="16"/>
  <c r="B49" i="12" s="1"/>
  <c r="B71" i="11"/>
  <c r="B81" i="11" s="1"/>
  <c r="B35" i="8"/>
  <c r="B14" i="8"/>
  <c r="A7" i="12"/>
  <c r="H63" i="16"/>
  <c r="E7" i="16"/>
  <c r="E7" i="12" s="1"/>
  <c r="D36" i="8"/>
  <c r="D5" i="8"/>
  <c r="D15" i="8"/>
  <c r="F36" i="8"/>
  <c r="F35" i="8"/>
  <c r="F15" i="8"/>
  <c r="F14" i="8"/>
  <c r="F5" i="8"/>
  <c r="F4" i="8"/>
  <c r="G38" i="12"/>
  <c r="H30" i="16"/>
  <c r="H30" i="12" s="1"/>
  <c r="E30" i="16"/>
  <c r="E30" i="12" s="1"/>
  <c r="A1" i="12"/>
  <c r="B58" i="16"/>
  <c r="E63" i="16" s="1"/>
  <c r="B43" i="16"/>
  <c r="B42" i="12" s="1"/>
  <c r="E20" i="16"/>
  <c r="M20" i="16" s="1"/>
  <c r="K20" i="16" s="1"/>
  <c r="E19" i="16"/>
  <c r="M19" i="16" s="1"/>
  <c r="K19" i="16" s="1"/>
  <c r="E11" i="16"/>
  <c r="E12" i="12" s="1"/>
  <c r="E10" i="16"/>
  <c r="E11" i="12" s="1"/>
  <c r="D17" i="29" s="1"/>
  <c r="E9" i="16"/>
  <c r="E10" i="12" s="1"/>
  <c r="D21" i="29" s="1"/>
  <c r="E8" i="16"/>
  <c r="E9" i="12" s="1"/>
  <c r="D19" i="29" s="1"/>
  <c r="B54" i="29" s="1"/>
  <c r="B55" i="29" s="1"/>
  <c r="E6" i="16"/>
  <c r="E5" i="16"/>
  <c r="E4" i="16"/>
  <c r="J25" i="12"/>
  <c r="M33" i="16" l="1"/>
  <c r="L39" i="16" s="1"/>
  <c r="O39" i="16" s="1"/>
  <c r="H39" i="16"/>
  <c r="G37" i="16"/>
  <c r="G36" i="12" s="1"/>
  <c r="M31" i="16"/>
  <c r="G17" i="12"/>
  <c r="E17" i="12"/>
  <c r="E5" i="12"/>
  <c r="E18" i="25" s="1"/>
  <c r="D9" i="29"/>
  <c r="E6" i="12"/>
  <c r="F18" i="25" s="1"/>
  <c r="D10" i="29"/>
  <c r="B59" i="29"/>
  <c r="B58" i="29"/>
  <c r="B57" i="29" s="1"/>
  <c r="E4" i="12"/>
  <c r="C18" i="25" s="1"/>
  <c r="D8" i="29"/>
  <c r="E37" i="12"/>
  <c r="H14" i="8"/>
  <c r="J14" i="8" s="1"/>
  <c r="K14" i="8" s="1"/>
  <c r="L14" i="8" s="1"/>
  <c r="C37" i="16"/>
  <c r="C39" i="16"/>
  <c r="C38" i="12" s="1"/>
  <c r="A53" i="27"/>
  <c r="Q2" i="8"/>
  <c r="C14" i="8"/>
  <c r="O14" i="8" s="1"/>
  <c r="E22" i="8"/>
  <c r="C25" i="8" s="1"/>
  <c r="E12" i="8"/>
  <c r="Q12" i="8" s="1"/>
  <c r="C5" i="8"/>
  <c r="L21" i="8"/>
  <c r="X21" i="8" s="1"/>
  <c r="E21" i="12"/>
  <c r="H5" i="8"/>
  <c r="J5" i="8" s="1"/>
  <c r="K5" i="8" s="1"/>
  <c r="L5" i="8" s="1"/>
  <c r="C15" i="8"/>
  <c r="C25" i="16"/>
  <c r="J26" i="12"/>
  <c r="C26" i="16"/>
  <c r="H15" i="8"/>
  <c r="J15" i="8" s="1"/>
  <c r="K15" i="8" s="1"/>
  <c r="L15" i="8" s="1"/>
  <c r="H4" i="8"/>
  <c r="J4" i="8" s="1"/>
  <c r="K4" i="8" s="1"/>
  <c r="H24" i="8"/>
  <c r="J24" i="8" s="1"/>
  <c r="K24" i="8" s="1"/>
  <c r="B57" i="12"/>
  <c r="D20" i="29" s="1"/>
  <c r="E20" i="12"/>
  <c r="W18" i="8"/>
  <c r="V14" i="8"/>
  <c r="X36" i="8"/>
  <c r="W39" i="8"/>
  <c r="H35" i="8"/>
  <c r="J35" i="8" s="1"/>
  <c r="K35" i="8" s="1"/>
  <c r="W8" i="8"/>
  <c r="N33" i="6"/>
  <c r="K33" i="6" s="1"/>
  <c r="H33" i="16" s="1"/>
  <c r="H33" i="12" s="1"/>
  <c r="H25" i="8"/>
  <c r="J25" i="8" s="1"/>
  <c r="K25" i="8" s="1"/>
  <c r="L25" i="8" s="1"/>
  <c r="H36" i="8"/>
  <c r="J36" i="8" s="1"/>
  <c r="K36" i="8" s="1"/>
  <c r="L36" i="8" s="1"/>
  <c r="C4" i="8"/>
  <c r="O4" i="8" s="1"/>
  <c r="I27" i="16"/>
  <c r="W5" i="8"/>
  <c r="V5" i="8"/>
  <c r="X5" i="8"/>
  <c r="V35" i="8"/>
  <c r="W38" i="8"/>
  <c r="W40" i="8"/>
  <c r="W41" i="8" s="1"/>
  <c r="X35" i="8"/>
  <c r="W15" i="8"/>
  <c r="V15" i="8"/>
  <c r="M63" i="16"/>
  <c r="G37" i="12"/>
  <c r="X38" i="8"/>
  <c r="W17" i="8"/>
  <c r="X14" i="8"/>
  <c r="W14" i="8"/>
  <c r="X17" i="8"/>
  <c r="W19" i="8"/>
  <c r="W20" i="8" s="1"/>
  <c r="X7" i="8"/>
  <c r="W4" i="8"/>
  <c r="W7" i="8"/>
  <c r="V4" i="8"/>
  <c r="W9" i="8"/>
  <c r="W10" i="8" s="1"/>
  <c r="X4" i="8"/>
  <c r="X15" i="8"/>
  <c r="W36" i="8"/>
  <c r="V36" i="8"/>
  <c r="V25" i="8"/>
  <c r="X25" i="8"/>
  <c r="W25" i="8"/>
  <c r="X27" i="8"/>
  <c r="W28" i="8"/>
  <c r="V24" i="8"/>
  <c r="W29" i="8"/>
  <c r="W30" i="8" s="1"/>
  <c r="X24" i="8"/>
  <c r="W27" i="8"/>
  <c r="W24" i="8"/>
  <c r="G18" i="25"/>
  <c r="E8" i="12"/>
  <c r="D18" i="29" s="1"/>
  <c r="E38" i="12"/>
  <c r="L38" i="16" l="1"/>
  <c r="O38" i="16" s="1"/>
  <c r="C36" i="12"/>
  <c r="A51" i="27"/>
  <c r="L17" i="8"/>
  <c r="K17" i="8"/>
  <c r="K18" i="8" s="1"/>
  <c r="O15" i="8"/>
  <c r="C16" i="8"/>
  <c r="L4" i="8"/>
  <c r="L7" i="8" s="1"/>
  <c r="K7" i="8"/>
  <c r="K8" i="8" s="1"/>
  <c r="O5" i="8"/>
  <c r="C6" i="8"/>
  <c r="O25" i="8"/>
  <c r="C26" i="8"/>
  <c r="L24" i="8"/>
  <c r="L27" i="8" s="1"/>
  <c r="K27" i="8"/>
  <c r="K28" i="8" s="1"/>
  <c r="K38" i="8"/>
  <c r="K39" i="8" s="1"/>
  <c r="Q22" i="8"/>
  <c r="C24" i="8"/>
  <c r="O24" i="8" s="1"/>
  <c r="E33" i="8"/>
  <c r="L42" i="8" s="1"/>
  <c r="X42" i="8" s="1"/>
  <c r="L31" i="8"/>
  <c r="X31" i="8" s="1"/>
  <c r="L40" i="16"/>
  <c r="O40" i="16" s="1"/>
  <c r="L37" i="16"/>
  <c r="O37" i="16" s="1"/>
  <c r="H38" i="12"/>
  <c r="W31" i="8"/>
  <c r="W42" i="8"/>
  <c r="L35" i="8"/>
  <c r="W21" i="8"/>
  <c r="H37" i="12"/>
  <c r="W11" i="8"/>
  <c r="B44" i="16"/>
  <c r="B43" i="12" s="1"/>
  <c r="H36" i="12"/>
  <c r="H39" i="12"/>
  <c r="M25" i="16"/>
  <c r="K25" i="16" s="1"/>
  <c r="H25" i="12"/>
  <c r="H15" i="12" l="1"/>
  <c r="H16" i="12"/>
  <c r="K29" i="8"/>
  <c r="K30" i="8" s="1"/>
  <c r="K31" i="8" s="1"/>
  <c r="O46" i="16" s="1"/>
  <c r="K9" i="8"/>
  <c r="K10" i="8" s="1"/>
  <c r="K11" i="8" s="1"/>
  <c r="O44" i="16" s="1"/>
  <c r="C36" i="8"/>
  <c r="C37" i="8" s="1"/>
  <c r="L38" i="8"/>
  <c r="K40" i="8" s="1"/>
  <c r="K41" i="8" s="1"/>
  <c r="K42" i="8" s="1"/>
  <c r="O47" i="16" s="1"/>
  <c r="K19" i="8"/>
  <c r="K20" i="8" s="1"/>
  <c r="K21" i="8" s="1"/>
  <c r="O45" i="16" s="1"/>
  <c r="Q33" i="8"/>
  <c r="C35" i="8"/>
  <c r="O35" i="8" s="1"/>
  <c r="N37" i="16"/>
  <c r="M37" i="16" s="1"/>
  <c r="N39" i="16"/>
  <c r="M39" i="16" s="1"/>
  <c r="H17" i="12"/>
  <c r="J38" i="16" l="1"/>
  <c r="K37" i="12" s="1"/>
  <c r="J37" i="16"/>
  <c r="K36" i="12" s="1"/>
  <c r="J40" i="16"/>
  <c r="K39" i="12" s="1"/>
  <c r="J39" i="16"/>
  <c r="K38" i="12" s="1"/>
  <c r="F15" i="12"/>
  <c r="O36" i="8"/>
  <c r="M41" i="16"/>
  <c r="K37" i="16" s="1"/>
  <c r="M65" i="16" s="1"/>
  <c r="F16" i="12" l="1"/>
  <c r="F17" i="12"/>
  <c r="N68" i="6" l="1"/>
  <c r="N69" i="6" s="1"/>
  <c r="H26" i="12"/>
  <c r="K26" i="16"/>
  <c r="M27" i="16" l="1"/>
  <c r="K27" i="16" s="1"/>
  <c r="M72" i="6" s="1"/>
  <c r="H27" i="12"/>
  <c r="I27" i="12" s="1"/>
  <c r="N70" i="6" l="1"/>
  <c r="O65" i="6"/>
  <c r="O69" i="6" l="1"/>
  <c r="M73" i="6"/>
  <c r="O66" i="6" s="1"/>
  <c r="P65" i="6" s="1"/>
  <c r="M64" i="16" s="1"/>
  <c r="K63" i="16" s="1"/>
  <c r="H1" i="29" s="1"/>
  <c r="B47" i="16" l="1"/>
  <c r="O71" i="6"/>
  <c r="F2" i="6"/>
  <c r="A2" i="16" s="1"/>
  <c r="A2" i="12" s="1"/>
  <c r="A3" i="29" s="1"/>
  <c r="F6" i="29" s="1"/>
  <c r="B43" i="29" s="1"/>
  <c r="B55" i="6"/>
  <c r="B54" i="16" s="1"/>
  <c r="B5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  <author>Isro Mahensa</author>
    <author>HP</author>
    <author>Win7</author>
  </authors>
  <commentList>
    <comment ref="F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New User:</t>
        </r>
        <r>
          <rPr>
            <sz val="9"/>
            <color indexed="81"/>
            <rFont val="Tahoma"/>
            <family val="2"/>
          </rPr>
          <t xml:space="preserve">
Rubah Satuannya</t>
        </r>
      </text>
    </comment>
    <comment ref="C32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USG:</t>
        </r>
        <r>
          <rPr>
            <sz val="9"/>
            <color indexed="81"/>
            <rFont val="Tahoma"/>
            <family val="2"/>
          </rPr>
          <t xml:space="preserve">
Kalau tidak di isi di LHK Harap di Hidden</t>
        </r>
      </text>
    </comment>
    <comment ref="F38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Setting Standar:</t>
        </r>
        <r>
          <rPr>
            <sz val="9"/>
            <color indexed="81"/>
            <rFont val="Tahoma"/>
            <family val="2"/>
          </rPr>
          <t xml:space="preserve">
masukan nilai setting sesuai pemilihan di lembar kerja
</t>
        </r>
      </text>
    </comment>
    <comment ref="J38" authorId="3" shapeId="0" xr:uid="{00000000-0006-0000-0200-000004000000}">
      <text>
        <r>
          <rPr>
            <b/>
            <sz val="9"/>
            <color indexed="81"/>
            <rFont val="Tahoma"/>
            <family val="2"/>
          </rPr>
          <t>Input Data Hasil Pengukuran menggunakan satuan    ( mm ) / convert manual dulu ke mm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Win7</author>
  </authors>
  <commentList>
    <comment ref="G51" authorId="0" shapeId="0" xr:uid="{1282F147-6C94-4192-8C50-884A29F9901F}">
      <text>
        <r>
          <rPr>
            <b/>
            <sz val="9"/>
            <color indexed="81"/>
            <rFont val="Tahoma"/>
            <family val="2"/>
          </rPr>
          <t>Input Data Hasil Pengukuran menggunakan satuan    ( mm ) / convert manual dulu ke mm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82956C76-7B75-4283-8D99-CE8539DF46ED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<sst xmlns="http://schemas.openxmlformats.org/spreadsheetml/2006/main" count="3020" uniqueCount="728">
  <si>
    <t>LEMBAR KERJA KALIBRASI USG</t>
  </si>
  <si>
    <t>Nomor Sertifikat / Nomor Surat Keterangan : 56 /        /        -        / E -                         Dt / DL</t>
  </si>
  <si>
    <t>Merek</t>
  </si>
  <si>
    <t xml:space="preserve">: </t>
  </si>
  <si>
    <t>Model/Tipe</t>
  </si>
  <si>
    <t>No. Seri</t>
  </si>
  <si>
    <t>Resolusi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</si>
  <si>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</si>
  <si>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</si>
  <si>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</si>
  <si>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</si>
  <si>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</si>
  <si>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</si>
  <si>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</si>
  <si>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>1. Suhu</t>
  </si>
  <si>
    <r>
      <t>o</t>
    </r>
    <r>
      <rPr>
        <sz val="12"/>
        <rFont val="Arial"/>
        <family val="2"/>
      </rPr>
      <t>C</t>
    </r>
  </si>
  <si>
    <t xml:space="preserve">2. Kelembaban </t>
  </si>
  <si>
    <t>% RH</t>
  </si>
  <si>
    <t>3. Tegangan jala - jala</t>
  </si>
  <si>
    <t>:</t>
  </si>
  <si>
    <t>Volt</t>
  </si>
  <si>
    <t xml:space="preserve">II.     </t>
  </si>
  <si>
    <t>Pemeriksaan Kondisi Fisik dan Fungsi Alat</t>
  </si>
  <si>
    <t>SCORE</t>
  </si>
  <si>
    <t>1. Fisik</t>
  </si>
  <si>
    <t>Baik / Tidak Baik</t>
  </si>
  <si>
    <t>2. Fungsi</t>
  </si>
  <si>
    <t>III.</t>
  </si>
  <si>
    <t>Pengujian Keselamatan Listrik</t>
  </si>
  <si>
    <t>No</t>
  </si>
  <si>
    <t>Parameter</t>
  </si>
  <si>
    <t>Hasil Ukur</t>
  </si>
  <si>
    <t xml:space="preserve">Ambang Batas </t>
  </si>
  <si>
    <t>Yang Diijinkan</t>
  </si>
  <si>
    <t>Resistansi isolasi</t>
  </si>
  <si>
    <t>MΩ</t>
  </si>
  <si>
    <t xml:space="preserve"> &gt; 2 MΩ
</t>
  </si>
  <si>
    <t>Resistansi pembumian protektif</t>
  </si>
  <si>
    <t>Ω</t>
  </si>
  <si>
    <t xml:space="preserve">   ≤ 0.2 Ω</t>
  </si>
  <si>
    <t>Arus bocor peralatan untuk peralatan elektromedik kelas I / II</t>
  </si>
  <si>
    <t>µA</t>
  </si>
  <si>
    <t xml:space="preserve">   ≤ 500 / 100  µA</t>
  </si>
  <si>
    <t>IV.</t>
  </si>
  <si>
    <t xml:space="preserve">Pengujian Kinerja  </t>
  </si>
  <si>
    <t>Hasil Pengamatan</t>
  </si>
  <si>
    <t>Toleransi</t>
  </si>
  <si>
    <t>Dead Zone</t>
  </si>
  <si>
    <t>a. Terlihat ada 4 titik</t>
  </si>
  <si>
    <t>4 titik</t>
  </si>
  <si>
    <t>b. Terlihat kurang dari 4 titik</t>
  </si>
  <si>
    <t>Axial Zone</t>
  </si>
  <si>
    <t>a. Dua pasangan titik terakhir tidak menyatu</t>
  </si>
  <si>
    <t>Tidak menyatu</t>
  </si>
  <si>
    <t>b. Dua pasangan titik terakhir menyatu</t>
  </si>
  <si>
    <t>Grey Scale</t>
  </si>
  <si>
    <t>a. Probe &lt; 5 MHz ( Diameter ...... cm / mm )</t>
  </si>
  <si>
    <t>Diameter 0.8 cm / 8 mm</t>
  </si>
  <si>
    <t>b. Probe &gt; 5 MHz ( Diameter ...... cm / mm)</t>
  </si>
  <si>
    <t>Diameter 1 cm / 10 mm</t>
  </si>
  <si>
    <t>Setting Standar</t>
  </si>
  <si>
    <t>Pembacaan Alat</t>
  </si>
  <si>
    <t>Batas</t>
  </si>
  <si>
    <t>I</t>
  </si>
  <si>
    <t>II</t>
  </si>
  <si>
    <t>III</t>
  </si>
  <si>
    <t>Horizontal Distance</t>
  </si>
  <si>
    <t>10 mm / 1 cm</t>
  </si>
  <si>
    <t>Pin 4 ke 5</t>
  </si>
  <si>
    <t>± 5 %</t>
  </si>
  <si>
    <t>1 titik keluar</t>
  </si>
  <si>
    <t>20 mm / 2 cm</t>
  </si>
  <si>
    <t>Pin 5 ke 6 / 4 ke 6</t>
  </si>
  <si>
    <t>Vertical Distance</t>
  </si>
  <si>
    <t>Pin 4 ke 5 / 1 ke 3</t>
  </si>
  <si>
    <t>± 2 %</t>
  </si>
  <si>
    <t>Pin 9 ke 10 / 9 ke 11</t>
  </si>
  <si>
    <t>V.</t>
  </si>
  <si>
    <t>Keterangan</t>
  </si>
  <si>
    <t>...............................................................................................</t>
  </si>
  <si>
    <t>VI.</t>
  </si>
  <si>
    <t xml:space="preserve">Alat Yang Digunakan </t>
  </si>
  <si>
    <t>Muti-Purposes Multi-Tissue Ultrasound Phantom, Merk : CIRS, Model 040 GSE, SN : D7232-4 , D8119-2, 203438468, 203438463</t>
  </si>
  <si>
    <t>Ultrasound Phantom, Merk : CIRS, Model 055, SN :201184256, 201184255, 201184254</t>
  </si>
  <si>
    <t>Ultrasound Phantom, Merk : SUN NUCLEAR, Model : SUN 404, SN :802262-5381-1, 802262-5381-3, 802262-5381-4</t>
  </si>
  <si>
    <t>Electrical Safety Analyzer, Merek : FLUKE, Model : ESA 615, SN : 2853077, 2853078, 3148907, 3148908, 3699030</t>
  </si>
  <si>
    <t>Electrical Safety Analyzer, Merek : FLUKE, Model : ESA 615, SN : 4670010, 4669058</t>
  </si>
  <si>
    <t>Electrical Safety Analyzer, Merek : FLUKE  Model : ESA 620 SN :1837056, 1834020</t>
  </si>
  <si>
    <t>Digital Thermohygrometer, Merek : KIMO, Model : KH-210 , SN: 15062875, 15062874, 14082463, 15062872, 15062873</t>
  </si>
  <si>
    <t>Digital Thermohygrometer, Merek : Sekonic, Model : ST - 50A, SN: HE 21-000670,  HE 21-000669</t>
  </si>
  <si>
    <t>Digital Thermohygrometer, Merek : GREISINGER, Model : GFTB 200, SN: 34903046,  34903053, 34903051, 34904091</t>
  </si>
  <si>
    <t>Digital Thermohygro Barometer : EXTECH, SD700, SN : A.100609, A.100605, A.100611, A.100616,  A.100617</t>
  </si>
  <si>
    <t xml:space="preserve">A.100618, A.100586 </t>
  </si>
  <si>
    <t xml:space="preserve">VII. </t>
  </si>
  <si>
    <t>Kesimpulan</t>
  </si>
  <si>
    <t>Alat yang dikalibrasi dinyatakan LAIK PAKAI / TIDAK LAIK PAKAI</t>
  </si>
  <si>
    <t>VIII.</t>
  </si>
  <si>
    <t>Petugas Kalibrasi</t>
  </si>
  <si>
    <t>No.</t>
  </si>
  <si>
    <t>Tanggal</t>
  </si>
  <si>
    <t>Revisi</t>
  </si>
  <si>
    <t>Oleh</t>
  </si>
  <si>
    <t>-</t>
  </si>
  <si>
    <t>Revisi NC kelas II</t>
  </si>
  <si>
    <t>ada sama dengan</t>
  </si>
  <si>
    <t>&gt; 20 MΩ</t>
  </si>
  <si>
    <t>Penambahan Alat tidak boleh digunakan pada instalasi yang tanpa dilengkapi grounding pada LHK dan penyelia</t>
  </si>
  <si>
    <t>tidak terdapat grounding</t>
  </si>
  <si>
    <t>tidak terdapat grounding di ruangan</t>
  </si>
  <si>
    <t>STDEV DB Suhu masih manual</t>
  </si>
  <si>
    <t>DONE</t>
  </si>
  <si>
    <t>Arya</t>
  </si>
  <si>
    <t>Pemilihan no. sertifikat / surat ket masih manual</t>
  </si>
  <si>
    <t>11 Mei 2021</t>
  </si>
  <si>
    <t>Rumus koreksi terbalik</t>
  </si>
  <si>
    <t xml:space="preserve">Skoring </t>
  </si>
  <si>
    <t>Isra</t>
  </si>
  <si>
    <t>Alat Kalibrator yang digunakan ada kesalahan model dan nomer seri</t>
  </si>
  <si>
    <t>26 Juli 2021</t>
  </si>
  <si>
    <t>Penambahan kalibrator</t>
  </si>
  <si>
    <t>Scoring untuk kelistrikan value</t>
  </si>
  <si>
    <t>10 Februari 2022</t>
  </si>
  <si>
    <t>Menambahkan sheet cetak sertifikat</t>
  </si>
  <si>
    <t>Septia</t>
  </si>
  <si>
    <t>26 Oktober 2022</t>
  </si>
  <si>
    <t xml:space="preserve">Masalah di scoring </t>
  </si>
  <si>
    <t>done</t>
  </si>
  <si>
    <t>9 Desember 2022</t>
  </si>
  <si>
    <t>Perubahan LK,Penambahan Kalibrator</t>
  </si>
  <si>
    <t>10.1.2023</t>
  </si>
  <si>
    <t>Pin 4-5</t>
  </si>
  <si>
    <t>Perubahan pin dan nilai koreksi untuk sun nuclear pin horizontal 4-6</t>
  </si>
  <si>
    <t>Venna</t>
  </si>
  <si>
    <t>Rev 11 : 10.1.2023</t>
  </si>
  <si>
    <t>INPUT DATA KALIBRASI USG</t>
  </si>
  <si>
    <t>1 / IV - 21 / E - 00.000 DL</t>
  </si>
  <si>
    <t>GE</t>
  </si>
  <si>
    <t>LOGIQ F8</t>
  </si>
  <si>
    <t>mm</t>
  </si>
  <si>
    <t>Horizontal Distance (mm)</t>
  </si>
  <si>
    <t>Vertical Distance (mm)</t>
  </si>
  <si>
    <t>5478039</t>
  </si>
  <si>
    <t>cm</t>
  </si>
  <si>
    <t>Horizontal Distance (cm)</t>
  </si>
  <si>
    <t>Vertical Distance (cm)</t>
  </si>
  <si>
    <t>4 Februari 2020</t>
  </si>
  <si>
    <t>Ruang EKG</t>
  </si>
  <si>
    <t>Metode Kerja</t>
  </si>
  <si>
    <t>MK 065 - 18</t>
  </si>
  <si>
    <r>
      <t>o</t>
    </r>
    <r>
      <rPr>
        <sz val="11"/>
        <rFont val="Arial"/>
        <family val="2"/>
      </rPr>
      <t>C</t>
    </r>
  </si>
  <si>
    <t>Baik</t>
  </si>
  <si>
    <t>Ambang Batas Yang Diijinkan</t>
  </si>
  <si>
    <t>OL</t>
  </si>
  <si>
    <t>Closed</t>
  </si>
  <si>
    <t>Terlihat ada 4 titik</t>
  </si>
  <si>
    <t>Axial Resolution</t>
  </si>
  <si>
    <t>Dua pasangan titik terakhir tidak menyatu</t>
  </si>
  <si>
    <t>Tidak Menyatu</t>
  </si>
  <si>
    <t>Probe &lt; 5 MHz</t>
  </si>
  <si>
    <t>Diameter :</t>
  </si>
  <si>
    <t>(</t>
  </si>
  <si>
    <t>Probe &gt; 5 MHz</t>
  </si>
  <si>
    <t>)</t>
  </si>
  <si>
    <t>Dua pasangan titik terakhir menyatu</t>
  </si>
  <si>
    <t>SD</t>
  </si>
  <si>
    <t>Kurang dari 4 titik</t>
  </si>
  <si>
    <t>0.8 cm</t>
  </si>
  <si>
    <t>8 mm</t>
  </si>
  <si>
    <t>Muti-Purposes Multi-Tissue Ultrasound Phantom, Merk : CIRS, Model 040 GSE, SN : D7232-4</t>
  </si>
  <si>
    <t>A</t>
  </si>
  <si>
    <t>1 cm</t>
  </si>
  <si>
    <t>10 mm</t>
  </si>
  <si>
    <t>Muti-Purposes Multi-Tissue Ultrasound Phantom, Merk : CIRS, Model 040 GSE, SN : D8119-2</t>
  </si>
  <si>
    <t>B</t>
  </si>
  <si>
    <t>C</t>
  </si>
  <si>
    <t>Muti-Purposes Multi-Tissue Ultrasound Phantom, Merk : CIRS, Model 040 GSE, SN : 203438468</t>
  </si>
  <si>
    <t>Muti-Purposes Multi-Tissue Ultrasound Phantom, Merk : CIRS, Model 040 GSE, SN : 203438463</t>
  </si>
  <si>
    <t>Ketidakpastian pengukuran diperoleh dari sumber ketidakpastian tipe A dan B</t>
  </si>
  <si>
    <t>Pin 5 ke 6</t>
  </si>
  <si>
    <t>Pin 4 ke 6</t>
  </si>
  <si>
    <t>Ultrasound Wire Phantom, Merk : CIRS, Model 055A, SN : 201184256</t>
  </si>
  <si>
    <t>Pin 1 ke 3</t>
  </si>
  <si>
    <t>Ultrasound Wire Phantom, Merk : CIRS, Model 055A, SN : 201184255</t>
  </si>
  <si>
    <t>Pin 9 ke 10</t>
  </si>
  <si>
    <t>Pin 7 ke 8</t>
  </si>
  <si>
    <t>Pin 9 ke 11</t>
  </si>
  <si>
    <t>Ultrasound Wire Phantom, Merk : CIRS, Model 055A, SN : 201184254</t>
  </si>
  <si>
    <t>Ultrasound Phantom, Merk : SUN NUCLEAR, Model : SUN 404, SN :802262-5381-1</t>
  </si>
  <si>
    <t>Ultrasound Phantom, Merk : SUN NUCLEAR, Model : SUN 404, SN :802262-5381-3</t>
  </si>
  <si>
    <t xml:space="preserve">Alat Ukur Yang Digunakan </t>
  </si>
  <si>
    <t>Ultrasound Phantom, Merk : SUN NUCLEAR, Model : SUN 404, SN :802262-5381-4</t>
  </si>
  <si>
    <t>Electrical Safety Analyzer, Merek : Fluke, Model : ESA 615, SN : 4669058</t>
  </si>
  <si>
    <t>Sholihatussa'diah</t>
  </si>
  <si>
    <t>Tidak terdapat grounding di ruangan</t>
  </si>
  <si>
    <t>IX.</t>
  </si>
  <si>
    <t>Tanggal Pembuatan Laporan</t>
  </si>
  <si>
    <t>11 Maret 2020</t>
  </si>
  <si>
    <t>Hasil Skor</t>
  </si>
  <si>
    <t>Alat tidak boleh digunakan pada instalasi yang tanpa dilengkapi grounding</t>
  </si>
  <si>
    <t>UNCERTAINTY BUDGET</t>
  </si>
  <si>
    <t>VALIDASI</t>
  </si>
  <si>
    <t>Horizontal 1/10</t>
  </si>
  <si>
    <t>Horizontal (0-40)</t>
  </si>
  <si>
    <t>Komponen</t>
  </si>
  <si>
    <t>Satuan</t>
  </si>
  <si>
    <t>u</t>
  </si>
  <si>
    <t>distribusi</t>
  </si>
  <si>
    <t>div</t>
  </si>
  <si>
    <t>vi</t>
  </si>
  <si>
    <t>ui</t>
  </si>
  <si>
    <t>ci</t>
  </si>
  <si>
    <t>ui.ci</t>
  </si>
  <si>
    <t>(ui.ci)^2</t>
  </si>
  <si>
    <t>(ui.ci)^4/vi</t>
  </si>
  <si>
    <t>Repeatibility (Tipe A)</t>
  </si>
  <si>
    <t>normal</t>
  </si>
  <si>
    <t>Daya Baca UUT</t>
  </si>
  <si>
    <t>rectangular</t>
  </si>
  <si>
    <t>Drift</t>
  </si>
  <si>
    <t>Jumlah</t>
  </si>
  <si>
    <t>Ketidakpastian baku gabungan, Uc</t>
  </si>
  <si>
    <r>
      <t>Uc</t>
    </r>
    <r>
      <rPr>
        <sz val="11"/>
        <rFont val="Calibri"/>
        <family val="2"/>
        <scheme val="minor"/>
      </rPr>
      <t xml:space="preserve"> = Ö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)²]</t>
    </r>
  </si>
  <si>
    <r>
      <t>Uc</t>
    </r>
    <r>
      <rPr>
        <sz val="11"/>
        <color rgb="FFFF0000"/>
        <rFont val="Times New Roman"/>
        <family val="1"/>
      </rPr>
      <t xml:space="preserve"> = </t>
    </r>
    <r>
      <rPr>
        <sz val="11"/>
        <color rgb="FFFF0000"/>
        <rFont val="Symbol"/>
        <family val="1"/>
        <charset val="2"/>
      </rPr>
      <t>Ö</t>
    </r>
    <r>
      <rPr>
        <sz val="11"/>
        <color rgb="FFFF0000"/>
        <rFont val="Times New Roman"/>
        <family val="1"/>
      </rPr>
      <t xml:space="preserve"> [</t>
    </r>
    <r>
      <rPr>
        <sz val="11"/>
        <color rgb="FFFF0000"/>
        <rFont val="Symbol"/>
        <family val="1"/>
        <charset val="2"/>
      </rPr>
      <t>S</t>
    </r>
    <r>
      <rPr>
        <sz val="11"/>
        <color rgb="FFFF0000"/>
        <rFont val="Times New Roman"/>
        <family val="1"/>
      </rPr>
      <t>(u</t>
    </r>
    <r>
      <rPr>
        <vertAlign val="subscript"/>
        <sz val="11"/>
        <color rgb="FFFF0000"/>
        <rFont val="Times New Roman"/>
        <family val="1"/>
      </rPr>
      <t>i</t>
    </r>
    <r>
      <rPr>
        <sz val="11"/>
        <color rgb="FFFF0000"/>
        <rFont val="Times New Roman"/>
        <family val="1"/>
      </rPr>
      <t xml:space="preserve"> c</t>
    </r>
    <r>
      <rPr>
        <vertAlign val="subscript"/>
        <sz val="11"/>
        <color rgb="FFFF0000"/>
        <rFont val="Times New Roman"/>
        <family val="1"/>
      </rPr>
      <t>i</t>
    </r>
    <r>
      <rPr>
        <sz val="11"/>
        <color rgb="FFFF0000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</si>
  <si>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</si>
  <si>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Calibri"/>
        <family val="2"/>
        <scheme val="minor"/>
      </rPr>
      <t>eff</t>
    </r>
    <r>
      <rPr>
        <sz val="11"/>
        <rFont val="Calibri"/>
        <family val="2"/>
        <scheme val="minor"/>
      </rPr>
      <t xml:space="preserve"> = u</t>
    </r>
    <r>
      <rPr>
        <vertAlign val="subscript"/>
        <sz val="11"/>
        <rFont val="Calibri"/>
        <family val="2"/>
        <scheme val="minor"/>
      </rPr>
      <t>c</t>
    </r>
    <r>
      <rPr>
        <vertAlign val="super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/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</t>
    </r>
    <r>
      <rPr>
        <vertAlign val="superscript"/>
        <sz val="11"/>
        <rFont val="Calibri"/>
        <family val="2"/>
        <scheme val="minor"/>
      </rPr>
      <t xml:space="preserve"> 4</t>
    </r>
    <r>
      <rPr>
        <sz val="11"/>
        <rFont val="Calibri"/>
        <family val="2"/>
        <scheme val="minor"/>
      </rPr>
      <t>/n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]</t>
    </r>
  </si>
  <si>
    <r>
      <t>n</t>
    </r>
    <r>
      <rPr>
        <vertAlign val="subscript"/>
        <sz val="11"/>
        <color rgb="FFFF0000"/>
        <rFont val="Times New Roman"/>
        <family val="1"/>
      </rPr>
      <t>eff</t>
    </r>
    <r>
      <rPr>
        <sz val="11"/>
        <color rgb="FFFF0000"/>
        <rFont val="Times New Roman"/>
        <family val="1"/>
      </rPr>
      <t xml:space="preserve"> = u</t>
    </r>
    <r>
      <rPr>
        <vertAlign val="subscript"/>
        <sz val="11"/>
        <color rgb="FFFF0000"/>
        <rFont val="Times New Roman"/>
        <family val="1"/>
      </rPr>
      <t>c</t>
    </r>
    <r>
      <rPr>
        <vertAlign val="superscript"/>
        <sz val="11"/>
        <color rgb="FFFF0000"/>
        <rFont val="Times New Roman"/>
        <family val="1"/>
      </rPr>
      <t>4</t>
    </r>
    <r>
      <rPr>
        <sz val="11"/>
        <color rgb="FFFF0000"/>
        <rFont val="Times New Roman"/>
        <family val="1"/>
      </rPr>
      <t xml:space="preserve"> / [</t>
    </r>
    <r>
      <rPr>
        <sz val="11"/>
        <color rgb="FFFF0000"/>
        <rFont val="Symbol"/>
        <family val="1"/>
        <charset val="2"/>
      </rPr>
      <t>S</t>
    </r>
    <r>
      <rPr>
        <sz val="11"/>
        <color rgb="FFFF0000"/>
        <rFont val="Times New Roman"/>
        <family val="1"/>
      </rPr>
      <t>(u</t>
    </r>
    <r>
      <rPr>
        <vertAlign val="subscript"/>
        <sz val="11"/>
        <color rgb="FFFF0000"/>
        <rFont val="Times New Roman"/>
        <family val="1"/>
      </rPr>
      <t>i</t>
    </r>
    <r>
      <rPr>
        <sz val="11"/>
        <color rgb="FFFF0000"/>
        <rFont val="Times New Roman"/>
        <family val="1"/>
      </rPr>
      <t xml:space="preserve"> c</t>
    </r>
    <r>
      <rPr>
        <vertAlign val="subscript"/>
        <sz val="11"/>
        <color rgb="FFFF0000"/>
        <rFont val="Times New Roman"/>
        <family val="1"/>
      </rPr>
      <t>i</t>
    </r>
    <r>
      <rPr>
        <sz val="11"/>
        <color rgb="FFFF0000"/>
        <rFont val="Times New Roman"/>
        <family val="1"/>
      </rPr>
      <t>)</t>
    </r>
    <r>
      <rPr>
        <vertAlign val="superscript"/>
        <sz val="11"/>
        <color rgb="FFFF0000"/>
        <rFont val="Times New Roman"/>
        <family val="1"/>
      </rPr>
      <t xml:space="preserve"> 4</t>
    </r>
    <r>
      <rPr>
        <sz val="11"/>
        <color rgb="FFFF0000"/>
        <rFont val="Times New Roman"/>
        <family val="1"/>
      </rPr>
      <t>/</t>
    </r>
    <r>
      <rPr>
        <sz val="11"/>
        <color rgb="FFFF0000"/>
        <rFont val="Symbol"/>
        <family val="1"/>
        <charset val="2"/>
      </rPr>
      <t>n</t>
    </r>
    <r>
      <rPr>
        <vertAlign val="subscript"/>
        <sz val="11"/>
        <color rgb="FFFF0000"/>
        <rFont val="Times New Roman"/>
        <family val="1"/>
      </rPr>
      <t>i</t>
    </r>
    <r>
      <rPr>
        <sz val="11"/>
        <color rgb="FFFF0000"/>
        <rFont val="Times New Roman"/>
        <family val="1"/>
      </rPr>
      <t>]</t>
    </r>
  </si>
  <si>
    <t>Faktor cakupan</t>
  </si>
  <si>
    <t>k</t>
  </si>
  <si>
    <t>Ketidakpastian bentangan, U = k.Uc</t>
  </si>
  <si>
    <t>U = k. Uc</t>
  </si>
  <si>
    <t>Horizontal 2/20</t>
  </si>
  <si>
    <t>Horizontal(40-90)</t>
  </si>
  <si>
    <t>Sumber</t>
  </si>
  <si>
    <t>dist</t>
  </si>
  <si>
    <t>Vertical(4-5)</t>
  </si>
  <si>
    <t>Vertical(20-30)</t>
  </si>
  <si>
    <t>Repeatibility</t>
  </si>
  <si>
    <t>Vertical(9-10)</t>
  </si>
  <si>
    <t>Vertical(90-100)</t>
  </si>
  <si>
    <t>HASIL KALIBRASI USG</t>
  </si>
  <si>
    <t>Score</t>
  </si>
  <si>
    <t xml:space="preserve">Ambang Batas Yang Diijinkan </t>
  </si>
  <si>
    <t xml:space="preserve">Pengujian  Kinerja  </t>
  </si>
  <si>
    <t>Koreksi</t>
  </si>
  <si>
    <t>Ketidakpastian Pengukuran</t>
  </si>
  <si>
    <t>sum</t>
  </si>
  <si>
    <t>koreksi relatif</t>
  </si>
  <si>
    <t>NAMA</t>
  </si>
  <si>
    <t>Paraf</t>
  </si>
  <si>
    <t>TOTAL</t>
  </si>
  <si>
    <t xml:space="preserve">Dibuat </t>
  </si>
  <si>
    <t>Kondisi</t>
  </si>
  <si>
    <t xml:space="preserve">Diperiksa </t>
  </si>
  <si>
    <t>......................................................</t>
  </si>
  <si>
    <t>Listrik</t>
  </si>
  <si>
    <t>kinerja</t>
  </si>
  <si>
    <t>Tanggal Penerimaan Alat</t>
  </si>
  <si>
    <t>Menyetujui,</t>
  </si>
  <si>
    <t>Kepala Instalasi Laboratorium</t>
  </si>
  <si>
    <t>Pengujian dan Kalibrasi</t>
  </si>
  <si>
    <t>Choirul Huda, S.Tr.Kes</t>
  </si>
  <si>
    <t>Halaman 2 dari 2 halaman</t>
  </si>
  <si>
    <t>NIP 198008062010121001</t>
  </si>
  <si>
    <t xml:space="preserve">Farid Wajidi, SKM </t>
  </si>
  <si>
    <t>NIP 196712101990031012</t>
  </si>
  <si>
    <t>D</t>
  </si>
  <si>
    <t>E</t>
  </si>
  <si>
    <t>F</t>
  </si>
  <si>
    <t>G</t>
  </si>
  <si>
    <t>H</t>
  </si>
  <si>
    <t>J</t>
  </si>
  <si>
    <t>K</t>
  </si>
  <si>
    <t>L</t>
  </si>
  <si>
    <t>M</t>
  </si>
  <si>
    <t>Vertikal (cm)</t>
  </si>
  <si>
    <t>(…..................)</t>
  </si>
  <si>
    <t>Horizontal (cm)</t>
  </si>
  <si>
    <t>1-2</t>
  </si>
  <si>
    <t>2-3</t>
  </si>
  <si>
    <t>3-4</t>
  </si>
  <si>
    <t>4-5</t>
  </si>
  <si>
    <t>5-6</t>
  </si>
  <si>
    <t>6-7</t>
  </si>
  <si>
    <t>drift</t>
  </si>
  <si>
    <t>Vertical</t>
  </si>
  <si>
    <t>Code</t>
  </si>
  <si>
    <t>Horizontal</t>
  </si>
  <si>
    <t>4-6</t>
  </si>
  <si>
    <t>rata - rata</t>
  </si>
  <si>
    <t>(….................................)</t>
  </si>
  <si>
    <t>Isi Sertifikat</t>
  </si>
  <si>
    <t>SN. 802262-5381-1</t>
  </si>
  <si>
    <t>Pin</t>
  </si>
  <si>
    <t>Standar sertifikat</t>
  </si>
  <si>
    <t>UUT Alat LPFK</t>
  </si>
  <si>
    <t>SN. 802262-5381-3</t>
  </si>
  <si>
    <t>SN. 802262-5381-4</t>
  </si>
  <si>
    <t>SERTIFIKAT KALIBRASI</t>
  </si>
  <si>
    <t>Bulan</t>
  </si>
  <si>
    <t>Tahun</t>
  </si>
  <si>
    <t xml:space="preserve">                                                                 </t>
  </si>
  <si>
    <t>Juni</t>
  </si>
  <si>
    <t xml:space="preserve">Nama Alat            : </t>
  </si>
  <si>
    <t>USG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</si>
  <si>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</si>
  <si>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</si>
  <si>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</si>
  <si>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</si>
  <si>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</si>
  <si>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</si>
  <si>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</si>
  <si>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</si>
  <si>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</si>
  <si>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</si>
  <si>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</si>
  <si>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</si>
  <si>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</si>
  <si>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</si>
  <si>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</si>
  <si>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</si>
  <si>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</si>
  <si>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</si>
  <si>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</si>
  <si>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</si>
  <si>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</si>
  <si>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</si>
  <si>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</si>
  <si>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</si>
  <si>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</si>
  <si>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</si>
  <si>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Banjarbaru, 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</si>
  <si>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</si>
  <si>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</si>
  <si>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</si>
  <si>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</si>
  <si>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</si>
  <si>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</si>
  <si>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</si>
  <si>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</si>
  <si>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</si>
  <si>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</si>
  <si>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</si>
  <si>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</si>
  <si>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</si>
  <si>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</si>
  <si>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</si>
  <si>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</si>
  <si>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</si>
  <si>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</si>
  <si>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</si>
  <si>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</si>
  <si>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</si>
  <si>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</si>
  <si>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</si>
  <si>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</si>
  <si>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</si>
  <si>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</si>
  <si>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</si>
  <si>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</si>
  <si>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</si>
  <si>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</si>
  <si>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</si>
  <si>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</si>
  <si>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</si>
  <si>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</si>
  <si>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</si>
  <si>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</si>
  <si>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</si>
  <si>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</si>
  <si>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</si>
  <si>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</si>
  <si>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</si>
  <si>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</si>
  <si>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</si>
  <si>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</si>
  <si>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</si>
  <si>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</si>
  <si>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</si>
  <si>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</si>
  <si>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</si>
  <si>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</si>
  <si>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</si>
  <si>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</si>
  <si>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</si>
  <si>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</si>
  <si>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</si>
  <si>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</si>
  <si>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</si>
  <si>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</si>
  <si>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</si>
  <si>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</si>
  <si>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</si>
  <si>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</si>
  <si>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</si>
  <si>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</si>
  <si>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</si>
  <si>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</si>
  <si>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</si>
  <si>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</si>
  <si>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</si>
  <si>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</si>
  <si>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</si>
  <si>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</si>
  <si>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</si>
  <si>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</si>
  <si>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</si>
  <si>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</si>
  <si>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</si>
  <si>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</si>
  <si>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</si>
  <si>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</si>
  <si>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</si>
  <si>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</si>
  <si>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</si>
  <si>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</si>
  <si>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</si>
  <si>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</si>
  <si>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</si>
  <si>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</si>
  <si>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</si>
  <si>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</si>
  <si>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</si>
  <si>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</si>
  <si>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</si>
  <si>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</si>
  <si>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</si>
  <si>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</si>
  <si>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</si>
  <si>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</si>
  <si>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</si>
  <si>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</si>
  <si>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</si>
  <si>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</si>
  <si>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</si>
  <si>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</si>
  <si>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</si>
  <si>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1</t>
  </si>
  <si>
    <t>MK 029 - 18</t>
  </si>
  <si>
    <t>Lampu Operasi (Mobile Type)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</si>
  <si>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</si>
  <si>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</si>
  <si>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</si>
  <si>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</si>
  <si>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</si>
  <si>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</si>
  <si>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</si>
  <si>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</si>
  <si>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</si>
  <si>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</si>
  <si>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</si>
  <si>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</si>
  <si>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</si>
  <si>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</si>
  <si>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</si>
  <si>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</si>
  <si>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</si>
  <si>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</si>
  <si>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</si>
  <si>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1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</si>
  <si>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</si>
  <si>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</si>
  <si>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</si>
  <si>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</si>
  <si>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</si>
  <si>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</si>
  <si>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</si>
  <si>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</si>
  <si>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</si>
  <si>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</si>
  <si>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</si>
  <si>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</si>
  <si>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</si>
  <si>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</si>
  <si>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</si>
  <si>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</si>
  <si>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</si>
  <si>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</si>
  <si>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</si>
  <si>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</si>
  <si>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</si>
  <si>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</si>
  <si>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</si>
  <si>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</si>
  <si>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</si>
  <si>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</si>
  <si>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</si>
  <si>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</si>
  <si>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</si>
  <si>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</si>
  <si>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</si>
  <si>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</si>
  <si>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</si>
  <si>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</si>
  <si>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</si>
  <si>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</si>
  <si>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OA.S - 065 - 18 / REV : 0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</si>
  <si>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</si>
  <si>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</si>
  <si>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</si>
  <si>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</si>
  <si>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</si>
  <si>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</si>
  <si>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</si>
  <si>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</si>
  <si>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</si>
  <si>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</si>
  <si>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</si>
  <si>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</si>
  <si>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</si>
  <si>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</si>
  <si>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</si>
  <si>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</si>
  <si>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</si>
  <si>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</si>
  <si>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</si>
  <si>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</si>
  <si>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</si>
  <si>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</si>
  <si>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</si>
  <si>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</si>
  <si>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</si>
  <si>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</si>
  <si>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</si>
  <si>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</si>
  <si>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</si>
  <si>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</si>
  <si>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</si>
  <si>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</si>
  <si>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</si>
  <si>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INPUT DATA SERTIFIKAT ESA</t>
  </si>
  <si>
    <t xml:space="preserve"> </t>
  </si>
  <si>
    <t>ESA 620 (1837056)</t>
  </si>
  <si>
    <t>ESA 620 (1834020)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</si>
  <si>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</si>
  <si>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</si>
  <si>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</si>
  <si>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</si>
  <si>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</si>
  <si>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</si>
  <si>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</si>
  <si>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</si>
  <si>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</si>
  <si>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t>Resistance</t>
  </si>
  <si>
    <t>ESA 615 (2853078)</t>
  </si>
  <si>
    <t>ESA 615 (3148907)</t>
  </si>
  <si>
    <t>ESA 615 (3148908)</t>
  </si>
  <si>
    <t>ESA 615 (3699030)</t>
  </si>
  <si>
    <t>ESA 615 (4670010)</t>
  </si>
  <si>
    <t>No urut alat</t>
  </si>
  <si>
    <t>IV</t>
  </si>
  <si>
    <t>V</t>
  </si>
  <si>
    <t>VI</t>
  </si>
  <si>
    <t>Pembacaan Standar</t>
  </si>
  <si>
    <t>Pembacaan terkoreksi</t>
  </si>
  <si>
    <t>Hasil</t>
  </si>
  <si>
    <t>NO</t>
  </si>
  <si>
    <t>NC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</si>
  <si>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</si>
  <si>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</si>
  <si>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</si>
  <si>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</si>
  <si>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INPUT SERTIFIKAT THERMOHYGROMETER</t>
  </si>
  <si>
    <t>KOREKSI KIMO THERMOHYGROMETER 15062873</t>
  </si>
  <si>
    <t>Suhu</t>
  </si>
  <si>
    <t>DRIFT</t>
  </si>
  <si>
    <t>Kelembaban</t>
  </si>
  <si>
    <t>%RH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</si>
  <si>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</si>
  <si>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</si>
  <si>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</si>
  <si>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</si>
  <si>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</si>
  <si>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</si>
  <si>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</si>
  <si>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</si>
  <si>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</si>
  <si>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</si>
  <si>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THERMOHYGROMETER</t>
  </si>
  <si>
    <t>Rata-rata standar</t>
  </si>
  <si>
    <t>Rata-rata Terkoreksi</t>
  </si>
  <si>
    <t>STDEV</t>
  </si>
  <si>
    <t>Konversi TEXT</t>
  </si>
  <si>
    <t xml:space="preserve"> °C</t>
  </si>
  <si>
    <t xml:space="preserve"> %RH</t>
  </si>
  <si>
    <t xml:space="preserve">( </t>
  </si>
  <si>
    <t xml:space="preserve"> ± </t>
  </si>
  <si>
    <t xml:space="preserve"> )</t>
  </si>
  <si>
    <t>Thermohygrolight, Merek : KIMO, Model : KH-210-AO, SN : 14082463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</si>
  <si>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</si>
  <si>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</si>
  <si>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</si>
  <si>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</si>
  <si>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</si>
  <si>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</si>
  <si>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 xml:space="preserve">2. Electical Safety Analyzer, Merek : Fluke, Model : ESA 620 (1837056) </t>
  </si>
  <si>
    <t>2. Electical Safety Analyzer, Merek : Fluke, Model : ESA 620 ( 1834020 )</t>
  </si>
  <si>
    <t xml:space="preserve">2. Electical Safety Analyzer, Merek : Fluke, Model : ESA 615 (2853077) </t>
  </si>
  <si>
    <t>2. Electical Safety Analyzer, Merek : Fluke, Model : ESA 615 (2853078)</t>
  </si>
  <si>
    <t>2. Electical Safety Analyzer, Merek : Fluke, Model : ESA 615 (3148907)</t>
  </si>
  <si>
    <t xml:space="preserve">2. Electical Safety Analyzer, Merek : Fluke, Model : ESA 615 (3148908) </t>
  </si>
  <si>
    <t>Choirul Huda</t>
  </si>
  <si>
    <t>≤ 500 µA</t>
  </si>
  <si>
    <t>Dany Firmanto</t>
  </si>
  <si>
    <t>Akhsanudin Vikki Nurkholis</t>
  </si>
  <si>
    <t>≤ 100 µA</t>
  </si>
  <si>
    <t>Donny Martha</t>
  </si>
  <si>
    <t>Image Normal</t>
  </si>
  <si>
    <t>Image Noise</t>
  </si>
  <si>
    <t>Rangga Setya Hantoko</t>
  </si>
  <si>
    <t>Image Distorsi</t>
  </si>
  <si>
    <t>Hamdan Syarif</t>
  </si>
  <si>
    <t>Muhammad Zaenuri Sugiasmoro</t>
  </si>
  <si>
    <t>Isra Mahensa</t>
  </si>
  <si>
    <t>Muhammad Arrizal Septiawan</t>
  </si>
  <si>
    <t>Muhammad Ikhsan Ilyas</t>
  </si>
  <si>
    <t>Hary Ernanto</t>
  </si>
  <si>
    <t>Gusti Arya Dinata</t>
  </si>
  <si>
    <t>Muhammad Irfan Husnuzhzhan</t>
  </si>
  <si>
    <t>Fatimah Novrianisa</t>
  </si>
  <si>
    <t xml:space="preserve">Alat yang di kalibrasi dalam batas toleransi dan dinyatakan LAIK PAKAI </t>
  </si>
  <si>
    <t>Taufik Priawan</t>
  </si>
  <si>
    <t xml:space="preserve">Alat yang di kalibrasi melebihi batas toleransi dan dinyatakan TIDAK LAIK PAKAI </t>
  </si>
  <si>
    <t>Septia Khairunnisa</t>
  </si>
  <si>
    <t>Muhammad Iqbal Saiful Rahman</t>
  </si>
  <si>
    <t>Ketidakpastian pengukuran diperoleh dari sumber ketidakpastian tipe A dan tipe B</t>
  </si>
  <si>
    <t>Kurang Baik</t>
  </si>
  <si>
    <t>Wardimanul Abrar</t>
  </si>
  <si>
    <t>1. Ketidakpastian pengukuran diperoleh dari sumber ketidakpastian tipe A dan tipe B</t>
  </si>
  <si>
    <t>Venna Filosofia</t>
  </si>
  <si>
    <t>Muhammad Alpian Hadi</t>
  </si>
  <si>
    <t>Dewi Nofitasari</t>
  </si>
  <si>
    <t>Yurdha Algifari</t>
  </si>
  <si>
    <t>Ryan Rama Chaesar R</t>
  </si>
  <si>
    <t>Siti Fathul Jannah</t>
  </si>
  <si>
    <t>Tidak Baik</t>
  </si>
  <si>
    <t>2. Hasil pengukuran keselamatan listrik tertelusur ke Satuan Internasional ( SI ) melalui CALTEK PTE LTD</t>
  </si>
  <si>
    <t>2. Hasil pengukuran keselamatan listrik tertelusur ke Satuan Internasional ( SI ) melalui PT. KALIMAN ( LK - 032 - IDN )</t>
  </si>
  <si>
    <t xml:space="preserve">2. Electical Safety Analyzer, Merek : Fluke, Model : ESA 615 (3699030) </t>
  </si>
  <si>
    <t>3. Thermohygrometer, Merek : KIMO, KH-210-AO (14082463)</t>
  </si>
  <si>
    <t>3. Thermohygrometer, Merek : KIMO, KH-210-AO (15062872)</t>
  </si>
  <si>
    <t>3. Thermohygrometer, Merek : KIMO, KH-210-AO ( 15062874 )</t>
  </si>
  <si>
    <t>3. Thermohygrometer, Merek : KIMO, KH-210-AO (15062875)</t>
  </si>
  <si>
    <t>3. Thermohygrometer, Merek : SEKONIC, ST-50A (HE 21-000670)</t>
  </si>
  <si>
    <t>3. Thermohygrometer, Merek : SEKONIC, ST-50A (HE 21-000669)</t>
  </si>
  <si>
    <t>3. Thermohygrometer, Merek : GREISINGER,GFTB 200 (34903053)</t>
  </si>
  <si>
    <t>3. Thermohygrometer, Merek : GREISINGER,GFTB 200 (34903046)</t>
  </si>
  <si>
    <t>3. Thermohygrometer, Merek : GREISINGER,GFTB 200 (34903051)</t>
  </si>
  <si>
    <t>3. Thermohygrometer, Merek : GREISINGER,GFTB 202 (34904091)</t>
  </si>
  <si>
    <t>3. Tidak terdapat grounding</t>
  </si>
  <si>
    <t>3. Catu daya mengunakan Baterai</t>
  </si>
  <si>
    <t>Hasil pengujian kinerja USG tertelusur ke Satuan Internasional ( SI ) melalui CIRS</t>
  </si>
  <si>
    <t>Hasil pengujian kinerja USG tertelusur ke Satuan Internasional ( SI ) melalui SUN NUCLEAR</t>
  </si>
  <si>
    <t xml:space="preserve">2. Electical Safety Analyzer, Merek : Fluke, Model : ESA 615 (,,,,,) </t>
  </si>
  <si>
    <t xml:space="preserve">2. Electical Safety Analyzer, Merek : Fluke, Model : ESA 615 (,,,,) </t>
  </si>
  <si>
    <t>Kesimpulan :</t>
  </si>
  <si>
    <t>KESIMPULAN</t>
  </si>
  <si>
    <t>SIMBOL</t>
  </si>
  <si>
    <t>Nomor Sertifikat : 56 /</t>
  </si>
  <si>
    <t>Alat yang dikalibrasi dalam batas toleransi dan dinyatakan LAIK PAKAI, dimana hasil atau skor akhir sama dengan atau melampaui 70 % berdasarkan Keputusan Direktur Jendral Pelayanan Kesehatan No : HK.02.02/V/0412/2020</t>
  </si>
  <si>
    <t>Nomor Surat Keterangan : 56 / M -</t>
  </si>
  <si>
    <t>Alat yang dikalibrasi melebihi batas toleransi dan dinyatakan TIDAK LAIK PAKAI,  dimana hasil atau skor akhir dibawah 70 % berdasarkan Keputusan Direktur Jendral Pelayanan Kesehatan No : HK.02.02/V/0412/2020</t>
  </si>
  <si>
    <t>Jalan ABC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</si>
  <si>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</si>
  <si>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</si>
  <si>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</si>
  <si>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</si>
  <si>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</si>
  <si>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</si>
  <si>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</si>
  <si>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</si>
  <si>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</si>
  <si>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</si>
  <si>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</si>
  <si>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</si>
  <si>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</si>
  <si>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±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</si>
  <si>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</si>
  <si>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</si>
  <si>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</si>
  <si>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</si>
  <si>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Hasil pengukuran keselamatan listrik tertelusur ke Satuan Internasional ( SI ) melalui PT. Kaliman (LK-032-IDN)</t>
  </si>
  <si>
    <t>Electrical Safety Analyzer 12</t>
  </si>
  <si>
    <t>Electrical Safety Analyzer 11</t>
  </si>
  <si>
    <t>Electrical Safety Analyzer, Merek : Fluke, Model : ESA 615, SN : --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</si>
  <si>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</si>
  <si>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</si>
  <si>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 xml:space="preserve"> Volt</t>
  </si>
  <si>
    <t>No. Urut</t>
  </si>
  <si>
    <t>ESA 615 (4669058)</t>
  </si>
  <si>
    <t>Thermohygrolight, Merek : KIMO, Model : KH-210-AO, SN : 15062875</t>
  </si>
  <si>
    <t>Thermohygrolight, Merek : KIMO, Model : KH-210-AO, SN : 15062872</t>
  </si>
  <si>
    <t xml:space="preserve"> hPa</t>
  </si>
  <si>
    <t>Thermohygrolight, Merek : KIMO, Model : KH-210-AO, SN : 15062874</t>
  </si>
  <si>
    <t>Thermohygrolight, Merek : KIMO, Model : KH-210-AO, SN : 15062873</t>
  </si>
  <si>
    <t>HASIL</t>
  </si>
  <si>
    <t>hPa</t>
  </si>
  <si>
    <t>Tekanan</t>
  </si>
  <si>
    <t>KOREKSI EXTECH A.100615</t>
  </si>
  <si>
    <t>KOREKSI EXTECH A.100618</t>
  </si>
  <si>
    <t>KOREKSI EXTECH A.100617</t>
  </si>
  <si>
    <t>KOREKSI EXTECH A.100616</t>
  </si>
  <si>
    <t>KOREKSI EXTECH A.100611</t>
  </si>
  <si>
    <t>KOREKSI EXTECH A.100609</t>
  </si>
  <si>
    <t>KOREKSI EXTECH A.100605</t>
  </si>
  <si>
    <t>KOREKSI EXTECH A.100586</t>
  </si>
  <si>
    <t>Thermohygrolight, Merek : EXTECH, Model : SD700, SN : A.100615</t>
  </si>
  <si>
    <t>Thermohygrolight, Merek : EXTECH, Model : SD700, SN : A.100618</t>
  </si>
  <si>
    <t>Thermohygrolight, Merek : EXTECH, Model : SD700, SN : A.100617</t>
  </si>
  <si>
    <t>Thermohygrolight, Merek : EXTECH, Model : SD700, SN : A.100616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</si>
  <si>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</si>
  <si>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</si>
  <si>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</si>
  <si>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A.100586</t>
  </si>
  <si>
    <t>Koreksi tekanan</t>
  </si>
  <si>
    <t>Koreksi Kelembaban</t>
  </si>
  <si>
    <t>Koreksi Suhu</t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</si>
  <si>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</si>
  <si>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</si>
  <si>
    <t>Arus bocor</t>
  </si>
  <si>
    <t>Tahanan isolasi kabel catu daya</t>
  </si>
  <si>
    <t>Tegangan jala-jala listrik</t>
  </si>
  <si>
    <t>Tidak terdapat grounding diruangan</t>
  </si>
  <si>
    <t>Pengukuran keselamatan listrik menggunakan Point to Point</t>
  </si>
  <si>
    <t/>
  </si>
  <si>
    <t xml:space="preserve"> µA</t>
  </si>
  <si>
    <t>SUM</t>
  </si>
  <si>
    <t>Arus bocor peralatan untuk perangkat elektromedik kelas II</t>
  </si>
  <si>
    <t>Arus bocor peralatan untuk perangkat elektromedik kelas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</si>
</sst>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00"/>
    <numFmt numFmtId="165" formatCode="0.0"/>
    <numFmt numFmtId="166" formatCode="0.0000"/>
    <numFmt numFmtId="167" formatCode="0.0;[Red]0.0"/>
    <numFmt numFmtId="168" formatCode="0.0\ \V\o\l\t"/>
    <numFmt numFmtId="169" formatCode="\±\ 0.00"/>
    <numFmt numFmtId="170" formatCode="0.00000000"/>
    <numFmt numFmtId="171" formatCode="0.0000000"/>
    <numFmt numFmtId="172" formatCode="0.0000000000"/>
    <numFmt numFmtId="173" formatCode="0\ &quot;%&quot;"/>
    <numFmt numFmtId="175" formatCode="0.0%"/>
    <numFmt numFmtId="176" formatCode="0\ &quot;cm&quot;"/>
    <numFmt numFmtId="177" formatCode="0.0\ &quot;cm&quot;"/>
    <numFmt numFmtId="178" formatCode="[$-421]dd\ mmmm\ yyyy;@"/>
    <numFmt numFmtId="179" formatCode="0\ &quot;BPM&quot;"/>
    <numFmt numFmtId="180" formatCode="[$-C09]d\ mmmm\ yyyy;@"/>
    <numFmt numFmtId="181" formatCode="\±\ \ \ 0.0"/>
    <numFmt numFmtId="182" formatCode="\±\ \ \ 0.00"/>
    <numFmt numFmtId="183" formatCode="0.000000"/>
    <numFmt numFmtId="184" formatCode="0.00000"/>
    <numFmt numFmtId="191" formatCode="0.00000000000000"/>
    <numFmt numFmtId="193" formatCode="0.0000000000000000"/>
    <numFmt numFmtId="196" formatCode="0.0000000000000000000"/>
  </numFmts>
  <fonts count="121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u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2"/>
      <name val="Arial"/>
      <family val="2"/>
    </font>
    <font>
      <sz val="12"/>
      <name val="Calibri"/>
      <family val="2"/>
    </font>
    <font>
      <b/>
      <sz val="11"/>
      <name val="Calibri"/>
      <family val="2"/>
    </font>
    <font>
      <sz val="12"/>
      <name val="Arial"/>
      <family val="2"/>
    </font>
    <font>
      <b/>
      <sz val="12"/>
      <name val="Symbol"/>
      <family val="1"/>
      <charset val="2"/>
    </font>
    <font>
      <sz val="12"/>
      <name val="Symbol"/>
      <family val="1"/>
      <charset val="2"/>
    </font>
    <font>
      <u/>
      <sz val="12"/>
      <name val="Arial"/>
      <family val="2"/>
    </font>
    <font>
      <i/>
      <sz val="10"/>
      <name val="Arial"/>
      <family val="2"/>
    </font>
    <font>
      <sz val="11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u/>
      <sz val="14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name val="Calibri"/>
      <family val="2"/>
      <scheme val="minor"/>
    </font>
    <font>
      <b/>
      <u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name val="Calibri"/>
      <family val="2"/>
      <scheme val="minor"/>
    </font>
    <font>
      <u/>
      <sz val="8"/>
      <name val="Calibri"/>
      <family val="2"/>
      <scheme val="minor"/>
    </font>
    <font>
      <b/>
      <u/>
      <sz val="14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sz val="7"/>
      <name val="Calibri"/>
      <family val="2"/>
      <scheme val="minor"/>
    </font>
    <font>
      <b/>
      <u/>
      <sz val="1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vertAlign val="subscript"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Symbol"/>
      <family val="1"/>
      <charset val="2"/>
    </font>
    <font>
      <vertAlign val="subscript"/>
      <sz val="11"/>
      <color rgb="FFFF0000"/>
      <name val="Calibri"/>
      <family val="2"/>
      <scheme val="minor"/>
    </font>
    <font>
      <vertAlign val="superscript"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8"/>
      <color theme="1"/>
      <name val="Calibri"/>
      <family val="2"/>
      <scheme val="minor"/>
    </font>
    <font>
      <sz val="10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vertAlign val="superscript"/>
      <sz val="12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b/>
      <sz val="11"/>
      <color indexed="10"/>
      <name val="Arial"/>
      <family val="2"/>
    </font>
    <font>
      <b/>
      <i/>
      <sz val="11"/>
      <name val="Arial"/>
      <family val="2"/>
    </font>
    <font>
      <b/>
      <i/>
      <u/>
      <sz val="10"/>
      <name val="Arial"/>
      <family val="2"/>
    </font>
    <font>
      <b/>
      <i/>
      <u/>
      <sz val="9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0" tint="-0.34998626667073579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name val="Calibri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  <scheme val="minor"/>
    </font>
    <font>
      <b/>
      <sz val="12"/>
      <name val="Times New Roman"/>
      <family val="1"/>
    </font>
    <font>
      <i/>
      <sz val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name val="Arial"/>
      <family val="2"/>
    </font>
    <font>
      <b/>
      <sz val="2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color rgb="FFFF0000"/>
      <name val="Arial"/>
      <family val="2"/>
    </font>
    <font>
      <b/>
      <i/>
      <sz val="14"/>
      <name val="Arial"/>
      <family val="2"/>
    </font>
    <font>
      <sz val="18"/>
      <name val="Arial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sz val="11"/>
      <color rgb="FFFF0000"/>
      <name val="Arial"/>
      <family val="2"/>
    </font>
    <font>
      <sz val="8"/>
      <color theme="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/>
      <sz val="28"/>
      <name val="Arial"/>
      <family val="2"/>
    </font>
    <font>
      <sz val="8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sz val="11"/>
      <name val="Calibri"/>
      <family val="2"/>
    </font>
    <font>
      <sz val="14"/>
      <name val="Times New Roman"/>
      <family val="1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120">
    <xf numFmtId="0" fontId="0" fillId="0" borderId="0" xfId="0"/>
    <xf numFmtId="0" fontId="8" fillId="0" borderId="0" xfId="0" applyFont="1"/>
    <xf numFmtId="0" fontId="1" fillId="0" borderId="0" xfId="0" applyFont="1" applyAlignment="1">
      <alignment horizontal="center"/>
    </xf>
    <xf numFmtId="164" fontId="24" fillId="2" borderId="0" xfId="0" applyNumberFormat="1" applyFont="1" applyFill="1" applyAlignment="1">
      <alignment vertical="center"/>
    </xf>
    <xf numFmtId="0" fontId="23" fillId="2" borderId="0" xfId="0" quotePrefix="1" applyFont="1" applyFill="1" applyAlignment="1">
      <alignment vertical="center"/>
    </xf>
    <xf numFmtId="0" fontId="24" fillId="0" borderId="0" xfId="0" applyFont="1"/>
    <xf numFmtId="0" fontId="8" fillId="0" borderId="0" xfId="0" quotePrefix="1" applyFont="1"/>
    <xf numFmtId="0" fontId="0" fillId="0" borderId="0" xfId="0" applyAlignment="1">
      <alignment wrapText="1"/>
    </xf>
    <xf numFmtId="0" fontId="22" fillId="0" borderId="0" xfId="0" applyFont="1"/>
    <xf numFmtId="0" fontId="0" fillId="0" borderId="7" xfId="0" applyBorder="1"/>
    <xf numFmtId="0" fontId="24" fillId="2" borderId="0" xfId="0" applyFont="1" applyFill="1" applyAlignment="1">
      <alignment vertical="center"/>
    </xf>
    <xf numFmtId="0" fontId="1" fillId="0" borderId="7" xfId="0" applyFont="1" applyBorder="1" applyAlignment="1" applyProtection="1">
      <alignment horizontal="center"/>
      <protection hidden="1"/>
    </xf>
    <xf numFmtId="0" fontId="24" fillId="2" borderId="16" xfId="0" applyFont="1" applyFill="1" applyBorder="1" applyAlignment="1" applyProtection="1">
      <alignment horizontal="left" vertical="top" wrapText="1"/>
      <protection hidden="1"/>
    </xf>
    <xf numFmtId="0" fontId="24" fillId="6" borderId="7" xfId="0" applyFont="1" applyFill="1" applyBorder="1" applyAlignment="1" applyProtection="1">
      <alignment horizontal="left" vertical="top" wrapText="1"/>
      <protection hidden="1"/>
    </xf>
    <xf numFmtId="0" fontId="24" fillId="2" borderId="11" xfId="0" applyFont="1" applyFill="1" applyBorder="1" applyAlignment="1" applyProtection="1">
      <alignment horizontal="left" vertical="top"/>
      <protection hidden="1"/>
    </xf>
    <xf numFmtId="0" fontId="2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5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vertical="center"/>
    </xf>
    <xf numFmtId="164" fontId="24" fillId="2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66" fontId="24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24" fillId="2" borderId="17" xfId="0" applyFont="1" applyFill="1" applyBorder="1" applyAlignment="1">
      <alignment vertical="center"/>
    </xf>
    <xf numFmtId="0" fontId="24" fillId="2" borderId="9" xfId="0" applyFont="1" applyFill="1" applyBorder="1" applyAlignment="1">
      <alignment vertical="center"/>
    </xf>
    <xf numFmtId="0" fontId="30" fillId="2" borderId="7" xfId="0" applyFont="1" applyFill="1" applyBorder="1" applyAlignment="1">
      <alignment horizontal="center" vertical="center"/>
    </xf>
    <xf numFmtId="0" fontId="21" fillId="2" borderId="33" xfId="0" applyFont="1" applyFill="1" applyBorder="1" applyAlignment="1">
      <alignment horizontal="center" vertical="center"/>
    </xf>
    <xf numFmtId="0" fontId="29" fillId="2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0" fontId="21" fillId="2" borderId="42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164" fontId="21" fillId="2" borderId="7" xfId="0" applyNumberFormat="1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8" xfId="0" applyFont="1" applyFill="1" applyBorder="1" applyAlignment="1">
      <alignment vertical="center"/>
    </xf>
    <xf numFmtId="0" fontId="37" fillId="2" borderId="11" xfId="1" applyFont="1" applyFill="1" applyBorder="1" applyAlignment="1">
      <alignment vertical="center"/>
    </xf>
    <xf numFmtId="0" fontId="37" fillId="2" borderId="12" xfId="1" applyFont="1" applyFill="1" applyBorder="1" applyAlignment="1">
      <alignment vertical="center"/>
    </xf>
    <xf numFmtId="0" fontId="37" fillId="2" borderId="35" xfId="1" applyFont="1" applyFill="1" applyBorder="1" applyAlignment="1">
      <alignment vertical="center"/>
    </xf>
    <xf numFmtId="0" fontId="22" fillId="2" borderId="11" xfId="1" applyFont="1" applyFill="1" applyBorder="1" applyAlignment="1">
      <alignment vertical="center"/>
    </xf>
    <xf numFmtId="0" fontId="22" fillId="2" borderId="12" xfId="1" applyFont="1" applyFill="1" applyBorder="1" applyAlignment="1">
      <alignment vertical="center"/>
    </xf>
    <xf numFmtId="0" fontId="22" fillId="2" borderId="35" xfId="1" applyFont="1" applyFill="1" applyBorder="1" applyAlignment="1">
      <alignment vertical="center"/>
    </xf>
    <xf numFmtId="2" fontId="21" fillId="2" borderId="15" xfId="0" applyNumberFormat="1" applyFont="1" applyFill="1" applyBorder="1" applyAlignment="1">
      <alignment vertical="center"/>
    </xf>
    <xf numFmtId="0" fontId="22" fillId="2" borderId="45" xfId="1" applyFont="1" applyFill="1" applyBorder="1" applyAlignment="1">
      <alignment vertical="center"/>
    </xf>
    <xf numFmtId="0" fontId="22" fillId="2" borderId="43" xfId="1" applyFont="1" applyFill="1" applyBorder="1" applyAlignment="1">
      <alignment vertical="center"/>
    </xf>
    <xf numFmtId="0" fontId="22" fillId="2" borderId="46" xfId="1" applyFont="1" applyFill="1" applyBorder="1" applyAlignment="1">
      <alignment vertical="center"/>
    </xf>
    <xf numFmtId="0" fontId="21" fillId="2" borderId="30" xfId="0" applyFont="1" applyFill="1" applyBorder="1" applyAlignment="1">
      <alignment vertical="center"/>
    </xf>
    <xf numFmtId="0" fontId="21" fillId="2" borderId="7" xfId="0" applyFont="1" applyFill="1" applyBorder="1" applyAlignment="1">
      <alignment vertical="center"/>
    </xf>
    <xf numFmtId="2" fontId="21" fillId="2" borderId="7" xfId="0" applyNumberFormat="1" applyFont="1" applyFill="1" applyBorder="1" applyAlignment="1">
      <alignment vertical="center"/>
    </xf>
    <xf numFmtId="0" fontId="36" fillId="2" borderId="0" xfId="1" applyFont="1" applyFill="1" applyAlignment="1">
      <alignment horizontal="left" vertical="center"/>
    </xf>
    <xf numFmtId="0" fontId="22" fillId="2" borderId="0" xfId="1" applyFont="1" applyFill="1" applyAlignment="1">
      <alignment horizontal="left" vertical="center"/>
    </xf>
    <xf numFmtId="0" fontId="21" fillId="2" borderId="0" xfId="0" applyFont="1" applyFill="1" applyAlignment="1">
      <alignment vertical="center"/>
    </xf>
    <xf numFmtId="0" fontId="30" fillId="2" borderId="6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7" fillId="2" borderId="0" xfId="0" applyFont="1" applyFill="1" applyAlignment="1" applyProtection="1">
      <alignment vertical="center"/>
      <protection locked="0"/>
    </xf>
    <xf numFmtId="0" fontId="21" fillId="2" borderId="0" xfId="0" applyFont="1" applyFill="1" applyAlignment="1" applyProtection="1">
      <alignment vertical="center"/>
      <protection locked="0"/>
    </xf>
    <xf numFmtId="164" fontId="21" fillId="2" borderId="0" xfId="0" applyNumberFormat="1" applyFont="1" applyFill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164" fontId="24" fillId="2" borderId="0" xfId="0" applyNumberFormat="1" applyFont="1" applyFill="1" applyAlignment="1" applyProtection="1">
      <alignment vertical="center"/>
      <protection locked="0"/>
    </xf>
    <xf numFmtId="164" fontId="23" fillId="2" borderId="0" xfId="0" applyNumberFormat="1" applyFont="1" applyFill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7" fontId="3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vertical="center"/>
      <protection locked="0"/>
    </xf>
    <xf numFmtId="164" fontId="24" fillId="2" borderId="0" xfId="0" applyNumberFormat="1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166" fontId="24" fillId="2" borderId="0" xfId="0" applyNumberFormat="1" applyFont="1" applyFill="1" applyAlignment="1" applyProtection="1">
      <alignment horizontal="center" vertical="center"/>
      <protection locked="0"/>
    </xf>
    <xf numFmtId="0" fontId="22" fillId="2" borderId="0" xfId="0" applyFont="1" applyFill="1" applyAlignment="1" applyProtection="1">
      <alignment vertical="center"/>
      <protection locked="0"/>
    </xf>
    <xf numFmtId="164" fontId="22" fillId="2" borderId="0" xfId="0" applyNumberFormat="1" applyFont="1" applyFill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164" fontId="22" fillId="2" borderId="0" xfId="0" applyNumberFormat="1" applyFont="1" applyFill="1" applyAlignment="1" applyProtection="1">
      <alignment horizontal="center" vertical="center"/>
      <protection locked="0"/>
    </xf>
    <xf numFmtId="166" fontId="22" fillId="2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4" fillId="2" borderId="0" xfId="0" applyFont="1" applyFill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4" fillId="2" borderId="0" xfId="0" quotePrefix="1" applyFont="1" applyFill="1" applyAlignment="1" applyProtection="1">
      <alignment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8" fillId="2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164" fontId="21" fillId="0" borderId="0" xfId="0" applyNumberFormat="1" applyFont="1" applyAlignment="1" applyProtection="1">
      <alignment vertical="center"/>
      <protection locked="0"/>
    </xf>
    <xf numFmtId="0" fontId="23" fillId="2" borderId="0" xfId="0" quotePrefix="1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164" fontId="15" fillId="2" borderId="0" xfId="0" applyNumberFormat="1" applyFont="1" applyFill="1" applyAlignment="1" applyProtection="1">
      <alignment vertical="center"/>
      <protection locked="0"/>
    </xf>
    <xf numFmtId="164" fontId="12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left" vertic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164" fontId="15" fillId="2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8" fillId="0" borderId="7" xfId="0" applyFont="1" applyBorder="1"/>
    <xf numFmtId="0" fontId="47" fillId="0" borderId="0" xfId="0" applyFont="1" applyProtection="1">
      <protection locked="0"/>
    </xf>
    <xf numFmtId="0" fontId="47" fillId="0" borderId="0" xfId="0" applyFont="1"/>
    <xf numFmtId="0" fontId="47" fillId="0" borderId="0" xfId="2" applyFont="1"/>
    <xf numFmtId="0" fontId="47" fillId="0" borderId="0" xfId="2" applyFont="1" applyAlignment="1">
      <alignment horizontal="center" vertical="center"/>
    </xf>
    <xf numFmtId="0" fontId="47" fillId="0" borderId="0" xfId="2" applyFont="1" applyAlignment="1">
      <alignment horizontal="right"/>
    </xf>
    <xf numFmtId="0" fontId="47" fillId="0" borderId="0" xfId="2" applyFont="1" applyAlignment="1">
      <alignment horizontal="center"/>
    </xf>
    <xf numFmtId="171" fontId="21" fillId="0" borderId="0" xfId="0" applyNumberFormat="1" applyFont="1" applyAlignment="1">
      <alignment vertical="center"/>
    </xf>
    <xf numFmtId="171" fontId="0" fillId="0" borderId="0" xfId="0" applyNumberFormat="1"/>
    <xf numFmtId="170" fontId="21" fillId="2" borderId="28" xfId="0" applyNumberFormat="1" applyFont="1" applyFill="1" applyBorder="1" applyAlignment="1">
      <alignment vertical="center"/>
    </xf>
    <xf numFmtId="0" fontId="49" fillId="2" borderId="33" xfId="0" applyFont="1" applyFill="1" applyBorder="1" applyAlignment="1">
      <alignment horizontal="center" vertical="center"/>
    </xf>
    <xf numFmtId="0" fontId="50" fillId="2" borderId="27" xfId="0" applyFont="1" applyFill="1" applyBorder="1" applyAlignment="1">
      <alignment horizontal="center" vertical="center"/>
    </xf>
    <xf numFmtId="0" fontId="49" fillId="2" borderId="27" xfId="0" applyFont="1" applyFill="1" applyBorder="1" applyAlignment="1">
      <alignment horizontal="center" vertical="center"/>
    </xf>
    <xf numFmtId="0" fontId="49" fillId="2" borderId="34" xfId="0" applyFont="1" applyFill="1" applyBorder="1" applyAlignment="1">
      <alignment horizontal="center" vertical="center"/>
    </xf>
    <xf numFmtId="171" fontId="49" fillId="2" borderId="42" xfId="0" applyNumberFormat="1" applyFont="1" applyFill="1" applyBorder="1" applyAlignment="1">
      <alignment horizontal="center" vertical="center"/>
    </xf>
    <xf numFmtId="0" fontId="49" fillId="2" borderId="6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/>
    </xf>
    <xf numFmtId="0" fontId="51" fillId="2" borderId="8" xfId="0" applyFont="1" applyFill="1" applyBorder="1" applyAlignment="1">
      <alignment horizontal="center" vertical="center"/>
    </xf>
    <xf numFmtId="171" fontId="51" fillId="2" borderId="15" xfId="0" applyNumberFormat="1" applyFont="1" applyFill="1" applyBorder="1" applyAlignment="1">
      <alignment horizontal="center" vertical="center"/>
    </xf>
    <xf numFmtId="0" fontId="49" fillId="2" borderId="7" xfId="0" applyFont="1" applyFill="1" applyBorder="1" applyAlignment="1">
      <alignment horizontal="center" vertical="center"/>
    </xf>
    <xf numFmtId="164" fontId="49" fillId="2" borderId="7" xfId="0" applyNumberFormat="1" applyFont="1" applyFill="1" applyBorder="1" applyAlignment="1">
      <alignment horizontal="center" vertical="center"/>
    </xf>
    <xf numFmtId="0" fontId="49" fillId="2" borderId="8" xfId="0" applyFont="1" applyFill="1" applyBorder="1" applyAlignment="1">
      <alignment horizontal="center" vertical="center"/>
    </xf>
    <xf numFmtId="171" fontId="49" fillId="2" borderId="15" xfId="0" applyNumberFormat="1" applyFont="1" applyFill="1" applyBorder="1" applyAlignment="1">
      <alignment horizontal="center" vertical="center"/>
    </xf>
    <xf numFmtId="171" fontId="49" fillId="2" borderId="8" xfId="0" applyNumberFormat="1" applyFont="1" applyFill="1" applyBorder="1" applyAlignment="1">
      <alignment horizontal="center" vertical="center"/>
    </xf>
    <xf numFmtId="171" fontId="49" fillId="2" borderId="15" xfId="0" applyNumberFormat="1" applyFont="1" applyFill="1" applyBorder="1" applyAlignment="1">
      <alignment vertical="center"/>
    </xf>
    <xf numFmtId="171" fontId="49" fillId="2" borderId="8" xfId="0" applyNumberFormat="1" applyFont="1" applyFill="1" applyBorder="1" applyAlignment="1">
      <alignment vertical="center"/>
    </xf>
    <xf numFmtId="0" fontId="56" fillId="2" borderId="35" xfId="1" applyFont="1" applyFill="1" applyBorder="1" applyAlignment="1">
      <alignment vertical="center"/>
    </xf>
    <xf numFmtId="0" fontId="49" fillId="2" borderId="8" xfId="0" applyFont="1" applyFill="1" applyBorder="1" applyAlignment="1">
      <alignment vertical="center"/>
    </xf>
    <xf numFmtId="0" fontId="58" fillId="2" borderId="35" xfId="1" applyFont="1" applyFill="1" applyBorder="1" applyAlignment="1">
      <alignment vertical="center"/>
    </xf>
    <xf numFmtId="0" fontId="58" fillId="2" borderId="46" xfId="1" applyFont="1" applyFill="1" applyBorder="1" applyAlignment="1">
      <alignment vertical="center"/>
    </xf>
    <xf numFmtId="171" fontId="49" fillId="2" borderId="44" xfId="0" applyNumberFormat="1" applyFont="1" applyFill="1" applyBorder="1" applyAlignment="1">
      <alignment vertical="center"/>
    </xf>
    <xf numFmtId="0" fontId="49" fillId="2" borderId="30" xfId="0" applyFont="1" applyFill="1" applyBorder="1" applyAlignment="1">
      <alignment vertical="center"/>
    </xf>
    <xf numFmtId="0" fontId="49" fillId="2" borderId="14" xfId="0" applyFont="1" applyFill="1" applyBorder="1" applyAlignment="1">
      <alignment horizontal="center" vertical="center"/>
    </xf>
    <xf numFmtId="171" fontId="49" fillId="2" borderId="27" xfId="0" applyNumberFormat="1" applyFont="1" applyFill="1" applyBorder="1" applyAlignment="1">
      <alignment horizontal="center" vertical="center"/>
    </xf>
    <xf numFmtId="171" fontId="51" fillId="2" borderId="7" xfId="0" applyNumberFormat="1" applyFont="1" applyFill="1" applyBorder="1" applyAlignment="1">
      <alignment horizontal="center" vertical="center"/>
    </xf>
    <xf numFmtId="172" fontId="49" fillId="2" borderId="7" xfId="0" applyNumberFormat="1" applyFont="1" applyFill="1" applyBorder="1" applyAlignment="1">
      <alignment horizontal="center" vertical="center"/>
    </xf>
    <xf numFmtId="170" fontId="49" fillId="2" borderId="44" xfId="0" applyNumberFormat="1" applyFont="1" applyFill="1" applyBorder="1" applyAlignment="1">
      <alignment vertical="center"/>
    </xf>
    <xf numFmtId="0" fontId="52" fillId="2" borderId="0" xfId="1" applyFont="1" applyFill="1" applyAlignment="1">
      <alignment horizontal="left" vertical="center"/>
    </xf>
    <xf numFmtId="0" fontId="58" fillId="2" borderId="0" xfId="1" applyFont="1" applyFill="1" applyAlignment="1">
      <alignment horizontal="left" vertical="center"/>
    </xf>
    <xf numFmtId="171" fontId="49" fillId="2" borderId="0" xfId="0" applyNumberFormat="1" applyFont="1" applyFill="1" applyAlignment="1">
      <alignment vertical="center"/>
    </xf>
    <xf numFmtId="0" fontId="49" fillId="2" borderId="0" xfId="0" applyFont="1" applyFill="1" applyAlignment="1">
      <alignment vertical="center"/>
    </xf>
    <xf numFmtId="0" fontId="56" fillId="2" borderId="15" xfId="1" applyFont="1" applyFill="1" applyBorder="1" applyAlignment="1">
      <alignment vertical="center"/>
    </xf>
    <xf numFmtId="0" fontId="58" fillId="2" borderId="15" xfId="1" applyFont="1" applyFill="1" applyBorder="1" applyAlignment="1">
      <alignment vertical="center"/>
    </xf>
    <xf numFmtId="0" fontId="58" fillId="2" borderId="44" xfId="1" applyFont="1" applyFill="1" applyBorder="1" applyAlignment="1">
      <alignment vertical="center"/>
    </xf>
    <xf numFmtId="0" fontId="51" fillId="2" borderId="6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63" fillId="0" borderId="11" xfId="0" applyFont="1" applyBorder="1" applyAlignment="1" applyProtection="1">
      <alignment horizontal="left" vertical="center"/>
      <protection locked="0"/>
    </xf>
    <xf numFmtId="0" fontId="64" fillId="0" borderId="12" xfId="0" applyFont="1" applyBorder="1" applyAlignment="1" applyProtection="1">
      <alignment horizontal="center" vertical="center" wrapText="1"/>
      <protection locked="0"/>
    </xf>
    <xf numFmtId="0" fontId="63" fillId="2" borderId="11" xfId="0" applyFont="1" applyFill="1" applyBorder="1" applyAlignment="1">
      <alignment vertical="center"/>
    </xf>
    <xf numFmtId="0" fontId="63" fillId="0" borderId="12" xfId="0" applyFont="1" applyBorder="1" applyAlignment="1">
      <alignment horizontal="center" vertical="center"/>
    </xf>
    <xf numFmtId="0" fontId="63" fillId="0" borderId="12" xfId="0" applyFont="1" applyBorder="1" applyAlignment="1">
      <alignment vertical="center"/>
    </xf>
    <xf numFmtId="0" fontId="65" fillId="0" borderId="12" xfId="0" quotePrefix="1" applyFont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2" borderId="7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66" fillId="2" borderId="0" xfId="0" applyFont="1" applyFill="1" applyAlignment="1">
      <alignment vertical="center"/>
    </xf>
    <xf numFmtId="0" fontId="15" fillId="2" borderId="1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5" fillId="2" borderId="17" xfId="0" applyFont="1" applyFill="1" applyBorder="1" applyAlignment="1">
      <alignment vertical="center"/>
    </xf>
    <xf numFmtId="0" fontId="15" fillId="2" borderId="18" xfId="0" applyFont="1" applyFill="1" applyBorder="1" applyAlignment="1">
      <alignment vertical="center"/>
    </xf>
    <xf numFmtId="0" fontId="15" fillId="2" borderId="16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22" xfId="0" applyFont="1" applyFill="1" applyBorder="1" applyAlignment="1">
      <alignment vertical="center"/>
    </xf>
    <xf numFmtId="0" fontId="15" fillId="2" borderId="23" xfId="0" applyFont="1" applyFill="1" applyBorder="1" applyAlignment="1">
      <alignment vertical="center"/>
    </xf>
    <xf numFmtId="0" fontId="15" fillId="2" borderId="7" xfId="0" applyFont="1" applyFill="1" applyBorder="1" applyAlignment="1">
      <alignment horizontal="left" vertical="center"/>
    </xf>
    <xf numFmtId="164" fontId="15" fillId="2" borderId="0" xfId="0" applyNumberFormat="1" applyFont="1" applyFill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5" fillId="2" borderId="0" xfId="0" applyFont="1" applyFill="1" applyProtection="1">
      <protection hidden="1"/>
    </xf>
    <xf numFmtId="0" fontId="23" fillId="2" borderId="0" xfId="0" applyFont="1" applyFill="1" applyAlignment="1">
      <alignment horizontal="center" vertical="center" wrapText="1"/>
    </xf>
    <xf numFmtId="0" fontId="64" fillId="2" borderId="7" xfId="0" applyFont="1" applyFill="1" applyBorder="1" applyAlignment="1" applyProtection="1">
      <alignment horizontal="center" vertical="center"/>
      <protection locked="0"/>
    </xf>
    <xf numFmtId="0" fontId="64" fillId="2" borderId="7" xfId="0" applyFont="1" applyFill="1" applyBorder="1" applyAlignment="1">
      <alignment horizontal="center" vertical="center"/>
    </xf>
    <xf numFmtId="0" fontId="63" fillId="2" borderId="0" xfId="0" applyFont="1" applyFill="1" applyAlignment="1" applyProtection="1">
      <alignment vertical="center"/>
      <protection locked="0"/>
    </xf>
    <xf numFmtId="0" fontId="63" fillId="0" borderId="0" xfId="0" applyFont="1" applyAlignment="1" applyProtection="1">
      <alignment vertical="center"/>
      <protection locked="0"/>
    </xf>
    <xf numFmtId="0" fontId="63" fillId="5" borderId="0" xfId="0" applyFont="1" applyFill="1" applyAlignment="1" applyProtection="1">
      <alignment vertical="center"/>
      <protection locked="0"/>
    </xf>
    <xf numFmtId="0" fontId="63" fillId="2" borderId="0" xfId="0" applyFont="1" applyFill="1" applyAlignment="1">
      <alignment vertical="center"/>
    </xf>
    <xf numFmtId="0" fontId="63" fillId="2" borderId="0" xfId="0" applyFont="1" applyFill="1" applyAlignment="1">
      <alignment horizontal="right" vertical="center"/>
    </xf>
    <xf numFmtId="164" fontId="63" fillId="2" borderId="0" xfId="0" applyNumberFormat="1" applyFont="1" applyFill="1" applyAlignment="1" applyProtection="1">
      <alignment vertical="center"/>
      <protection locked="0"/>
    </xf>
    <xf numFmtId="0" fontId="64" fillId="2" borderId="0" xfId="0" applyFont="1" applyFill="1" applyAlignment="1" applyProtection="1">
      <alignment vertical="center"/>
      <protection locked="0"/>
    </xf>
    <xf numFmtId="0" fontId="64" fillId="2" borderId="0" xfId="0" applyFont="1" applyFill="1" applyAlignment="1" applyProtection="1">
      <alignment horizontal="center" vertical="center"/>
      <protection locked="0"/>
    </xf>
    <xf numFmtId="0" fontId="63" fillId="2" borderId="9" xfId="0" applyFont="1" applyFill="1" applyBorder="1" applyAlignment="1">
      <alignment horizontal="center" vertical="center"/>
    </xf>
    <xf numFmtId="0" fontId="63" fillId="2" borderId="11" xfId="0" applyFont="1" applyFill="1" applyBorder="1" applyAlignment="1">
      <alignment horizontal="center" vertical="center"/>
    </xf>
    <xf numFmtId="0" fontId="63" fillId="2" borderId="12" xfId="0" applyFont="1" applyFill="1" applyBorder="1" applyAlignment="1">
      <alignment vertical="center"/>
    </xf>
    <xf numFmtId="0" fontId="63" fillId="2" borderId="0" xfId="0" applyFont="1" applyFill="1" applyAlignment="1" applyProtection="1">
      <alignment horizontal="center" vertical="center"/>
      <protection locked="0"/>
    </xf>
    <xf numFmtId="0" fontId="63" fillId="2" borderId="0" xfId="0" applyFont="1" applyFill="1" applyAlignment="1" applyProtection="1">
      <alignment horizontal="left" vertical="center"/>
      <protection locked="0"/>
    </xf>
    <xf numFmtId="2" fontId="63" fillId="2" borderId="7" xfId="0" applyNumberFormat="1" applyFont="1" applyFill="1" applyBorder="1" applyAlignment="1">
      <alignment horizontal="center" vertical="center"/>
    </xf>
    <xf numFmtId="164" fontId="63" fillId="2" borderId="0" xfId="0" applyNumberFormat="1" applyFont="1" applyFill="1" applyAlignment="1" applyProtection="1">
      <alignment horizontal="center" vertical="center"/>
      <protection locked="0"/>
    </xf>
    <xf numFmtId="0" fontId="64" fillId="2" borderId="0" xfId="0" applyFont="1" applyFill="1" applyAlignment="1" applyProtection="1">
      <alignment horizontal="left" vertical="center"/>
      <protection locked="0"/>
    </xf>
    <xf numFmtId="0" fontId="69" fillId="2" borderId="0" xfId="0" applyFont="1" applyFill="1" applyAlignment="1" applyProtection="1">
      <alignment horizontal="center" vertical="center"/>
      <protection locked="0"/>
    </xf>
    <xf numFmtId="164" fontId="63" fillId="2" borderId="0" xfId="0" applyNumberFormat="1" applyFont="1" applyFill="1" applyAlignment="1" applyProtection="1">
      <alignment horizontal="left" vertical="center"/>
      <protection locked="0"/>
    </xf>
    <xf numFmtId="15" fontId="63" fillId="5" borderId="0" xfId="0" quotePrefix="1" applyNumberFormat="1" applyFont="1" applyFill="1" applyAlignment="1" applyProtection="1">
      <alignment vertical="center"/>
      <protection locked="0"/>
    </xf>
    <xf numFmtId="166" fontId="63" fillId="2" borderId="0" xfId="0" applyNumberFormat="1" applyFont="1" applyFill="1" applyAlignment="1" applyProtection="1">
      <alignment horizontal="center" vertical="center"/>
      <protection locked="0"/>
    </xf>
    <xf numFmtId="0" fontId="63" fillId="0" borderId="0" xfId="0" applyFont="1" applyAlignment="1">
      <alignment horizontal="right" vertical="center"/>
    </xf>
    <xf numFmtId="0" fontId="63" fillId="2" borderId="0" xfId="0" applyFont="1" applyFill="1" applyAlignment="1">
      <alignment horizontal="left" vertical="center"/>
    </xf>
    <xf numFmtId="0" fontId="15" fillId="0" borderId="7" xfId="2" applyFont="1" applyBorder="1" applyAlignment="1">
      <alignment horizontal="center" vertical="center" wrapText="1"/>
    </xf>
    <xf numFmtId="165" fontId="24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2" fontId="63" fillId="2" borderId="0" xfId="0" applyNumberFormat="1" applyFont="1" applyFill="1" applyAlignment="1">
      <alignment horizontal="left" vertical="center"/>
    </xf>
    <xf numFmtId="0" fontId="64" fillId="2" borderId="0" xfId="0" applyFont="1" applyFill="1" applyAlignment="1">
      <alignment vertical="center"/>
    </xf>
    <xf numFmtId="0" fontId="63" fillId="2" borderId="0" xfId="0" applyFont="1" applyFill="1"/>
    <xf numFmtId="0" fontId="65" fillId="2" borderId="0" xfId="0" applyFont="1" applyFill="1" applyAlignment="1">
      <alignment vertical="center"/>
    </xf>
    <xf numFmtId="0" fontId="63" fillId="0" borderId="0" xfId="0" applyFont="1" applyAlignment="1">
      <alignment vertical="center"/>
    </xf>
    <xf numFmtId="0" fontId="64" fillId="2" borderId="0" xfId="0" applyFont="1" applyFill="1" applyAlignment="1">
      <alignment horizontal="center" vertical="center"/>
    </xf>
    <xf numFmtId="167" fontId="63" fillId="2" borderId="0" xfId="0" applyNumberFormat="1" applyFont="1" applyFill="1" applyAlignment="1">
      <alignment horizontal="left" vertical="center"/>
    </xf>
    <xf numFmtId="49" fontId="63" fillId="2" borderId="0" xfId="0" applyNumberFormat="1" applyFont="1" applyFill="1" applyAlignment="1">
      <alignment vertical="center"/>
    </xf>
    <xf numFmtId="0" fontId="63" fillId="2" borderId="7" xfId="0" applyFont="1" applyFill="1" applyBorder="1" applyAlignment="1">
      <alignment horizontal="center" vertical="center"/>
    </xf>
    <xf numFmtId="0" fontId="63" fillId="2" borderId="0" xfId="0" applyFont="1" applyFill="1" applyAlignment="1">
      <alignment horizontal="center" vertical="center"/>
    </xf>
    <xf numFmtId="0" fontId="63" fillId="2" borderId="13" xfId="0" applyFont="1" applyFill="1" applyBorder="1" applyAlignment="1">
      <alignment horizontal="center" vertical="center"/>
    </xf>
    <xf numFmtId="0" fontId="64" fillId="2" borderId="11" xfId="0" applyFont="1" applyFill="1" applyBorder="1" applyAlignment="1">
      <alignment horizontal="center" vertical="center" wrapText="1"/>
    </xf>
    <xf numFmtId="2" fontId="63" fillId="2" borderId="0" xfId="0" applyNumberFormat="1" applyFont="1" applyFill="1" applyAlignment="1" applyProtection="1">
      <alignment vertical="center"/>
      <protection locked="0"/>
    </xf>
    <xf numFmtId="166" fontId="64" fillId="2" borderId="7" xfId="0" applyNumberFormat="1" applyFont="1" applyFill="1" applyBorder="1" applyAlignment="1" applyProtection="1">
      <alignment horizontal="center" vertical="center"/>
      <protection locked="0"/>
    </xf>
    <xf numFmtId="0" fontId="63" fillId="0" borderId="12" xfId="0" applyFont="1" applyBorder="1" applyAlignment="1" applyProtection="1">
      <alignment horizontal="left" vertical="center"/>
      <protection locked="0"/>
    </xf>
    <xf numFmtId="164" fontId="63" fillId="2" borderId="7" xfId="0" applyNumberFormat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horizontal="left" vertical="center"/>
      <protection locked="0"/>
    </xf>
    <xf numFmtId="164" fontId="8" fillId="2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63" fillId="2" borderId="0" xfId="0" applyFont="1" applyFill="1" applyAlignment="1" applyProtection="1">
      <alignment vertical="center"/>
      <protection locked="0" hidden="1"/>
    </xf>
    <xf numFmtId="166" fontId="64" fillId="2" borderId="0" xfId="0" applyNumberFormat="1" applyFont="1" applyFill="1" applyAlignment="1" applyProtection="1">
      <alignment horizontal="center" vertical="center"/>
      <protection locked="0"/>
    </xf>
    <xf numFmtId="0" fontId="63" fillId="2" borderId="0" xfId="2" applyFont="1" applyFill="1" applyAlignment="1" applyProtection="1">
      <alignment vertical="center"/>
      <protection locked="0"/>
    </xf>
    <xf numFmtId="0" fontId="64" fillId="2" borderId="0" xfId="2" applyFont="1" applyFill="1" applyAlignment="1" applyProtection="1">
      <alignment vertical="center"/>
      <protection locked="0"/>
    </xf>
    <xf numFmtId="9" fontId="21" fillId="0" borderId="0" xfId="0" applyNumberFormat="1" applyFont="1" applyAlignment="1" applyProtection="1">
      <alignment horizontal="center" vertical="center"/>
      <protection locked="0"/>
    </xf>
    <xf numFmtId="175" fontId="21" fillId="0" borderId="0" xfId="0" applyNumberFormat="1" applyFont="1" applyAlignment="1" applyProtection="1">
      <alignment horizontal="center" vertical="center"/>
      <protection locked="0"/>
    </xf>
    <xf numFmtId="175" fontId="28" fillId="2" borderId="0" xfId="0" applyNumberFormat="1" applyFont="1" applyFill="1" applyAlignment="1" applyProtection="1">
      <alignment horizontal="center" vertical="center"/>
      <protection locked="0"/>
    </xf>
    <xf numFmtId="175" fontId="21" fillId="0" borderId="7" xfId="0" applyNumberFormat="1" applyFont="1" applyBorder="1" applyAlignment="1" applyProtection="1">
      <alignment horizontal="center" vertical="center"/>
      <protection locked="0"/>
    </xf>
    <xf numFmtId="9" fontId="21" fillId="0" borderId="7" xfId="0" applyNumberFormat="1" applyFont="1" applyBorder="1" applyAlignment="1" applyProtection="1">
      <alignment horizontal="center" vertical="center"/>
      <protection locked="0"/>
    </xf>
    <xf numFmtId="0" fontId="31" fillId="2" borderId="0" xfId="0" applyFont="1" applyFill="1" applyAlignment="1">
      <alignment vertical="center"/>
    </xf>
    <xf numFmtId="173" fontId="63" fillId="2" borderId="0" xfId="0" applyNumberFormat="1" applyFont="1" applyFill="1" applyAlignment="1">
      <alignment vertical="center"/>
    </xf>
    <xf numFmtId="164" fontId="63" fillId="2" borderId="11" xfId="0" applyNumberFormat="1" applyFont="1" applyFill="1" applyBorder="1" applyAlignment="1" applyProtection="1">
      <alignment horizontal="right" vertical="center"/>
      <protection locked="0"/>
    </xf>
    <xf numFmtId="0" fontId="21" fillId="0" borderId="18" xfId="0" applyFont="1" applyBorder="1" applyAlignment="1" applyProtection="1">
      <alignment vertical="center"/>
      <protection locked="0"/>
    </xf>
    <xf numFmtId="0" fontId="21" fillId="0" borderId="15" xfId="0" applyFont="1" applyBorder="1" applyAlignment="1" applyProtection="1">
      <alignment vertical="center"/>
      <protection locked="0"/>
    </xf>
    <xf numFmtId="0" fontId="63" fillId="0" borderId="18" xfId="0" applyFont="1" applyBorder="1" applyAlignment="1" applyProtection="1">
      <alignment vertical="center"/>
      <protection locked="0"/>
    </xf>
    <xf numFmtId="164" fontId="63" fillId="2" borderId="18" xfId="0" applyNumberFormat="1" applyFont="1" applyFill="1" applyBorder="1" applyAlignment="1" applyProtection="1">
      <alignment horizontal="center" vertical="center"/>
      <protection locked="0"/>
    </xf>
    <xf numFmtId="166" fontId="63" fillId="2" borderId="18" xfId="0" applyNumberFormat="1" applyFont="1" applyFill="1" applyBorder="1" applyAlignment="1" applyProtection="1">
      <alignment horizontal="center" vertical="center"/>
      <protection locked="0"/>
    </xf>
    <xf numFmtId="0" fontId="63" fillId="0" borderId="0" xfId="0" applyFont="1"/>
    <xf numFmtId="2" fontId="15" fillId="8" borderId="0" xfId="0" applyNumberFormat="1" applyFont="1" applyFill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5" fillId="2" borderId="0" xfId="0" applyFont="1" applyFill="1" applyAlignment="1" applyProtection="1">
      <alignment horizontal="left" vertical="center"/>
      <protection locked="0"/>
    </xf>
    <xf numFmtId="0" fontId="15" fillId="2" borderId="37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5" fillId="2" borderId="15" xfId="0" applyFont="1" applyFill="1" applyBorder="1" applyAlignment="1">
      <alignment vertical="center"/>
    </xf>
    <xf numFmtId="0" fontId="63" fillId="0" borderId="12" xfId="0" applyFont="1" applyBorder="1" applyAlignment="1" applyProtection="1">
      <alignment vertical="center"/>
      <protection locked="0"/>
    </xf>
    <xf numFmtId="0" fontId="63" fillId="0" borderId="15" xfId="0" applyFont="1" applyBorder="1" applyAlignment="1" applyProtection="1">
      <alignment vertical="center"/>
      <protection locked="0"/>
    </xf>
    <xf numFmtId="173" fontId="63" fillId="2" borderId="7" xfId="0" applyNumberFormat="1" applyFont="1" applyFill="1" applyBorder="1" applyAlignment="1">
      <alignment horizontal="center" vertical="center"/>
    </xf>
    <xf numFmtId="0" fontId="28" fillId="2" borderId="0" xfId="0" applyFont="1" applyFill="1" applyAlignment="1" applyProtection="1">
      <alignment horizontal="center"/>
      <protection locked="0"/>
    </xf>
    <xf numFmtId="173" fontId="31" fillId="2" borderId="0" xfId="0" applyNumberFormat="1" applyFont="1" applyFill="1" applyAlignment="1">
      <alignment vertical="center"/>
    </xf>
    <xf numFmtId="0" fontId="0" fillId="0" borderId="0" xfId="0" quotePrefix="1"/>
    <xf numFmtId="0" fontId="8" fillId="0" borderId="0" xfId="3"/>
    <xf numFmtId="0" fontId="15" fillId="0" borderId="7" xfId="0" applyFont="1" applyBorder="1" applyAlignment="1">
      <alignment horizontal="center" vertical="center"/>
    </xf>
    <xf numFmtId="0" fontId="12" fillId="2" borderId="17" xfId="0" applyFont="1" applyFill="1" applyBorder="1" applyAlignment="1">
      <alignment vertical="center"/>
    </xf>
    <xf numFmtId="0" fontId="12" fillId="2" borderId="18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74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75" fillId="0" borderId="7" xfId="0" quotePrefix="1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78" fontId="74" fillId="0" borderId="7" xfId="0" applyNumberFormat="1" applyFont="1" applyBorder="1" applyAlignment="1">
      <alignment horizontal="center" vertical="center"/>
    </xf>
    <xf numFmtId="0" fontId="74" fillId="0" borderId="13" xfId="0" applyFont="1" applyBorder="1" applyAlignment="1">
      <alignment horizontal="center" vertical="center" wrapText="1"/>
    </xf>
    <xf numFmtId="0" fontId="74" fillId="0" borderId="7" xfId="0" quotePrefix="1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top" wrapText="1"/>
    </xf>
    <xf numFmtId="2" fontId="63" fillId="2" borderId="0" xfId="0" applyNumberFormat="1" applyFont="1" applyFill="1" applyAlignment="1">
      <alignment horizontal="center" vertical="center"/>
    </xf>
    <xf numFmtId="165" fontId="63" fillId="2" borderId="0" xfId="0" applyNumberFormat="1" applyFont="1" applyFill="1" applyAlignment="1">
      <alignment horizontal="center" vertical="center"/>
    </xf>
    <xf numFmtId="169" fontId="63" fillId="2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5" fillId="0" borderId="0" xfId="1" applyFont="1" applyAlignment="1" applyProtection="1">
      <alignment vertical="center"/>
      <protection locked="0"/>
    </xf>
    <xf numFmtId="0" fontId="76" fillId="0" borderId="0" xfId="0" applyFont="1"/>
    <xf numFmtId="2" fontId="15" fillId="0" borderId="7" xfId="0" applyNumberFormat="1" applyFont="1" applyBorder="1" applyAlignment="1" applyProtection="1">
      <alignment horizontal="center" vertical="center"/>
      <protection locked="0"/>
    </xf>
    <xf numFmtId="178" fontId="74" fillId="0" borderId="7" xfId="0" quotePrefix="1" applyNumberFormat="1" applyFont="1" applyBorder="1" applyAlignment="1">
      <alignment horizontal="center" vertical="center"/>
    </xf>
    <xf numFmtId="0" fontId="8" fillId="0" borderId="0" xfId="5"/>
    <xf numFmtId="0" fontId="8" fillId="0" borderId="0" xfId="5" applyAlignment="1" applyProtection="1">
      <alignment wrapText="1"/>
      <protection hidden="1"/>
    </xf>
    <xf numFmtId="0" fontId="8" fillId="0" borderId="0" xfId="5" applyProtection="1">
      <protection locked="0"/>
    </xf>
    <xf numFmtId="0" fontId="81" fillId="0" borderId="0" xfId="5" applyFont="1" applyAlignment="1">
      <alignment horizontal="center" vertical="center" wrapText="1"/>
    </xf>
    <xf numFmtId="0" fontId="44" fillId="0" borderId="11" xfId="5" applyFont="1" applyBorder="1" applyAlignment="1">
      <alignment horizontal="left" vertical="top" wrapText="1"/>
    </xf>
    <xf numFmtId="0" fontId="44" fillId="0" borderId="15" xfId="5" applyFont="1" applyBorder="1" applyAlignment="1">
      <alignment horizontal="left" vertical="top" wrapText="1"/>
    </xf>
    <xf numFmtId="0" fontId="8" fillId="0" borderId="0" xfId="5" applyAlignment="1">
      <alignment horizontal="left" vertical="top"/>
    </xf>
    <xf numFmtId="0" fontId="44" fillId="0" borderId="15" xfId="5" applyFont="1" applyBorder="1" applyAlignment="1">
      <alignment horizontal="left" vertical="top"/>
    </xf>
    <xf numFmtId="0" fontId="44" fillId="0" borderId="0" xfId="5" applyFont="1" applyAlignment="1">
      <alignment vertical="center" wrapText="1"/>
    </xf>
    <xf numFmtId="0" fontId="44" fillId="0" borderId="0" xfId="5" applyFont="1" applyAlignment="1">
      <alignment horizontal="center" vertical="center" wrapText="1"/>
    </xf>
    <xf numFmtId="0" fontId="84" fillId="0" borderId="0" xfId="5" applyFont="1"/>
    <xf numFmtId="0" fontId="44" fillId="0" borderId="0" xfId="5" applyFont="1" applyAlignment="1" applyProtection="1">
      <alignment horizontal="center" vertical="center" wrapText="1"/>
      <protection locked="0"/>
    </xf>
    <xf numFmtId="1" fontId="44" fillId="0" borderId="0" xfId="5" quotePrefix="1" applyNumberFormat="1" applyFont="1" applyAlignment="1" applyProtection="1">
      <alignment horizontal="left"/>
      <protection locked="0"/>
    </xf>
    <xf numFmtId="0" fontId="44" fillId="0" borderId="0" xfId="5" applyFont="1" applyProtection="1">
      <protection locked="0"/>
    </xf>
    <xf numFmtId="1" fontId="82" fillId="0" borderId="0" xfId="5" quotePrefix="1" applyNumberFormat="1" applyFont="1" applyProtection="1">
      <protection locked="0"/>
    </xf>
    <xf numFmtId="0" fontId="84" fillId="0" borderId="0" xfId="5" applyFont="1" applyProtection="1">
      <protection locked="0"/>
    </xf>
    <xf numFmtId="179" fontId="44" fillId="0" borderId="0" xfId="5" quotePrefix="1" applyNumberFormat="1" applyFont="1" applyAlignment="1" applyProtection="1">
      <alignment horizontal="left"/>
      <protection locked="0"/>
    </xf>
    <xf numFmtId="2" fontId="82" fillId="0" borderId="0" xfId="5" quotePrefix="1" applyNumberFormat="1" applyFont="1" applyProtection="1">
      <protection locked="0"/>
    </xf>
    <xf numFmtId="0" fontId="8" fillId="0" borderId="0" xfId="5" applyAlignment="1">
      <alignment vertical="top" wrapText="1"/>
    </xf>
    <xf numFmtId="0" fontId="44" fillId="0" borderId="11" xfId="5" applyFont="1" applyBorder="1" applyAlignment="1">
      <alignment vertical="top"/>
    </xf>
    <xf numFmtId="0" fontId="44" fillId="0" borderId="15" xfId="5" applyFont="1" applyBorder="1" applyAlignment="1" applyProtection="1">
      <alignment vertical="top" wrapText="1"/>
      <protection locked="0"/>
    </xf>
    <xf numFmtId="0" fontId="44" fillId="0" borderId="15" xfId="5" applyFont="1" applyBorder="1" applyAlignment="1" applyProtection="1">
      <alignment vertical="top"/>
      <protection locked="0"/>
    </xf>
    <xf numFmtId="0" fontId="85" fillId="0" borderId="0" xfId="5" applyFont="1" applyAlignment="1">
      <alignment vertical="top"/>
    </xf>
    <xf numFmtId="0" fontId="44" fillId="0" borderId="0" xfId="5" applyFont="1" applyAlignment="1" applyProtection="1">
      <alignment horizontal="center" vertical="top" wrapText="1"/>
      <protection locked="0"/>
    </xf>
    <xf numFmtId="0" fontId="81" fillId="0" borderId="0" xfId="5" applyFont="1" applyAlignment="1">
      <alignment wrapText="1"/>
    </xf>
    <xf numFmtId="0" fontId="78" fillId="0" borderId="0" xfId="5" applyFont="1" applyAlignment="1">
      <alignment horizontal="center"/>
    </xf>
    <xf numFmtId="0" fontId="42" fillId="0" borderId="0" xfId="5" applyFont="1"/>
    <xf numFmtId="0" fontId="44" fillId="0" borderId="0" xfId="5" applyFont="1" applyAlignment="1">
      <alignment horizontal="center" vertical="top" wrapText="1"/>
    </xf>
    <xf numFmtId="0" fontId="44" fillId="0" borderId="0" xfId="5" applyFont="1" applyAlignment="1">
      <alignment vertical="top" wrapText="1"/>
    </xf>
    <xf numFmtId="0" fontId="44" fillId="0" borderId="0" xfId="5" applyFont="1" applyAlignment="1">
      <alignment horizontal="justify" vertical="center" wrapText="1"/>
    </xf>
    <xf numFmtId="0" fontId="86" fillId="0" borderId="0" xfId="5" applyFont="1" applyAlignment="1">
      <alignment vertical="center"/>
    </xf>
    <xf numFmtId="0" fontId="87" fillId="0" borderId="0" xfId="5" applyFont="1" applyAlignment="1">
      <alignment horizontal="right"/>
    </xf>
    <xf numFmtId="0" fontId="62" fillId="0" borderId="0" xfId="5" applyFont="1" applyAlignment="1">
      <alignment horizontal="left" vertical="center" wrapText="1"/>
    </xf>
    <xf numFmtId="0" fontId="8" fillId="0" borderId="0" xfId="5" applyAlignment="1">
      <alignment horizontal="center" vertical="center" wrapText="1"/>
    </xf>
    <xf numFmtId="17" fontId="8" fillId="0" borderId="0" xfId="5" applyNumberFormat="1" applyAlignment="1">
      <alignment horizontal="center" vertical="center"/>
    </xf>
    <xf numFmtId="0" fontId="8" fillId="0" borderId="0" xfId="5" applyAlignment="1">
      <alignment horizontal="center" vertical="center"/>
    </xf>
    <xf numFmtId="0" fontId="8" fillId="0" borderId="0" xfId="5" applyAlignment="1" applyProtection="1">
      <alignment horizontal="center" vertical="center" wrapText="1"/>
      <protection locked="0"/>
    </xf>
    <xf numFmtId="0" fontId="8" fillId="0" borderId="0" xfId="5" applyAlignment="1" applyProtection="1">
      <alignment horizontal="center" vertical="center"/>
      <protection locked="0"/>
    </xf>
    <xf numFmtId="0" fontId="8" fillId="0" borderId="0" xfId="5" applyAlignment="1">
      <alignment horizontal="left" vertical="center"/>
    </xf>
    <xf numFmtId="0" fontId="8" fillId="0" borderId="0" xfId="5" quotePrefix="1" applyAlignment="1" applyProtection="1">
      <alignment horizontal="center" vertical="center"/>
      <protection locked="0"/>
    </xf>
    <xf numFmtId="0" fontId="90" fillId="0" borderId="0" xfId="5" applyFont="1" applyAlignment="1">
      <alignment horizontal="left" vertical="center" wrapText="1"/>
    </xf>
    <xf numFmtId="0" fontId="90" fillId="0" borderId="0" xfId="5" applyFont="1"/>
    <xf numFmtId="0" fontId="90" fillId="0" borderId="0" xfId="5" applyFont="1" applyAlignment="1">
      <alignment vertical="top"/>
    </xf>
    <xf numFmtId="0" fontId="90" fillId="0" borderId="0" xfId="5" applyFont="1" applyAlignment="1">
      <alignment vertical="center"/>
    </xf>
    <xf numFmtId="0" fontId="90" fillId="0" borderId="7" xfId="5" applyFont="1" applyBorder="1" applyAlignment="1">
      <alignment horizontal="center" vertical="center"/>
    </xf>
    <xf numFmtId="0" fontId="90" fillId="0" borderId="7" xfId="5" quotePrefix="1" applyFont="1" applyBorder="1" applyAlignment="1">
      <alignment horizontal="center" vertical="center"/>
    </xf>
    <xf numFmtId="0" fontId="90" fillId="0" borderId="15" xfId="5" applyFont="1" applyBorder="1" applyAlignment="1">
      <alignment horizontal="center" vertical="center" wrapText="1"/>
    </xf>
    <xf numFmtId="0" fontId="90" fillId="0" borderId="7" xfId="5" applyFont="1" applyBorder="1" applyAlignment="1">
      <alignment horizontal="center" vertical="center" wrapText="1"/>
    </xf>
    <xf numFmtId="0" fontId="90" fillId="0" borderId="0" xfId="5" quotePrefix="1" applyFont="1" applyAlignment="1">
      <alignment vertical="center"/>
    </xf>
    <xf numFmtId="0" fontId="8" fillId="0" borderId="0" xfId="5" applyAlignment="1">
      <alignment horizontal="center"/>
    </xf>
    <xf numFmtId="0" fontId="90" fillId="0" borderId="0" xfId="5" applyFont="1" applyAlignment="1">
      <alignment horizontal="left" vertical="center"/>
    </xf>
    <xf numFmtId="0" fontId="90" fillId="0" borderId="0" xfId="5" applyFont="1" applyAlignment="1">
      <alignment horizontal="right" vertical="center"/>
    </xf>
    <xf numFmtId="178" fontId="90" fillId="0" borderId="0" xfId="5" applyNumberFormat="1" applyFont="1" applyAlignment="1">
      <alignment horizontal="left" vertical="center"/>
    </xf>
    <xf numFmtId="0" fontId="20" fillId="12" borderId="7" xfId="5" applyFont="1" applyFill="1" applyBorder="1"/>
    <xf numFmtId="0" fontId="20" fillId="12" borderId="11" xfId="5" applyFont="1" applyFill="1" applyBorder="1"/>
    <xf numFmtId="0" fontId="20" fillId="0" borderId="0" xfId="5" applyFont="1"/>
    <xf numFmtId="0" fontId="20" fillId="13" borderId="54" xfId="5" applyFont="1" applyFill="1" applyBorder="1"/>
    <xf numFmtId="0" fontId="92" fillId="0" borderId="7" xfId="5" applyFont="1" applyBorder="1"/>
    <xf numFmtId="0" fontId="92" fillId="0" borderId="7" xfId="5" applyFont="1" applyBorder="1" applyAlignment="1">
      <alignment horizontal="left"/>
    </xf>
    <xf numFmtId="0" fontId="8" fillId="0" borderId="54" xfId="5" applyBorder="1"/>
    <xf numFmtId="17" fontId="8" fillId="0" borderId="0" xfId="5" quotePrefix="1" applyNumberFormat="1"/>
    <xf numFmtId="0" fontId="92" fillId="0" borderId="0" xfId="5" applyFont="1"/>
    <xf numFmtId="0" fontId="92" fillId="0" borderId="0" xfId="5" applyFont="1" applyAlignment="1">
      <alignment horizontal="left"/>
    </xf>
    <xf numFmtId="0" fontId="8" fillId="0" borderId="0" xfId="5" quotePrefix="1"/>
    <xf numFmtId="0" fontId="8" fillId="0" borderId="0" xfId="0" applyFont="1" applyAlignment="1">
      <alignment vertical="center"/>
    </xf>
    <xf numFmtId="0" fontId="5" fillId="0" borderId="0" xfId="0" applyFont="1" applyProtection="1">
      <protection locked="0"/>
    </xf>
    <xf numFmtId="0" fontId="5" fillId="0" borderId="3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left" vertical="top" wrapText="1"/>
    </xf>
    <xf numFmtId="0" fontId="94" fillId="0" borderId="0" xfId="0" applyFont="1" applyAlignment="1">
      <alignment vertical="top" wrapText="1"/>
    </xf>
    <xf numFmtId="0" fontId="8" fillId="0" borderId="0" xfId="0" applyFont="1" applyAlignment="1">
      <alignment horizontal="center" vertical="center"/>
    </xf>
    <xf numFmtId="1" fontId="39" fillId="0" borderId="7" xfId="0" applyNumberFormat="1" applyFont="1" applyBorder="1" applyAlignment="1">
      <alignment horizontal="center" vertical="center"/>
    </xf>
    <xf numFmtId="0" fontId="95" fillId="0" borderId="7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0" fontId="0" fillId="0" borderId="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97" fillId="0" borderId="0" xfId="0" applyFont="1"/>
    <xf numFmtId="0" fontId="21" fillId="0" borderId="0" xfId="0" applyFont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2" borderId="14" xfId="0" applyFont="1" applyFill="1" applyBorder="1" applyAlignment="1">
      <alignment horizontal="center" vertical="center" wrapText="1"/>
    </xf>
    <xf numFmtId="0" fontId="83" fillId="2" borderId="0" xfId="0" applyFont="1" applyFill="1" applyAlignment="1">
      <alignment horizontal="center" vertical="center" wrapText="1"/>
    </xf>
    <xf numFmtId="0" fontId="83" fillId="2" borderId="0" xfId="0" applyFont="1" applyFill="1" applyAlignment="1">
      <alignment vertical="center" wrapText="1"/>
    </xf>
    <xf numFmtId="0" fontId="99" fillId="2" borderId="7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39" fillId="2" borderId="7" xfId="0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/>
    </xf>
    <xf numFmtId="0" fontId="22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2" fontId="0" fillId="0" borderId="7" xfId="0" quotePrefix="1" applyNumberFormat="1" applyBorder="1" applyAlignment="1">
      <alignment horizontal="center" vertical="center"/>
    </xf>
    <xf numFmtId="2" fontId="8" fillId="0" borderId="7" xfId="0" quotePrefix="1" applyNumberFormat="1" applyFont="1" applyBorder="1" applyAlignment="1">
      <alignment horizontal="center" vertical="center"/>
    </xf>
    <xf numFmtId="0" fontId="21" fillId="0" borderId="0" xfId="0" quotePrefix="1" applyFont="1" applyAlignment="1">
      <alignment horizontal="center"/>
    </xf>
    <xf numFmtId="2" fontId="8" fillId="0" borderId="0" xfId="0" quotePrefix="1" applyNumberFormat="1" applyFon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0" fontId="98" fillId="0" borderId="7" xfId="0" quotePrefix="1" applyFont="1" applyBorder="1" applyAlignment="1">
      <alignment horizontal="center" vertical="center" wrapText="1"/>
    </xf>
    <xf numFmtId="16" fontId="98" fillId="0" borderId="7" xfId="0" quotePrefix="1" applyNumberFormat="1" applyFont="1" applyBorder="1" applyAlignment="1">
      <alignment horizontal="center" vertical="center" wrapText="1"/>
    </xf>
    <xf numFmtId="2" fontId="83" fillId="2" borderId="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181" fontId="102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0" fontId="1" fillId="0" borderId="0" xfId="0" applyFont="1" applyAlignment="1">
      <alignment vertical="center"/>
    </xf>
    <xf numFmtId="0" fontId="49" fillId="2" borderId="24" xfId="0" applyFont="1" applyFill="1" applyBorder="1" applyAlignment="1">
      <alignment horizontal="center" vertical="center"/>
    </xf>
    <xf numFmtId="0" fontId="49" fillId="2" borderId="12" xfId="0" applyFont="1" applyFill="1" applyBorder="1" applyAlignment="1">
      <alignment horizontal="center" vertical="center"/>
    </xf>
    <xf numFmtId="164" fontId="49" fillId="2" borderId="12" xfId="0" applyNumberFormat="1" applyFont="1" applyFill="1" applyBorder="1" applyAlignment="1">
      <alignment horizontal="center" vertical="center"/>
    </xf>
    <xf numFmtId="172" fontId="49" fillId="2" borderId="12" xfId="0" applyNumberFormat="1" applyFont="1" applyFill="1" applyBorder="1" applyAlignment="1">
      <alignment horizontal="center" vertical="center"/>
    </xf>
    <xf numFmtId="0" fontId="49" fillId="2" borderId="13" xfId="0" applyFont="1" applyFill="1" applyBorder="1" applyAlignment="1">
      <alignment horizontal="center" vertical="center"/>
    </xf>
    <xf numFmtId="164" fontId="21" fillId="2" borderId="44" xfId="0" applyNumberFormat="1" applyFont="1" applyFill="1" applyBorder="1" applyAlignment="1">
      <alignment vertical="center"/>
    </xf>
    <xf numFmtId="164" fontId="21" fillId="2" borderId="28" xfId="0" applyNumberFormat="1" applyFont="1" applyFill="1" applyBorder="1" applyAlignment="1">
      <alignment vertical="center"/>
    </xf>
    <xf numFmtId="0" fontId="49" fillId="2" borderId="11" xfId="0" applyFont="1" applyFill="1" applyBorder="1" applyAlignment="1">
      <alignment horizontal="center" vertical="center"/>
    </xf>
    <xf numFmtId="0" fontId="8" fillId="0" borderId="7" xfId="0" applyFont="1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63" fillId="0" borderId="0" xfId="0" applyFont="1" applyAlignment="1" applyProtection="1">
      <alignment horizontal="left" vertical="top" wrapText="1"/>
      <protection locked="0"/>
    </xf>
    <xf numFmtId="2" fontId="83" fillId="0" borderId="7" xfId="0" applyNumberFormat="1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2" fontId="83" fillId="3" borderId="7" xfId="0" applyNumberFormat="1" applyFont="1" applyFill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" fontId="8" fillId="0" borderId="7" xfId="0" quotePrefix="1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3" fillId="2" borderId="15" xfId="0" applyFont="1" applyFill="1" applyBorder="1" applyAlignment="1">
      <alignment horizontal="left" vertical="center"/>
    </xf>
    <xf numFmtId="0" fontId="63" fillId="2" borderId="14" xfId="0" applyFont="1" applyFill="1" applyBorder="1" applyAlignment="1">
      <alignment horizontal="center" vertical="center"/>
    </xf>
    <xf numFmtId="0" fontId="64" fillId="2" borderId="7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16" fontId="98" fillId="0" borderId="7" xfId="0" quotePrefix="1" applyNumberFormat="1" applyFont="1" applyBorder="1" applyAlignment="1">
      <alignment horizontal="center"/>
    </xf>
    <xf numFmtId="0" fontId="15" fillId="2" borderId="0" xfId="2" applyFont="1" applyFill="1" applyAlignment="1" applyProtection="1">
      <alignment vertical="center"/>
      <protection locked="0"/>
    </xf>
    <xf numFmtId="0" fontId="64" fillId="2" borderId="7" xfId="0" applyFont="1" applyFill="1" applyBorder="1" applyAlignment="1">
      <alignment vertical="center"/>
    </xf>
    <xf numFmtId="0" fontId="64" fillId="2" borderId="11" xfId="0" applyFont="1" applyFill="1" applyBorder="1" applyAlignment="1">
      <alignment horizontal="center" vertical="center"/>
    </xf>
    <xf numFmtId="0" fontId="63" fillId="0" borderId="0" xfId="0" applyFont="1" applyAlignment="1" applyProtection="1">
      <alignment horizontal="right" vertical="center"/>
      <protection hidden="1"/>
    </xf>
    <xf numFmtId="0" fontId="63" fillId="2" borderId="0" xfId="2" applyFont="1" applyFill="1" applyAlignment="1" applyProtection="1">
      <alignment vertical="center"/>
      <protection hidden="1"/>
    </xf>
    <xf numFmtId="0" fontId="27" fillId="2" borderId="0" xfId="0" applyFont="1" applyFill="1" applyAlignment="1">
      <alignment vertical="center"/>
    </xf>
    <xf numFmtId="0" fontId="12" fillId="0" borderId="0" xfId="0" quotePrefix="1" applyFont="1" applyAlignment="1">
      <alignment vertical="center"/>
    </xf>
    <xf numFmtId="0" fontId="12" fillId="0" borderId="0" xfId="0" quotePrefix="1" applyFont="1" applyAlignment="1">
      <alignment horizontal="right" vertical="center"/>
    </xf>
    <xf numFmtId="0" fontId="12" fillId="10" borderId="0" xfId="0" quotePrefix="1" applyFont="1" applyFill="1" applyAlignment="1">
      <alignment vertical="center"/>
    </xf>
    <xf numFmtId="0" fontId="34" fillId="5" borderId="0" xfId="0" quotePrefix="1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63" fillId="2" borderId="0" xfId="0" applyNumberFormat="1" applyFont="1" applyFill="1" applyAlignment="1">
      <alignment vertical="center"/>
    </xf>
    <xf numFmtId="164" fontId="64" fillId="2" borderId="0" xfId="0" applyNumberFormat="1" applyFont="1" applyFill="1" applyAlignment="1">
      <alignment vertical="center"/>
    </xf>
    <xf numFmtId="0" fontId="64" fillId="2" borderId="0" xfId="0" applyFont="1" applyFill="1" applyAlignment="1">
      <alignment horizontal="center" vertical="center" wrapText="1"/>
    </xf>
    <xf numFmtId="165" fontId="63" fillId="0" borderId="0" xfId="0" applyNumberFormat="1" applyFont="1" applyAlignment="1">
      <alignment vertical="center"/>
    </xf>
    <xf numFmtId="0" fontId="63" fillId="0" borderId="7" xfId="2" applyFont="1" applyBorder="1" applyAlignment="1">
      <alignment horizontal="center" vertical="center"/>
    </xf>
    <xf numFmtId="0" fontId="68" fillId="2" borderId="0" xfId="0" applyFont="1" applyFill="1" applyAlignment="1">
      <alignment horizontal="center" vertical="center"/>
    </xf>
    <xf numFmtId="0" fontId="71" fillId="0" borderId="7" xfId="0" applyFont="1" applyBorder="1" applyAlignment="1">
      <alignment vertical="center"/>
    </xf>
    <xf numFmtId="0" fontId="72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4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0" fontId="104" fillId="2" borderId="0" xfId="0" applyFont="1" applyFill="1" applyAlignment="1">
      <alignment horizontal="left" vertical="center"/>
    </xf>
    <xf numFmtId="164" fontId="63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4" fillId="0" borderId="0" xfId="0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2" fontId="15" fillId="8" borderId="7" xfId="0" applyNumberFormat="1" applyFont="1" applyFill="1" applyBorder="1" applyAlignment="1">
      <alignment vertical="center"/>
    </xf>
    <xf numFmtId="2" fontId="15" fillId="8" borderId="7" xfId="0" quotePrefix="1" applyNumberFormat="1" applyFont="1" applyFill="1" applyBorder="1" applyAlignment="1">
      <alignment vertical="center"/>
    </xf>
    <xf numFmtId="2" fontId="15" fillId="8" borderId="0" xfId="0" applyNumberFormat="1" applyFont="1" applyFill="1" applyAlignment="1">
      <alignment vertical="center"/>
    </xf>
    <xf numFmtId="0" fontId="15" fillId="0" borderId="7" xfId="0" applyFont="1" applyBorder="1" applyAlignment="1">
      <alignment vertical="center"/>
    </xf>
    <xf numFmtId="2" fontId="15" fillId="8" borderId="11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164" fontId="22" fillId="2" borderId="0" xfId="0" applyNumberFormat="1" applyFont="1" applyFill="1" applyAlignment="1">
      <alignment vertical="center"/>
    </xf>
    <xf numFmtId="0" fontId="15" fillId="0" borderId="32" xfId="0" applyFont="1" applyBorder="1" applyAlignment="1">
      <alignment vertical="center"/>
    </xf>
    <xf numFmtId="0" fontId="15" fillId="0" borderId="20" xfId="0" quotePrefix="1" applyFont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5" fillId="0" borderId="4" xfId="0" quotePrefix="1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63" fillId="2" borderId="9" xfId="0" applyFont="1" applyFill="1" applyBorder="1" applyAlignment="1" applyProtection="1">
      <alignment horizontal="left" vertical="center"/>
      <protection locked="0"/>
    </xf>
    <xf numFmtId="0" fontId="63" fillId="2" borderId="10" xfId="0" applyFont="1" applyFill="1" applyBorder="1" applyAlignment="1" applyProtection="1">
      <alignment horizontal="center" vertical="center"/>
      <protection locked="0"/>
    </xf>
    <xf numFmtId="0" fontId="63" fillId="2" borderId="12" xfId="0" applyFont="1" applyFill="1" applyBorder="1" applyAlignment="1" applyProtection="1">
      <alignment vertical="center"/>
      <protection locked="0"/>
    </xf>
    <xf numFmtId="0" fontId="1" fillId="0" borderId="0" xfId="5" applyFont="1" applyProtection="1">
      <protection locked="0"/>
    </xf>
    <xf numFmtId="0" fontId="8" fillId="0" borderId="19" xfId="5" applyBorder="1"/>
    <xf numFmtId="0" fontId="106" fillId="0" borderId="21" xfId="5" applyFont="1" applyBorder="1"/>
    <xf numFmtId="0" fontId="8" fillId="0" borderId="2" xfId="5" applyBorder="1"/>
    <xf numFmtId="0" fontId="8" fillId="0" borderId="1" xfId="5" applyBorder="1"/>
    <xf numFmtId="0" fontId="8" fillId="0" borderId="2" xfId="5" applyBorder="1" applyAlignment="1">
      <alignment wrapText="1"/>
    </xf>
    <xf numFmtId="0" fontId="8" fillId="0" borderId="1" xfId="5" applyBorder="1" applyAlignment="1">
      <alignment wrapText="1"/>
    </xf>
    <xf numFmtId="0" fontId="106" fillId="0" borderId="1" xfId="5" applyFont="1" applyBorder="1"/>
    <xf numFmtId="0" fontId="92" fillId="0" borderId="1" xfId="5" applyFont="1" applyBorder="1" applyAlignment="1">
      <alignment horizontal="left" wrapText="1"/>
    </xf>
    <xf numFmtId="0" fontId="8" fillId="0" borderId="0" xfId="5" applyAlignment="1">
      <alignment wrapText="1"/>
    </xf>
    <xf numFmtId="0" fontId="92" fillId="0" borderId="2" xfId="5" applyFont="1" applyBorder="1" applyAlignment="1">
      <alignment wrapText="1"/>
    </xf>
    <xf numFmtId="178" fontId="92" fillId="0" borderId="1" xfId="5" applyNumberFormat="1" applyFont="1" applyBorder="1" applyAlignment="1">
      <alignment horizontal="left"/>
    </xf>
    <xf numFmtId="178" fontId="8" fillId="0" borderId="1" xfId="5" applyNumberFormat="1" applyBorder="1"/>
    <xf numFmtId="0" fontId="107" fillId="0" borderId="1" xfId="5" applyFont="1" applyBorder="1" applyAlignment="1">
      <alignment horizontal="left" wrapText="1"/>
    </xf>
    <xf numFmtId="0" fontId="92" fillId="0" borderId="1" xfId="5" applyFont="1" applyBorder="1" applyAlignment="1">
      <alignment wrapText="1"/>
    </xf>
    <xf numFmtId="0" fontId="92" fillId="0" borderId="2" xfId="5" applyFont="1" applyBorder="1"/>
    <xf numFmtId="0" fontId="92" fillId="0" borderId="3" xfId="5" applyFont="1" applyBorder="1"/>
    <xf numFmtId="0" fontId="92" fillId="0" borderId="5" xfId="5" applyFont="1" applyBorder="1" applyAlignment="1">
      <alignment wrapText="1"/>
    </xf>
    <xf numFmtId="0" fontId="63" fillId="5" borderId="0" xfId="0" quotePrefix="1" applyFont="1" applyFill="1" applyAlignment="1" applyProtection="1">
      <alignment vertical="center"/>
      <protection locked="0"/>
    </xf>
    <xf numFmtId="0" fontId="63" fillId="8" borderId="11" xfId="0" applyFont="1" applyFill="1" applyBorder="1" applyAlignment="1" applyProtection="1">
      <alignment vertical="center"/>
      <protection locked="0"/>
    </xf>
    <xf numFmtId="0" fontId="63" fillId="8" borderId="12" xfId="0" applyFont="1" applyFill="1" applyBorder="1" applyAlignment="1" applyProtection="1">
      <alignment vertical="center"/>
      <protection locked="0"/>
    </xf>
    <xf numFmtId="2" fontId="13" fillId="2" borderId="0" xfId="0" applyNumberFormat="1" applyFont="1" applyFill="1" applyAlignment="1">
      <alignment horizontal="center" vertical="center"/>
    </xf>
    <xf numFmtId="0" fontId="8" fillId="0" borderId="0" xfId="0" quotePrefix="1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vertical="center"/>
      <protection locked="0"/>
    </xf>
    <xf numFmtId="2" fontId="108" fillId="5" borderId="0" xfId="0" applyNumberFormat="1" applyFont="1" applyFill="1" applyAlignment="1" applyProtection="1">
      <alignment horizontal="left" vertical="center"/>
      <protection locked="0"/>
    </xf>
    <xf numFmtId="0" fontId="108" fillId="5" borderId="0" xfId="0" applyFont="1" applyFill="1" applyAlignment="1" applyProtection="1">
      <alignment vertical="center"/>
      <protection locked="0"/>
    </xf>
    <xf numFmtId="165" fontId="108" fillId="5" borderId="7" xfId="0" applyNumberFormat="1" applyFont="1" applyFill="1" applyBorder="1" applyAlignment="1" applyProtection="1">
      <alignment horizontal="center" vertical="center"/>
      <protection locked="0"/>
    </xf>
    <xf numFmtId="165" fontId="108" fillId="5" borderId="0" xfId="0" applyNumberFormat="1" applyFont="1" applyFill="1" applyAlignment="1" applyProtection="1">
      <alignment horizontal="center" vertical="center"/>
      <protection locked="0"/>
    </xf>
    <xf numFmtId="164" fontId="108" fillId="5" borderId="11" xfId="0" quotePrefix="1" applyNumberFormat="1" applyFont="1" applyFill="1" applyBorder="1" applyAlignment="1" applyProtection="1">
      <alignment horizontal="right" vertical="center"/>
      <protection locked="0"/>
    </xf>
    <xf numFmtId="165" fontId="108" fillId="5" borderId="11" xfId="0" quotePrefix="1" applyNumberFormat="1" applyFont="1" applyFill="1" applyBorder="1" applyAlignment="1" applyProtection="1">
      <alignment horizontal="right" vertical="center"/>
      <protection locked="0"/>
    </xf>
    <xf numFmtId="2" fontId="108" fillId="5" borderId="7" xfId="0" quotePrefix="1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08" fillId="2" borderId="0" xfId="0" applyNumberFormat="1" applyFont="1" applyFill="1" applyAlignment="1">
      <alignment horizontal="left" vertical="center"/>
    </xf>
    <xf numFmtId="0" fontId="108" fillId="2" borderId="0" xfId="0" applyFont="1" applyFill="1" applyAlignment="1">
      <alignment horizontal="left" vertical="center"/>
    </xf>
    <xf numFmtId="168" fontId="63" fillId="2" borderId="0" xfId="0" applyNumberFormat="1" applyFont="1" applyFill="1" applyAlignment="1">
      <alignment vertical="center"/>
    </xf>
    <xf numFmtId="0" fontId="8" fillId="0" borderId="15" xfId="0" applyFont="1" applyBorder="1" applyAlignment="1" applyProtection="1">
      <alignment vertical="center"/>
      <protection locked="0"/>
    </xf>
    <xf numFmtId="0" fontId="63" fillId="2" borderId="7" xfId="0" applyFont="1" applyFill="1" applyBorder="1" applyAlignment="1">
      <alignment vertical="center"/>
    </xf>
    <xf numFmtId="0" fontId="63" fillId="2" borderId="15" xfId="0" applyFont="1" applyFill="1" applyBorder="1" applyAlignment="1">
      <alignment vertical="center"/>
    </xf>
    <xf numFmtId="176" fontId="63" fillId="2" borderId="15" xfId="0" applyNumberFormat="1" applyFont="1" applyFill="1" applyBorder="1" applyAlignment="1">
      <alignment vertical="center"/>
    </xf>
    <xf numFmtId="0" fontId="46" fillId="0" borderId="11" xfId="0" applyFont="1" applyBorder="1" applyAlignment="1" applyProtection="1">
      <alignment horizontal="right" vertical="center"/>
      <protection locked="0"/>
    </xf>
    <xf numFmtId="0" fontId="108" fillId="2" borderId="0" xfId="0" applyFont="1" applyFill="1" applyAlignment="1">
      <alignment vertical="center"/>
    </xf>
    <xf numFmtId="2" fontId="108" fillId="2" borderId="7" xfId="0" applyNumberFormat="1" applyFont="1" applyFill="1" applyBorder="1" applyAlignment="1">
      <alignment horizontal="center" vertical="center"/>
    </xf>
    <xf numFmtId="2" fontId="108" fillId="2" borderId="15" xfId="0" applyNumberFormat="1" applyFont="1" applyFill="1" applyBorder="1" applyAlignment="1">
      <alignment horizontal="left" vertical="center" wrapText="1"/>
    </xf>
    <xf numFmtId="0" fontId="108" fillId="2" borderId="7" xfId="0" applyFont="1" applyFill="1" applyBorder="1" applyAlignment="1">
      <alignment horizontal="center" vertical="center"/>
    </xf>
    <xf numFmtId="0" fontId="12" fillId="10" borderId="0" xfId="0" quotePrefix="1" applyFont="1" applyFill="1" applyAlignment="1" applyProtection="1">
      <alignment vertical="center"/>
      <protection locked="0"/>
    </xf>
    <xf numFmtId="2" fontId="8" fillId="0" borderId="0" xfId="1" applyNumberFormat="1"/>
    <xf numFmtId="2" fontId="46" fillId="9" borderId="4" xfId="1" applyNumberFormat="1" applyFont="1" applyFill="1" applyBorder="1"/>
    <xf numFmtId="2" fontId="46" fillId="9" borderId="3" xfId="1" applyNumberFormat="1" applyFont="1" applyFill="1" applyBorder="1"/>
    <xf numFmtId="2" fontId="46" fillId="0" borderId="1" xfId="1" applyNumberFormat="1" applyFont="1" applyBorder="1"/>
    <xf numFmtId="2" fontId="46" fillId="0" borderId="0" xfId="1" applyNumberFormat="1" applyFont="1"/>
    <xf numFmtId="2" fontId="46" fillId="0" borderId="11" xfId="1" applyNumberFormat="1" applyFont="1" applyBorder="1"/>
    <xf numFmtId="1" fontId="46" fillId="0" borderId="6" xfId="1" applyNumberFormat="1" applyFont="1" applyBorder="1" applyAlignment="1">
      <alignment horizontal="center" vertical="center"/>
    </xf>
    <xf numFmtId="2" fontId="46" fillId="0" borderId="35" xfId="1" applyNumberFormat="1" applyFont="1" applyBorder="1"/>
    <xf numFmtId="2" fontId="46" fillId="0" borderId="12" xfId="1" applyNumberFormat="1" applyFont="1" applyBorder="1"/>
    <xf numFmtId="2" fontId="8" fillId="2" borderId="0" xfId="1" applyNumberFormat="1" applyFill="1"/>
    <xf numFmtId="2" fontId="20" fillId="2" borderId="7" xfId="1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1" fontId="10" fillId="2" borderId="7" xfId="1" applyNumberFormat="1" applyFont="1" applyFill="1" applyBorder="1" applyAlignment="1">
      <alignment horizontal="center" vertical="center"/>
    </xf>
    <xf numFmtId="2" fontId="43" fillId="2" borderId="7" xfId="1" applyNumberFormat="1" applyFont="1" applyFill="1" applyBorder="1" applyAlignment="1">
      <alignment horizontal="center" vertical="center"/>
    </xf>
    <xf numFmtId="2" fontId="8" fillId="2" borderId="7" xfId="1" applyNumberFormat="1" applyFill="1" applyBorder="1" applyAlignment="1">
      <alignment horizontal="center" vertical="center"/>
    </xf>
    <xf numFmtId="2" fontId="11" fillId="0" borderId="0" xfId="1" applyNumberFormat="1" applyFont="1" applyAlignment="1">
      <alignment horizontal="center" vertical="center"/>
    </xf>
    <xf numFmtId="2" fontId="11" fillId="2" borderId="0" xfId="1" applyNumberFormat="1" applyFont="1" applyFill="1" applyAlignment="1">
      <alignment horizontal="center" vertical="center"/>
    </xf>
    <xf numFmtId="2" fontId="60" fillId="0" borderId="0" xfId="1" applyNumberFormat="1" applyFont="1"/>
    <xf numFmtId="2" fontId="11" fillId="2" borderId="0" xfId="1" applyNumberFormat="1" applyFont="1" applyFill="1" applyAlignment="1">
      <alignment horizontal="center" vertical="center" wrapText="1"/>
    </xf>
    <xf numFmtId="2" fontId="111" fillId="2" borderId="0" xfId="1" applyNumberFormat="1" applyFont="1" applyFill="1" applyAlignment="1">
      <alignment horizontal="center" vertical="center"/>
    </xf>
    <xf numFmtId="2" fontId="110" fillId="2" borderId="0" xfId="1" applyNumberFormat="1" applyFont="1" applyFill="1" applyAlignment="1">
      <alignment horizontal="center" vertical="center" wrapText="1"/>
    </xf>
    <xf numFmtId="2" fontId="8" fillId="2" borderId="0" xfId="1" applyNumberFormat="1" applyFill="1" applyAlignment="1">
      <alignment horizontal="right" vertical="center"/>
    </xf>
    <xf numFmtId="2" fontId="20" fillId="2" borderId="6" xfId="1" applyNumberFormat="1" applyFont="1" applyFill="1" applyBorder="1" applyAlignment="1">
      <alignment horizontal="center" vertical="center"/>
    </xf>
    <xf numFmtId="2" fontId="13" fillId="2" borderId="0" xfId="1" applyNumberFormat="1" applyFont="1" applyFill="1" applyAlignment="1">
      <alignment vertical="center"/>
    </xf>
    <xf numFmtId="2" fontId="61" fillId="2" borderId="7" xfId="1" applyNumberFormat="1" applyFont="1" applyFill="1" applyBorder="1" applyAlignment="1">
      <alignment horizontal="center" vertical="center"/>
    </xf>
    <xf numFmtId="2" fontId="8" fillId="0" borderId="0" xfId="1" applyNumberFormat="1" applyAlignment="1">
      <alignment horizontal="center" vertical="center"/>
    </xf>
    <xf numFmtId="2" fontId="8" fillId="0" borderId="2" xfId="1" applyNumberFormat="1" applyBorder="1"/>
    <xf numFmtId="2" fontId="8" fillId="2" borderId="0" xfId="1" applyNumberFormat="1" applyFill="1" applyAlignment="1">
      <alignment horizontal="center" vertical="center"/>
    </xf>
    <xf numFmtId="2" fontId="8" fillId="2" borderId="0" xfId="1" applyNumberFormat="1" applyFill="1" applyAlignment="1">
      <alignment horizontal="center" vertical="center" wrapText="1"/>
    </xf>
    <xf numFmtId="2" fontId="8" fillId="18" borderId="7" xfId="1" applyNumberFormat="1" applyFill="1" applyBorder="1" applyAlignment="1">
      <alignment horizontal="center" vertical="center"/>
    </xf>
    <xf numFmtId="2" fontId="8" fillId="2" borderId="7" xfId="1" applyNumberFormat="1" applyFill="1" applyBorder="1"/>
    <xf numFmtId="2" fontId="8" fillId="2" borderId="7" xfId="1" applyNumberFormat="1" applyFill="1" applyBorder="1" applyAlignment="1">
      <alignment horizontal="center" vertical="center" wrapText="1"/>
    </xf>
    <xf numFmtId="2" fontId="20" fillId="18" borderId="7" xfId="1" applyNumberFormat="1" applyFont="1" applyFill="1" applyBorder="1" applyAlignment="1">
      <alignment horizontal="center" vertical="center"/>
    </xf>
    <xf numFmtId="2" fontId="10" fillId="18" borderId="7" xfId="1" applyNumberFormat="1" applyFont="1" applyFill="1" applyBorder="1" applyAlignment="1">
      <alignment horizontal="center" vertical="center"/>
    </xf>
    <xf numFmtId="2" fontId="8" fillId="0" borderId="7" xfId="1" applyNumberFormat="1" applyBorder="1"/>
    <xf numFmtId="2" fontId="43" fillId="18" borderId="7" xfId="1" applyNumberFormat="1" applyFont="1" applyFill="1" applyBorder="1" applyAlignment="1">
      <alignment horizontal="center" vertical="center"/>
    </xf>
    <xf numFmtId="2" fontId="1" fillId="18" borderId="7" xfId="1" applyNumberFormat="1" applyFont="1" applyFill="1" applyBorder="1" applyAlignment="1">
      <alignment horizontal="center" vertical="center"/>
    </xf>
    <xf numFmtId="2" fontId="44" fillId="18" borderId="7" xfId="1" applyNumberFormat="1" applyFont="1" applyFill="1" applyBorder="1" applyAlignment="1">
      <alignment horizontal="center" vertical="center"/>
    </xf>
    <xf numFmtId="2" fontId="8" fillId="0" borderId="7" xfId="1" applyNumberFormat="1" applyBorder="1" applyAlignment="1">
      <alignment horizontal="center" vertical="center"/>
    </xf>
    <xf numFmtId="2" fontId="8" fillId="2" borderId="7" xfId="1" applyNumberFormat="1" applyFill="1" applyBorder="1" applyAlignment="1">
      <alignment horizontal="center"/>
    </xf>
    <xf numFmtId="2" fontId="45" fillId="2" borderId="7" xfId="1" applyNumberFormat="1" applyFont="1" applyFill="1" applyBorder="1" applyAlignment="1">
      <alignment horizontal="center" vertical="center"/>
    </xf>
    <xf numFmtId="2" fontId="8" fillId="18" borderId="7" xfId="1" applyNumberFormat="1" applyFill="1" applyBorder="1" applyAlignment="1">
      <alignment horizontal="center"/>
    </xf>
    <xf numFmtId="2" fontId="44" fillId="18" borderId="7" xfId="1" applyNumberFormat="1" applyFont="1" applyFill="1" applyBorder="1"/>
    <xf numFmtId="2" fontId="8" fillId="0" borderId="7" xfId="1" quotePrefix="1" applyNumberFormat="1" applyBorder="1" applyAlignment="1">
      <alignment horizontal="center" vertical="center"/>
    </xf>
    <xf numFmtId="2" fontId="8" fillId="0" borderId="7" xfId="1" applyNumberFormat="1" applyBorder="1" applyAlignment="1">
      <alignment horizontal="center"/>
    </xf>
    <xf numFmtId="2" fontId="10" fillId="0" borderId="7" xfId="1" applyNumberFormat="1" applyFont="1" applyBorder="1" applyAlignment="1">
      <alignment horizontal="center" vertical="center"/>
    </xf>
    <xf numFmtId="2" fontId="43" fillId="0" borderId="7" xfId="1" applyNumberFormat="1" applyFont="1" applyBorder="1" applyAlignment="1">
      <alignment horizontal="center" vertical="center"/>
    </xf>
    <xf numFmtId="2" fontId="19" fillId="0" borderId="7" xfId="1" quotePrefix="1" applyNumberFormat="1" applyFont="1" applyBorder="1" applyAlignment="1">
      <alignment horizontal="center" vertical="center"/>
    </xf>
    <xf numFmtId="2" fontId="8" fillId="0" borderId="0" xfId="1" quotePrefix="1" applyNumberFormat="1" applyAlignment="1">
      <alignment horizontal="center" vertical="center"/>
    </xf>
    <xf numFmtId="2" fontId="12" fillId="0" borderId="0" xfId="1" applyNumberFormat="1" applyFont="1" applyAlignment="1">
      <alignment horizontal="center" vertical="center" wrapText="1"/>
    </xf>
    <xf numFmtId="2" fontId="8" fillId="0" borderId="0" xfId="1" applyNumberFormat="1" applyAlignment="1">
      <alignment horizontal="center"/>
    </xf>
    <xf numFmtId="2" fontId="12" fillId="2" borderId="0" xfId="1" applyNumberFormat="1" applyFont="1" applyFill="1" applyAlignment="1">
      <alignment horizontal="center" vertical="center" wrapText="1"/>
    </xf>
    <xf numFmtId="2" fontId="8" fillId="0" borderId="14" xfId="1" applyNumberFormat="1" applyBorder="1" applyAlignment="1">
      <alignment horizontal="center" vertical="center"/>
    </xf>
    <xf numFmtId="2" fontId="8" fillId="0" borderId="1" xfId="1" applyNumberFormat="1" applyBorder="1"/>
    <xf numFmtId="2" fontId="8" fillId="0" borderId="0" xfId="1" applyNumberFormat="1" applyAlignment="1">
      <alignment horizontal="right" vertical="center"/>
    </xf>
    <xf numFmtId="2" fontId="12" fillId="2" borderId="2" xfId="1" applyNumberFormat="1" applyFont="1" applyFill="1" applyBorder="1" applyAlignment="1">
      <alignment horizontal="center" vertical="center" wrapText="1"/>
    </xf>
    <xf numFmtId="2" fontId="8" fillId="2" borderId="0" xfId="1" quotePrefix="1" applyNumberFormat="1" applyFill="1" applyAlignment="1">
      <alignment horizontal="center" vertical="center"/>
    </xf>
    <xf numFmtId="2" fontId="10" fillId="2" borderId="0" xfId="1" applyNumberFormat="1" applyFont="1" applyFill="1" applyAlignment="1">
      <alignment horizontal="center" vertical="center"/>
    </xf>
    <xf numFmtId="2" fontId="8" fillId="2" borderId="2" xfId="1" applyNumberFormat="1" applyFill="1" applyBorder="1"/>
    <xf numFmtId="2" fontId="1" fillId="0" borderId="0" xfId="1" applyNumberFormat="1" applyFont="1"/>
    <xf numFmtId="2" fontId="45" fillId="2" borderId="0" xfId="1" applyNumberFormat="1" applyFont="1" applyFill="1"/>
    <xf numFmtId="2" fontId="45" fillId="2" borderId="2" xfId="1" applyNumberFormat="1" applyFont="1" applyFill="1" applyBorder="1" applyAlignment="1">
      <alignment horizontal="center"/>
    </xf>
    <xf numFmtId="2" fontId="63" fillId="2" borderId="0" xfId="0" applyNumberFormat="1" applyFont="1" applyFill="1"/>
    <xf numFmtId="2" fontId="8" fillId="0" borderId="0" xfId="0" applyNumberFormat="1" applyFont="1"/>
    <xf numFmtId="1" fontId="45" fillId="7" borderId="7" xfId="0" applyNumberFormat="1" applyFont="1" applyFill="1" applyBorder="1" applyAlignment="1">
      <alignment horizontal="center" vertical="center"/>
    </xf>
    <xf numFmtId="2" fontId="45" fillId="7" borderId="7" xfId="0" applyNumberFormat="1" applyFont="1" applyFill="1" applyBorder="1" applyAlignment="1">
      <alignment vertical="center"/>
    </xf>
    <xf numFmtId="2" fontId="45" fillId="7" borderId="7" xfId="0" applyNumberFormat="1" applyFont="1" applyFill="1" applyBorder="1" applyAlignment="1">
      <alignment horizontal="center" vertical="center"/>
    </xf>
    <xf numFmtId="2" fontId="45" fillId="7" borderId="7" xfId="0" applyNumberFormat="1" applyFont="1" applyFill="1" applyBorder="1" applyAlignment="1">
      <alignment horizontal="left" vertical="center"/>
    </xf>
    <xf numFmtId="2" fontId="24" fillId="0" borderId="30" xfId="0" applyNumberFormat="1" applyFont="1" applyBorder="1" applyAlignment="1">
      <alignment horizontal="center" vertical="center"/>
    </xf>
    <xf numFmtId="2" fontId="24" fillId="0" borderId="28" xfId="0" applyNumberFormat="1" applyFont="1" applyBorder="1" applyAlignment="1">
      <alignment horizontal="center" vertical="center"/>
    </xf>
    <xf numFmtId="2" fontId="45" fillId="2" borderId="29" xfId="0" applyNumberFormat="1" applyFont="1" applyFill="1" applyBorder="1"/>
    <xf numFmtId="2" fontId="15" fillId="0" borderId="8" xfId="0" applyNumberFormat="1" applyFont="1" applyBorder="1" applyAlignment="1">
      <alignment horizontal="left" vertical="center"/>
    </xf>
    <xf numFmtId="2" fontId="24" fillId="0" borderId="8" xfId="0" applyNumberFormat="1" applyFont="1" applyBorder="1" applyAlignment="1">
      <alignment vertical="center"/>
    </xf>
    <xf numFmtId="165" fontId="8" fillId="0" borderId="0" xfId="0" applyNumberFormat="1" applyFont="1" applyAlignment="1">
      <alignment horizontal="center"/>
    </xf>
    <xf numFmtId="172" fontId="20" fillId="2" borderId="6" xfId="1" applyNumberFormat="1" applyFont="1" applyFill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 wrapText="1"/>
    </xf>
    <xf numFmtId="2" fontId="20" fillId="2" borderId="0" xfId="1" applyNumberFormat="1" applyFont="1" applyFill="1"/>
    <xf numFmtId="2" fontId="45" fillId="2" borderId="0" xfId="0" applyNumberFormat="1" applyFont="1" applyFill="1"/>
    <xf numFmtId="2" fontId="8" fillId="9" borderId="30" xfId="0" applyNumberFormat="1" applyFont="1" applyFill="1" applyBorder="1"/>
    <xf numFmtId="2" fontId="8" fillId="9" borderId="28" xfId="0" applyNumberFormat="1" applyFont="1" applyFill="1" applyBorder="1"/>
    <xf numFmtId="2" fontId="45" fillId="2" borderId="2" xfId="0" applyNumberFormat="1" applyFont="1" applyFill="1" applyBorder="1"/>
    <xf numFmtId="2" fontId="8" fillId="9" borderId="8" xfId="0" applyNumberFormat="1" applyFont="1" applyFill="1" applyBorder="1"/>
    <xf numFmtId="2" fontId="8" fillId="9" borderId="7" xfId="0" applyNumberFormat="1" applyFont="1" applyFill="1" applyBorder="1"/>
    <xf numFmtId="2" fontId="45" fillId="2" borderId="7" xfId="0" applyNumberFormat="1" applyFont="1" applyFill="1" applyBorder="1" applyAlignment="1">
      <alignment horizontal="center" vertical="center"/>
    </xf>
    <xf numFmtId="2" fontId="8" fillId="9" borderId="34" xfId="0" applyNumberFormat="1" applyFont="1" applyFill="1" applyBorder="1"/>
    <xf numFmtId="2" fontId="8" fillId="9" borderId="27" xfId="0" applyNumberFormat="1" applyFont="1" applyFill="1" applyBorder="1"/>
    <xf numFmtId="2" fontId="8" fillId="0" borderId="20" xfId="0" applyNumberFormat="1" applyFont="1" applyBorder="1"/>
    <xf numFmtId="2" fontId="45" fillId="2" borderId="30" xfId="1" applyNumberFormat="1" applyFont="1" applyFill="1" applyBorder="1" applyAlignment="1">
      <alignment horizontal="center"/>
    </xf>
    <xf numFmtId="2" fontId="8" fillId="9" borderId="28" xfId="0" applyNumberFormat="1" applyFont="1" applyFill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8" fillId="9" borderId="28" xfId="0" quotePrefix="1" applyNumberFormat="1" applyFont="1" applyFill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2" fontId="45" fillId="2" borderId="8" xfId="1" applyNumberFormat="1" applyFont="1" applyFill="1" applyBorder="1" applyAlignment="1">
      <alignment horizontal="center"/>
    </xf>
    <xf numFmtId="2" fontId="45" fillId="9" borderId="7" xfId="0" applyNumberFormat="1" applyFont="1" applyFill="1" applyBorder="1" applyAlignment="1">
      <alignment horizontal="center"/>
    </xf>
    <xf numFmtId="2" fontId="45" fillId="2" borderId="7" xfId="0" applyNumberFormat="1" applyFont="1" applyFill="1" applyBorder="1" applyAlignment="1">
      <alignment horizontal="center"/>
    </xf>
    <xf numFmtId="2" fontId="45" fillId="2" borderId="6" xfId="0" applyNumberFormat="1" applyFont="1" applyFill="1" applyBorder="1" applyAlignment="1">
      <alignment horizontal="center"/>
    </xf>
    <xf numFmtId="2" fontId="116" fillId="2" borderId="7" xfId="0" applyNumberFormat="1" applyFont="1" applyFill="1" applyBorder="1" applyAlignment="1">
      <alignment horizontal="center" vertical="center"/>
    </xf>
    <xf numFmtId="1" fontId="116" fillId="2" borderId="7" xfId="0" applyNumberFormat="1" applyFont="1" applyFill="1" applyBorder="1" applyAlignment="1">
      <alignment horizontal="center" vertical="center"/>
    </xf>
    <xf numFmtId="2" fontId="117" fillId="2" borderId="7" xfId="1" applyNumberFormat="1" applyFont="1" applyFill="1" applyBorder="1" applyAlignment="1">
      <alignment horizontal="center" vertical="center"/>
    </xf>
    <xf numFmtId="2" fontId="115" fillId="2" borderId="20" xfId="1" applyNumberFormat="1" applyFont="1" applyFill="1" applyBorder="1" applyAlignment="1">
      <alignment horizontal="left" vertical="center" wrapText="1"/>
    </xf>
    <xf numFmtId="1" fontId="115" fillId="2" borderId="33" xfId="1" applyNumberFormat="1" applyFont="1" applyFill="1" applyBorder="1" applyAlignment="1">
      <alignment horizontal="center" vertical="center"/>
    </xf>
    <xf numFmtId="1" fontId="115" fillId="2" borderId="7" xfId="1" applyNumberFormat="1" applyFont="1" applyFill="1" applyBorder="1" applyAlignment="1">
      <alignment horizontal="center" vertical="center"/>
    </xf>
    <xf numFmtId="2" fontId="45" fillId="0" borderId="0" xfId="0" applyNumberFormat="1" applyFont="1"/>
    <xf numFmtId="2" fontId="45" fillId="2" borderId="0" xfId="0" applyNumberFormat="1" applyFont="1" applyFill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2" fontId="45" fillId="0" borderId="2" xfId="0" applyNumberFormat="1" applyFont="1" applyBorder="1" applyAlignment="1">
      <alignment horizontal="center" vertical="center"/>
    </xf>
    <xf numFmtId="2" fontId="45" fillId="0" borderId="4" xfId="0" applyNumberFormat="1" applyFont="1" applyBorder="1"/>
    <xf numFmtId="2" fontId="45" fillId="7" borderId="30" xfId="0" applyNumberFormat="1" applyFont="1" applyFill="1" applyBorder="1" applyAlignment="1">
      <alignment horizontal="center" vertical="center"/>
    </xf>
    <xf numFmtId="2" fontId="45" fillId="7" borderId="28" xfId="0" applyNumberFormat="1" applyFont="1" applyFill="1" applyBorder="1" applyAlignment="1">
      <alignment horizontal="center" vertical="center"/>
    </xf>
    <xf numFmtId="2" fontId="45" fillId="7" borderId="8" xfId="0" applyNumberFormat="1" applyFont="1" applyFill="1" applyBorder="1" applyAlignment="1">
      <alignment horizontal="center" vertical="center"/>
    </xf>
    <xf numFmtId="2" fontId="45" fillId="0" borderId="20" xfId="0" applyNumberFormat="1" applyFont="1" applyBorder="1"/>
    <xf numFmtId="2" fontId="45" fillId="7" borderId="34" xfId="0" applyNumberFormat="1" applyFont="1" applyFill="1" applyBorder="1" applyAlignment="1">
      <alignment horizontal="center" vertical="center"/>
    </xf>
    <xf numFmtId="2" fontId="45" fillId="7" borderId="27" xfId="0" applyNumberFormat="1" applyFont="1" applyFill="1" applyBorder="1" applyAlignment="1">
      <alignment horizontal="center" vertical="center"/>
    </xf>
    <xf numFmtId="2" fontId="45" fillId="2" borderId="48" xfId="0" applyNumberFormat="1" applyFont="1" applyFill="1" applyBorder="1" applyAlignment="1">
      <alignment horizontal="center" vertical="center"/>
    </xf>
    <xf numFmtId="2" fontId="45" fillId="2" borderId="16" xfId="0" applyNumberFormat="1" applyFont="1" applyFill="1" applyBorder="1" applyAlignment="1">
      <alignment horizontal="center" vertical="center"/>
    </xf>
    <xf numFmtId="2" fontId="45" fillId="2" borderId="38" xfId="0" applyNumberFormat="1" applyFont="1" applyFill="1" applyBorder="1" applyAlignment="1">
      <alignment horizontal="center" vertical="center"/>
    </xf>
    <xf numFmtId="2" fontId="45" fillId="2" borderId="2" xfId="0" applyNumberFormat="1" applyFont="1" applyFill="1" applyBorder="1" applyAlignment="1">
      <alignment horizontal="center" vertical="center"/>
    </xf>
    <xf numFmtId="2" fontId="8" fillId="0" borderId="7" xfId="0" applyNumberFormat="1" applyFont="1" applyBorder="1"/>
    <xf numFmtId="2" fontId="45" fillId="2" borderId="51" xfId="0" applyNumberFormat="1" applyFont="1" applyFill="1" applyBorder="1" applyAlignment="1">
      <alignment horizontal="center" vertical="center"/>
    </xf>
    <xf numFmtId="2" fontId="45" fillId="2" borderId="37" xfId="0" applyNumberFormat="1" applyFont="1" applyFill="1" applyBorder="1" applyAlignment="1">
      <alignment horizontal="center" vertical="center"/>
    </xf>
    <xf numFmtId="2" fontId="8" fillId="3" borderId="30" xfId="0" applyNumberFormat="1" applyFont="1" applyFill="1" applyBorder="1" applyAlignment="1">
      <alignment horizontal="center"/>
    </xf>
    <xf numFmtId="2" fontId="45" fillId="3" borderId="29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/>
    </xf>
    <xf numFmtId="2" fontId="45" fillId="3" borderId="6" xfId="0" applyNumberFormat="1" applyFont="1" applyFill="1" applyBorder="1" applyAlignment="1">
      <alignment horizontal="center" vertical="center"/>
    </xf>
    <xf numFmtId="2" fontId="45" fillId="3" borderId="8" xfId="0" applyNumberFormat="1" applyFont="1" applyFill="1" applyBorder="1" applyAlignment="1">
      <alignment horizontal="center" vertical="center"/>
    </xf>
    <xf numFmtId="2" fontId="67" fillId="3" borderId="8" xfId="0" applyNumberFormat="1" applyFont="1" applyFill="1" applyBorder="1" applyAlignment="1">
      <alignment horizontal="center" vertical="center"/>
    </xf>
    <xf numFmtId="2" fontId="45" fillId="3" borderId="8" xfId="0" applyNumberFormat="1" applyFont="1" applyFill="1" applyBorder="1" applyAlignment="1">
      <alignment horizontal="center"/>
    </xf>
    <xf numFmtId="2" fontId="45" fillId="3" borderId="6" xfId="0" applyNumberFormat="1" applyFont="1" applyFill="1" applyBorder="1" applyAlignment="1">
      <alignment horizontal="center"/>
    </xf>
    <xf numFmtId="2" fontId="45" fillId="7" borderId="8" xfId="0" applyNumberFormat="1" applyFont="1" applyFill="1" applyBorder="1" applyAlignment="1">
      <alignment horizontal="center"/>
    </xf>
    <xf numFmtId="2" fontId="45" fillId="7" borderId="7" xfId="0" applyNumberFormat="1" applyFont="1" applyFill="1" applyBorder="1" applyAlignment="1">
      <alignment horizontal="center"/>
    </xf>
    <xf numFmtId="2" fontId="45" fillId="7" borderId="34" xfId="0" applyNumberFormat="1" applyFont="1" applyFill="1" applyBorder="1" applyAlignment="1">
      <alignment horizontal="center"/>
    </xf>
    <xf numFmtId="2" fontId="45" fillId="7" borderId="27" xfId="0" applyNumberFormat="1" applyFont="1" applyFill="1" applyBorder="1" applyAlignment="1">
      <alignment horizontal="center"/>
    </xf>
    <xf numFmtId="2" fontId="45" fillId="2" borderId="48" xfId="0" applyNumberFormat="1" applyFont="1" applyFill="1" applyBorder="1" applyAlignment="1">
      <alignment horizontal="center"/>
    </xf>
    <xf numFmtId="2" fontId="45" fillId="2" borderId="38" xfId="0" applyNumberFormat="1" applyFont="1" applyFill="1" applyBorder="1" applyAlignment="1">
      <alignment horizontal="center"/>
    </xf>
    <xf numFmtId="2" fontId="45" fillId="7" borderId="30" xfId="0" applyNumberFormat="1" applyFont="1" applyFill="1" applyBorder="1" applyAlignment="1">
      <alignment horizontal="center"/>
    </xf>
    <xf numFmtId="2" fontId="45" fillId="7" borderId="28" xfId="0" applyNumberFormat="1" applyFont="1" applyFill="1" applyBorder="1" applyAlignment="1">
      <alignment horizontal="center"/>
    </xf>
    <xf numFmtId="2" fontId="116" fillId="7" borderId="7" xfId="0" applyNumberFormat="1" applyFont="1" applyFill="1" applyBorder="1" applyAlignment="1">
      <alignment horizontal="center" vertical="center"/>
    </xf>
    <xf numFmtId="2" fontId="117" fillId="7" borderId="7" xfId="1" applyNumberFormat="1" applyFont="1" applyFill="1" applyBorder="1" applyAlignment="1">
      <alignment horizontal="center" vertical="center"/>
    </xf>
    <xf numFmtId="2" fontId="115" fillId="2" borderId="20" xfId="1" applyNumberFormat="1" applyFont="1" applyFill="1" applyBorder="1" applyAlignment="1">
      <alignment horizontal="center" vertical="center"/>
    </xf>
    <xf numFmtId="2" fontId="115" fillId="2" borderId="7" xfId="1" applyNumberFormat="1" applyFont="1" applyFill="1" applyBorder="1" applyAlignment="1">
      <alignment vertical="center"/>
    </xf>
    <xf numFmtId="2" fontId="45" fillId="4" borderId="3" xfId="0" applyNumberFormat="1" applyFont="1" applyFill="1" applyBorder="1"/>
    <xf numFmtId="2" fontId="8" fillId="7" borderId="7" xfId="0" applyNumberFormat="1" applyFont="1" applyFill="1" applyBorder="1" applyAlignment="1">
      <alignment horizontal="center"/>
    </xf>
    <xf numFmtId="2" fontId="8" fillId="9" borderId="7" xfId="0" quotePrefix="1" applyNumberFormat="1" applyFont="1" applyFill="1" applyBorder="1" applyAlignment="1">
      <alignment horizontal="center" vertical="center"/>
    </xf>
    <xf numFmtId="2" fontId="8" fillId="9" borderId="7" xfId="0" quotePrefix="1" applyNumberFormat="1" applyFont="1" applyFill="1" applyBorder="1" applyAlignment="1">
      <alignment horizontal="center"/>
    </xf>
    <xf numFmtId="2" fontId="8" fillId="9" borderId="7" xfId="0" applyNumberFormat="1" applyFont="1" applyFill="1" applyBorder="1" applyAlignment="1">
      <alignment horizontal="center"/>
    </xf>
    <xf numFmtId="2" fontId="8" fillId="0" borderId="7" xfId="0" applyNumberFormat="1" applyFont="1" applyBorder="1" applyAlignment="1">
      <alignment horizontal="center" vertical="center"/>
    </xf>
    <xf numFmtId="2" fontId="8" fillId="9" borderId="7" xfId="0" applyNumberFormat="1" applyFont="1" applyFill="1" applyBorder="1" applyAlignment="1">
      <alignment horizontal="center" vertical="center"/>
    </xf>
    <xf numFmtId="2" fontId="8" fillId="9" borderId="30" xfId="0" applyNumberFormat="1" applyFont="1" applyFill="1" applyBorder="1" applyAlignment="1">
      <alignment horizontal="center" vertical="center"/>
    </xf>
    <xf numFmtId="2" fontId="8" fillId="7" borderId="29" xfId="0" applyNumberFormat="1" applyFont="1" applyFill="1" applyBorder="1" applyAlignment="1">
      <alignment horizontal="center" vertical="center"/>
    </xf>
    <xf numFmtId="2" fontId="8" fillId="9" borderId="8" xfId="0" applyNumberFormat="1" applyFont="1" applyFill="1" applyBorder="1" applyAlignment="1">
      <alignment horizontal="center" vertical="center"/>
    </xf>
    <xf numFmtId="2" fontId="8" fillId="7" borderId="6" xfId="0" applyNumberFormat="1" applyFont="1" applyFill="1" applyBorder="1" applyAlignment="1">
      <alignment horizontal="center" vertical="center"/>
    </xf>
    <xf numFmtId="1" fontId="19" fillId="3" borderId="7" xfId="0" applyNumberFormat="1" applyFont="1" applyFill="1" applyBorder="1" applyAlignment="1">
      <alignment horizontal="center" vertical="center"/>
    </xf>
    <xf numFmtId="1" fontId="19" fillId="3" borderId="7" xfId="0" quotePrefix="1" applyNumberFormat="1" applyFont="1" applyFill="1" applyBorder="1" applyAlignment="1">
      <alignment horizontal="center" vertical="center"/>
    </xf>
    <xf numFmtId="1" fontId="8" fillId="0" borderId="0" xfId="0" applyNumberFormat="1" applyFont="1"/>
    <xf numFmtId="2" fontId="8" fillId="0" borderId="0" xfId="0" applyNumberFormat="1" applyFont="1" applyAlignment="1">
      <alignment horizontal="center"/>
    </xf>
    <xf numFmtId="2" fontId="8" fillId="0" borderId="0" xfId="0" quotePrefix="1" applyNumberFormat="1" applyFont="1" applyAlignment="1">
      <alignment horizontal="center"/>
    </xf>
    <xf numFmtId="1" fontId="8" fillId="0" borderId="2" xfId="0" applyNumberFormat="1" applyFont="1" applyBorder="1" applyAlignment="1">
      <alignment horizontal="center" vertical="center"/>
    </xf>
    <xf numFmtId="2" fontId="8" fillId="2" borderId="0" xfId="0" applyNumberFormat="1" applyFont="1" applyFill="1" applyAlignment="1">
      <alignment horizontal="center"/>
    </xf>
    <xf numFmtId="2" fontId="8" fillId="2" borderId="0" xfId="0" quotePrefix="1" applyNumberFormat="1" applyFont="1" applyFill="1" applyAlignment="1">
      <alignment horizontal="center"/>
    </xf>
    <xf numFmtId="2" fontId="8" fillId="2" borderId="0" xfId="0" applyNumberFormat="1" applyFont="1" applyFill="1"/>
    <xf numFmtId="1" fontId="8" fillId="2" borderId="2" xfId="0" applyNumberFormat="1" applyFont="1" applyFill="1" applyBorder="1" applyAlignment="1">
      <alignment horizontal="center" vertical="center"/>
    </xf>
    <xf numFmtId="2" fontId="8" fillId="0" borderId="40" xfId="0" applyNumberFormat="1" applyFont="1" applyBorder="1"/>
    <xf numFmtId="2" fontId="8" fillId="0" borderId="2" xfId="0" applyNumberFormat="1" applyFont="1" applyBorder="1"/>
    <xf numFmtId="1" fontId="8" fillId="0" borderId="2" xfId="0" applyNumberFormat="1" applyFont="1" applyBorder="1"/>
    <xf numFmtId="2" fontId="46" fillId="0" borderId="5" xfId="1" applyNumberFormat="1" applyFont="1" applyBorder="1"/>
    <xf numFmtId="2" fontId="46" fillId="0" borderId="4" xfId="1" applyNumberFormat="1" applyFont="1" applyBorder="1"/>
    <xf numFmtId="1" fontId="45" fillId="18" borderId="8" xfId="1" applyNumberFormat="1" applyFont="1" applyFill="1" applyBorder="1" applyAlignment="1">
      <alignment horizontal="center" vertical="center"/>
    </xf>
    <xf numFmtId="1" fontId="45" fillId="18" borderId="7" xfId="1" applyNumberFormat="1" applyFont="1" applyFill="1" applyBorder="1" applyAlignment="1">
      <alignment horizontal="center" vertical="center"/>
    </xf>
    <xf numFmtId="1" fontId="45" fillId="18" borderId="7" xfId="1" applyNumberFormat="1" applyFont="1" applyFill="1" applyBorder="1" applyAlignment="1">
      <alignment horizontal="right" vertical="center"/>
    </xf>
    <xf numFmtId="2" fontId="45" fillId="18" borderId="18" xfId="1" applyNumberFormat="1" applyFont="1" applyFill="1" applyBorder="1" applyAlignment="1">
      <alignment vertical="center"/>
    </xf>
    <xf numFmtId="2" fontId="45" fillId="18" borderId="18" xfId="1" applyNumberFormat="1" applyFont="1" applyFill="1" applyBorder="1" applyAlignment="1">
      <alignment horizontal="center" vertical="center"/>
    </xf>
    <xf numFmtId="2" fontId="20" fillId="18" borderId="24" xfId="1" applyNumberFormat="1" applyFont="1" applyFill="1" applyBorder="1"/>
    <xf numFmtId="2" fontId="45" fillId="18" borderId="12" xfId="1" applyNumberFormat="1" applyFont="1" applyFill="1" applyBorder="1" applyAlignment="1">
      <alignment vertical="center"/>
    </xf>
    <xf numFmtId="2" fontId="45" fillId="18" borderId="12" xfId="1" applyNumberFormat="1" applyFont="1" applyFill="1" applyBorder="1" applyAlignment="1">
      <alignment horizontal="center" vertical="center"/>
    </xf>
    <xf numFmtId="1" fontId="45" fillId="18" borderId="7" xfId="1" applyNumberFormat="1" applyFont="1" applyFill="1" applyBorder="1" applyAlignment="1">
      <alignment vertical="center"/>
    </xf>
    <xf numFmtId="2" fontId="20" fillId="18" borderId="12" xfId="1" applyNumberFormat="1" applyFont="1" applyFill="1" applyBorder="1" applyAlignment="1">
      <alignment horizontal="center" vertical="center"/>
    </xf>
    <xf numFmtId="183" fontId="11" fillId="2" borderId="7" xfId="1" applyNumberFormat="1" applyFont="1" applyFill="1" applyBorder="1" applyAlignment="1">
      <alignment horizontal="center" vertical="center"/>
    </xf>
    <xf numFmtId="184" fontId="11" fillId="2" borderId="7" xfId="1" applyNumberFormat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183" fontId="20" fillId="2" borderId="7" xfId="1" applyNumberFormat="1" applyFont="1" applyFill="1" applyBorder="1" applyAlignment="1">
      <alignment horizontal="center" vertical="center"/>
    </xf>
    <xf numFmtId="2" fontId="11" fillId="3" borderId="7" xfId="1" applyNumberFormat="1" applyFont="1" applyFill="1" applyBorder="1" applyAlignment="1">
      <alignment horizontal="center" vertical="center"/>
    </xf>
    <xf numFmtId="183" fontId="8" fillId="2" borderId="7" xfId="1" applyNumberFormat="1" applyFill="1" applyBorder="1" applyAlignment="1">
      <alignment horizontal="center" vertical="center"/>
    </xf>
    <xf numFmtId="183" fontId="11" fillId="4" borderId="7" xfId="1" applyNumberFormat="1" applyFont="1" applyFill="1" applyBorder="1" applyAlignment="1">
      <alignment horizontal="center" vertical="center"/>
    </xf>
    <xf numFmtId="0" fontId="8" fillId="0" borderId="0" xfId="1"/>
    <xf numFmtId="164" fontId="11" fillId="3" borderId="7" xfId="1" applyNumberFormat="1" applyFont="1" applyFill="1" applyBorder="1" applyAlignment="1">
      <alignment horizontal="center" vertical="center"/>
    </xf>
    <xf numFmtId="165" fontId="8" fillId="0" borderId="0" xfId="1" applyNumberFormat="1" applyAlignment="1">
      <alignment horizontal="center" vertical="center"/>
    </xf>
    <xf numFmtId="183" fontId="8" fillId="0" borderId="0" xfId="1" applyNumberFormat="1"/>
    <xf numFmtId="2" fontId="109" fillId="2" borderId="0" xfId="1" applyNumberFormat="1" applyFont="1" applyFill="1" applyAlignment="1">
      <alignment horizontal="center" vertical="center"/>
    </xf>
    <xf numFmtId="2" fontId="109" fillId="2" borderId="18" xfId="1" applyNumberFormat="1" applyFont="1" applyFill="1" applyBorder="1" applyAlignment="1">
      <alignment horizontal="center" vertical="center"/>
    </xf>
    <xf numFmtId="183" fontId="112" fillId="3" borderId="7" xfId="1" applyNumberFormat="1" applyFont="1" applyFill="1" applyBorder="1" applyAlignment="1">
      <alignment horizontal="center" vertical="center"/>
    </xf>
    <xf numFmtId="183" fontId="112" fillId="2" borderId="7" xfId="1" applyNumberFormat="1" applyFont="1" applyFill="1" applyBorder="1" applyAlignment="1">
      <alignment horizontal="center" vertical="center"/>
    </xf>
    <xf numFmtId="183" fontId="113" fillId="9" borderId="7" xfId="1" applyNumberFormat="1" applyFont="1" applyFill="1" applyBorder="1" applyAlignment="1">
      <alignment horizontal="center" vertical="center" wrapText="1"/>
    </xf>
    <xf numFmtId="183" fontId="45" fillId="3" borderId="7" xfId="1" applyNumberFormat="1" applyFont="1" applyFill="1" applyBorder="1" applyAlignment="1">
      <alignment horizontal="center" vertical="center"/>
    </xf>
    <xf numFmtId="183" fontId="45" fillId="2" borderId="7" xfId="1" applyNumberFormat="1" applyFont="1" applyFill="1" applyBorder="1" applyAlignment="1">
      <alignment horizontal="center" vertical="center"/>
    </xf>
    <xf numFmtId="183" fontId="8" fillId="9" borderId="7" xfId="1" applyNumberFormat="1" applyFill="1" applyBorder="1" applyAlignment="1">
      <alignment horizontal="center" vertical="center" wrapText="1"/>
    </xf>
    <xf numFmtId="2" fontId="24" fillId="0" borderId="7" xfId="1" applyNumberFormat="1" applyFont="1" applyBorder="1" applyAlignment="1">
      <alignment horizontal="center" vertical="center"/>
    </xf>
    <xf numFmtId="2" fontId="45" fillId="2" borderId="7" xfId="1" applyNumberFormat="1" applyFont="1" applyFill="1" applyBorder="1"/>
    <xf numFmtId="164" fontId="11" fillId="2" borderId="0" xfId="1" applyNumberFormat="1" applyFont="1" applyFill="1" applyAlignment="1">
      <alignment horizontal="center" vertical="center" wrapText="1"/>
    </xf>
    <xf numFmtId="2" fontId="24" fillId="0" borderId="7" xfId="1" applyNumberFormat="1" applyFont="1" applyBorder="1" applyAlignment="1">
      <alignment vertical="center"/>
    </xf>
    <xf numFmtId="1" fontId="10" fillId="0" borderId="7" xfId="1" applyNumberFormat="1" applyFont="1" applyBorder="1" applyAlignment="1">
      <alignment horizontal="center" vertical="center"/>
    </xf>
    <xf numFmtId="1" fontId="10" fillId="0" borderId="7" xfId="1" quotePrefix="1" applyNumberFormat="1" applyFont="1" applyBorder="1" applyAlignment="1">
      <alignment horizontal="center" vertical="center"/>
    </xf>
    <xf numFmtId="183" fontId="8" fillId="0" borderId="14" xfId="1" applyNumberFormat="1" applyBorder="1" applyAlignment="1">
      <alignment horizontal="center"/>
    </xf>
    <xf numFmtId="183" fontId="8" fillId="0" borderId="7" xfId="1" applyNumberFormat="1" applyBorder="1"/>
    <xf numFmtId="183" fontId="8" fillId="0" borderId="14" xfId="1" quotePrefix="1" applyNumberFormat="1" applyBorder="1" applyAlignment="1">
      <alignment horizontal="center" vertical="center"/>
    </xf>
    <xf numFmtId="183" fontId="8" fillId="0" borderId="14" xfId="1" applyNumberFormat="1" applyBorder="1" applyAlignment="1">
      <alignment horizontal="center" vertical="center"/>
    </xf>
    <xf numFmtId="183" fontId="8" fillId="0" borderId="7" xfId="1" applyNumberFormat="1" applyBorder="1" applyAlignment="1">
      <alignment horizontal="center"/>
    </xf>
    <xf numFmtId="183" fontId="8" fillId="0" borderId="7" xfId="1" applyNumberFormat="1" applyBorder="1" applyAlignment="1">
      <alignment horizontal="center" vertical="center"/>
    </xf>
    <xf numFmtId="183" fontId="8" fillId="0" borderId="7" xfId="1" quotePrefix="1" applyNumberFormat="1" applyBorder="1" applyAlignment="1">
      <alignment horizontal="center" vertical="center"/>
    </xf>
    <xf numFmtId="183" fontId="19" fillId="0" borderId="7" xfId="1" quotePrefix="1" applyNumberFormat="1" applyFont="1" applyBorder="1" applyAlignment="1">
      <alignment horizontal="center" vertical="center"/>
    </xf>
    <xf numFmtId="183" fontId="19" fillId="0" borderId="7" xfId="1" applyNumberFormat="1" applyFont="1" applyBorder="1" applyAlignment="1">
      <alignment horizontal="center" vertical="center"/>
    </xf>
    <xf numFmtId="1" fontId="8" fillId="2" borderId="0" xfId="1" applyNumberFormat="1" applyFill="1"/>
    <xf numFmtId="2" fontId="21" fillId="0" borderId="0" xfId="0" applyNumberFormat="1" applyFont="1" applyAlignment="1" applyProtection="1">
      <alignment vertical="center"/>
      <protection locked="0"/>
    </xf>
    <xf numFmtId="2" fontId="3" fillId="3" borderId="7" xfId="0" applyNumberFormat="1" applyFont="1" applyFill="1" applyBorder="1" applyAlignment="1">
      <alignment horizontal="center"/>
    </xf>
    <xf numFmtId="2" fontId="63" fillId="2" borderId="0" xfId="0" applyNumberFormat="1" applyFont="1" applyFill="1" applyAlignment="1">
      <alignment vertical="center"/>
    </xf>
    <xf numFmtId="2" fontId="24" fillId="2" borderId="0" xfId="0" applyNumberFormat="1" applyFont="1" applyFill="1" applyAlignment="1" applyProtection="1">
      <alignment vertical="center"/>
      <protection locked="0"/>
    </xf>
    <xf numFmtId="2" fontId="63" fillId="0" borderId="0" xfId="0" applyNumberFormat="1" applyFont="1" applyAlignment="1" applyProtection="1">
      <alignment horizontal="right"/>
      <protection locked="0"/>
    </xf>
    <xf numFmtId="2" fontId="67" fillId="3" borderId="7" xfId="0" applyNumberFormat="1" applyFont="1" applyFill="1" applyBorder="1" applyAlignment="1">
      <alignment vertical="center"/>
    </xf>
    <xf numFmtId="2" fontId="39" fillId="0" borderId="0" xfId="0" applyNumberFormat="1" applyFont="1" applyAlignment="1" applyProtection="1">
      <alignment vertical="center"/>
      <protection locked="0"/>
    </xf>
    <xf numFmtId="2" fontId="28" fillId="2" borderId="0" xfId="0" applyNumberFormat="1" applyFont="1" applyFill="1" applyAlignment="1" applyProtection="1">
      <alignment horizontal="center" vertical="center"/>
      <protection locked="0"/>
    </xf>
    <xf numFmtId="2" fontId="63" fillId="0" borderId="0" xfId="0" applyNumberFormat="1" applyFont="1" applyAlignment="1" applyProtection="1">
      <alignment horizontal="center"/>
      <protection locked="0"/>
    </xf>
    <xf numFmtId="2" fontId="3" fillId="3" borderId="0" xfId="0" applyNumberFormat="1" applyFont="1" applyFill="1" applyAlignment="1">
      <alignment horizontal="center"/>
    </xf>
    <xf numFmtId="2" fontId="24" fillId="2" borderId="0" xfId="0" applyNumberFormat="1" applyFont="1" applyFill="1" applyAlignment="1">
      <alignment horizontal="center" wrapText="1"/>
    </xf>
    <xf numFmtId="2" fontId="28" fillId="0" borderId="0" xfId="0" applyNumberFormat="1" applyFont="1" applyAlignment="1" applyProtection="1">
      <alignment horizontal="center" vertical="center"/>
      <protection locked="0"/>
    </xf>
    <xf numFmtId="2" fontId="70" fillId="0" borderId="7" xfId="0" applyNumberFormat="1" applyFont="1" applyBorder="1" applyAlignment="1" applyProtection="1">
      <alignment horizontal="center" vertical="center"/>
      <protection locked="0"/>
    </xf>
    <xf numFmtId="2" fontId="63" fillId="0" borderId="0" xfId="1" applyNumberFormat="1" applyFont="1" applyAlignment="1" applyProtection="1">
      <alignment vertical="center"/>
      <protection locked="0"/>
    </xf>
    <xf numFmtId="0" fontId="108" fillId="2" borderId="13" xfId="0" applyFont="1" applyFill="1" applyBorder="1" applyAlignment="1">
      <alignment vertical="center"/>
    </xf>
    <xf numFmtId="0" fontId="63" fillId="5" borderId="14" xfId="0" applyFont="1" applyFill="1" applyBorder="1" applyAlignment="1" applyProtection="1">
      <alignment vertical="center"/>
      <protection locked="0"/>
    </xf>
    <xf numFmtId="0" fontId="8" fillId="0" borderId="7" xfId="0" quotePrefix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08" fillId="5" borderId="7" xfId="0" applyFont="1" applyFill="1" applyBorder="1" applyAlignment="1" applyProtection="1">
      <alignment horizontal="center" vertical="center"/>
      <protection locked="0"/>
    </xf>
    <xf numFmtId="0" fontId="13" fillId="0" borderId="0" xfId="0" applyFont="1"/>
    <xf numFmtId="0" fontId="13" fillId="0" borderId="7" xfId="0" applyFont="1" applyBorder="1"/>
    <xf numFmtId="0" fontId="63" fillId="0" borderId="7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63" fillId="0" borderId="7" xfId="0" applyFont="1" applyBorder="1"/>
    <xf numFmtId="0" fontId="13" fillId="0" borderId="7" xfId="0" quotePrefix="1" applyFont="1" applyBorder="1"/>
    <xf numFmtId="165" fontId="63" fillId="2" borderId="0" xfId="0" applyNumberFormat="1" applyFont="1" applyFill="1" applyAlignment="1">
      <alignment vertical="center"/>
    </xf>
    <xf numFmtId="0" fontId="63" fillId="2" borderId="14" xfId="0" applyFont="1" applyFill="1" applyBorder="1" applyAlignment="1">
      <alignment vertical="center"/>
    </xf>
    <xf numFmtId="165" fontId="108" fillId="2" borderId="0" xfId="0" applyNumberFormat="1" applyFont="1" applyFill="1" applyAlignment="1">
      <alignment horizontal="center" vertical="center"/>
    </xf>
    <xf numFmtId="0" fontId="108" fillId="2" borderId="11" xfId="0" applyFont="1" applyFill="1" applyBorder="1" applyAlignment="1">
      <alignment vertical="center"/>
    </xf>
    <xf numFmtId="0" fontId="108" fillId="2" borderId="0" xfId="0" applyFont="1" applyFill="1" applyAlignment="1" applyProtection="1">
      <alignment horizontal="left" vertical="center"/>
      <protection locked="0"/>
    </xf>
    <xf numFmtId="176" fontId="108" fillId="2" borderId="11" xfId="0" applyNumberFormat="1" applyFont="1" applyFill="1" applyBorder="1" applyAlignment="1">
      <alignment vertical="center"/>
    </xf>
    <xf numFmtId="0" fontId="108" fillId="2" borderId="7" xfId="0" applyFont="1" applyFill="1" applyBorder="1" applyAlignment="1">
      <alignment vertical="center"/>
    </xf>
    <xf numFmtId="0" fontId="108" fillId="8" borderId="12" xfId="0" quotePrefix="1" applyFont="1" applyFill="1" applyBorder="1" applyAlignment="1" applyProtection="1">
      <alignment horizontal="center" vertical="center"/>
      <protection locked="0"/>
    </xf>
    <xf numFmtId="0" fontId="41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37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173" fontId="31" fillId="2" borderId="0" xfId="0" applyNumberFormat="1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10" fillId="0" borderId="7" xfId="1" applyNumberFormat="1" applyFont="1" applyBorder="1" applyAlignment="1">
      <alignment horizontal="center" vertical="center" wrapText="1"/>
    </xf>
    <xf numFmtId="2" fontId="10" fillId="0" borderId="7" xfId="1" applyNumberFormat="1" applyFont="1" applyBorder="1" applyAlignment="1">
      <alignment horizontal="center" vertical="center"/>
    </xf>
    <xf numFmtId="2" fontId="41" fillId="4" borderId="55" xfId="1" applyNumberFormat="1" applyFont="1" applyFill="1" applyBorder="1" applyAlignment="1">
      <alignment horizontal="center" vertical="center"/>
    </xf>
    <xf numFmtId="2" fontId="41" fillId="4" borderId="10" xfId="1" applyNumberFormat="1" applyFont="1" applyFill="1" applyBorder="1" applyAlignment="1">
      <alignment horizontal="center" vertical="center"/>
    </xf>
    <xf numFmtId="2" fontId="114" fillId="2" borderId="7" xfId="1" applyNumberFormat="1" applyFont="1" applyFill="1" applyBorder="1" applyAlignment="1">
      <alignment horizontal="center" vertical="center" wrapText="1"/>
    </xf>
    <xf numFmtId="2" fontId="42" fillId="0" borderId="7" xfId="1" applyNumberFormat="1" applyFont="1" applyBorder="1" applyAlignment="1">
      <alignment horizontal="center" vertical="center"/>
    </xf>
    <xf numFmtId="2" fontId="114" fillId="0" borderId="7" xfId="1" applyNumberFormat="1" applyFont="1" applyBorder="1" applyAlignment="1">
      <alignment horizontal="center" vertical="center" wrapText="1"/>
    </xf>
    <xf numFmtId="2" fontId="43" fillId="0" borderId="7" xfId="1" applyNumberFormat="1" applyFont="1" applyBorder="1" applyAlignment="1">
      <alignment horizontal="center"/>
    </xf>
    <xf numFmtId="2" fontId="43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83" fontId="114" fillId="0" borderId="7" xfId="1" applyNumberFormat="1" applyFont="1" applyBorder="1" applyAlignment="1">
      <alignment horizontal="center" vertical="center" wrapText="1"/>
    </xf>
    <xf numFmtId="2" fontId="12" fillId="4" borderId="2" xfId="1" applyNumberFormat="1" applyFont="1" applyFill="1" applyBorder="1" applyAlignment="1">
      <alignment horizontal="center" vertical="center" wrapText="1"/>
    </xf>
    <xf numFmtId="2" fontId="12" fillId="4" borderId="0" xfId="1" applyNumberFormat="1" applyFont="1" applyFill="1" applyAlignment="1">
      <alignment horizontal="center" vertical="center" wrapText="1"/>
    </xf>
    <xf numFmtId="2" fontId="42" fillId="18" borderId="7" xfId="1" applyNumberFormat="1" applyFont="1" applyFill="1" applyBorder="1" applyAlignment="1">
      <alignment horizontal="center" vertical="center" wrapText="1"/>
    </xf>
    <xf numFmtId="2" fontId="44" fillId="18" borderId="11" xfId="1" applyNumberFormat="1" applyFont="1" applyFill="1" applyBorder="1" applyAlignment="1">
      <alignment horizontal="center"/>
    </xf>
    <xf numFmtId="2" fontId="44" fillId="18" borderId="12" xfId="1" applyNumberFormat="1" applyFont="1" applyFill="1" applyBorder="1" applyAlignment="1">
      <alignment horizontal="center"/>
    </xf>
    <xf numFmtId="2" fontId="44" fillId="18" borderId="15" xfId="1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>
      <alignment horizontal="center" vertical="center" wrapText="1"/>
    </xf>
    <xf numFmtId="2" fontId="8" fillId="18" borderId="7" xfId="1" applyNumberFormat="1" applyFill="1" applyBorder="1" applyAlignment="1">
      <alignment horizontal="center" vertical="center"/>
    </xf>
    <xf numFmtId="2" fontId="1" fillId="18" borderId="7" xfId="1" applyNumberFormat="1" applyFont="1" applyFill="1" applyBorder="1" applyAlignment="1">
      <alignment horizontal="center" vertical="center"/>
    </xf>
    <xf numFmtId="2" fontId="44" fillId="18" borderId="7" xfId="1" applyNumberFormat="1" applyFont="1" applyFill="1" applyBorder="1" applyAlignment="1">
      <alignment horizontal="center"/>
    </xf>
    <xf numFmtId="2" fontId="44" fillId="18" borderId="7" xfId="1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 wrapText="1"/>
    </xf>
    <xf numFmtId="2" fontId="8" fillId="18" borderId="7" xfId="1" applyNumberFormat="1" applyFill="1" applyBorder="1" applyAlignment="1">
      <alignment horizontal="center" vertical="center" wrapText="1"/>
    </xf>
    <xf numFmtId="2" fontId="61" fillId="2" borderId="7" xfId="1" applyNumberFormat="1" applyFont="1" applyFill="1" applyBorder="1" applyAlignment="1">
      <alignment horizontal="center" vertical="center" wrapText="1"/>
    </xf>
    <xf numFmtId="2" fontId="60" fillId="2" borderId="7" xfId="1" applyNumberFormat="1" applyFont="1" applyFill="1" applyBorder="1" applyAlignment="1">
      <alignment horizontal="center" vertical="center"/>
    </xf>
    <xf numFmtId="2" fontId="4" fillId="2" borderId="7" xfId="1" applyNumberFormat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  <xf numFmtId="2" fontId="43" fillId="2" borderId="7" xfId="1" applyNumberFormat="1" applyFont="1" applyFill="1" applyBorder="1" applyAlignment="1">
      <alignment horizontal="center" vertical="center" wrapText="1"/>
    </xf>
    <xf numFmtId="2" fontId="10" fillId="2" borderId="7" xfId="1" applyNumberFormat="1" applyFont="1" applyFill="1" applyBorder="1" applyAlignment="1">
      <alignment horizontal="center" vertical="center"/>
    </xf>
    <xf numFmtId="2" fontId="59" fillId="2" borderId="7" xfId="1" applyNumberFormat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2" fontId="46" fillId="0" borderId="31" xfId="1" applyNumberFormat="1" applyFont="1" applyBorder="1" applyAlignment="1">
      <alignment horizontal="center"/>
    </xf>
    <xf numFmtId="2" fontId="46" fillId="0" borderId="52" xfId="1" applyNumberFormat="1" applyFont="1" applyBorder="1" applyAlignment="1">
      <alignment horizontal="center"/>
    </xf>
    <xf numFmtId="2" fontId="46" fillId="0" borderId="53" xfId="1" applyNumberFormat="1" applyFont="1" applyBorder="1" applyAlignment="1">
      <alignment horizontal="center"/>
    </xf>
    <xf numFmtId="1" fontId="1" fillId="18" borderId="24" xfId="1" applyNumberFormat="1" applyFont="1" applyFill="1" applyBorder="1" applyAlignment="1">
      <alignment horizontal="center"/>
    </xf>
    <xf numFmtId="1" fontId="1" fillId="18" borderId="12" xfId="1" applyNumberFormat="1" applyFont="1" applyFill="1" applyBorder="1" applyAlignment="1">
      <alignment horizontal="center"/>
    </xf>
    <xf numFmtId="1" fontId="1" fillId="18" borderId="15" xfId="1" applyNumberFormat="1" applyFont="1" applyFill="1" applyBorder="1" applyAlignment="1">
      <alignment horizontal="center"/>
    </xf>
    <xf numFmtId="2" fontId="117" fillId="7" borderId="7" xfId="1" applyNumberFormat="1" applyFont="1" applyFill="1" applyBorder="1" applyAlignment="1">
      <alignment horizontal="center" vertical="center"/>
    </xf>
    <xf numFmtId="2" fontId="118" fillId="7" borderId="7" xfId="1" applyNumberFormat="1" applyFont="1" applyFill="1" applyBorder="1" applyAlignment="1">
      <alignment horizontal="center" vertical="center"/>
    </xf>
    <xf numFmtId="2" fontId="19" fillId="7" borderId="7" xfId="0" applyNumberFormat="1" applyFont="1" applyFill="1" applyBorder="1" applyAlignment="1">
      <alignment horizontal="center" vertical="center"/>
    </xf>
    <xf numFmtId="2" fontId="115" fillId="7" borderId="7" xfId="1" applyNumberFormat="1" applyFont="1" applyFill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2" fontId="45" fillId="7" borderId="7" xfId="0" applyNumberFormat="1" applyFont="1" applyFill="1" applyBorder="1" applyAlignment="1">
      <alignment horizontal="center" vertical="center"/>
    </xf>
    <xf numFmtId="2" fontId="45" fillId="7" borderId="27" xfId="0" applyNumberFormat="1" applyFont="1" applyFill="1" applyBorder="1" applyAlignment="1">
      <alignment horizontal="center" vertical="center"/>
    </xf>
    <xf numFmtId="2" fontId="45" fillId="7" borderId="28" xfId="0" applyNumberFormat="1" applyFont="1" applyFill="1" applyBorder="1" applyAlignment="1">
      <alignment horizontal="center" vertical="center"/>
    </xf>
    <xf numFmtId="2" fontId="45" fillId="4" borderId="0" xfId="0" applyNumberFormat="1" applyFont="1" applyFill="1" applyAlignment="1">
      <alignment horizontal="center"/>
    </xf>
    <xf numFmtId="2" fontId="45" fillId="7" borderId="7" xfId="0" applyNumberFormat="1" applyFont="1" applyFill="1" applyBorder="1" applyAlignment="1">
      <alignment horizontal="center" vertical="center" wrapText="1"/>
    </xf>
    <xf numFmtId="1" fontId="8" fillId="0" borderId="19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2" fontId="3" fillId="7" borderId="33" xfId="0" applyNumberFormat="1" applyFont="1" applyFill="1" applyBorder="1" applyAlignment="1">
      <alignment horizontal="center" vertical="center"/>
    </xf>
    <xf numFmtId="2" fontId="3" fillId="7" borderId="34" xfId="0" applyNumberFormat="1" applyFont="1" applyFill="1" applyBorder="1" applyAlignment="1">
      <alignment horizontal="center" vertical="center"/>
    </xf>
    <xf numFmtId="2" fontId="119" fillId="4" borderId="2" xfId="0" applyNumberFormat="1" applyFont="1" applyFill="1" applyBorder="1" applyAlignment="1">
      <alignment horizontal="center" vertical="center"/>
    </xf>
    <xf numFmtId="2" fontId="119" fillId="4" borderId="0" xfId="0" applyNumberFormat="1" applyFont="1" applyFill="1" applyAlignment="1">
      <alignment horizontal="center" vertical="center"/>
    </xf>
    <xf numFmtId="2" fontId="19" fillId="7" borderId="11" xfId="0" applyNumberFormat="1" applyFont="1" applyFill="1" applyBorder="1" applyAlignment="1">
      <alignment horizontal="center" vertical="center"/>
    </xf>
    <xf numFmtId="2" fontId="19" fillId="7" borderId="12" xfId="0" applyNumberFormat="1" applyFont="1" applyFill="1" applyBorder="1" applyAlignment="1">
      <alignment horizontal="center" vertical="center"/>
    </xf>
    <xf numFmtId="2" fontId="19" fillId="7" borderId="15" xfId="0" applyNumberFormat="1" applyFont="1" applyFill="1" applyBorder="1" applyAlignment="1">
      <alignment horizontal="center" vertical="center"/>
    </xf>
    <xf numFmtId="1" fontId="115" fillId="7" borderId="7" xfId="1" applyNumberFormat="1" applyFont="1" applyFill="1" applyBorder="1" applyAlignment="1">
      <alignment horizontal="center" vertical="center"/>
    </xf>
    <xf numFmtId="2" fontId="45" fillId="7" borderId="27" xfId="0" applyNumberFormat="1" applyFont="1" applyFill="1" applyBorder="1" applyAlignment="1">
      <alignment horizontal="center" vertical="center" wrapText="1"/>
    </xf>
    <xf numFmtId="2" fontId="116" fillId="7" borderId="17" xfId="0" applyNumberFormat="1" applyFont="1" applyFill="1" applyBorder="1" applyAlignment="1">
      <alignment horizontal="center" vertical="center"/>
    </xf>
    <xf numFmtId="2" fontId="116" fillId="7" borderId="18" xfId="0" applyNumberFormat="1" applyFont="1" applyFill="1" applyBorder="1" applyAlignment="1">
      <alignment horizontal="center" vertical="center"/>
    </xf>
    <xf numFmtId="2" fontId="116" fillId="7" borderId="22" xfId="0" applyNumberFormat="1" applyFont="1" applyFill="1" applyBorder="1" applyAlignment="1">
      <alignment horizontal="center" vertical="center"/>
    </xf>
    <xf numFmtId="2" fontId="45" fillId="7" borderId="13" xfId="0" applyNumberFormat="1" applyFont="1" applyFill="1" applyBorder="1" applyAlignment="1">
      <alignment horizontal="center" vertical="center"/>
    </xf>
    <xf numFmtId="2" fontId="45" fillId="7" borderId="38" xfId="0" applyNumberFormat="1" applyFont="1" applyFill="1" applyBorder="1" applyAlignment="1">
      <alignment horizontal="center" vertical="center"/>
    </xf>
    <xf numFmtId="2" fontId="45" fillId="7" borderId="49" xfId="0" applyNumberFormat="1" applyFont="1" applyFill="1" applyBorder="1" applyAlignment="1">
      <alignment horizontal="center" vertical="center"/>
    </xf>
    <xf numFmtId="2" fontId="115" fillId="7" borderId="27" xfId="1" applyNumberFormat="1" applyFont="1" applyFill="1" applyBorder="1" applyAlignment="1">
      <alignment horizontal="center" vertical="center"/>
    </xf>
    <xf numFmtId="2" fontId="115" fillId="7" borderId="34" xfId="1" applyNumberFormat="1" applyFont="1" applyFill="1" applyBorder="1" applyAlignment="1">
      <alignment horizontal="center" vertical="center"/>
    </xf>
    <xf numFmtId="2" fontId="115" fillId="3" borderId="33" xfId="0" applyNumberFormat="1" applyFont="1" applyFill="1" applyBorder="1" applyAlignment="1">
      <alignment horizontal="center" vertical="center"/>
    </xf>
    <xf numFmtId="2" fontId="115" fillId="3" borderId="34" xfId="0" applyNumberFormat="1" applyFont="1" applyFill="1" applyBorder="1" applyAlignment="1">
      <alignment horizontal="center" vertical="center"/>
    </xf>
    <xf numFmtId="2" fontId="116" fillId="7" borderId="7" xfId="0" applyNumberFormat="1" applyFont="1" applyFill="1" applyBorder="1" applyAlignment="1">
      <alignment horizontal="center" vertical="center"/>
    </xf>
    <xf numFmtId="2" fontId="116" fillId="7" borderId="8" xfId="0" applyNumberFormat="1" applyFont="1" applyFill="1" applyBorder="1" applyAlignment="1">
      <alignment horizontal="center" vertical="center"/>
    </xf>
    <xf numFmtId="2" fontId="45" fillId="3" borderId="6" xfId="0" applyNumberFormat="1" applyFont="1" applyFill="1" applyBorder="1" applyAlignment="1">
      <alignment horizontal="center" vertical="center"/>
    </xf>
    <xf numFmtId="2" fontId="45" fillId="3" borderId="8" xfId="0" applyNumberFormat="1" applyFont="1" applyFill="1" applyBorder="1" applyAlignment="1">
      <alignment horizontal="center" vertical="center"/>
    </xf>
    <xf numFmtId="2" fontId="45" fillId="7" borderId="26" xfId="0" applyNumberFormat="1" applyFont="1" applyFill="1" applyBorder="1" applyAlignment="1">
      <alignment horizontal="center" vertical="center"/>
    </xf>
    <xf numFmtId="2" fontId="115" fillId="2" borderId="7" xfId="0" applyNumberFormat="1" applyFont="1" applyFill="1" applyBorder="1" applyAlignment="1">
      <alignment horizontal="center" vertical="center" wrapText="1"/>
    </xf>
    <xf numFmtId="2" fontId="45" fillId="2" borderId="8" xfId="1" applyNumberFormat="1" applyFont="1" applyFill="1" applyBorder="1" applyAlignment="1">
      <alignment horizontal="center" vertical="center" wrapText="1"/>
    </xf>
    <xf numFmtId="2" fontId="115" fillId="2" borderId="7" xfId="1" applyNumberFormat="1" applyFont="1" applyFill="1" applyBorder="1" applyAlignment="1">
      <alignment horizontal="center" vertical="center" wrapText="1"/>
    </xf>
    <xf numFmtId="2" fontId="116" fillId="2" borderId="7" xfId="0" applyNumberFormat="1" applyFont="1" applyFill="1" applyBorder="1" applyAlignment="1">
      <alignment horizontal="center" vertical="center"/>
    </xf>
    <xf numFmtId="2" fontId="45" fillId="2" borderId="33" xfId="0" applyNumberFormat="1" applyFont="1" applyFill="1" applyBorder="1" applyAlignment="1">
      <alignment horizontal="center" vertical="center"/>
    </xf>
    <xf numFmtId="2" fontId="45" fillId="2" borderId="6" xfId="0" applyNumberFormat="1" applyFont="1" applyFill="1" applyBorder="1" applyAlignment="1">
      <alignment horizontal="center" vertical="center"/>
    </xf>
    <xf numFmtId="2" fontId="45" fillId="2" borderId="29" xfId="0" applyNumberFormat="1" applyFont="1" applyFill="1" applyBorder="1" applyAlignment="1">
      <alignment horizontal="center" vertical="center"/>
    </xf>
    <xf numFmtId="2" fontId="45" fillId="2" borderId="33" xfId="1" applyNumberFormat="1" applyFont="1" applyFill="1" applyBorder="1" applyAlignment="1">
      <alignment horizontal="center" vertical="center"/>
    </xf>
    <xf numFmtId="2" fontId="45" fillId="2" borderId="27" xfId="1" applyNumberFormat="1" applyFont="1" applyFill="1" applyBorder="1" applyAlignment="1">
      <alignment horizontal="center" vertical="center"/>
    </xf>
    <xf numFmtId="2" fontId="45" fillId="2" borderId="34" xfId="1" applyNumberFormat="1" applyFont="1" applyFill="1" applyBorder="1" applyAlignment="1">
      <alignment horizontal="center" vertical="center"/>
    </xf>
    <xf numFmtId="1" fontId="45" fillId="7" borderId="7" xfId="0" applyNumberFormat="1" applyFont="1" applyFill="1" applyBorder="1" applyAlignment="1">
      <alignment horizontal="center" vertical="center"/>
    </xf>
    <xf numFmtId="2" fontId="45" fillId="9" borderId="7" xfId="0" applyNumberFormat="1" applyFont="1" applyFill="1" applyBorder="1" applyAlignment="1">
      <alignment horizontal="center" vertical="center"/>
    </xf>
    <xf numFmtId="2" fontId="115" fillId="2" borderId="27" xfId="1" applyNumberFormat="1" applyFont="1" applyFill="1" applyBorder="1" applyAlignment="1">
      <alignment horizontal="left" vertical="center" wrapText="1"/>
    </xf>
    <xf numFmtId="2" fontId="115" fillId="2" borderId="34" xfId="1" applyNumberFormat="1" applyFont="1" applyFill="1" applyBorder="1" applyAlignment="1">
      <alignment horizontal="left" vertical="center" wrapText="1"/>
    </xf>
    <xf numFmtId="2" fontId="115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3" fillId="5" borderId="0" xfId="0" applyFont="1" applyFill="1" applyAlignment="1" applyProtection="1">
      <alignment horizontal="left" vertical="center"/>
      <protection locked="0"/>
    </xf>
    <xf numFmtId="0" fontId="63" fillId="0" borderId="0" xfId="0" applyFont="1" applyAlignment="1" applyProtection="1">
      <alignment horizontal="left" vertical="top" wrapText="1"/>
      <protection locked="0"/>
    </xf>
    <xf numFmtId="0" fontId="64" fillId="2" borderId="7" xfId="0" applyFont="1" applyFill="1" applyBorder="1" applyAlignment="1">
      <alignment horizontal="center" vertical="center"/>
    </xf>
    <xf numFmtId="0" fontId="63" fillId="2" borderId="7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4" fillId="2" borderId="18" xfId="0" applyFont="1" applyFill="1" applyBorder="1" applyAlignment="1">
      <alignment horizontal="center" vertical="center" wrapText="1"/>
    </xf>
    <xf numFmtId="0" fontId="64" fillId="2" borderId="22" xfId="0" applyFont="1" applyFill="1" applyBorder="1" applyAlignment="1">
      <alignment horizontal="center" vertical="center" wrapText="1"/>
    </xf>
    <xf numFmtId="0" fontId="64" fillId="2" borderId="10" xfId="0" applyFont="1" applyFill="1" applyBorder="1" applyAlignment="1">
      <alignment horizontal="center" vertical="center" wrapText="1"/>
    </xf>
    <xf numFmtId="0" fontId="64" fillId="2" borderId="2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177" fontId="63" fillId="0" borderId="11" xfId="0" applyNumberFormat="1" applyFont="1" applyBorder="1" applyAlignment="1">
      <alignment horizontal="center" vertical="center"/>
    </xf>
    <xf numFmtId="177" fontId="63" fillId="0" borderId="15" xfId="0" applyNumberFormat="1" applyFont="1" applyBorder="1" applyAlignment="1">
      <alignment horizontal="center" vertical="center"/>
    </xf>
    <xf numFmtId="0" fontId="64" fillId="2" borderId="17" xfId="0" applyFont="1" applyFill="1" applyBorder="1" applyAlignment="1">
      <alignment horizontal="center" vertical="center"/>
    </xf>
    <xf numFmtId="0" fontId="64" fillId="2" borderId="18" xfId="0" applyFont="1" applyFill="1" applyBorder="1" applyAlignment="1">
      <alignment horizontal="center" vertical="center"/>
    </xf>
    <xf numFmtId="0" fontId="64" fillId="2" borderId="22" xfId="0" applyFont="1" applyFill="1" applyBorder="1" applyAlignment="1">
      <alignment horizontal="center" vertical="center"/>
    </xf>
    <xf numFmtId="0" fontId="64" fillId="2" borderId="9" xfId="0" applyFont="1" applyFill="1" applyBorder="1" applyAlignment="1">
      <alignment horizontal="center" vertical="center"/>
    </xf>
    <xf numFmtId="0" fontId="64" fillId="2" borderId="10" xfId="0" applyFont="1" applyFill="1" applyBorder="1" applyAlignment="1">
      <alignment horizontal="center" vertical="center"/>
    </xf>
    <xf numFmtId="0" fontId="64" fillId="2" borderId="23" xfId="0" applyFont="1" applyFill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0" fontId="63" fillId="0" borderId="15" xfId="0" applyFont="1" applyBorder="1" applyAlignment="1">
      <alignment horizontal="center" vertical="center"/>
    </xf>
    <xf numFmtId="0" fontId="63" fillId="0" borderId="17" xfId="0" applyFont="1" applyBorder="1" applyAlignment="1">
      <alignment horizontal="center" vertical="center"/>
    </xf>
    <xf numFmtId="0" fontId="63" fillId="0" borderId="18" xfId="0" applyFont="1" applyBorder="1" applyAlignment="1">
      <alignment horizontal="center" vertical="center"/>
    </xf>
    <xf numFmtId="0" fontId="63" fillId="0" borderId="22" xfId="0" applyFont="1" applyBorder="1" applyAlignment="1">
      <alignment horizontal="center" vertical="center"/>
    </xf>
    <xf numFmtId="0" fontId="63" fillId="0" borderId="9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63" fillId="0" borderId="23" xfId="0" applyFont="1" applyBorder="1" applyAlignment="1">
      <alignment horizontal="center" vertical="center"/>
    </xf>
    <xf numFmtId="2" fontId="108" fillId="5" borderId="0" xfId="0" applyNumberFormat="1" applyFont="1" applyFill="1" applyAlignment="1" applyProtection="1">
      <alignment horizontal="left" vertical="center"/>
      <protection locked="0"/>
    </xf>
    <xf numFmtId="0" fontId="108" fillId="5" borderId="0" xfId="0" applyFont="1" applyFill="1" applyAlignment="1" applyProtection="1">
      <alignment horizontal="left" vertical="center"/>
      <protection locked="0"/>
    </xf>
    <xf numFmtId="0" fontId="63" fillId="2" borderId="17" xfId="0" applyFont="1" applyFill="1" applyBorder="1" applyAlignment="1">
      <alignment horizontal="center" vertical="center"/>
    </xf>
    <xf numFmtId="0" fontId="63" fillId="2" borderId="18" xfId="0" applyFont="1" applyFill="1" applyBorder="1" applyAlignment="1">
      <alignment horizontal="center" vertical="center"/>
    </xf>
    <xf numFmtId="0" fontId="63" fillId="2" borderId="22" xfId="0" applyFont="1" applyFill="1" applyBorder="1" applyAlignment="1">
      <alignment horizontal="center" vertical="center"/>
    </xf>
    <xf numFmtId="0" fontId="64" fillId="2" borderId="11" xfId="0" applyFont="1" applyFill="1" applyBorder="1" applyAlignment="1">
      <alignment horizontal="center" vertical="center"/>
    </xf>
    <xf numFmtId="0" fontId="64" fillId="2" borderId="12" xfId="0" applyFont="1" applyFill="1" applyBorder="1" applyAlignment="1">
      <alignment horizontal="center" vertical="center"/>
    </xf>
    <xf numFmtId="0" fontId="64" fillId="2" borderId="15" xfId="0" applyFont="1" applyFill="1" applyBorder="1" applyAlignment="1">
      <alignment horizontal="center" vertical="center"/>
    </xf>
    <xf numFmtId="0" fontId="63" fillId="2" borderId="0" xfId="0" applyFont="1" applyFill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63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63" fillId="2" borderId="9" xfId="0" applyFont="1" applyFill="1" applyBorder="1" applyAlignment="1">
      <alignment horizontal="center" vertical="center"/>
    </xf>
    <xf numFmtId="0" fontId="64" fillId="2" borderId="7" xfId="0" applyFont="1" applyFill="1" applyBorder="1" applyAlignment="1">
      <alignment horizontal="center" vertical="center" wrapText="1"/>
    </xf>
    <xf numFmtId="166" fontId="64" fillId="2" borderId="0" xfId="0" applyNumberFormat="1" applyFont="1" applyFill="1" applyAlignment="1" applyProtection="1">
      <alignment horizontal="center" vertical="center"/>
      <protection locked="0"/>
    </xf>
    <xf numFmtId="0" fontId="64" fillId="2" borderId="0" xfId="0" applyFont="1" applyFill="1" applyAlignment="1" applyProtection="1">
      <alignment horizontal="center" vertical="center"/>
      <protection locked="0"/>
    </xf>
    <xf numFmtId="0" fontId="108" fillId="2" borderId="0" xfId="0" applyFont="1" applyFill="1" applyAlignment="1">
      <alignment horizontal="left" vertical="center" wrapText="1"/>
    </xf>
    <xf numFmtId="0" fontId="64" fillId="2" borderId="11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3" fillId="2" borderId="11" xfId="0" applyFont="1" applyFill="1" applyBorder="1" applyAlignment="1">
      <alignment horizontal="left" vertical="center"/>
    </xf>
    <xf numFmtId="0" fontId="63" fillId="2" borderId="12" xfId="0" applyFont="1" applyFill="1" applyBorder="1" applyAlignment="1">
      <alignment horizontal="left" vertical="center"/>
    </xf>
    <xf numFmtId="0" fontId="63" fillId="2" borderId="15" xfId="0" applyFont="1" applyFill="1" applyBorder="1" applyAlignment="1">
      <alignment horizontal="left" vertical="center"/>
    </xf>
    <xf numFmtId="0" fontId="54" fillId="2" borderId="11" xfId="1" applyFont="1" applyFill="1" applyBorder="1" applyAlignment="1">
      <alignment horizontal="left" vertical="center"/>
    </xf>
    <xf numFmtId="0" fontId="54" fillId="2" borderId="12" xfId="1" applyFont="1" applyFill="1" applyBorder="1" applyAlignment="1">
      <alignment horizontal="left" vertical="center"/>
    </xf>
    <xf numFmtId="0" fontId="52" fillId="2" borderId="6" xfId="1" applyFont="1" applyFill="1" applyBorder="1" applyAlignment="1">
      <alignment horizontal="left" vertical="center"/>
    </xf>
    <xf numFmtId="0" fontId="52" fillId="2" borderId="7" xfId="1" applyFont="1" applyFill="1" applyBorder="1" applyAlignment="1">
      <alignment horizontal="left" vertical="center"/>
    </xf>
    <xf numFmtId="0" fontId="52" fillId="2" borderId="25" xfId="1" applyFont="1" applyFill="1" applyBorder="1" applyAlignment="1">
      <alignment horizontal="left" vertical="center"/>
    </xf>
    <xf numFmtId="0" fontId="52" fillId="2" borderId="43" xfId="1" applyFont="1" applyFill="1" applyBorder="1" applyAlignment="1">
      <alignment horizontal="left" vertical="center"/>
    </xf>
    <xf numFmtId="0" fontId="52" fillId="2" borderId="44" xfId="1" applyFont="1" applyFill="1" applyBorder="1" applyAlignment="1">
      <alignment horizontal="left" vertical="center"/>
    </xf>
    <xf numFmtId="0" fontId="52" fillId="2" borderId="24" xfId="1" applyFont="1" applyFill="1" applyBorder="1" applyAlignment="1">
      <alignment horizontal="left" vertical="center"/>
    </xf>
    <xf numFmtId="0" fontId="52" fillId="2" borderId="12" xfId="1" applyFont="1" applyFill="1" applyBorder="1" applyAlignment="1">
      <alignment horizontal="left" vertical="center"/>
    </xf>
    <xf numFmtId="0" fontId="52" fillId="2" borderId="15" xfId="1" applyFont="1" applyFill="1" applyBorder="1" applyAlignment="1">
      <alignment horizontal="left" vertical="center"/>
    </xf>
    <xf numFmtId="0" fontId="53" fillId="2" borderId="17" xfId="1" applyFont="1" applyFill="1" applyBorder="1" applyAlignment="1">
      <alignment horizontal="left" vertical="center"/>
    </xf>
    <xf numFmtId="0" fontId="53" fillId="2" borderId="18" xfId="1" applyFont="1" applyFill="1" applyBorder="1" applyAlignment="1">
      <alignment horizontal="left" vertical="center"/>
    </xf>
    <xf numFmtId="0" fontId="55" fillId="2" borderId="11" xfId="1" applyFont="1" applyFill="1" applyBorder="1" applyAlignment="1">
      <alignment horizontal="left" vertical="center"/>
    </xf>
    <xf numFmtId="0" fontId="55" fillId="2" borderId="12" xfId="1" applyFont="1" applyFill="1" applyBorder="1" applyAlignment="1">
      <alignment horizontal="left" vertical="center"/>
    </xf>
    <xf numFmtId="0" fontId="53" fillId="2" borderId="11" xfId="1" applyFont="1" applyFill="1" applyBorder="1" applyAlignment="1">
      <alignment horizontal="left" vertical="center"/>
    </xf>
    <xf numFmtId="0" fontId="53" fillId="2" borderId="12" xfId="1" applyFont="1" applyFill="1" applyBorder="1" applyAlignment="1">
      <alignment horizontal="left" vertical="center"/>
    </xf>
    <xf numFmtId="0" fontId="54" fillId="2" borderId="9" xfId="1" applyFont="1" applyFill="1" applyBorder="1" applyAlignment="1">
      <alignment horizontal="left" vertical="center"/>
    </xf>
    <xf numFmtId="0" fontId="54" fillId="2" borderId="10" xfId="1" applyFont="1" applyFill="1" applyBorder="1" applyAlignment="1">
      <alignment horizontal="left" vertical="center"/>
    </xf>
    <xf numFmtId="0" fontId="48" fillId="2" borderId="39" xfId="0" applyFont="1" applyFill="1" applyBorder="1" applyAlignment="1">
      <alignment horizontal="center" vertical="center"/>
    </xf>
    <xf numFmtId="0" fontId="48" fillId="2" borderId="40" xfId="0" applyFont="1" applyFill="1" applyBorder="1" applyAlignment="1">
      <alignment horizontal="center" vertical="center"/>
    </xf>
    <xf numFmtId="0" fontId="48" fillId="2" borderId="41" xfId="0" applyFont="1" applyFill="1" applyBorder="1" applyAlignment="1">
      <alignment horizontal="center" vertical="center"/>
    </xf>
    <xf numFmtId="0" fontId="52" fillId="2" borderId="13" xfId="1" applyFont="1" applyFill="1" applyBorder="1" applyAlignment="1">
      <alignment horizontal="left" vertical="center"/>
    </xf>
    <xf numFmtId="0" fontId="52" fillId="2" borderId="8" xfId="1" applyFont="1" applyFill="1" applyBorder="1" applyAlignment="1">
      <alignment horizontal="left" vertical="center"/>
    </xf>
    <xf numFmtId="0" fontId="52" fillId="2" borderId="11" xfId="1" applyFont="1" applyFill="1" applyBorder="1" applyAlignment="1">
      <alignment horizontal="left" vertical="center"/>
    </xf>
    <xf numFmtId="0" fontId="36" fillId="2" borderId="6" xfId="1" applyFont="1" applyFill="1" applyBorder="1" applyAlignment="1">
      <alignment horizontal="left" vertical="center"/>
    </xf>
    <xf numFmtId="0" fontId="36" fillId="2" borderId="7" xfId="1" applyFont="1" applyFill="1" applyBorder="1" applyAlignment="1">
      <alignment horizontal="left" vertical="center"/>
    </xf>
    <xf numFmtId="0" fontId="36" fillId="2" borderId="8" xfId="1" applyFont="1" applyFill="1" applyBorder="1" applyAlignment="1">
      <alignment horizontal="left" vertical="center"/>
    </xf>
    <xf numFmtId="0" fontId="36" fillId="2" borderId="24" xfId="1" applyFont="1" applyFill="1" applyBorder="1" applyAlignment="1">
      <alignment horizontal="left" vertical="center"/>
    </xf>
    <xf numFmtId="0" fontId="36" fillId="2" borderId="12" xfId="1" applyFont="1" applyFill="1" applyBorder="1" applyAlignment="1">
      <alignment horizontal="left" vertical="center"/>
    </xf>
    <xf numFmtId="0" fontId="36" fillId="2" borderId="15" xfId="1" applyFont="1" applyFill="1" applyBorder="1" applyAlignment="1">
      <alignment horizontal="left" vertical="center"/>
    </xf>
    <xf numFmtId="0" fontId="36" fillId="2" borderId="25" xfId="1" applyFont="1" applyFill="1" applyBorder="1" applyAlignment="1">
      <alignment horizontal="left" vertical="center"/>
    </xf>
    <xf numFmtId="0" fontId="36" fillId="2" borderId="43" xfId="1" applyFont="1" applyFill="1" applyBorder="1" applyAlignment="1">
      <alignment horizontal="left" vertical="center"/>
    </xf>
    <xf numFmtId="0" fontId="36" fillId="2" borderId="44" xfId="1" applyFont="1" applyFill="1" applyBorder="1" applyAlignment="1">
      <alignment horizontal="left" vertical="center"/>
    </xf>
    <xf numFmtId="0" fontId="37" fillId="2" borderId="11" xfId="1" applyFont="1" applyFill="1" applyBorder="1" applyAlignment="1">
      <alignment horizontal="left" vertical="center"/>
    </xf>
    <xf numFmtId="0" fontId="37" fillId="2" borderId="12" xfId="1" applyFont="1" applyFill="1" applyBorder="1" applyAlignment="1">
      <alignment horizontal="left" vertical="center"/>
    </xf>
    <xf numFmtId="0" fontId="37" fillId="2" borderId="15" xfId="1" applyFont="1" applyFill="1" applyBorder="1" applyAlignment="1">
      <alignment horizontal="left" vertical="center"/>
    </xf>
    <xf numFmtId="0" fontId="22" fillId="2" borderId="7" xfId="1" applyFont="1" applyFill="1" applyBorder="1" applyAlignment="1">
      <alignment horizontal="left" vertical="center"/>
    </xf>
    <xf numFmtId="0" fontId="22" fillId="2" borderId="28" xfId="1" applyFont="1" applyFill="1" applyBorder="1" applyAlignment="1">
      <alignment horizontal="left" vertical="center"/>
    </xf>
    <xf numFmtId="0" fontId="22" fillId="2" borderId="11" xfId="1" applyFont="1" applyFill="1" applyBorder="1" applyAlignment="1">
      <alignment horizontal="left" vertical="center"/>
    </xf>
    <xf numFmtId="0" fontId="22" fillId="2" borderId="12" xfId="1" applyFont="1" applyFill="1" applyBorder="1" applyAlignment="1">
      <alignment horizontal="left" vertical="center"/>
    </xf>
    <xf numFmtId="0" fontId="22" fillId="2" borderId="15" xfId="1" applyFont="1" applyFill="1" applyBorder="1" applyAlignment="1">
      <alignment horizontal="left" vertical="center"/>
    </xf>
    <xf numFmtId="0" fontId="22" fillId="2" borderId="45" xfId="1" applyFont="1" applyFill="1" applyBorder="1" applyAlignment="1">
      <alignment horizontal="left" vertical="center"/>
    </xf>
    <xf numFmtId="0" fontId="22" fillId="2" borderId="43" xfId="1" applyFont="1" applyFill="1" applyBorder="1" applyAlignment="1">
      <alignment horizontal="left" vertical="center"/>
    </xf>
    <xf numFmtId="0" fontId="22" fillId="2" borderId="44" xfId="1" applyFont="1" applyFill="1" applyBorder="1" applyAlignment="1">
      <alignment horizontal="left" vertical="center"/>
    </xf>
    <xf numFmtId="0" fontId="83" fillId="2" borderId="11" xfId="0" applyFont="1" applyFill="1" applyBorder="1" applyAlignment="1">
      <alignment horizontal="left" wrapText="1"/>
    </xf>
    <xf numFmtId="0" fontId="83" fillId="2" borderId="12" xfId="0" applyFont="1" applyFill="1" applyBorder="1" applyAlignment="1">
      <alignment horizontal="left" wrapText="1"/>
    </xf>
    <xf numFmtId="0" fontId="83" fillId="2" borderId="15" xfId="0" applyFont="1" applyFill="1" applyBorder="1" applyAlignment="1">
      <alignment horizontal="left" wrapText="1"/>
    </xf>
    <xf numFmtId="2" fontId="96" fillId="0" borderId="7" xfId="0" applyNumberFormat="1" applyFont="1" applyBorder="1" applyAlignment="1">
      <alignment horizontal="left" vertical="center" wrapText="1"/>
    </xf>
    <xf numFmtId="0" fontId="83" fillId="11" borderId="11" xfId="0" applyFont="1" applyFill="1" applyBorder="1" applyAlignment="1">
      <alignment horizontal="left" wrapText="1"/>
    </xf>
    <xf numFmtId="0" fontId="83" fillId="11" borderId="12" xfId="0" applyFont="1" applyFill="1" applyBorder="1" applyAlignment="1">
      <alignment horizontal="left" wrapText="1"/>
    </xf>
    <xf numFmtId="0" fontId="83" fillId="11" borderId="15" xfId="0" applyFont="1" applyFill="1" applyBorder="1" applyAlignment="1">
      <alignment horizontal="left" wrapText="1"/>
    </xf>
    <xf numFmtId="0" fontId="28" fillId="14" borderId="11" xfId="0" applyFont="1" applyFill="1" applyBorder="1" applyAlignment="1">
      <alignment horizontal="left" vertical="top" wrapText="1"/>
    </xf>
    <xf numFmtId="0" fontId="28" fillId="14" borderId="12" xfId="0" applyFont="1" applyFill="1" applyBorder="1" applyAlignment="1">
      <alignment horizontal="left" vertical="top" wrapText="1"/>
    </xf>
    <xf numFmtId="0" fontId="28" fillId="14" borderId="15" xfId="0" applyFont="1" applyFill="1" applyBorder="1" applyAlignment="1">
      <alignment horizontal="left" vertical="top" wrapText="1"/>
    </xf>
    <xf numFmtId="0" fontId="83" fillId="15" borderId="11" xfId="0" applyFont="1" applyFill="1" applyBorder="1" applyAlignment="1">
      <alignment horizontal="left" vertical="top" wrapText="1"/>
    </xf>
    <xf numFmtId="0" fontId="83" fillId="15" borderId="12" xfId="0" applyFont="1" applyFill="1" applyBorder="1" applyAlignment="1">
      <alignment horizontal="left" vertical="top" wrapText="1"/>
    </xf>
    <xf numFmtId="0" fontId="83" fillId="15" borderId="15" xfId="0" applyFont="1" applyFill="1" applyBorder="1" applyAlignment="1">
      <alignment horizontal="left" vertical="top" wrapText="1"/>
    </xf>
    <xf numFmtId="0" fontId="83" fillId="2" borderId="7" xfId="0" applyFont="1" applyFill="1" applyBorder="1" applyAlignment="1">
      <alignment horizontal="center" wrapText="1"/>
    </xf>
    <xf numFmtId="0" fontId="98" fillId="0" borderId="13" xfId="0" applyFont="1" applyBorder="1" applyAlignment="1">
      <alignment horizontal="center" vertical="center" wrapText="1"/>
    </xf>
    <xf numFmtId="0" fontId="98" fillId="0" borderId="14" xfId="0" applyFont="1" applyBorder="1" applyAlignment="1">
      <alignment horizontal="center" vertical="center" wrapText="1"/>
    </xf>
    <xf numFmtId="2" fontId="96" fillId="2" borderId="7" xfId="0" applyNumberFormat="1" applyFont="1" applyFill="1" applyBorder="1" applyAlignment="1">
      <alignment horizontal="left" vertical="top" wrapText="1"/>
    </xf>
    <xf numFmtId="0" fontId="96" fillId="2" borderId="7" xfId="0" applyFont="1" applyFill="1" applyBorder="1" applyAlignment="1">
      <alignment horizontal="left" vertical="top" wrapText="1"/>
    </xf>
    <xf numFmtId="0" fontId="100" fillId="3" borderId="7" xfId="0" applyFont="1" applyFill="1" applyBorder="1" applyAlignment="1">
      <alignment horizontal="center" vertical="center"/>
    </xf>
    <xf numFmtId="0" fontId="28" fillId="14" borderId="11" xfId="0" applyFont="1" applyFill="1" applyBorder="1" applyAlignment="1">
      <alignment horizontal="center" vertical="top" wrapText="1"/>
    </xf>
    <xf numFmtId="0" fontId="28" fillId="14" borderId="15" xfId="0" applyFont="1" applyFill="1" applyBorder="1" applyAlignment="1">
      <alignment horizontal="center" vertical="top" wrapText="1"/>
    </xf>
    <xf numFmtId="0" fontId="83" fillId="11" borderId="7" xfId="0" applyFont="1" applyFill="1" applyBorder="1" applyAlignment="1">
      <alignment horizontal="center" vertical="top" wrapText="1"/>
    </xf>
    <xf numFmtId="0" fontId="83" fillId="11" borderId="7" xfId="0" applyFont="1" applyFill="1" applyBorder="1" applyAlignment="1">
      <alignment horizontal="center" wrapText="1"/>
    </xf>
    <xf numFmtId="0" fontId="83" fillId="15" borderId="11" xfId="0" applyFont="1" applyFill="1" applyBorder="1" applyAlignment="1">
      <alignment horizontal="center" vertical="top" wrapText="1"/>
    </xf>
    <xf numFmtId="0" fontId="83" fillId="15" borderId="15" xfId="0" applyFont="1" applyFill="1" applyBorder="1" applyAlignment="1">
      <alignment horizontal="center" vertical="top" wrapText="1"/>
    </xf>
    <xf numFmtId="0" fontId="83" fillId="15" borderId="7" xfId="0" applyFont="1" applyFill="1" applyBorder="1" applyAlignment="1">
      <alignment horizontal="center" vertical="top" wrapText="1"/>
    </xf>
    <xf numFmtId="182" fontId="101" fillId="3" borderId="7" xfId="0" applyNumberFormat="1" applyFont="1" applyFill="1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3" fillId="2" borderId="7" xfId="0" applyFont="1" applyFill="1" applyBorder="1" applyAlignment="1">
      <alignment horizontal="center" vertical="center" wrapText="1"/>
    </xf>
    <xf numFmtId="0" fontId="63" fillId="2" borderId="13" xfId="0" applyFont="1" applyFill="1" applyBorder="1" applyAlignment="1">
      <alignment horizontal="center" vertical="center"/>
    </xf>
    <xf numFmtId="0" fontId="63" fillId="2" borderId="1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2" fontId="103" fillId="0" borderId="11" xfId="0" applyNumberFormat="1" applyFont="1" applyBorder="1" applyAlignment="1">
      <alignment horizontal="left" vertical="top" wrapText="1"/>
    </xf>
    <xf numFmtId="2" fontId="103" fillId="0" borderId="12" xfId="0" applyNumberFormat="1" applyFont="1" applyBorder="1" applyAlignment="1">
      <alignment horizontal="left" vertical="top" wrapText="1"/>
    </xf>
    <xf numFmtId="2" fontId="103" fillId="0" borderId="15" xfId="0" applyNumberFormat="1" applyFont="1" applyBorder="1" applyAlignment="1">
      <alignment horizontal="left" vertical="top" wrapText="1"/>
    </xf>
    <xf numFmtId="0" fontId="105" fillId="0" borderId="0" xfId="0" applyFont="1" applyAlignment="1">
      <alignment horizontal="center" vertical="center"/>
    </xf>
    <xf numFmtId="0" fontId="8" fillId="17" borderId="11" xfId="0" applyFont="1" applyFill="1" applyBorder="1" applyAlignment="1">
      <alignment horizontal="center"/>
    </xf>
    <xf numFmtId="0" fontId="8" fillId="17" borderId="12" xfId="0" applyFont="1" applyFill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90" fillId="0" borderId="0" xfId="5" applyFont="1" applyAlignment="1">
      <alignment horizontal="left" vertical="center"/>
    </xf>
    <xf numFmtId="0" fontId="90" fillId="0" borderId="0" xfId="5" applyFont="1" applyAlignment="1">
      <alignment horizontal="center"/>
    </xf>
    <xf numFmtId="0" fontId="89" fillId="0" borderId="0" xfId="5" applyFont="1" applyAlignment="1">
      <alignment horizontal="center"/>
    </xf>
    <xf numFmtId="0" fontId="90" fillId="0" borderId="0" xfId="5" applyFont="1" applyAlignment="1">
      <alignment horizontal="left" vertical="center" wrapText="1"/>
    </xf>
    <xf numFmtId="0" fontId="84" fillId="0" borderId="0" xfId="5" quotePrefix="1" applyFont="1" applyAlignment="1" applyProtection="1">
      <alignment horizontal="center" vertical="center" wrapText="1"/>
      <protection locked="0"/>
    </xf>
    <xf numFmtId="11" fontId="82" fillId="0" borderId="0" xfId="5" quotePrefix="1" applyNumberFormat="1" applyFont="1" applyAlignment="1" applyProtection="1">
      <alignment horizontal="center" vertical="center"/>
      <protection locked="0"/>
    </xf>
    <xf numFmtId="0" fontId="82" fillId="0" borderId="0" xfId="5" applyFont="1" applyAlignment="1" applyProtection="1">
      <alignment horizontal="center" vertical="center"/>
      <protection locked="0"/>
    </xf>
    <xf numFmtId="0" fontId="90" fillId="0" borderId="11" xfId="5" applyFont="1" applyBorder="1" applyAlignment="1">
      <alignment horizontal="center" vertical="center"/>
    </xf>
    <xf numFmtId="0" fontId="90" fillId="0" borderId="15" xfId="5" applyFont="1" applyBorder="1" applyAlignment="1">
      <alignment horizontal="center" vertical="center"/>
    </xf>
    <xf numFmtId="0" fontId="90" fillId="0" borderId="11" xfId="5" applyFont="1" applyBorder="1" applyAlignment="1">
      <alignment horizontal="center" vertical="center" wrapText="1"/>
    </xf>
    <xf numFmtId="0" fontId="90" fillId="0" borderId="15" xfId="5" applyFont="1" applyBorder="1" applyAlignment="1">
      <alignment horizontal="center" vertical="center" wrapText="1"/>
    </xf>
    <xf numFmtId="0" fontId="62" fillId="0" borderId="0" xfId="5" applyFont="1" applyAlignment="1" applyProtection="1">
      <alignment horizontal="center" vertical="center"/>
      <protection locked="0"/>
    </xf>
    <xf numFmtId="0" fontId="88" fillId="0" borderId="0" xfId="5" applyFont="1" applyAlignment="1" applyProtection="1">
      <alignment horizontal="center" vertical="center"/>
      <protection locked="0"/>
    </xf>
    <xf numFmtId="180" fontId="82" fillId="0" borderId="0" xfId="5" quotePrefix="1" applyNumberFormat="1" applyFont="1" applyAlignment="1" applyProtection="1">
      <alignment horizontal="center" vertical="center"/>
      <protection locked="0"/>
    </xf>
    <xf numFmtId="180" fontId="82" fillId="0" borderId="0" xfId="5" applyNumberFormat="1" applyFont="1" applyAlignment="1" applyProtection="1">
      <alignment horizontal="center" vertical="center"/>
      <protection locked="0"/>
    </xf>
    <xf numFmtId="0" fontId="89" fillId="0" borderId="0" xfId="5" applyFont="1" applyAlignment="1">
      <alignment horizontal="center" vertical="center"/>
    </xf>
    <xf numFmtId="15" fontId="63" fillId="2" borderId="7" xfId="0" applyNumberFormat="1" applyFont="1" applyFill="1" applyBorder="1" applyAlignment="1" applyProtection="1">
      <alignment horizontal="center" vertical="center"/>
      <protection locked="0"/>
    </xf>
    <xf numFmtId="164" fontId="63" fillId="2" borderId="7" xfId="0" applyNumberFormat="1" applyFont="1" applyFill="1" applyBorder="1" applyAlignment="1" applyProtection="1">
      <alignment horizontal="center" vertical="center"/>
      <protection locked="0"/>
    </xf>
    <xf numFmtId="2" fontId="63" fillId="0" borderId="13" xfId="0" applyNumberFormat="1" applyFont="1" applyBorder="1" applyAlignment="1" applyProtection="1">
      <alignment horizontal="center" vertical="center"/>
      <protection locked="0"/>
    </xf>
    <xf numFmtId="2" fontId="63" fillId="0" borderId="14" xfId="0" applyNumberFormat="1" applyFont="1" applyBorder="1" applyAlignment="1" applyProtection="1">
      <alignment horizontal="center" vertical="center"/>
      <protection locked="0"/>
    </xf>
    <xf numFmtId="0" fontId="64" fillId="2" borderId="13" xfId="0" applyFont="1" applyFill="1" applyBorder="1" applyAlignment="1">
      <alignment horizontal="center" vertical="center"/>
    </xf>
    <xf numFmtId="0" fontId="64" fillId="2" borderId="14" xfId="0" applyFont="1" applyFill="1" applyBorder="1" applyAlignment="1">
      <alignment horizontal="center" vertical="center"/>
    </xf>
    <xf numFmtId="166" fontId="64" fillId="2" borderId="7" xfId="0" applyNumberFormat="1" applyFont="1" applyFill="1" applyBorder="1" applyAlignment="1" applyProtection="1">
      <alignment horizontal="center" vertical="center"/>
      <protection locked="0"/>
    </xf>
    <xf numFmtId="2" fontId="31" fillId="2" borderId="0" xfId="0" applyNumberFormat="1" applyFont="1" applyFill="1" applyAlignment="1" applyProtection="1">
      <alignment horizontal="center" vertical="center"/>
      <protection locked="0"/>
    </xf>
    <xf numFmtId="176" fontId="63" fillId="2" borderId="7" xfId="0" applyNumberFormat="1" applyFont="1" applyFill="1" applyBorder="1" applyAlignment="1">
      <alignment horizontal="center" vertical="center"/>
    </xf>
    <xf numFmtId="0" fontId="28" fillId="2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63" fillId="2" borderId="7" xfId="0" applyFont="1" applyFill="1" applyBorder="1" applyAlignment="1">
      <alignment horizontal="left" vertical="center"/>
    </xf>
    <xf numFmtId="0" fontId="40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63" fillId="2" borderId="0" xfId="0" applyFont="1" applyFill="1" applyAlignment="1" applyProtection="1">
      <alignment horizontal="left" vertical="top" wrapText="1"/>
      <protection locked="0"/>
    </xf>
    <xf numFmtId="2" fontId="28" fillId="2" borderId="0" xfId="0" applyNumberFormat="1" applyFont="1" applyFill="1" applyAlignment="1" applyProtection="1">
      <alignment horizontal="center" vertical="center"/>
      <protection locked="0"/>
    </xf>
    <xf numFmtId="2" fontId="63" fillId="2" borderId="13" xfId="0" applyNumberFormat="1" applyFont="1" applyFill="1" applyBorder="1" applyAlignment="1">
      <alignment horizontal="center" vertical="center"/>
    </xf>
    <xf numFmtId="2" fontId="63" fillId="2" borderId="38" xfId="0" applyNumberFormat="1" applyFont="1" applyFill="1" applyBorder="1" applyAlignment="1">
      <alignment horizontal="center" vertical="center"/>
    </xf>
    <xf numFmtId="2" fontId="63" fillId="2" borderId="14" xfId="0" applyNumberFormat="1" applyFont="1" applyFill="1" applyBorder="1" applyAlignment="1">
      <alignment horizontal="center" vertical="center"/>
    </xf>
    <xf numFmtId="0" fontId="44" fillId="0" borderId="11" xfId="5" applyFont="1" applyBorder="1" applyAlignment="1">
      <alignment horizontal="left" vertical="top" wrapText="1"/>
    </xf>
    <xf numFmtId="0" fontId="44" fillId="0" borderId="12" xfId="5" applyFont="1" applyBorder="1" applyAlignment="1">
      <alignment horizontal="left" vertical="top" wrapText="1"/>
    </xf>
    <xf numFmtId="0" fontId="80" fillId="0" borderId="0" xfId="5" applyFont="1" applyAlignment="1" applyProtection="1">
      <alignment horizontal="center" vertical="center"/>
      <protection locked="0"/>
    </xf>
    <xf numFmtId="178" fontId="82" fillId="0" borderId="0" xfId="5" quotePrefix="1" applyNumberFormat="1" applyFont="1" applyAlignment="1" applyProtection="1">
      <alignment horizontal="center" vertical="center"/>
      <protection locked="0"/>
    </xf>
    <xf numFmtId="178" fontId="82" fillId="0" borderId="0" xfId="5" applyNumberFormat="1" applyFont="1" applyAlignment="1" applyProtection="1">
      <alignment horizontal="center" vertical="center"/>
      <protection locked="0"/>
    </xf>
    <xf numFmtId="0" fontId="44" fillId="0" borderId="0" xfId="5" applyFont="1" applyAlignment="1">
      <alignment horizontal="center"/>
    </xf>
    <xf numFmtId="0" fontId="83" fillId="0" borderId="0" xfId="5" applyFont="1" applyAlignment="1">
      <alignment horizontal="right" vertical="center"/>
    </xf>
    <xf numFmtId="0" fontId="79" fillId="0" borderId="0" xfId="5" applyFont="1" applyAlignment="1">
      <alignment horizontal="center"/>
    </xf>
    <xf numFmtId="0" fontId="82" fillId="0" borderId="0" xfId="5" quotePrefix="1" applyFont="1" applyAlignment="1" applyProtection="1">
      <alignment horizontal="left"/>
      <protection locked="0"/>
    </xf>
    <xf numFmtId="0" fontId="44" fillId="0" borderId="0" xfId="5" applyFont="1" applyAlignment="1">
      <alignment horizontal="left" vertical="center" wrapText="1"/>
    </xf>
    <xf numFmtId="0" fontId="84" fillId="0" borderId="0" xfId="5" quotePrefix="1" applyFont="1" applyAlignment="1" applyProtection="1">
      <alignment horizontal="left" vertical="center" wrapText="1"/>
      <protection locked="0"/>
    </xf>
    <xf numFmtId="11" fontId="82" fillId="0" borderId="0" xfId="5" quotePrefix="1" applyNumberFormat="1" applyFont="1" applyAlignment="1" applyProtection="1">
      <alignment horizontal="left"/>
      <protection locked="0"/>
    </xf>
    <xf numFmtId="0" fontId="82" fillId="0" borderId="0" xfId="5" applyFont="1" applyAlignment="1" applyProtection="1">
      <alignment horizontal="left"/>
      <protection locked="0"/>
    </xf>
    <xf numFmtId="0" fontId="44" fillId="0" borderId="0" xfId="5" applyFont="1" applyAlignment="1" applyProtection="1">
      <alignment horizontal="left" vertical="center" wrapText="1"/>
      <protection locked="0"/>
    </xf>
    <xf numFmtId="178" fontId="44" fillId="0" borderId="0" xfId="5" applyNumberFormat="1" applyFont="1" applyAlignment="1">
      <alignment horizontal="left" vertical="center" wrapText="1"/>
    </xf>
    <xf numFmtId="0" fontId="84" fillId="0" borderId="0" xfId="5" applyFont="1" applyAlignment="1" applyProtection="1">
      <alignment horizontal="left" vertical="center" wrapText="1"/>
      <protection locked="0"/>
    </xf>
    <xf numFmtId="0" fontId="44" fillId="0" borderId="0" xfId="5" applyFont="1" applyAlignment="1" applyProtection="1">
      <alignment horizontal="left" vertical="top" wrapText="1"/>
      <protection locked="0"/>
    </xf>
    <xf numFmtId="0" fontId="44" fillId="0" borderId="0" xfId="5" applyFont="1" applyAlignment="1" applyProtection="1">
      <alignment horizontal="justify" vertical="top" wrapText="1"/>
      <protection locked="0"/>
    </xf>
    <xf numFmtId="180" fontId="82" fillId="0" borderId="0" xfId="5" quotePrefix="1" applyNumberFormat="1" applyFont="1" applyAlignment="1" applyProtection="1">
      <alignment horizontal="left" vertical="center"/>
      <protection locked="0"/>
    </xf>
    <xf numFmtId="180" fontId="82" fillId="0" borderId="0" xfId="5" applyNumberFormat="1" applyFont="1" applyAlignment="1" applyProtection="1">
      <alignment horizontal="left" vertical="center"/>
      <protection locked="0"/>
    </xf>
    <xf numFmtId="0" fontId="44" fillId="0" borderId="0" xfId="5" applyFont="1" applyAlignment="1">
      <alignment horizontal="left" vertical="top" wrapText="1"/>
    </xf>
    <xf numFmtId="0" fontId="78" fillId="0" borderId="0" xfId="5" applyFont="1" applyAlignment="1">
      <alignment horizontal="center"/>
    </xf>
    <xf numFmtId="0" fontId="44" fillId="3" borderId="0" xfId="5" applyFont="1" applyFill="1" applyAlignment="1">
      <alignment horizontal="justify" vertical="center" wrapText="1"/>
    </xf>
    <xf numFmtId="0" fontId="20" fillId="0" borderId="0" xfId="5" applyFont="1" applyAlignment="1">
      <alignment horizontal="left" vertical="center" wrapText="1"/>
    </xf>
    <xf numFmtId="178" fontId="44" fillId="0" borderId="0" xfId="5" applyNumberFormat="1" applyFont="1" applyAlignment="1">
      <alignment horizontal="left" vertical="top" wrapText="1"/>
    </xf>
    <xf numFmtId="2" fontId="108" fillId="2" borderId="0" xfId="0" applyNumberFormat="1" applyFont="1" applyFill="1" applyAlignment="1">
      <alignment horizontal="center" vertical="center"/>
    </xf>
    <xf numFmtId="2" fontId="120" fillId="0" borderId="7" xfId="0" applyNumberFormat="1" applyFont="1" applyBorder="1" applyAlignment="1" applyProtection="1">
      <alignment horizontal="center" vertical="center"/>
      <protection locked="0"/>
    </xf>
    <xf numFmtId="0" fontId="21" fillId="0" borderId="7" xfId="0" quotePrefix="1" applyNumberFormat="1" applyFont="1" applyBorder="1" applyAlignment="1">
      <alignment horizontal="center"/>
    </xf>
    <xf numFmtId="2" fontId="0" fillId="0" borderId="0" xfId="0" applyNumberFormat="1"/>
    <xf numFmtId="0" fontId="15" fillId="0" borderId="20" xfId="0" applyFont="1" applyBorder="1" applyAlignment="1" applyProtection="1">
      <alignment vertical="center"/>
      <protection locked="0"/>
    </xf>
    <xf numFmtId="191" fontId="15" fillId="0" borderId="7" xfId="0" applyNumberFormat="1" applyFont="1" applyBorder="1" applyAlignment="1" applyProtection="1">
      <alignment horizontal="center" vertical="center"/>
      <protection locked="0"/>
    </xf>
    <xf numFmtId="196" fontId="63" fillId="2" borderId="7" xfId="0" applyNumberFormat="1" applyFont="1" applyFill="1" applyBorder="1" applyAlignment="1">
      <alignment horizontal="center" vertical="center"/>
    </xf>
    <xf numFmtId="1" fontId="108" fillId="5" borderId="13" xfId="0" applyNumberFormat="1" applyFont="1" applyFill="1" applyBorder="1" applyAlignment="1" applyProtection="1">
      <alignment horizontal="center" vertical="center"/>
      <protection locked="0"/>
    </xf>
    <xf numFmtId="193" fontId="63" fillId="2" borderId="0" xfId="0" applyNumberFormat="1" applyFont="1" applyFill="1" applyAlignment="1">
      <alignment vertical="center"/>
    </xf>
    <xf numFmtId="0" fontId="63" fillId="2" borderId="11" xfId="0" applyFont="1" applyFill="1" applyBorder="1" applyAlignment="1" applyProtection="1">
      <alignment vertical="center"/>
      <protection locked="0"/>
    </xf>
    <xf numFmtId="0" fontId="63" fillId="2" borderId="15" xfId="0" applyFont="1" applyFill="1" applyBorder="1" applyAlignment="1" applyProtection="1">
      <alignment vertical="center"/>
      <protection locked="0"/>
    </xf>
    <xf numFmtId="165" fontId="120" fillId="0" borderId="7" xfId="0" applyNumberFormat="1" applyFont="1" applyBorder="1" applyAlignment="1" applyProtection="1">
      <alignment horizontal="center" vertical="center"/>
      <protection locked="0"/>
    </xf>
    <xf numFmtId="166" fontId="0" fillId="0" borderId="7" xfId="0" applyNumberFormat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20</xdr:row>
          <xdr:rowOff>0</xdr:rowOff>
        </xdr:from>
        <xdr:to>
          <xdr:col>10</xdr:col>
          <xdr:colOff>431800</xdr:colOff>
          <xdr:row>20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20</xdr:row>
          <xdr:rowOff>0</xdr:rowOff>
        </xdr:from>
        <xdr:to>
          <xdr:col>10</xdr:col>
          <xdr:colOff>431800</xdr:colOff>
          <xdr:row>20</xdr:row>
          <xdr:rowOff>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0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20</xdr:row>
          <xdr:rowOff>0</xdr:rowOff>
        </xdr:from>
        <xdr:to>
          <xdr:col>10</xdr:col>
          <xdr:colOff>431800</xdr:colOff>
          <xdr:row>20</xdr:row>
          <xdr:rowOff>0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20</xdr:row>
          <xdr:rowOff>0</xdr:rowOff>
        </xdr:from>
        <xdr:to>
          <xdr:col>10</xdr:col>
          <xdr:colOff>431800</xdr:colOff>
          <xdr:row>20</xdr:row>
          <xdr:rowOff>0</xdr:rowOff>
        </xdr:to>
        <xdr:sp macro="" textlink="">
          <xdr:nvSpPr>
            <xdr:cNvPr id="12292" name="Object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0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20</xdr:row>
          <xdr:rowOff>0</xdr:rowOff>
        </xdr:from>
        <xdr:to>
          <xdr:col>10</xdr:col>
          <xdr:colOff>431800</xdr:colOff>
          <xdr:row>20</xdr:row>
          <xdr:rowOff>0</xdr:rowOff>
        </xdr:to>
        <xdr:sp macro="" textlink="">
          <xdr:nvSpPr>
            <xdr:cNvPr id="12293" name="Object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20</xdr:row>
          <xdr:rowOff>0</xdr:rowOff>
        </xdr:from>
        <xdr:to>
          <xdr:col>10</xdr:col>
          <xdr:colOff>431800</xdr:colOff>
          <xdr:row>20</xdr:row>
          <xdr:rowOff>0</xdr:rowOff>
        </xdr:to>
        <xdr:sp macro="" textlink="">
          <xdr:nvSpPr>
            <xdr:cNvPr id="12294" name="Object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0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20</xdr:row>
          <xdr:rowOff>0</xdr:rowOff>
        </xdr:from>
        <xdr:to>
          <xdr:col>10</xdr:col>
          <xdr:colOff>431800</xdr:colOff>
          <xdr:row>20</xdr:row>
          <xdr:rowOff>0</xdr:rowOff>
        </xdr:to>
        <xdr:sp macro="" textlink="">
          <xdr:nvSpPr>
            <xdr:cNvPr id="12295" name="Object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0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20</xdr:row>
          <xdr:rowOff>0</xdr:rowOff>
        </xdr:from>
        <xdr:to>
          <xdr:col>10</xdr:col>
          <xdr:colOff>431800</xdr:colOff>
          <xdr:row>20</xdr:row>
          <xdr:rowOff>0</xdr:rowOff>
        </xdr:to>
        <xdr:sp macro="" textlink="">
          <xdr:nvSpPr>
            <xdr:cNvPr id="12296" name="Object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0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20</xdr:row>
          <xdr:rowOff>0</xdr:rowOff>
        </xdr:from>
        <xdr:to>
          <xdr:col>10</xdr:col>
          <xdr:colOff>431800</xdr:colOff>
          <xdr:row>20</xdr:row>
          <xdr:rowOff>0</xdr:rowOff>
        </xdr:to>
        <xdr:sp macro="" textlink="">
          <xdr:nvSpPr>
            <xdr:cNvPr id="12297" name="Object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0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20</xdr:row>
          <xdr:rowOff>0</xdr:rowOff>
        </xdr:from>
        <xdr:to>
          <xdr:col>10</xdr:col>
          <xdr:colOff>431800</xdr:colOff>
          <xdr:row>20</xdr:row>
          <xdr:rowOff>0</xdr:rowOff>
        </xdr:to>
        <xdr:sp macro="" textlink="">
          <xdr:nvSpPr>
            <xdr:cNvPr id="12298" name="Object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0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20</xdr:row>
          <xdr:rowOff>0</xdr:rowOff>
        </xdr:from>
        <xdr:to>
          <xdr:col>10</xdr:col>
          <xdr:colOff>431800</xdr:colOff>
          <xdr:row>20</xdr:row>
          <xdr:rowOff>0</xdr:rowOff>
        </xdr:to>
        <xdr:sp macro="" textlink="">
          <xdr:nvSpPr>
            <xdr:cNvPr id="12299" name="Object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00" name="Object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01" name="Object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0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02" name="Object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0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03" name="Object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0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04" name="Object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0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05" name="Object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0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06" name="Object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0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07" name="Object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0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0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0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0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0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0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13" name="Object 25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0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14" name="Object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0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15" name="Object 27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0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0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17" name="Object 29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0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0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0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20" name="Object 32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0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21" name="Object 33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0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0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23" name="Object 35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0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24" name="Object 36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0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25" name="Object 37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0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26" name="Object 38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0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27" name="Object 39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0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28" name="Object 40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0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29" name="Object 41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0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30" name="Object 42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0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31" name="Object 43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0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32" name="Object 44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0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33" name="Object 45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0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0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0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0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0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38" name="Object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0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39" name="Object 51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0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40" name="Object 52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0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0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0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0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0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45" name="Object 57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0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46" name="Object 58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0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0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0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0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0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0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0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0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0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55" name="Object 67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0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56" name="Object 68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0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57" name="Object 69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0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58" name="Object 70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0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59" name="Object 71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0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60" name="Object 72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0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61" name="Object 73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0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62" name="Object 74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0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63" name="Object 75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0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64" name="Object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0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65" name="Object 77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0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66" name="Object 78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0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67" name="Object 79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0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68" name="Object 80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0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69" name="Object 81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0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70" name="Object 82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0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71" name="Object 83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0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72" name="Object 84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0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73" name="Object 85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0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74" name="Object 86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0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75" name="Object 87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0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431800</xdr:colOff>
          <xdr:row>81</xdr:row>
          <xdr:rowOff>0</xdr:rowOff>
        </xdr:from>
        <xdr:to>
          <xdr:col>10</xdr:col>
          <xdr:colOff>431800</xdr:colOff>
          <xdr:row>81</xdr:row>
          <xdr:rowOff>0</xdr:rowOff>
        </xdr:to>
        <xdr:sp macro="" textlink="">
          <xdr:nvSpPr>
            <xdr:cNvPr id="12376" name="Object 88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0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4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4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4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4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4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21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6155" name="Object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4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56" name="Object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4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57" name="Object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4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4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4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60" name="Object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4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4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4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4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64" name="Object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4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65" name="Object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4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66" name="Object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4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67" name="Object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4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68" name="Object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4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69" name="Object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4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4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71" name="Object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4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72" name="Object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4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73" name="Object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4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74" name="Object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4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75" name="Object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4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76" name="Object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4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77" name="Object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4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78" name="Object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4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79" name="Object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4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80" name="Object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4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81" name="Object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4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82" name="Object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4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83" name="Object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4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84" name="Object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4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85" name="Object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4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86" name="Object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4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87" name="Object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4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88" name="Object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4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89" name="Object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4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90" name="Object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4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91" name="Object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4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92" name="Object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4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93" name="Object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4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94" name="Object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4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95" name="Object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4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96" name="Object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4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97" name="Object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4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98" name="Object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4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199" name="Object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4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00" name="Object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4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01" name="Object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4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02" name="Object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4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03" name="Object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4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04" name="Object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4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05" name="Object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4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06" name="Object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4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07" name="Object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00000000-0008-0000-0400-00003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08" name="Object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00000000-0008-0000-0400-00004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09" name="Object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4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10" name="Object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4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11" name="Object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4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12" name="Object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4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13" name="Object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4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14" name="Object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4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15" name="Object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4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16" name="Object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4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17" name="Object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4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18" name="Object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4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19" name="Object 75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00000000-0008-0000-0400-00004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20" name="Object 76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0000000-0008-0000-0400-00004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21" name="Object 77" hidden="1">
              <a:extLst>
                <a:ext uri="{63B3BB69-23CF-44E3-9099-C40C66FF867C}">
                  <a14:compatExt spid="_x0000_s6221"/>
                </a:ext>
                <a:ext uri="{FF2B5EF4-FFF2-40B4-BE49-F238E27FC236}">
                  <a16:creationId xmlns:a16="http://schemas.microsoft.com/office/drawing/2014/main" id="{00000000-0008-0000-0400-00004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22" name="Object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00000000-0008-0000-0400-00004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23" name="Object 79" hidden="1">
              <a:extLst>
                <a:ext uri="{63B3BB69-23CF-44E3-9099-C40C66FF867C}">
                  <a14:compatExt spid="_x0000_s6223"/>
                </a:ext>
                <a:ext uri="{FF2B5EF4-FFF2-40B4-BE49-F238E27FC236}">
                  <a16:creationId xmlns:a16="http://schemas.microsoft.com/office/drawing/2014/main" id="{00000000-0008-0000-0400-00004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24" name="Object 80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00000000-0008-0000-0400-00005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25" name="Object 81" hidden="1">
              <a:extLst>
                <a:ext uri="{63B3BB69-23CF-44E3-9099-C40C66FF867C}">
                  <a14:compatExt spid="_x0000_s6225"/>
                </a:ext>
                <a:ext uri="{FF2B5EF4-FFF2-40B4-BE49-F238E27FC236}">
                  <a16:creationId xmlns:a16="http://schemas.microsoft.com/office/drawing/2014/main" id="{00000000-0008-0000-0400-00005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26" name="Object 82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00000000-0008-0000-0400-00005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27" name="Object 83" hidden="1">
              <a:extLst>
                <a:ext uri="{63B3BB69-23CF-44E3-9099-C40C66FF867C}">
                  <a14:compatExt spid="_x0000_s6227"/>
                </a:ext>
                <a:ext uri="{FF2B5EF4-FFF2-40B4-BE49-F238E27FC236}">
                  <a16:creationId xmlns:a16="http://schemas.microsoft.com/office/drawing/2014/main" id="{00000000-0008-0000-0400-00005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28" name="Object 84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00000000-0008-0000-0400-00005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29" name="Object 85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00000000-0008-0000-0400-00005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30" name="Object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00000000-0008-0000-0400-00005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31" name="Object 87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00000000-0008-0000-0400-00005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75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6232" name="Object 88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00000000-0008-0000-0400-00005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5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5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5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7412" name="Object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5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7413" name="Object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5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7414" name="Object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5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7415" name="Object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5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7416" name="Object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5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7417" name="Object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5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21</xdr:row>
          <xdr:rowOff>0</xdr:rowOff>
        </xdr:from>
        <xdr:to>
          <xdr:col>10</xdr:col>
          <xdr:colOff>412750</xdr:colOff>
          <xdr:row>21</xdr:row>
          <xdr:rowOff>0</xdr:rowOff>
        </xdr:to>
        <xdr:sp macro="" textlink="">
          <xdr:nvSpPr>
            <xdr:cNvPr id="17418" name="Object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5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21</xdr:row>
          <xdr:rowOff>0</xdr:rowOff>
        </xdr:from>
        <xdr:to>
          <xdr:col>10</xdr:col>
          <xdr:colOff>419100</xdr:colOff>
          <xdr:row>21</xdr:row>
          <xdr:rowOff>0</xdr:rowOff>
        </xdr:to>
        <xdr:sp macro="" textlink="">
          <xdr:nvSpPr>
            <xdr:cNvPr id="17419" name="Object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5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20" name="Object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5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21" name="Object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5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22" name="Object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5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23" name="Object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5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24" name="Object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5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25" name="Object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5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26" name="Object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5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27" name="Object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5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28" name="Object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5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29" name="Object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5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75</xdr:row>
          <xdr:rowOff>0</xdr:rowOff>
        </xdr:from>
        <xdr:to>
          <xdr:col>10</xdr:col>
          <xdr:colOff>419100</xdr:colOff>
          <xdr:row>75</xdr:row>
          <xdr:rowOff>0</xdr:rowOff>
        </xdr:to>
        <xdr:sp macro="" textlink="">
          <xdr:nvSpPr>
            <xdr:cNvPr id="17430" name="Object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5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31" name="Object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5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32" name="Object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5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33" name="Object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5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34" name="Object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5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35" name="Object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5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36" name="Object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5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37" name="Object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5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38" name="Object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5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39" name="Object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5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40" name="Object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5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75</xdr:row>
          <xdr:rowOff>0</xdr:rowOff>
        </xdr:from>
        <xdr:to>
          <xdr:col>10</xdr:col>
          <xdr:colOff>419100</xdr:colOff>
          <xdr:row>75</xdr:row>
          <xdr:rowOff>0</xdr:rowOff>
        </xdr:to>
        <xdr:sp macro="" textlink="">
          <xdr:nvSpPr>
            <xdr:cNvPr id="17441" name="Object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5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42" name="Object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5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43" name="Object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5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44" name="Object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5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45" name="Object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5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46" name="Object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5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47" name="Object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5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48" name="Object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5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49" name="Object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5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50" name="Object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5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51" name="Object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5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75</xdr:row>
          <xdr:rowOff>0</xdr:rowOff>
        </xdr:from>
        <xdr:to>
          <xdr:col>10</xdr:col>
          <xdr:colOff>419100</xdr:colOff>
          <xdr:row>75</xdr:row>
          <xdr:rowOff>0</xdr:rowOff>
        </xdr:to>
        <xdr:sp macro="" textlink="">
          <xdr:nvSpPr>
            <xdr:cNvPr id="17452" name="Object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5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53" name="Object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5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54" name="Object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5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55" name="Object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5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56" name="Object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5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57" name="Object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5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58" name="Object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5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59" name="Object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5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60" name="Object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5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61" name="Object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5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62" name="Object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5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75</xdr:row>
          <xdr:rowOff>0</xdr:rowOff>
        </xdr:from>
        <xdr:to>
          <xdr:col>10</xdr:col>
          <xdr:colOff>419100</xdr:colOff>
          <xdr:row>75</xdr:row>
          <xdr:rowOff>0</xdr:rowOff>
        </xdr:to>
        <xdr:sp macro="" textlink="">
          <xdr:nvSpPr>
            <xdr:cNvPr id="17463" name="Object 55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5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64" name="Object 56" hidden="1">
              <a:extLst>
                <a:ext uri="{63B3BB69-23CF-44E3-9099-C40C66FF867C}">
                  <a14:compatExt spid="_x0000_s17464"/>
                </a:ext>
                <a:ext uri="{FF2B5EF4-FFF2-40B4-BE49-F238E27FC236}">
                  <a16:creationId xmlns:a16="http://schemas.microsoft.com/office/drawing/2014/main" id="{00000000-0008-0000-0500-00003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65" name="Object 57" hidden="1">
              <a:extLst>
                <a:ext uri="{63B3BB69-23CF-44E3-9099-C40C66FF867C}">
                  <a14:compatExt spid="_x0000_s17465"/>
                </a:ext>
                <a:ext uri="{FF2B5EF4-FFF2-40B4-BE49-F238E27FC236}">
                  <a16:creationId xmlns:a16="http://schemas.microsoft.com/office/drawing/2014/main" id="{00000000-0008-0000-0500-00003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66" name="Object 58" hidden="1">
              <a:extLst>
                <a:ext uri="{63B3BB69-23CF-44E3-9099-C40C66FF867C}">
                  <a14:compatExt spid="_x0000_s17466"/>
                </a:ext>
                <a:ext uri="{FF2B5EF4-FFF2-40B4-BE49-F238E27FC236}">
                  <a16:creationId xmlns:a16="http://schemas.microsoft.com/office/drawing/2014/main" id="{00000000-0008-0000-0500-00003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67" name="Object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id="{00000000-0008-0000-05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68" name="Object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id="{00000000-0008-0000-05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69" name="Object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id="{00000000-0008-0000-05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70" name="Object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id="{00000000-0008-0000-05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71" name="Object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id="{00000000-0008-0000-05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72" name="Object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id="{00000000-0008-0000-05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73" name="Object 65" hidden="1">
              <a:extLst>
                <a:ext uri="{63B3BB69-23CF-44E3-9099-C40C66FF867C}">
                  <a14:compatExt spid="_x0000_s17473"/>
                </a:ext>
                <a:ext uri="{FF2B5EF4-FFF2-40B4-BE49-F238E27FC236}">
                  <a16:creationId xmlns:a16="http://schemas.microsoft.com/office/drawing/2014/main" id="{00000000-0008-0000-0500-00004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75</xdr:row>
          <xdr:rowOff>0</xdr:rowOff>
        </xdr:from>
        <xdr:to>
          <xdr:col>10</xdr:col>
          <xdr:colOff>419100</xdr:colOff>
          <xdr:row>75</xdr:row>
          <xdr:rowOff>0</xdr:rowOff>
        </xdr:to>
        <xdr:sp macro="" textlink="">
          <xdr:nvSpPr>
            <xdr:cNvPr id="17474" name="Object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id="{00000000-0008-0000-05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75" name="Object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id="{00000000-0008-0000-05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76" name="Object 68" hidden="1">
              <a:extLst>
                <a:ext uri="{63B3BB69-23CF-44E3-9099-C40C66FF867C}">
                  <a14:compatExt spid="_x0000_s17476"/>
                </a:ext>
                <a:ext uri="{FF2B5EF4-FFF2-40B4-BE49-F238E27FC236}">
                  <a16:creationId xmlns:a16="http://schemas.microsoft.com/office/drawing/2014/main" id="{00000000-0008-0000-0500-00004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77" name="Object 69" hidden="1">
              <a:extLst>
                <a:ext uri="{63B3BB69-23CF-44E3-9099-C40C66FF867C}">
                  <a14:compatExt spid="_x0000_s17477"/>
                </a:ext>
                <a:ext uri="{FF2B5EF4-FFF2-40B4-BE49-F238E27FC236}">
                  <a16:creationId xmlns:a16="http://schemas.microsoft.com/office/drawing/2014/main" id="{00000000-0008-0000-0500-00004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78" name="Object 70" hidden="1">
              <a:extLst>
                <a:ext uri="{63B3BB69-23CF-44E3-9099-C40C66FF867C}">
                  <a14:compatExt spid="_x0000_s17478"/>
                </a:ext>
                <a:ext uri="{FF2B5EF4-FFF2-40B4-BE49-F238E27FC236}">
                  <a16:creationId xmlns:a16="http://schemas.microsoft.com/office/drawing/2014/main" id="{00000000-0008-0000-0500-00004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79" name="Object 71" hidden="1">
              <a:extLst>
                <a:ext uri="{63B3BB69-23CF-44E3-9099-C40C66FF867C}">
                  <a14:compatExt spid="_x0000_s17479"/>
                </a:ext>
                <a:ext uri="{FF2B5EF4-FFF2-40B4-BE49-F238E27FC236}">
                  <a16:creationId xmlns:a16="http://schemas.microsoft.com/office/drawing/2014/main" id="{00000000-0008-0000-0500-00004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80" name="Object 72" hidden="1">
              <a:extLst>
                <a:ext uri="{63B3BB69-23CF-44E3-9099-C40C66FF867C}">
                  <a14:compatExt spid="_x0000_s17480"/>
                </a:ext>
                <a:ext uri="{FF2B5EF4-FFF2-40B4-BE49-F238E27FC236}">
                  <a16:creationId xmlns:a16="http://schemas.microsoft.com/office/drawing/2014/main" id="{00000000-0008-0000-0500-00004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81" name="Object 73" hidden="1">
              <a:extLst>
                <a:ext uri="{63B3BB69-23CF-44E3-9099-C40C66FF867C}">
                  <a14:compatExt spid="_x0000_s17481"/>
                </a:ext>
                <a:ext uri="{FF2B5EF4-FFF2-40B4-BE49-F238E27FC236}">
                  <a16:creationId xmlns:a16="http://schemas.microsoft.com/office/drawing/2014/main" id="{00000000-0008-0000-0500-00004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82" name="Object 74" hidden="1">
              <a:extLst>
                <a:ext uri="{63B3BB69-23CF-44E3-9099-C40C66FF867C}">
                  <a14:compatExt spid="_x0000_s17482"/>
                </a:ext>
                <a:ext uri="{FF2B5EF4-FFF2-40B4-BE49-F238E27FC236}">
                  <a16:creationId xmlns:a16="http://schemas.microsoft.com/office/drawing/2014/main" id="{00000000-0008-0000-0500-00004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83" name="Object 75" hidden="1">
              <a:extLst>
                <a:ext uri="{63B3BB69-23CF-44E3-9099-C40C66FF867C}">
                  <a14:compatExt spid="_x0000_s17483"/>
                </a:ext>
                <a:ext uri="{FF2B5EF4-FFF2-40B4-BE49-F238E27FC236}">
                  <a16:creationId xmlns:a16="http://schemas.microsoft.com/office/drawing/2014/main" id="{00000000-0008-0000-0500-00004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84" name="Object 76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00000000-0008-0000-0500-00004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75</xdr:row>
          <xdr:rowOff>0</xdr:rowOff>
        </xdr:from>
        <xdr:to>
          <xdr:col>10</xdr:col>
          <xdr:colOff>419100</xdr:colOff>
          <xdr:row>75</xdr:row>
          <xdr:rowOff>0</xdr:rowOff>
        </xdr:to>
        <xdr:sp macro="" textlink="">
          <xdr:nvSpPr>
            <xdr:cNvPr id="17485" name="Object 77" hidden="1">
              <a:extLst>
                <a:ext uri="{63B3BB69-23CF-44E3-9099-C40C66FF867C}">
                  <a14:compatExt spid="_x0000_s17485"/>
                </a:ext>
                <a:ext uri="{FF2B5EF4-FFF2-40B4-BE49-F238E27FC236}">
                  <a16:creationId xmlns:a16="http://schemas.microsoft.com/office/drawing/2014/main" id="{00000000-0008-0000-0500-00004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86" name="Object 78" hidden="1">
              <a:extLst>
                <a:ext uri="{63B3BB69-23CF-44E3-9099-C40C66FF867C}">
                  <a14:compatExt spid="_x0000_s17486"/>
                </a:ext>
                <a:ext uri="{FF2B5EF4-FFF2-40B4-BE49-F238E27FC236}">
                  <a16:creationId xmlns:a16="http://schemas.microsoft.com/office/drawing/2014/main" id="{00000000-0008-0000-0500-00004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87" name="Object 79" hidden="1">
              <a:extLst>
                <a:ext uri="{63B3BB69-23CF-44E3-9099-C40C66FF867C}">
                  <a14:compatExt spid="_x0000_s17487"/>
                </a:ext>
                <a:ext uri="{FF2B5EF4-FFF2-40B4-BE49-F238E27FC236}">
                  <a16:creationId xmlns:a16="http://schemas.microsoft.com/office/drawing/2014/main" id="{00000000-0008-0000-0500-00004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88" name="Object 80" hidden="1">
              <a:extLst>
                <a:ext uri="{63B3BB69-23CF-44E3-9099-C40C66FF867C}">
                  <a14:compatExt spid="_x0000_s17488"/>
                </a:ext>
                <a:ext uri="{FF2B5EF4-FFF2-40B4-BE49-F238E27FC236}">
                  <a16:creationId xmlns:a16="http://schemas.microsoft.com/office/drawing/2014/main" id="{00000000-0008-0000-0500-00005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89" name="Object 81" hidden="1">
              <a:extLst>
                <a:ext uri="{63B3BB69-23CF-44E3-9099-C40C66FF867C}">
                  <a14:compatExt spid="_x0000_s17489"/>
                </a:ext>
                <a:ext uri="{FF2B5EF4-FFF2-40B4-BE49-F238E27FC236}">
                  <a16:creationId xmlns:a16="http://schemas.microsoft.com/office/drawing/2014/main" id="{00000000-0008-0000-0500-00005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90" name="Object 82" hidden="1">
              <a:extLst>
                <a:ext uri="{63B3BB69-23CF-44E3-9099-C40C66FF867C}">
                  <a14:compatExt spid="_x0000_s17490"/>
                </a:ext>
                <a:ext uri="{FF2B5EF4-FFF2-40B4-BE49-F238E27FC236}">
                  <a16:creationId xmlns:a16="http://schemas.microsoft.com/office/drawing/2014/main" id="{00000000-0008-0000-0500-00005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91" name="Object 83" hidden="1">
              <a:extLst>
                <a:ext uri="{63B3BB69-23CF-44E3-9099-C40C66FF867C}">
                  <a14:compatExt spid="_x0000_s17491"/>
                </a:ext>
                <a:ext uri="{FF2B5EF4-FFF2-40B4-BE49-F238E27FC236}">
                  <a16:creationId xmlns:a16="http://schemas.microsoft.com/office/drawing/2014/main" id="{00000000-0008-0000-0500-00005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92" name="Object 84" hidden="1">
              <a:extLst>
                <a:ext uri="{63B3BB69-23CF-44E3-9099-C40C66FF867C}">
                  <a14:compatExt spid="_x0000_s17492"/>
                </a:ext>
                <a:ext uri="{FF2B5EF4-FFF2-40B4-BE49-F238E27FC236}">
                  <a16:creationId xmlns:a16="http://schemas.microsoft.com/office/drawing/2014/main" id="{00000000-0008-0000-0500-00005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93" name="Object 85" hidden="1">
              <a:extLst>
                <a:ext uri="{63B3BB69-23CF-44E3-9099-C40C66FF867C}">
                  <a14:compatExt spid="_x0000_s17493"/>
                </a:ext>
                <a:ext uri="{FF2B5EF4-FFF2-40B4-BE49-F238E27FC236}">
                  <a16:creationId xmlns:a16="http://schemas.microsoft.com/office/drawing/2014/main" id="{00000000-0008-0000-0500-00005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94" name="Object 86" hidden="1">
              <a:extLst>
                <a:ext uri="{63B3BB69-23CF-44E3-9099-C40C66FF867C}">
                  <a14:compatExt spid="_x0000_s17494"/>
                </a:ext>
                <a:ext uri="{FF2B5EF4-FFF2-40B4-BE49-F238E27FC236}">
                  <a16:creationId xmlns:a16="http://schemas.microsoft.com/office/drawing/2014/main" id="{00000000-0008-0000-0500-00005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75</xdr:row>
          <xdr:rowOff>0</xdr:rowOff>
        </xdr:from>
        <xdr:to>
          <xdr:col>10</xdr:col>
          <xdr:colOff>412750</xdr:colOff>
          <xdr:row>75</xdr:row>
          <xdr:rowOff>0</xdr:rowOff>
        </xdr:to>
        <xdr:sp macro="" textlink="">
          <xdr:nvSpPr>
            <xdr:cNvPr id="17495" name="Object 87" hidden="1">
              <a:extLst>
                <a:ext uri="{63B3BB69-23CF-44E3-9099-C40C66FF867C}">
                  <a14:compatExt spid="_x0000_s17495"/>
                </a:ext>
                <a:ext uri="{FF2B5EF4-FFF2-40B4-BE49-F238E27FC236}">
                  <a16:creationId xmlns:a16="http://schemas.microsoft.com/office/drawing/2014/main" id="{00000000-0008-0000-0500-00005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75</xdr:row>
          <xdr:rowOff>0</xdr:rowOff>
        </xdr:from>
        <xdr:to>
          <xdr:col>10</xdr:col>
          <xdr:colOff>419100</xdr:colOff>
          <xdr:row>75</xdr:row>
          <xdr:rowOff>0</xdr:rowOff>
        </xdr:to>
        <xdr:sp macro="" textlink="">
          <xdr:nvSpPr>
            <xdr:cNvPr id="17496" name="Object 88" hidden="1">
              <a:extLst>
                <a:ext uri="{63B3BB69-23CF-44E3-9099-C40C66FF867C}">
                  <a14:compatExt spid="_x0000_s17496"/>
                </a:ext>
                <a:ext uri="{FF2B5EF4-FFF2-40B4-BE49-F238E27FC236}">
                  <a16:creationId xmlns:a16="http://schemas.microsoft.com/office/drawing/2014/main" id="{00000000-0008-0000-0500-00005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ram\Documents\Soft%20Laragon%20Tambah\New%20folder\Infusion_Pump-04-01-2023.xlsx" TargetMode="External"/><Relationship Id="rId1" Type="http://schemas.openxmlformats.org/officeDocument/2006/relationships/externalLinkPath" Target="/Users/isram/Documents/Soft%20Laragon%20Tambah/New%20folder/Infusion_Pump-04-01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DATA%20BPFK\LABORATORIUM%20FLOW%20DAN%20VOLUME\10.%20SOFTWARE%20LAB%20VOLUME%20&amp;%20LK\MASTER%20TH%202021\MASTER%20THERMOHYG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ram\Documents\Soft%20Laragon%20Tambah\sudah%20cek\Doppler\15-9-2023\Doppler-18-9-2023.xlsx" TargetMode="External"/><Relationship Id="rId1" Type="http://schemas.openxmlformats.org/officeDocument/2006/relationships/externalLinkPath" Target="/Users/isram/Documents/Soft%20Laragon%20Tambah/sudah%20cek/Doppler/15-9-2023/Doppler-18-9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K"/>
      <sheetName val="Riwayat Revisi"/>
      <sheetName val="UB"/>
      <sheetName val="PENYELIA"/>
      <sheetName val="ID"/>
      <sheetName val="LH"/>
      <sheetName val="DB Kelistrikan"/>
      <sheetName val="DB IDA"/>
      <sheetName val="SERTIFIKAT"/>
      <sheetName val="DB Thermohygro"/>
      <sheetName val="SCORING"/>
    </sheetNames>
    <sheetDataSet>
      <sheetData sheetId="0"/>
      <sheetData sheetId="1"/>
      <sheetData sheetId="2"/>
      <sheetData sheetId="3"/>
      <sheetData sheetId="4">
        <row r="17">
          <cell r="E17">
            <v>21</v>
          </cell>
          <cell r="F17">
            <v>21.4</v>
          </cell>
        </row>
        <row r="18">
          <cell r="E18">
            <v>70</v>
          </cell>
          <cell r="F18">
            <v>70.7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K"/>
      <sheetName val="INPUT DATA"/>
      <sheetName val="UB"/>
      <sheetName val="PENYELIA"/>
      <sheetName val="LHK"/>
      <sheetName val="DB Thermohygro"/>
      <sheetName val="DB Gas Analyzer"/>
      <sheetName val="SCORING"/>
    </sheetNames>
    <sheetDataSet>
      <sheetData sheetId="0"/>
      <sheetData sheetId="1">
        <row r="17">
          <cell r="E17">
            <v>1013</v>
          </cell>
          <cell r="F17">
            <v>1010.1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TIFIKAT"/>
      <sheetName val="Lembar Kerja"/>
      <sheetName val="Riwayat Revisi"/>
      <sheetName val="UB"/>
      <sheetName val="ID"/>
      <sheetName val="LH"/>
      <sheetName val="DB ESA"/>
      <sheetName val="DB Thermohygro"/>
      <sheetName val="Penyelia"/>
      <sheetName val="FORECAST"/>
      <sheetName val="DATA SERTIFIKAT PS320"/>
      <sheetName val="cetik"/>
      <sheetName val="kesimpu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4">
          <cell r="B54" t="str">
            <v>Alat yang dikalibrasi dalam batas toleransi dan dinyatakan LAIK PAKAI, dimana hasil atau skor akhir sama dengan atau melampaui 70 % berdasarkan Keputusan Direktur Jenderal Pelayanan Kesehatan No : HK.02.02/V/0412/2020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26" Type="http://schemas.openxmlformats.org/officeDocument/2006/relationships/oleObject" Target="../embeddings/oleObject22.bin"/><Relationship Id="rId39" Type="http://schemas.openxmlformats.org/officeDocument/2006/relationships/oleObject" Target="../embeddings/oleObject35.bin"/><Relationship Id="rId21" Type="http://schemas.openxmlformats.org/officeDocument/2006/relationships/oleObject" Target="../embeddings/oleObject17.bin"/><Relationship Id="rId34" Type="http://schemas.openxmlformats.org/officeDocument/2006/relationships/oleObject" Target="../embeddings/oleObject30.bin"/><Relationship Id="rId42" Type="http://schemas.openxmlformats.org/officeDocument/2006/relationships/oleObject" Target="../embeddings/oleObject38.bin"/><Relationship Id="rId47" Type="http://schemas.openxmlformats.org/officeDocument/2006/relationships/oleObject" Target="../embeddings/oleObject43.bin"/><Relationship Id="rId50" Type="http://schemas.openxmlformats.org/officeDocument/2006/relationships/oleObject" Target="../embeddings/oleObject46.bin"/><Relationship Id="rId55" Type="http://schemas.openxmlformats.org/officeDocument/2006/relationships/oleObject" Target="../embeddings/oleObject51.bin"/><Relationship Id="rId63" Type="http://schemas.openxmlformats.org/officeDocument/2006/relationships/oleObject" Target="../embeddings/oleObject59.bin"/><Relationship Id="rId68" Type="http://schemas.openxmlformats.org/officeDocument/2006/relationships/oleObject" Target="../embeddings/oleObject64.bin"/><Relationship Id="rId76" Type="http://schemas.openxmlformats.org/officeDocument/2006/relationships/oleObject" Target="../embeddings/oleObject72.bin"/><Relationship Id="rId84" Type="http://schemas.openxmlformats.org/officeDocument/2006/relationships/oleObject" Target="../embeddings/oleObject80.bin"/><Relationship Id="rId89" Type="http://schemas.openxmlformats.org/officeDocument/2006/relationships/oleObject" Target="../embeddings/oleObject85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9" Type="http://schemas.openxmlformats.org/officeDocument/2006/relationships/oleObject" Target="../embeddings/oleObject25.bin"/><Relationship Id="rId11" Type="http://schemas.openxmlformats.org/officeDocument/2006/relationships/oleObject" Target="../embeddings/oleObject7.bin"/><Relationship Id="rId24" Type="http://schemas.openxmlformats.org/officeDocument/2006/relationships/oleObject" Target="../embeddings/oleObject20.bin"/><Relationship Id="rId32" Type="http://schemas.openxmlformats.org/officeDocument/2006/relationships/oleObject" Target="../embeddings/oleObject28.bin"/><Relationship Id="rId37" Type="http://schemas.openxmlformats.org/officeDocument/2006/relationships/oleObject" Target="../embeddings/oleObject33.bin"/><Relationship Id="rId40" Type="http://schemas.openxmlformats.org/officeDocument/2006/relationships/oleObject" Target="../embeddings/oleObject36.bin"/><Relationship Id="rId45" Type="http://schemas.openxmlformats.org/officeDocument/2006/relationships/oleObject" Target="../embeddings/oleObject41.bin"/><Relationship Id="rId53" Type="http://schemas.openxmlformats.org/officeDocument/2006/relationships/oleObject" Target="../embeddings/oleObject49.bin"/><Relationship Id="rId58" Type="http://schemas.openxmlformats.org/officeDocument/2006/relationships/oleObject" Target="../embeddings/oleObject54.bin"/><Relationship Id="rId66" Type="http://schemas.openxmlformats.org/officeDocument/2006/relationships/oleObject" Target="../embeddings/oleObject62.bin"/><Relationship Id="rId74" Type="http://schemas.openxmlformats.org/officeDocument/2006/relationships/oleObject" Target="../embeddings/oleObject70.bin"/><Relationship Id="rId79" Type="http://schemas.openxmlformats.org/officeDocument/2006/relationships/oleObject" Target="../embeddings/oleObject75.bin"/><Relationship Id="rId87" Type="http://schemas.openxmlformats.org/officeDocument/2006/relationships/oleObject" Target="../embeddings/oleObject83.bin"/><Relationship Id="rId5" Type="http://schemas.openxmlformats.org/officeDocument/2006/relationships/image" Target="../media/image1.emf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90" Type="http://schemas.openxmlformats.org/officeDocument/2006/relationships/oleObject" Target="../embeddings/oleObject86.bin"/><Relationship Id="rId19" Type="http://schemas.openxmlformats.org/officeDocument/2006/relationships/oleObject" Target="../embeddings/oleObject15.bin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8.bin"/><Relationship Id="rId27" Type="http://schemas.openxmlformats.org/officeDocument/2006/relationships/oleObject" Target="../embeddings/oleObject23.bin"/><Relationship Id="rId30" Type="http://schemas.openxmlformats.org/officeDocument/2006/relationships/oleObject" Target="../embeddings/oleObject26.bin"/><Relationship Id="rId35" Type="http://schemas.openxmlformats.org/officeDocument/2006/relationships/oleObject" Target="../embeddings/oleObject31.bin"/><Relationship Id="rId43" Type="http://schemas.openxmlformats.org/officeDocument/2006/relationships/oleObject" Target="../embeddings/oleObject39.bin"/><Relationship Id="rId48" Type="http://schemas.openxmlformats.org/officeDocument/2006/relationships/oleObject" Target="../embeddings/oleObject44.bin"/><Relationship Id="rId56" Type="http://schemas.openxmlformats.org/officeDocument/2006/relationships/oleObject" Target="../embeddings/oleObject52.bin"/><Relationship Id="rId64" Type="http://schemas.openxmlformats.org/officeDocument/2006/relationships/oleObject" Target="../embeddings/oleObject60.bin"/><Relationship Id="rId69" Type="http://schemas.openxmlformats.org/officeDocument/2006/relationships/oleObject" Target="../embeddings/oleObject65.bin"/><Relationship Id="rId77" Type="http://schemas.openxmlformats.org/officeDocument/2006/relationships/oleObject" Target="../embeddings/oleObject73.bin"/><Relationship Id="rId8" Type="http://schemas.openxmlformats.org/officeDocument/2006/relationships/oleObject" Target="../embeddings/oleObject4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80" Type="http://schemas.openxmlformats.org/officeDocument/2006/relationships/oleObject" Target="../embeddings/oleObject76.bin"/><Relationship Id="rId85" Type="http://schemas.openxmlformats.org/officeDocument/2006/relationships/oleObject" Target="../embeddings/oleObject81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5" Type="http://schemas.openxmlformats.org/officeDocument/2006/relationships/oleObject" Target="../embeddings/oleObject21.bin"/><Relationship Id="rId33" Type="http://schemas.openxmlformats.org/officeDocument/2006/relationships/oleObject" Target="../embeddings/oleObject29.bin"/><Relationship Id="rId38" Type="http://schemas.openxmlformats.org/officeDocument/2006/relationships/oleObject" Target="../embeddings/oleObject34.bin"/><Relationship Id="rId46" Type="http://schemas.openxmlformats.org/officeDocument/2006/relationships/oleObject" Target="../embeddings/oleObject42.bin"/><Relationship Id="rId59" Type="http://schemas.openxmlformats.org/officeDocument/2006/relationships/oleObject" Target="../embeddings/oleObject55.bin"/><Relationship Id="rId67" Type="http://schemas.openxmlformats.org/officeDocument/2006/relationships/oleObject" Target="../embeddings/oleObject63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54" Type="http://schemas.openxmlformats.org/officeDocument/2006/relationships/oleObject" Target="../embeddings/oleObject50.bin"/><Relationship Id="rId62" Type="http://schemas.openxmlformats.org/officeDocument/2006/relationships/oleObject" Target="../embeddings/oleObject58.bin"/><Relationship Id="rId70" Type="http://schemas.openxmlformats.org/officeDocument/2006/relationships/oleObject" Target="../embeddings/oleObject66.bin"/><Relationship Id="rId75" Type="http://schemas.openxmlformats.org/officeDocument/2006/relationships/oleObject" Target="../embeddings/oleObject71.bin"/><Relationship Id="rId83" Type="http://schemas.openxmlformats.org/officeDocument/2006/relationships/oleObject" Target="../embeddings/oleObject79.bin"/><Relationship Id="rId88" Type="http://schemas.openxmlformats.org/officeDocument/2006/relationships/oleObject" Target="../embeddings/oleObject84.bin"/><Relationship Id="rId91" Type="http://schemas.openxmlformats.org/officeDocument/2006/relationships/oleObject" Target="../embeddings/oleObject8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11.bin"/><Relationship Id="rId23" Type="http://schemas.openxmlformats.org/officeDocument/2006/relationships/oleObject" Target="../embeddings/oleObject19.bin"/><Relationship Id="rId28" Type="http://schemas.openxmlformats.org/officeDocument/2006/relationships/oleObject" Target="../embeddings/oleObject24.bin"/><Relationship Id="rId36" Type="http://schemas.openxmlformats.org/officeDocument/2006/relationships/oleObject" Target="../embeddings/oleObject32.bin"/><Relationship Id="rId49" Type="http://schemas.openxmlformats.org/officeDocument/2006/relationships/oleObject" Target="../embeddings/oleObject45.bin"/><Relationship Id="rId57" Type="http://schemas.openxmlformats.org/officeDocument/2006/relationships/oleObject" Target="../embeddings/oleObject5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44" Type="http://schemas.openxmlformats.org/officeDocument/2006/relationships/oleObject" Target="../embeddings/oleObject40.bin"/><Relationship Id="rId52" Type="http://schemas.openxmlformats.org/officeDocument/2006/relationships/oleObject" Target="../embeddings/oleObject48.bin"/><Relationship Id="rId60" Type="http://schemas.openxmlformats.org/officeDocument/2006/relationships/oleObject" Target="../embeddings/oleObject56.bin"/><Relationship Id="rId65" Type="http://schemas.openxmlformats.org/officeDocument/2006/relationships/oleObject" Target="../embeddings/oleObject61.bin"/><Relationship Id="rId73" Type="http://schemas.openxmlformats.org/officeDocument/2006/relationships/oleObject" Target="../embeddings/oleObject69.bin"/><Relationship Id="rId78" Type="http://schemas.openxmlformats.org/officeDocument/2006/relationships/oleObject" Target="../embeddings/oleObject74.bin"/><Relationship Id="rId81" Type="http://schemas.openxmlformats.org/officeDocument/2006/relationships/oleObject" Target="../embeddings/oleObject77.bin"/><Relationship Id="rId86" Type="http://schemas.openxmlformats.org/officeDocument/2006/relationships/oleObject" Target="../embeddings/oleObject82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97.bin"/><Relationship Id="rId18" Type="http://schemas.openxmlformats.org/officeDocument/2006/relationships/oleObject" Target="../embeddings/oleObject102.bin"/><Relationship Id="rId26" Type="http://schemas.openxmlformats.org/officeDocument/2006/relationships/oleObject" Target="../embeddings/oleObject110.bin"/><Relationship Id="rId39" Type="http://schemas.openxmlformats.org/officeDocument/2006/relationships/oleObject" Target="../embeddings/oleObject123.bin"/><Relationship Id="rId21" Type="http://schemas.openxmlformats.org/officeDocument/2006/relationships/oleObject" Target="../embeddings/oleObject105.bin"/><Relationship Id="rId34" Type="http://schemas.openxmlformats.org/officeDocument/2006/relationships/oleObject" Target="../embeddings/oleObject118.bin"/><Relationship Id="rId42" Type="http://schemas.openxmlformats.org/officeDocument/2006/relationships/oleObject" Target="../embeddings/oleObject126.bin"/><Relationship Id="rId47" Type="http://schemas.openxmlformats.org/officeDocument/2006/relationships/oleObject" Target="../embeddings/oleObject131.bin"/><Relationship Id="rId50" Type="http://schemas.openxmlformats.org/officeDocument/2006/relationships/oleObject" Target="../embeddings/oleObject134.bin"/><Relationship Id="rId55" Type="http://schemas.openxmlformats.org/officeDocument/2006/relationships/oleObject" Target="../embeddings/oleObject139.bin"/><Relationship Id="rId63" Type="http://schemas.openxmlformats.org/officeDocument/2006/relationships/oleObject" Target="../embeddings/oleObject147.bin"/><Relationship Id="rId68" Type="http://schemas.openxmlformats.org/officeDocument/2006/relationships/oleObject" Target="../embeddings/oleObject152.bin"/><Relationship Id="rId76" Type="http://schemas.openxmlformats.org/officeDocument/2006/relationships/oleObject" Target="../embeddings/oleObject160.bin"/><Relationship Id="rId84" Type="http://schemas.openxmlformats.org/officeDocument/2006/relationships/oleObject" Target="../embeddings/oleObject168.bin"/><Relationship Id="rId89" Type="http://schemas.openxmlformats.org/officeDocument/2006/relationships/oleObject" Target="../embeddings/oleObject173.bin"/><Relationship Id="rId7" Type="http://schemas.openxmlformats.org/officeDocument/2006/relationships/oleObject" Target="../embeddings/oleObject91.bin"/><Relationship Id="rId71" Type="http://schemas.openxmlformats.org/officeDocument/2006/relationships/oleObject" Target="../embeddings/oleObject155.bin"/><Relationship Id="rId92" Type="http://schemas.openxmlformats.org/officeDocument/2006/relationships/oleObject" Target="../embeddings/oleObject176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00.bin"/><Relationship Id="rId29" Type="http://schemas.openxmlformats.org/officeDocument/2006/relationships/oleObject" Target="../embeddings/oleObject113.bin"/><Relationship Id="rId11" Type="http://schemas.openxmlformats.org/officeDocument/2006/relationships/oleObject" Target="../embeddings/oleObject95.bin"/><Relationship Id="rId24" Type="http://schemas.openxmlformats.org/officeDocument/2006/relationships/oleObject" Target="../embeddings/oleObject108.bin"/><Relationship Id="rId32" Type="http://schemas.openxmlformats.org/officeDocument/2006/relationships/oleObject" Target="../embeddings/oleObject116.bin"/><Relationship Id="rId37" Type="http://schemas.openxmlformats.org/officeDocument/2006/relationships/oleObject" Target="../embeddings/oleObject121.bin"/><Relationship Id="rId40" Type="http://schemas.openxmlformats.org/officeDocument/2006/relationships/oleObject" Target="../embeddings/oleObject124.bin"/><Relationship Id="rId45" Type="http://schemas.openxmlformats.org/officeDocument/2006/relationships/oleObject" Target="../embeddings/oleObject129.bin"/><Relationship Id="rId53" Type="http://schemas.openxmlformats.org/officeDocument/2006/relationships/oleObject" Target="../embeddings/oleObject137.bin"/><Relationship Id="rId58" Type="http://schemas.openxmlformats.org/officeDocument/2006/relationships/oleObject" Target="../embeddings/oleObject142.bin"/><Relationship Id="rId66" Type="http://schemas.openxmlformats.org/officeDocument/2006/relationships/oleObject" Target="../embeddings/oleObject150.bin"/><Relationship Id="rId74" Type="http://schemas.openxmlformats.org/officeDocument/2006/relationships/oleObject" Target="../embeddings/oleObject158.bin"/><Relationship Id="rId79" Type="http://schemas.openxmlformats.org/officeDocument/2006/relationships/oleObject" Target="../embeddings/oleObject163.bin"/><Relationship Id="rId87" Type="http://schemas.openxmlformats.org/officeDocument/2006/relationships/oleObject" Target="../embeddings/oleObject171.bin"/><Relationship Id="rId5" Type="http://schemas.openxmlformats.org/officeDocument/2006/relationships/image" Target="../media/image1.emf"/><Relationship Id="rId61" Type="http://schemas.openxmlformats.org/officeDocument/2006/relationships/oleObject" Target="../embeddings/oleObject145.bin"/><Relationship Id="rId82" Type="http://schemas.openxmlformats.org/officeDocument/2006/relationships/oleObject" Target="../embeddings/oleObject166.bin"/><Relationship Id="rId90" Type="http://schemas.openxmlformats.org/officeDocument/2006/relationships/oleObject" Target="../embeddings/oleObject174.bin"/><Relationship Id="rId19" Type="http://schemas.openxmlformats.org/officeDocument/2006/relationships/oleObject" Target="../embeddings/oleObject103.bin"/><Relationship Id="rId14" Type="http://schemas.openxmlformats.org/officeDocument/2006/relationships/oleObject" Target="../embeddings/oleObject98.bin"/><Relationship Id="rId22" Type="http://schemas.openxmlformats.org/officeDocument/2006/relationships/oleObject" Target="../embeddings/oleObject106.bin"/><Relationship Id="rId27" Type="http://schemas.openxmlformats.org/officeDocument/2006/relationships/oleObject" Target="../embeddings/oleObject111.bin"/><Relationship Id="rId30" Type="http://schemas.openxmlformats.org/officeDocument/2006/relationships/oleObject" Target="../embeddings/oleObject114.bin"/><Relationship Id="rId35" Type="http://schemas.openxmlformats.org/officeDocument/2006/relationships/oleObject" Target="../embeddings/oleObject119.bin"/><Relationship Id="rId43" Type="http://schemas.openxmlformats.org/officeDocument/2006/relationships/oleObject" Target="../embeddings/oleObject127.bin"/><Relationship Id="rId48" Type="http://schemas.openxmlformats.org/officeDocument/2006/relationships/oleObject" Target="../embeddings/oleObject132.bin"/><Relationship Id="rId56" Type="http://schemas.openxmlformats.org/officeDocument/2006/relationships/oleObject" Target="../embeddings/oleObject140.bin"/><Relationship Id="rId64" Type="http://schemas.openxmlformats.org/officeDocument/2006/relationships/oleObject" Target="../embeddings/oleObject148.bin"/><Relationship Id="rId69" Type="http://schemas.openxmlformats.org/officeDocument/2006/relationships/oleObject" Target="../embeddings/oleObject153.bin"/><Relationship Id="rId77" Type="http://schemas.openxmlformats.org/officeDocument/2006/relationships/oleObject" Target="../embeddings/oleObject161.bin"/><Relationship Id="rId8" Type="http://schemas.openxmlformats.org/officeDocument/2006/relationships/oleObject" Target="../embeddings/oleObject92.bin"/><Relationship Id="rId51" Type="http://schemas.openxmlformats.org/officeDocument/2006/relationships/oleObject" Target="../embeddings/oleObject135.bin"/><Relationship Id="rId72" Type="http://schemas.openxmlformats.org/officeDocument/2006/relationships/oleObject" Target="../embeddings/oleObject156.bin"/><Relationship Id="rId80" Type="http://schemas.openxmlformats.org/officeDocument/2006/relationships/oleObject" Target="../embeddings/oleObject164.bin"/><Relationship Id="rId85" Type="http://schemas.openxmlformats.org/officeDocument/2006/relationships/oleObject" Target="../embeddings/oleObject169.bin"/><Relationship Id="rId93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96.bin"/><Relationship Id="rId17" Type="http://schemas.openxmlformats.org/officeDocument/2006/relationships/oleObject" Target="../embeddings/oleObject101.bin"/><Relationship Id="rId25" Type="http://schemas.openxmlformats.org/officeDocument/2006/relationships/oleObject" Target="../embeddings/oleObject109.bin"/><Relationship Id="rId33" Type="http://schemas.openxmlformats.org/officeDocument/2006/relationships/oleObject" Target="../embeddings/oleObject117.bin"/><Relationship Id="rId38" Type="http://schemas.openxmlformats.org/officeDocument/2006/relationships/oleObject" Target="../embeddings/oleObject122.bin"/><Relationship Id="rId46" Type="http://schemas.openxmlformats.org/officeDocument/2006/relationships/oleObject" Target="../embeddings/oleObject130.bin"/><Relationship Id="rId59" Type="http://schemas.openxmlformats.org/officeDocument/2006/relationships/oleObject" Target="../embeddings/oleObject143.bin"/><Relationship Id="rId67" Type="http://schemas.openxmlformats.org/officeDocument/2006/relationships/oleObject" Target="../embeddings/oleObject151.bin"/><Relationship Id="rId20" Type="http://schemas.openxmlformats.org/officeDocument/2006/relationships/oleObject" Target="../embeddings/oleObject104.bin"/><Relationship Id="rId41" Type="http://schemas.openxmlformats.org/officeDocument/2006/relationships/oleObject" Target="../embeddings/oleObject125.bin"/><Relationship Id="rId54" Type="http://schemas.openxmlformats.org/officeDocument/2006/relationships/oleObject" Target="../embeddings/oleObject138.bin"/><Relationship Id="rId62" Type="http://schemas.openxmlformats.org/officeDocument/2006/relationships/oleObject" Target="../embeddings/oleObject146.bin"/><Relationship Id="rId70" Type="http://schemas.openxmlformats.org/officeDocument/2006/relationships/oleObject" Target="../embeddings/oleObject154.bin"/><Relationship Id="rId75" Type="http://schemas.openxmlformats.org/officeDocument/2006/relationships/oleObject" Target="../embeddings/oleObject159.bin"/><Relationship Id="rId83" Type="http://schemas.openxmlformats.org/officeDocument/2006/relationships/oleObject" Target="../embeddings/oleObject167.bin"/><Relationship Id="rId88" Type="http://schemas.openxmlformats.org/officeDocument/2006/relationships/oleObject" Target="../embeddings/oleObject172.bin"/><Relationship Id="rId91" Type="http://schemas.openxmlformats.org/officeDocument/2006/relationships/oleObject" Target="../embeddings/oleObject17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90.bin"/><Relationship Id="rId15" Type="http://schemas.openxmlformats.org/officeDocument/2006/relationships/oleObject" Target="../embeddings/oleObject99.bin"/><Relationship Id="rId23" Type="http://schemas.openxmlformats.org/officeDocument/2006/relationships/oleObject" Target="../embeddings/oleObject107.bin"/><Relationship Id="rId28" Type="http://schemas.openxmlformats.org/officeDocument/2006/relationships/oleObject" Target="../embeddings/oleObject112.bin"/><Relationship Id="rId36" Type="http://schemas.openxmlformats.org/officeDocument/2006/relationships/oleObject" Target="../embeddings/oleObject120.bin"/><Relationship Id="rId49" Type="http://schemas.openxmlformats.org/officeDocument/2006/relationships/oleObject" Target="../embeddings/oleObject133.bin"/><Relationship Id="rId57" Type="http://schemas.openxmlformats.org/officeDocument/2006/relationships/oleObject" Target="../embeddings/oleObject141.bin"/><Relationship Id="rId10" Type="http://schemas.openxmlformats.org/officeDocument/2006/relationships/oleObject" Target="../embeddings/oleObject94.bin"/><Relationship Id="rId31" Type="http://schemas.openxmlformats.org/officeDocument/2006/relationships/oleObject" Target="../embeddings/oleObject115.bin"/><Relationship Id="rId44" Type="http://schemas.openxmlformats.org/officeDocument/2006/relationships/oleObject" Target="../embeddings/oleObject128.bin"/><Relationship Id="rId52" Type="http://schemas.openxmlformats.org/officeDocument/2006/relationships/oleObject" Target="../embeddings/oleObject136.bin"/><Relationship Id="rId60" Type="http://schemas.openxmlformats.org/officeDocument/2006/relationships/oleObject" Target="../embeddings/oleObject144.bin"/><Relationship Id="rId65" Type="http://schemas.openxmlformats.org/officeDocument/2006/relationships/oleObject" Target="../embeddings/oleObject149.bin"/><Relationship Id="rId73" Type="http://schemas.openxmlformats.org/officeDocument/2006/relationships/oleObject" Target="../embeddings/oleObject157.bin"/><Relationship Id="rId78" Type="http://schemas.openxmlformats.org/officeDocument/2006/relationships/oleObject" Target="../embeddings/oleObject162.bin"/><Relationship Id="rId81" Type="http://schemas.openxmlformats.org/officeDocument/2006/relationships/oleObject" Target="../embeddings/oleObject165.bin"/><Relationship Id="rId86" Type="http://schemas.openxmlformats.org/officeDocument/2006/relationships/oleObject" Target="../embeddings/oleObject170.bin"/><Relationship Id="rId4" Type="http://schemas.openxmlformats.org/officeDocument/2006/relationships/oleObject" Target="../embeddings/oleObject89.bin"/><Relationship Id="rId9" Type="http://schemas.openxmlformats.org/officeDocument/2006/relationships/oleObject" Target="../embeddings/oleObject9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85.bin"/><Relationship Id="rId18" Type="http://schemas.openxmlformats.org/officeDocument/2006/relationships/oleObject" Target="../embeddings/oleObject190.bin"/><Relationship Id="rId26" Type="http://schemas.openxmlformats.org/officeDocument/2006/relationships/oleObject" Target="../embeddings/oleObject198.bin"/><Relationship Id="rId39" Type="http://schemas.openxmlformats.org/officeDocument/2006/relationships/oleObject" Target="../embeddings/oleObject211.bin"/><Relationship Id="rId21" Type="http://schemas.openxmlformats.org/officeDocument/2006/relationships/oleObject" Target="../embeddings/oleObject193.bin"/><Relationship Id="rId34" Type="http://schemas.openxmlformats.org/officeDocument/2006/relationships/oleObject" Target="../embeddings/oleObject206.bin"/><Relationship Id="rId42" Type="http://schemas.openxmlformats.org/officeDocument/2006/relationships/oleObject" Target="../embeddings/oleObject214.bin"/><Relationship Id="rId47" Type="http://schemas.openxmlformats.org/officeDocument/2006/relationships/oleObject" Target="../embeddings/oleObject219.bin"/><Relationship Id="rId50" Type="http://schemas.openxmlformats.org/officeDocument/2006/relationships/oleObject" Target="../embeddings/oleObject222.bin"/><Relationship Id="rId55" Type="http://schemas.openxmlformats.org/officeDocument/2006/relationships/oleObject" Target="../embeddings/oleObject227.bin"/><Relationship Id="rId63" Type="http://schemas.openxmlformats.org/officeDocument/2006/relationships/oleObject" Target="../embeddings/oleObject235.bin"/><Relationship Id="rId68" Type="http://schemas.openxmlformats.org/officeDocument/2006/relationships/oleObject" Target="../embeddings/oleObject240.bin"/><Relationship Id="rId76" Type="http://schemas.openxmlformats.org/officeDocument/2006/relationships/oleObject" Target="../embeddings/oleObject248.bin"/><Relationship Id="rId84" Type="http://schemas.openxmlformats.org/officeDocument/2006/relationships/oleObject" Target="../embeddings/oleObject256.bin"/><Relationship Id="rId89" Type="http://schemas.openxmlformats.org/officeDocument/2006/relationships/oleObject" Target="../embeddings/oleObject261.bin"/><Relationship Id="rId7" Type="http://schemas.openxmlformats.org/officeDocument/2006/relationships/oleObject" Target="../embeddings/oleObject179.bin"/><Relationship Id="rId71" Type="http://schemas.openxmlformats.org/officeDocument/2006/relationships/oleObject" Target="../embeddings/oleObject243.bin"/><Relationship Id="rId92" Type="http://schemas.openxmlformats.org/officeDocument/2006/relationships/oleObject" Target="../embeddings/oleObject264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88.bin"/><Relationship Id="rId29" Type="http://schemas.openxmlformats.org/officeDocument/2006/relationships/oleObject" Target="../embeddings/oleObject201.bin"/><Relationship Id="rId11" Type="http://schemas.openxmlformats.org/officeDocument/2006/relationships/oleObject" Target="../embeddings/oleObject183.bin"/><Relationship Id="rId24" Type="http://schemas.openxmlformats.org/officeDocument/2006/relationships/oleObject" Target="../embeddings/oleObject196.bin"/><Relationship Id="rId32" Type="http://schemas.openxmlformats.org/officeDocument/2006/relationships/oleObject" Target="../embeddings/oleObject204.bin"/><Relationship Id="rId37" Type="http://schemas.openxmlformats.org/officeDocument/2006/relationships/oleObject" Target="../embeddings/oleObject209.bin"/><Relationship Id="rId40" Type="http://schemas.openxmlformats.org/officeDocument/2006/relationships/oleObject" Target="../embeddings/oleObject212.bin"/><Relationship Id="rId45" Type="http://schemas.openxmlformats.org/officeDocument/2006/relationships/oleObject" Target="../embeddings/oleObject217.bin"/><Relationship Id="rId53" Type="http://schemas.openxmlformats.org/officeDocument/2006/relationships/oleObject" Target="../embeddings/oleObject225.bin"/><Relationship Id="rId58" Type="http://schemas.openxmlformats.org/officeDocument/2006/relationships/oleObject" Target="../embeddings/oleObject230.bin"/><Relationship Id="rId66" Type="http://schemas.openxmlformats.org/officeDocument/2006/relationships/oleObject" Target="../embeddings/oleObject238.bin"/><Relationship Id="rId74" Type="http://schemas.openxmlformats.org/officeDocument/2006/relationships/oleObject" Target="../embeddings/oleObject246.bin"/><Relationship Id="rId79" Type="http://schemas.openxmlformats.org/officeDocument/2006/relationships/oleObject" Target="../embeddings/oleObject251.bin"/><Relationship Id="rId87" Type="http://schemas.openxmlformats.org/officeDocument/2006/relationships/oleObject" Target="../embeddings/oleObject259.bin"/><Relationship Id="rId5" Type="http://schemas.openxmlformats.org/officeDocument/2006/relationships/image" Target="../media/image1.emf"/><Relationship Id="rId61" Type="http://schemas.openxmlformats.org/officeDocument/2006/relationships/oleObject" Target="../embeddings/oleObject233.bin"/><Relationship Id="rId82" Type="http://schemas.openxmlformats.org/officeDocument/2006/relationships/oleObject" Target="../embeddings/oleObject254.bin"/><Relationship Id="rId90" Type="http://schemas.openxmlformats.org/officeDocument/2006/relationships/oleObject" Target="../embeddings/oleObject262.bin"/><Relationship Id="rId19" Type="http://schemas.openxmlformats.org/officeDocument/2006/relationships/oleObject" Target="../embeddings/oleObject191.bin"/><Relationship Id="rId14" Type="http://schemas.openxmlformats.org/officeDocument/2006/relationships/oleObject" Target="../embeddings/oleObject186.bin"/><Relationship Id="rId22" Type="http://schemas.openxmlformats.org/officeDocument/2006/relationships/oleObject" Target="../embeddings/oleObject194.bin"/><Relationship Id="rId27" Type="http://schemas.openxmlformats.org/officeDocument/2006/relationships/oleObject" Target="../embeddings/oleObject199.bin"/><Relationship Id="rId30" Type="http://schemas.openxmlformats.org/officeDocument/2006/relationships/oleObject" Target="../embeddings/oleObject202.bin"/><Relationship Id="rId35" Type="http://schemas.openxmlformats.org/officeDocument/2006/relationships/oleObject" Target="../embeddings/oleObject207.bin"/><Relationship Id="rId43" Type="http://schemas.openxmlformats.org/officeDocument/2006/relationships/oleObject" Target="../embeddings/oleObject215.bin"/><Relationship Id="rId48" Type="http://schemas.openxmlformats.org/officeDocument/2006/relationships/oleObject" Target="../embeddings/oleObject220.bin"/><Relationship Id="rId56" Type="http://schemas.openxmlformats.org/officeDocument/2006/relationships/oleObject" Target="../embeddings/oleObject228.bin"/><Relationship Id="rId64" Type="http://schemas.openxmlformats.org/officeDocument/2006/relationships/oleObject" Target="../embeddings/oleObject236.bin"/><Relationship Id="rId69" Type="http://schemas.openxmlformats.org/officeDocument/2006/relationships/oleObject" Target="../embeddings/oleObject241.bin"/><Relationship Id="rId77" Type="http://schemas.openxmlformats.org/officeDocument/2006/relationships/oleObject" Target="../embeddings/oleObject249.bin"/><Relationship Id="rId8" Type="http://schemas.openxmlformats.org/officeDocument/2006/relationships/oleObject" Target="../embeddings/oleObject180.bin"/><Relationship Id="rId51" Type="http://schemas.openxmlformats.org/officeDocument/2006/relationships/oleObject" Target="../embeddings/oleObject223.bin"/><Relationship Id="rId72" Type="http://schemas.openxmlformats.org/officeDocument/2006/relationships/oleObject" Target="../embeddings/oleObject244.bin"/><Relationship Id="rId80" Type="http://schemas.openxmlformats.org/officeDocument/2006/relationships/oleObject" Target="../embeddings/oleObject252.bin"/><Relationship Id="rId85" Type="http://schemas.openxmlformats.org/officeDocument/2006/relationships/oleObject" Target="../embeddings/oleObject257.bin"/><Relationship Id="rId3" Type="http://schemas.openxmlformats.org/officeDocument/2006/relationships/vmlDrawing" Target="../drawings/vmlDrawing3.vml"/><Relationship Id="rId12" Type="http://schemas.openxmlformats.org/officeDocument/2006/relationships/oleObject" Target="../embeddings/oleObject184.bin"/><Relationship Id="rId17" Type="http://schemas.openxmlformats.org/officeDocument/2006/relationships/oleObject" Target="../embeddings/oleObject189.bin"/><Relationship Id="rId25" Type="http://schemas.openxmlformats.org/officeDocument/2006/relationships/oleObject" Target="../embeddings/oleObject197.bin"/><Relationship Id="rId33" Type="http://schemas.openxmlformats.org/officeDocument/2006/relationships/oleObject" Target="../embeddings/oleObject205.bin"/><Relationship Id="rId38" Type="http://schemas.openxmlformats.org/officeDocument/2006/relationships/oleObject" Target="../embeddings/oleObject210.bin"/><Relationship Id="rId46" Type="http://schemas.openxmlformats.org/officeDocument/2006/relationships/oleObject" Target="../embeddings/oleObject218.bin"/><Relationship Id="rId59" Type="http://schemas.openxmlformats.org/officeDocument/2006/relationships/oleObject" Target="../embeddings/oleObject231.bin"/><Relationship Id="rId67" Type="http://schemas.openxmlformats.org/officeDocument/2006/relationships/oleObject" Target="../embeddings/oleObject239.bin"/><Relationship Id="rId20" Type="http://schemas.openxmlformats.org/officeDocument/2006/relationships/oleObject" Target="../embeddings/oleObject192.bin"/><Relationship Id="rId41" Type="http://schemas.openxmlformats.org/officeDocument/2006/relationships/oleObject" Target="../embeddings/oleObject213.bin"/><Relationship Id="rId54" Type="http://schemas.openxmlformats.org/officeDocument/2006/relationships/oleObject" Target="../embeddings/oleObject226.bin"/><Relationship Id="rId62" Type="http://schemas.openxmlformats.org/officeDocument/2006/relationships/oleObject" Target="../embeddings/oleObject234.bin"/><Relationship Id="rId70" Type="http://schemas.openxmlformats.org/officeDocument/2006/relationships/oleObject" Target="../embeddings/oleObject242.bin"/><Relationship Id="rId75" Type="http://schemas.openxmlformats.org/officeDocument/2006/relationships/oleObject" Target="../embeddings/oleObject247.bin"/><Relationship Id="rId83" Type="http://schemas.openxmlformats.org/officeDocument/2006/relationships/oleObject" Target="../embeddings/oleObject255.bin"/><Relationship Id="rId88" Type="http://schemas.openxmlformats.org/officeDocument/2006/relationships/oleObject" Target="../embeddings/oleObject260.bin"/><Relationship Id="rId91" Type="http://schemas.openxmlformats.org/officeDocument/2006/relationships/oleObject" Target="../embeddings/oleObject263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78.bin"/><Relationship Id="rId15" Type="http://schemas.openxmlformats.org/officeDocument/2006/relationships/oleObject" Target="../embeddings/oleObject187.bin"/><Relationship Id="rId23" Type="http://schemas.openxmlformats.org/officeDocument/2006/relationships/oleObject" Target="../embeddings/oleObject195.bin"/><Relationship Id="rId28" Type="http://schemas.openxmlformats.org/officeDocument/2006/relationships/oleObject" Target="../embeddings/oleObject200.bin"/><Relationship Id="rId36" Type="http://schemas.openxmlformats.org/officeDocument/2006/relationships/oleObject" Target="../embeddings/oleObject208.bin"/><Relationship Id="rId49" Type="http://schemas.openxmlformats.org/officeDocument/2006/relationships/oleObject" Target="../embeddings/oleObject221.bin"/><Relationship Id="rId57" Type="http://schemas.openxmlformats.org/officeDocument/2006/relationships/oleObject" Target="../embeddings/oleObject229.bin"/><Relationship Id="rId10" Type="http://schemas.openxmlformats.org/officeDocument/2006/relationships/oleObject" Target="../embeddings/oleObject182.bin"/><Relationship Id="rId31" Type="http://schemas.openxmlformats.org/officeDocument/2006/relationships/oleObject" Target="../embeddings/oleObject203.bin"/><Relationship Id="rId44" Type="http://schemas.openxmlformats.org/officeDocument/2006/relationships/oleObject" Target="../embeddings/oleObject216.bin"/><Relationship Id="rId52" Type="http://schemas.openxmlformats.org/officeDocument/2006/relationships/oleObject" Target="../embeddings/oleObject224.bin"/><Relationship Id="rId60" Type="http://schemas.openxmlformats.org/officeDocument/2006/relationships/oleObject" Target="../embeddings/oleObject232.bin"/><Relationship Id="rId65" Type="http://schemas.openxmlformats.org/officeDocument/2006/relationships/oleObject" Target="../embeddings/oleObject237.bin"/><Relationship Id="rId73" Type="http://schemas.openxmlformats.org/officeDocument/2006/relationships/oleObject" Target="../embeddings/oleObject245.bin"/><Relationship Id="rId78" Type="http://schemas.openxmlformats.org/officeDocument/2006/relationships/oleObject" Target="../embeddings/oleObject250.bin"/><Relationship Id="rId81" Type="http://schemas.openxmlformats.org/officeDocument/2006/relationships/oleObject" Target="../embeddings/oleObject253.bin"/><Relationship Id="rId86" Type="http://schemas.openxmlformats.org/officeDocument/2006/relationships/oleObject" Target="../embeddings/oleObject258.bin"/><Relationship Id="rId4" Type="http://schemas.openxmlformats.org/officeDocument/2006/relationships/oleObject" Target="../embeddings/oleObject177.bin"/><Relationship Id="rId9" Type="http://schemas.openxmlformats.org/officeDocument/2006/relationships/oleObject" Target="../embeddings/oleObject18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showGridLines="0" view="pageBreakPreview" topLeftCell="A36" zoomScale="93" zoomScaleNormal="106" zoomScaleSheetLayoutView="93" workbookViewId="0">
      <selection activeCell="G49" sqref="G49"/>
    </sheetView>
  </sheetViews>
  <sheetFormatPr defaultColWidth="9.1796875" defaultRowHeight="15.5" x14ac:dyDescent="0.25"/>
  <cols>
    <col min="1" max="1" width="4" style="19" customWidth="1"/>
    <col min="2" max="2" width="4.1796875" style="19" customWidth="1"/>
    <col min="3" max="3" width="17" style="19" customWidth="1"/>
    <col min="4" max="4" width="13.453125" style="19" customWidth="1"/>
    <col min="5" max="5" width="2.1796875" style="19" customWidth="1"/>
    <col min="6" max="6" width="15.54296875" style="19" customWidth="1"/>
    <col min="7" max="7" width="18.1796875" style="19" customWidth="1"/>
    <col min="8" max="8" width="9" style="19" customWidth="1"/>
    <col min="9" max="9" width="9.453125" style="19" customWidth="1"/>
    <col min="10" max="10" width="9" style="19" customWidth="1"/>
    <col min="11" max="11" width="9.81640625" style="19" customWidth="1"/>
    <col min="12" max="12" width="18.453125" style="19" customWidth="1"/>
    <col min="13" max="13" width="7.1796875" style="19" customWidth="1"/>
    <col min="14" max="14" width="6.81640625" style="19" customWidth="1"/>
    <col min="15" max="24" width="4.81640625" style="19" customWidth="1"/>
    <col min="25" max="16384" width="9.1796875" style="19"/>
  </cols>
  <sheetData>
    <row r="1" spans="1:14" ht="18.75" customHeight="1" x14ac:dyDescent="0.25">
      <c r="A1" s="781" t="s">
        <v>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18"/>
    </row>
    <row r="2" spans="1:14" ht="17.25" customHeight="1" x14ac:dyDescent="0.25">
      <c r="A2" s="782" t="s">
        <v>1</v>
      </c>
      <c r="B2" s="782"/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4"/>
    </row>
    <row r="3" spans="1:14" ht="15.7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x14ac:dyDescent="0.25">
      <c r="A4" s="163" t="s">
        <v>2</v>
      </c>
      <c r="C4" s="163"/>
      <c r="D4" s="163"/>
      <c r="E4" s="163" t="s">
        <v>3</v>
      </c>
      <c r="F4" s="790"/>
      <c r="G4" s="790"/>
      <c r="H4" s="790"/>
      <c r="I4" s="790"/>
      <c r="J4" s="790"/>
      <c r="K4" s="790"/>
      <c r="L4" s="163"/>
      <c r="M4" s="10"/>
    </row>
    <row r="5" spans="1:14" x14ac:dyDescent="0.25">
      <c r="A5" s="163" t="s">
        <v>4</v>
      </c>
      <c r="C5" s="163"/>
      <c r="D5" s="163"/>
      <c r="E5" s="163" t="s">
        <v>3</v>
      </c>
      <c r="F5" s="790"/>
      <c r="G5" s="790"/>
      <c r="H5" s="790"/>
      <c r="I5" s="790"/>
      <c r="J5" s="790"/>
      <c r="K5" s="790"/>
      <c r="L5" s="163"/>
      <c r="M5" s="10"/>
    </row>
    <row r="6" spans="1:14" x14ac:dyDescent="0.25">
      <c r="A6" s="163" t="s">
        <v>5</v>
      </c>
      <c r="C6" s="163"/>
      <c r="D6" s="163"/>
      <c r="E6" s="163" t="s">
        <v>3</v>
      </c>
      <c r="F6" s="163"/>
      <c r="G6" s="163"/>
      <c r="H6" s="163"/>
      <c r="I6" s="163"/>
      <c r="J6" s="163"/>
      <c r="K6" s="163"/>
      <c r="L6" s="163"/>
      <c r="M6" s="10"/>
    </row>
    <row r="7" spans="1:14" x14ac:dyDescent="0.25">
      <c r="A7" s="163" t="s">
        <v>6</v>
      </c>
      <c r="C7" s="163"/>
      <c r="D7" s="163"/>
      <c r="E7" s="163" t="s">
        <v>3</v>
      </c>
      <c r="F7" s="163"/>
      <c r="G7" s="163"/>
      <c r="H7" s="163"/>
      <c r="I7" s="163"/>
      <c r="J7" s="163"/>
      <c r="K7" s="163"/>
      <c r="L7" s="163"/>
      <c r="M7" s="10"/>
    </row>
    <row r="8" spans="1:14" x14ac:dyDescent="0.25">
      <c r="A8" s="163" t="s">
        <v>7</v>
      </c>
      <c r="C8" s="163"/>
      <c r="D8" s="163"/>
      <c r="E8" s="163" t="s">
        <v>3</v>
      </c>
      <c r="F8" s="163"/>
      <c r="G8" s="163"/>
      <c r="H8" s="163"/>
      <c r="I8" s="163"/>
      <c r="J8" s="163"/>
      <c r="K8" s="163"/>
      <c r="L8" s="163"/>
      <c r="M8" s="10"/>
    </row>
    <row r="9" spans="1:14" x14ac:dyDescent="0.25">
      <c r="A9" s="163" t="s">
        <v>8</v>
      </c>
      <c r="C9" s="163"/>
      <c r="D9" s="163"/>
      <c r="E9" s="163" t="s">
        <v>3</v>
      </c>
      <c r="F9" s="163"/>
      <c r="G9" s="163"/>
      <c r="H9" s="163"/>
      <c r="I9" s="163"/>
      <c r="J9" s="163"/>
      <c r="K9" s="163"/>
      <c r="L9" s="163"/>
      <c r="M9" s="10"/>
    </row>
    <row r="10" spans="1:14" x14ac:dyDescent="0.25">
      <c r="A10" s="163" t="s">
        <v>9</v>
      </c>
      <c r="C10" s="163"/>
      <c r="D10" s="163"/>
      <c r="E10" s="163" t="s">
        <v>3</v>
      </c>
      <c r="F10" s="163"/>
      <c r="G10" s="163"/>
      <c r="H10" s="163"/>
      <c r="I10" s="163"/>
      <c r="J10" s="163"/>
      <c r="K10" s="163"/>
      <c r="L10" s="163"/>
      <c r="M10" s="10"/>
    </row>
    <row r="11" spans="1:14" x14ac:dyDescent="0.25"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0"/>
    </row>
    <row r="12" spans="1:14" ht="15" customHeight="1" x14ac:dyDescent="0.25"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0"/>
    </row>
    <row r="13" spans="1:14" x14ac:dyDescent="0.25">
      <c r="A13" s="164" t="s">
        <v>10</v>
      </c>
      <c r="B13" s="164" t="s">
        <v>11</v>
      </c>
      <c r="D13" s="164"/>
      <c r="E13" s="164"/>
      <c r="F13" s="165" t="s">
        <v>12</v>
      </c>
      <c r="G13" s="165" t="s">
        <v>13</v>
      </c>
      <c r="H13" s="164"/>
      <c r="I13" s="164"/>
      <c r="J13" s="164"/>
      <c r="K13" s="164"/>
      <c r="L13" s="164"/>
      <c r="M13" s="10"/>
    </row>
    <row r="14" spans="1:14" ht="18.5" x14ac:dyDescent="0.25">
      <c r="B14" s="163" t="s">
        <v>14</v>
      </c>
      <c r="D14" s="163"/>
      <c r="E14" s="163"/>
      <c r="F14" s="166"/>
      <c r="G14" s="166"/>
      <c r="H14" s="167" t="s">
        <v>15</v>
      </c>
      <c r="I14" s="163"/>
      <c r="J14" s="163"/>
      <c r="K14" s="163"/>
      <c r="L14" s="163"/>
      <c r="M14" s="10"/>
    </row>
    <row r="15" spans="1:14" x14ac:dyDescent="0.25">
      <c r="B15" s="163" t="s">
        <v>16</v>
      </c>
      <c r="D15" s="163"/>
      <c r="E15" s="163"/>
      <c r="F15" s="168"/>
      <c r="G15" s="168"/>
      <c r="H15" s="163" t="s">
        <v>17</v>
      </c>
      <c r="I15" s="163"/>
      <c r="J15" s="163"/>
      <c r="K15" s="163"/>
      <c r="L15" s="163"/>
      <c r="M15" s="10"/>
    </row>
    <row r="16" spans="1:14" x14ac:dyDescent="0.25">
      <c r="B16" s="163" t="s">
        <v>18</v>
      </c>
      <c r="D16" s="163"/>
      <c r="E16" s="163" t="s">
        <v>19</v>
      </c>
      <c r="F16" s="788"/>
      <c r="G16" s="788"/>
      <c r="H16" s="163" t="s">
        <v>20</v>
      </c>
      <c r="I16" s="163"/>
      <c r="J16" s="163"/>
      <c r="K16" s="163"/>
      <c r="L16" s="163"/>
      <c r="M16" s="10"/>
    </row>
    <row r="17" spans="1:29" ht="6.75" customHeight="1" x14ac:dyDescent="0.25"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0"/>
    </row>
    <row r="18" spans="1:29" x14ac:dyDescent="0.25">
      <c r="A18" s="164" t="s">
        <v>21</v>
      </c>
      <c r="B18" s="164" t="s">
        <v>22</v>
      </c>
      <c r="D18" s="164"/>
      <c r="E18" s="164"/>
      <c r="F18" s="164"/>
      <c r="G18" s="164"/>
      <c r="H18" s="164"/>
      <c r="I18" s="164"/>
      <c r="J18" s="164"/>
      <c r="K18" s="164"/>
      <c r="L18" s="163"/>
      <c r="M18" s="248" t="s">
        <v>23</v>
      </c>
    </row>
    <row r="19" spans="1:29" x14ac:dyDescent="0.25">
      <c r="B19" s="163" t="s">
        <v>24</v>
      </c>
      <c r="D19" s="163"/>
      <c r="E19" s="163" t="s">
        <v>3</v>
      </c>
      <c r="F19" s="163" t="s">
        <v>25</v>
      </c>
      <c r="G19" s="163"/>
      <c r="H19" s="163"/>
      <c r="I19" s="163"/>
      <c r="J19" s="163"/>
      <c r="K19" s="163"/>
      <c r="L19" s="163"/>
      <c r="M19" s="247">
        <v>0.05</v>
      </c>
    </row>
    <row r="20" spans="1:29" x14ac:dyDescent="0.25">
      <c r="B20" s="163" t="s">
        <v>26</v>
      </c>
      <c r="D20" s="163"/>
      <c r="E20" s="163" t="s">
        <v>19</v>
      </c>
      <c r="F20" s="163" t="s">
        <v>25</v>
      </c>
      <c r="G20" s="163"/>
      <c r="H20" s="163"/>
      <c r="I20" s="163"/>
      <c r="J20" s="163"/>
      <c r="K20" s="163"/>
      <c r="L20" s="163"/>
      <c r="M20" s="247">
        <v>0.05</v>
      </c>
    </row>
    <row r="21" spans="1:29" ht="7.5" customHeight="1" x14ac:dyDescent="0.25"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0"/>
    </row>
    <row r="22" spans="1:29" x14ac:dyDescent="0.25">
      <c r="A22" s="164" t="s">
        <v>27</v>
      </c>
      <c r="B22" s="164" t="s">
        <v>28</v>
      </c>
      <c r="D22" s="163"/>
      <c r="E22" s="163"/>
      <c r="F22" s="163"/>
      <c r="G22" s="169"/>
      <c r="H22" s="170"/>
      <c r="I22" s="171"/>
      <c r="J22" s="163"/>
      <c r="K22" s="163"/>
      <c r="L22" s="163"/>
      <c r="M22" s="10"/>
    </row>
    <row r="23" spans="1:29" ht="15" customHeight="1" x14ac:dyDescent="0.25">
      <c r="B23" s="810" t="s">
        <v>29</v>
      </c>
      <c r="C23" s="271" t="s">
        <v>30</v>
      </c>
      <c r="D23" s="272"/>
      <c r="E23" s="272"/>
      <c r="F23" s="272"/>
      <c r="G23" s="272"/>
      <c r="H23" s="272"/>
      <c r="I23" s="272"/>
      <c r="J23" s="812" t="s">
        <v>31</v>
      </c>
      <c r="K23" s="812"/>
      <c r="L23" s="172" t="s">
        <v>32</v>
      </c>
    </row>
    <row r="24" spans="1:29" ht="17.25" customHeight="1" x14ac:dyDescent="0.25">
      <c r="B24" s="811"/>
      <c r="C24" s="273"/>
      <c r="D24" s="274"/>
      <c r="E24" s="274"/>
      <c r="F24" s="274"/>
      <c r="G24" s="274"/>
      <c r="H24" s="274"/>
      <c r="I24" s="274"/>
      <c r="J24" s="812"/>
      <c r="K24" s="812"/>
      <c r="L24" s="173" t="s">
        <v>33</v>
      </c>
      <c r="M24" s="248" t="s">
        <v>23</v>
      </c>
    </row>
    <row r="25" spans="1:29" ht="20.25" customHeight="1" x14ac:dyDescent="0.25">
      <c r="B25" s="174">
        <v>1</v>
      </c>
      <c r="C25" s="157" t="s">
        <v>34</v>
      </c>
      <c r="D25" s="158"/>
      <c r="E25" s="158"/>
      <c r="F25" s="158"/>
      <c r="G25" s="158"/>
      <c r="H25" s="158"/>
      <c r="I25" s="175"/>
      <c r="J25" s="809" t="s">
        <v>35</v>
      </c>
      <c r="K25" s="809"/>
      <c r="L25" s="283" t="s">
        <v>36</v>
      </c>
      <c r="M25" s="246">
        <v>0.1</v>
      </c>
    </row>
    <row r="26" spans="1:29" ht="20.25" customHeight="1" x14ac:dyDescent="0.25">
      <c r="B26" s="177">
        <v>2</v>
      </c>
      <c r="C26" s="159" t="s">
        <v>37</v>
      </c>
      <c r="D26" s="160"/>
      <c r="E26" s="161"/>
      <c r="F26" s="161"/>
      <c r="G26" s="161"/>
      <c r="H26" s="162"/>
      <c r="I26" s="178"/>
      <c r="J26" s="809" t="s">
        <v>38</v>
      </c>
      <c r="K26" s="809"/>
      <c r="L26" s="216" t="s">
        <v>39</v>
      </c>
      <c r="M26" s="246">
        <v>0.1</v>
      </c>
    </row>
    <row r="27" spans="1:29" ht="20.25" customHeight="1" x14ac:dyDescent="0.25">
      <c r="B27" s="177">
        <v>3</v>
      </c>
      <c r="C27" s="159" t="s">
        <v>40</v>
      </c>
      <c r="D27" s="204"/>
      <c r="E27" s="204"/>
      <c r="F27" s="204"/>
      <c r="G27" s="204"/>
      <c r="H27" s="204"/>
      <c r="I27" s="204"/>
      <c r="J27" s="809" t="s">
        <v>41</v>
      </c>
      <c r="K27" s="809"/>
      <c r="L27" s="176" t="s">
        <v>42</v>
      </c>
      <c r="M27" s="246">
        <v>0.2</v>
      </c>
    </row>
    <row r="28" spans="1:29" ht="15" customHeight="1" x14ac:dyDescent="0.25">
      <c r="B28" s="16"/>
      <c r="C28" s="163"/>
      <c r="D28" s="163"/>
      <c r="E28" s="163"/>
      <c r="F28" s="163"/>
      <c r="G28" s="163"/>
      <c r="H28" s="163"/>
      <c r="I28" s="163"/>
      <c r="J28" s="163"/>
      <c r="K28" s="163"/>
      <c r="L28" s="179"/>
      <c r="M28" s="20"/>
      <c r="P28" s="21"/>
      <c r="Q28" s="21"/>
      <c r="T28" s="22"/>
      <c r="U28" s="23"/>
      <c r="V28" s="24"/>
    </row>
    <row r="29" spans="1:29" x14ac:dyDescent="0.25">
      <c r="A29" s="164" t="s">
        <v>43</v>
      </c>
      <c r="B29" s="164" t="s">
        <v>44</v>
      </c>
      <c r="D29" s="164"/>
      <c r="E29" s="164"/>
      <c r="F29" s="164"/>
      <c r="G29" s="164"/>
      <c r="H29" s="16"/>
      <c r="I29" s="163"/>
      <c r="J29" s="163"/>
      <c r="K29" s="163"/>
      <c r="L29" s="163"/>
      <c r="M29" s="10"/>
      <c r="P29" s="16"/>
      <c r="Q29" s="790"/>
      <c r="R29" s="790"/>
      <c r="S29" s="790"/>
      <c r="T29" s="790"/>
      <c r="U29" s="790"/>
      <c r="V29" s="790"/>
      <c r="W29" s="790"/>
      <c r="X29" s="790"/>
      <c r="Y29" s="790"/>
      <c r="Z29" s="783"/>
      <c r="AA29" s="783"/>
      <c r="AB29" s="783"/>
      <c r="AC29" s="783"/>
    </row>
    <row r="30" spans="1:29" ht="24.75" customHeight="1" x14ac:dyDescent="0.25">
      <c r="B30" s="165" t="s">
        <v>29</v>
      </c>
      <c r="C30" s="791" t="s">
        <v>30</v>
      </c>
      <c r="D30" s="791"/>
      <c r="E30" s="791"/>
      <c r="F30" s="803" t="s">
        <v>45</v>
      </c>
      <c r="G30" s="804"/>
      <c r="H30" s="804"/>
      <c r="I30" s="805"/>
      <c r="J30" s="791" t="s">
        <v>46</v>
      </c>
      <c r="K30" s="791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A30" s="17"/>
      <c r="AB30" s="17"/>
      <c r="AC30" s="17"/>
    </row>
    <row r="31" spans="1:29" ht="15" customHeight="1" x14ac:dyDescent="0.25">
      <c r="B31" s="786">
        <v>1</v>
      </c>
      <c r="C31" s="792" t="s">
        <v>47</v>
      </c>
      <c r="D31" s="793"/>
      <c r="E31" s="794"/>
      <c r="F31" s="180" t="s">
        <v>48</v>
      </c>
      <c r="G31" s="181"/>
      <c r="H31" s="181"/>
      <c r="I31" s="185"/>
      <c r="J31" s="789" t="s">
        <v>49</v>
      </c>
      <c r="K31" s="789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17"/>
      <c r="AB31" s="17"/>
      <c r="AC31" s="17"/>
    </row>
    <row r="32" spans="1:29" ht="15.75" customHeight="1" x14ac:dyDescent="0.25">
      <c r="B32" s="787"/>
      <c r="C32" s="795"/>
      <c r="D32" s="796"/>
      <c r="E32" s="797"/>
      <c r="F32" s="183" t="s">
        <v>50</v>
      </c>
      <c r="G32" s="163"/>
      <c r="H32" s="163"/>
      <c r="I32" s="260"/>
      <c r="J32" s="789"/>
      <c r="K32" s="789"/>
      <c r="M32" s="267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7"/>
      <c r="AA32" s="17"/>
      <c r="AB32" s="17"/>
      <c r="AC32" s="17"/>
    </row>
    <row r="33" spans="1:29" ht="15" customHeight="1" x14ac:dyDescent="0.25">
      <c r="B33" s="786">
        <v>2</v>
      </c>
      <c r="C33" s="792" t="s">
        <v>51</v>
      </c>
      <c r="D33" s="793"/>
      <c r="E33" s="794"/>
      <c r="F33" s="180" t="s">
        <v>52</v>
      </c>
      <c r="G33" s="181"/>
      <c r="H33" s="181"/>
      <c r="I33" s="185"/>
      <c r="J33" s="789" t="s">
        <v>53</v>
      </c>
      <c r="K33" s="789"/>
      <c r="M33" s="267"/>
      <c r="S33" s="16"/>
      <c r="T33" s="16"/>
      <c r="U33" s="16"/>
      <c r="V33" s="16"/>
      <c r="W33" s="16"/>
      <c r="X33" s="16"/>
      <c r="Y33" s="16"/>
      <c r="Z33" s="17"/>
      <c r="AA33" s="17"/>
      <c r="AB33" s="17"/>
      <c r="AC33" s="17"/>
    </row>
    <row r="34" spans="1:29" ht="15.75" customHeight="1" x14ac:dyDescent="0.25">
      <c r="B34" s="787"/>
      <c r="C34" s="801"/>
      <c r="D34" s="790"/>
      <c r="E34" s="802"/>
      <c r="F34" s="182" t="s">
        <v>54</v>
      </c>
      <c r="G34" s="184"/>
      <c r="H34" s="184"/>
      <c r="I34" s="186"/>
      <c r="J34" s="789"/>
      <c r="K34" s="789"/>
      <c r="M34" s="267"/>
      <c r="S34" s="16"/>
      <c r="T34" s="16"/>
      <c r="U34" s="16"/>
      <c r="V34" s="16"/>
      <c r="W34" s="16"/>
      <c r="X34" s="16"/>
      <c r="Y34" s="16"/>
      <c r="Z34" s="17"/>
      <c r="AA34" s="17"/>
      <c r="AB34" s="17"/>
      <c r="AC34" s="17"/>
    </row>
    <row r="35" spans="1:29" ht="29.25" customHeight="1" x14ac:dyDescent="0.25">
      <c r="B35" s="786">
        <v>3</v>
      </c>
      <c r="C35" s="792" t="s">
        <v>55</v>
      </c>
      <c r="D35" s="793"/>
      <c r="E35" s="794"/>
      <c r="F35" s="261" t="s">
        <v>56</v>
      </c>
      <c r="G35" s="178"/>
      <c r="H35" s="178"/>
      <c r="I35" s="262"/>
      <c r="J35" s="798" t="s">
        <v>57</v>
      </c>
      <c r="K35" s="799"/>
      <c r="M35" s="267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7"/>
      <c r="AA35" s="17"/>
      <c r="AB35" s="17"/>
      <c r="AC35" s="17"/>
    </row>
    <row r="36" spans="1:29" ht="35.25" customHeight="1" x14ac:dyDescent="0.25">
      <c r="B36" s="787"/>
      <c r="C36" s="795"/>
      <c r="D36" s="796"/>
      <c r="E36" s="797"/>
      <c r="F36" s="183" t="s">
        <v>58</v>
      </c>
      <c r="G36" s="184"/>
      <c r="H36" s="184"/>
      <c r="I36" s="186"/>
      <c r="J36" s="798" t="s">
        <v>59</v>
      </c>
      <c r="K36" s="799"/>
      <c r="M36" s="267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7"/>
      <c r="AA36" s="17"/>
      <c r="AB36" s="17"/>
      <c r="AC36" s="17"/>
    </row>
    <row r="37" spans="1:29" ht="9" customHeight="1" x14ac:dyDescent="0.25">
      <c r="B37" s="16"/>
      <c r="C37" s="16"/>
      <c r="D37" s="16"/>
      <c r="E37" s="16"/>
      <c r="F37" s="179"/>
      <c r="G37" s="179"/>
      <c r="H37" s="179"/>
      <c r="I37" s="179"/>
      <c r="J37" s="179"/>
      <c r="K37" s="16"/>
      <c r="L37" s="16"/>
      <c r="M37" s="267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7"/>
      <c r="AA37" s="17"/>
      <c r="AB37" s="17"/>
      <c r="AC37" s="17"/>
    </row>
    <row r="38" spans="1:29" ht="15.75" customHeight="1" x14ac:dyDescent="0.25">
      <c r="B38" s="789" t="s">
        <v>29</v>
      </c>
      <c r="C38" s="789" t="s">
        <v>30</v>
      </c>
      <c r="D38" s="789"/>
      <c r="E38" s="789"/>
      <c r="F38" s="789" t="s">
        <v>60</v>
      </c>
      <c r="G38" s="789"/>
      <c r="H38" s="789" t="s">
        <v>61</v>
      </c>
      <c r="I38" s="789"/>
      <c r="J38" s="789"/>
      <c r="K38" s="789" t="s">
        <v>46</v>
      </c>
      <c r="L38" s="808" t="s">
        <v>62</v>
      </c>
      <c r="M38" s="80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7"/>
      <c r="AA38" s="17"/>
      <c r="AB38" s="17"/>
      <c r="AC38" s="17"/>
    </row>
    <row r="39" spans="1:29" ht="15" customHeight="1" x14ac:dyDescent="0.25">
      <c r="B39" s="789"/>
      <c r="C39" s="789"/>
      <c r="D39" s="789"/>
      <c r="E39" s="789"/>
      <c r="F39" s="789"/>
      <c r="G39" s="789"/>
      <c r="H39" s="166" t="s">
        <v>63</v>
      </c>
      <c r="I39" s="166" t="s">
        <v>64</v>
      </c>
      <c r="J39" s="166" t="s">
        <v>65</v>
      </c>
      <c r="K39" s="789"/>
      <c r="L39" s="808"/>
      <c r="M39" s="80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7"/>
      <c r="AA39" s="17"/>
      <c r="AB39" s="17"/>
      <c r="AC39" s="17"/>
    </row>
    <row r="40" spans="1:29" ht="15" customHeight="1" x14ac:dyDescent="0.25">
      <c r="B40" s="789">
        <v>4</v>
      </c>
      <c r="C40" s="789" t="s">
        <v>66</v>
      </c>
      <c r="D40" s="789"/>
      <c r="E40" s="789"/>
      <c r="F40" s="166" t="s">
        <v>67</v>
      </c>
      <c r="G40" s="425" t="s">
        <v>68</v>
      </c>
      <c r="H40" s="187"/>
      <c r="I40" s="187"/>
      <c r="J40" s="187"/>
      <c r="K40" s="789" t="s">
        <v>69</v>
      </c>
      <c r="L40" s="789" t="s">
        <v>70</v>
      </c>
      <c r="M40" s="807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7"/>
      <c r="AA40" s="17"/>
      <c r="AB40" s="17"/>
      <c r="AC40" s="17"/>
    </row>
    <row r="41" spans="1:29" ht="15" customHeight="1" x14ac:dyDescent="0.25">
      <c r="B41" s="789"/>
      <c r="C41" s="789"/>
      <c r="D41" s="789"/>
      <c r="E41" s="789"/>
      <c r="F41" s="166" t="s">
        <v>71</v>
      </c>
      <c r="G41" s="425" t="s">
        <v>72</v>
      </c>
      <c r="H41" s="187"/>
      <c r="I41" s="187"/>
      <c r="J41" s="187"/>
      <c r="K41" s="789"/>
      <c r="L41" s="789"/>
      <c r="M41" s="807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7"/>
      <c r="AA41" s="17"/>
      <c r="AB41" s="17"/>
      <c r="AC41" s="17"/>
    </row>
    <row r="42" spans="1:29" ht="15" customHeight="1" x14ac:dyDescent="0.25">
      <c r="B42" s="789">
        <v>5</v>
      </c>
      <c r="C42" s="789" t="s">
        <v>73</v>
      </c>
      <c r="D42" s="789"/>
      <c r="E42" s="789"/>
      <c r="F42" s="789" t="s">
        <v>67</v>
      </c>
      <c r="G42" s="425" t="s">
        <v>74</v>
      </c>
      <c r="H42" s="187"/>
      <c r="I42" s="187"/>
      <c r="J42" s="187"/>
      <c r="K42" s="800" t="s">
        <v>75</v>
      </c>
      <c r="L42" s="789" t="s">
        <v>70</v>
      </c>
      <c r="M42" s="807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7"/>
      <c r="AA42" s="17"/>
      <c r="AB42" s="17"/>
      <c r="AC42" s="17"/>
    </row>
    <row r="43" spans="1:29" ht="26.25" customHeight="1" x14ac:dyDescent="0.25">
      <c r="B43" s="789"/>
      <c r="C43" s="789"/>
      <c r="D43" s="789"/>
      <c r="E43" s="789"/>
      <c r="F43" s="789"/>
      <c r="G43" s="424" t="s">
        <v>76</v>
      </c>
      <c r="H43" s="187"/>
      <c r="I43" s="187"/>
      <c r="J43" s="187"/>
      <c r="K43" s="787"/>
      <c r="L43" s="789"/>
      <c r="M43" s="807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7"/>
      <c r="AA43" s="17"/>
      <c r="AB43" s="17"/>
      <c r="AC43" s="17"/>
    </row>
    <row r="44" spans="1:29" ht="6" customHeight="1" x14ac:dyDescent="0.25">
      <c r="B44" s="16"/>
      <c r="C44" s="16"/>
      <c r="D44" s="179"/>
      <c r="E44" s="16"/>
      <c r="F44" s="16"/>
      <c r="G44" s="16"/>
      <c r="H44" s="16"/>
      <c r="I44" s="16"/>
      <c r="J44" s="16"/>
      <c r="K44" s="16"/>
      <c r="L44" s="188"/>
      <c r="M44" s="3"/>
      <c r="P44" s="17"/>
      <c r="Q44" s="784"/>
      <c r="R44" s="784"/>
      <c r="S44" s="784"/>
      <c r="T44" s="784"/>
      <c r="U44" s="784"/>
      <c r="V44" s="784"/>
      <c r="W44" s="784"/>
      <c r="X44" s="784"/>
      <c r="Y44" s="784"/>
      <c r="AA44" s="26"/>
      <c r="AB44" s="785"/>
      <c r="AC44" s="785"/>
    </row>
    <row r="45" spans="1:29" x14ac:dyDescent="0.25">
      <c r="A45" s="164" t="s">
        <v>77</v>
      </c>
      <c r="B45" s="164" t="s">
        <v>78</v>
      </c>
      <c r="D45" s="163"/>
      <c r="E45" s="163"/>
      <c r="F45" s="163"/>
      <c r="G45" s="163"/>
      <c r="H45" s="163"/>
      <c r="I45" s="163"/>
      <c r="J45" s="163"/>
      <c r="K45" s="163"/>
      <c r="L45" s="163"/>
      <c r="M45" s="10"/>
      <c r="P45" s="17"/>
      <c r="Q45" s="784"/>
      <c r="R45" s="784"/>
      <c r="S45" s="784"/>
      <c r="T45" s="784"/>
      <c r="U45" s="784"/>
      <c r="V45" s="784"/>
      <c r="W45" s="784"/>
      <c r="X45" s="784"/>
      <c r="Y45" s="784"/>
      <c r="AA45" s="26"/>
      <c r="AB45" s="785"/>
      <c r="AC45" s="785"/>
    </row>
    <row r="46" spans="1:29" ht="15" customHeight="1" x14ac:dyDescent="0.25">
      <c r="B46" s="163" t="s">
        <v>79</v>
      </c>
      <c r="D46" s="163"/>
      <c r="E46" s="163"/>
      <c r="F46" s="163"/>
      <c r="G46" s="163"/>
      <c r="H46" s="163"/>
      <c r="I46" s="163"/>
      <c r="J46" s="163"/>
      <c r="K46" s="163"/>
      <c r="L46" s="163"/>
      <c r="M46" s="10"/>
      <c r="P46" s="17"/>
      <c r="AA46" s="26"/>
      <c r="AB46" s="785"/>
      <c r="AC46" s="785"/>
    </row>
    <row r="47" spans="1:29" ht="15" customHeight="1" x14ac:dyDescent="0.25">
      <c r="B47" s="179" t="s">
        <v>79</v>
      </c>
      <c r="D47" s="163"/>
      <c r="E47" s="163"/>
      <c r="F47" s="163"/>
      <c r="G47" s="163"/>
      <c r="H47" s="163"/>
      <c r="I47" s="163"/>
      <c r="J47" s="163"/>
      <c r="K47" s="163"/>
      <c r="L47" s="163"/>
      <c r="M47" s="10"/>
      <c r="P47" s="17"/>
      <c r="AA47" s="26"/>
      <c r="AB47" s="27"/>
      <c r="AC47" s="27"/>
    </row>
    <row r="48" spans="1:29" ht="15" customHeight="1" x14ac:dyDescent="0.25">
      <c r="B48" s="163"/>
      <c r="C48" s="179"/>
      <c r="D48" s="163"/>
      <c r="E48" s="163"/>
      <c r="F48" s="163"/>
      <c r="G48" s="163"/>
      <c r="H48" s="163"/>
      <c r="I48" s="163"/>
      <c r="J48" s="163"/>
      <c r="K48" s="163"/>
      <c r="L48" s="163"/>
      <c r="M48" s="10"/>
      <c r="P48" s="17"/>
      <c r="AA48" s="26"/>
      <c r="AB48" s="785"/>
      <c r="AC48" s="785"/>
    </row>
    <row r="49" spans="1:29" x14ac:dyDescent="0.25">
      <c r="A49" s="164" t="s">
        <v>80</v>
      </c>
      <c r="B49" s="164" t="s">
        <v>81</v>
      </c>
      <c r="D49" s="164"/>
      <c r="E49" s="163"/>
      <c r="F49" s="163"/>
      <c r="G49" s="163"/>
      <c r="H49" s="163"/>
      <c r="I49" s="163"/>
      <c r="J49" s="163"/>
      <c r="K49" s="163"/>
      <c r="L49" s="163"/>
      <c r="M49" s="10"/>
      <c r="P49" s="17"/>
      <c r="AA49" s="26"/>
      <c r="AB49" s="785"/>
      <c r="AC49" s="785"/>
    </row>
    <row r="50" spans="1:29" x14ac:dyDescent="0.25">
      <c r="B50" s="189"/>
      <c r="C50" s="19" t="s">
        <v>82</v>
      </c>
      <c r="D50" s="163"/>
      <c r="E50" s="163"/>
      <c r="F50" s="163"/>
      <c r="G50" s="163"/>
      <c r="H50" s="163"/>
      <c r="I50" s="163"/>
      <c r="J50" s="163"/>
      <c r="K50" s="163"/>
      <c r="L50" s="163"/>
      <c r="M50" s="10"/>
      <c r="P50" s="17"/>
      <c r="AA50" s="26"/>
      <c r="AB50" s="785"/>
      <c r="AC50" s="785"/>
    </row>
    <row r="51" spans="1:29" x14ac:dyDescent="0.25">
      <c r="B51" s="189"/>
      <c r="C51" s="19" t="s">
        <v>83</v>
      </c>
      <c r="D51" s="163"/>
      <c r="E51" s="163"/>
      <c r="F51" s="163"/>
      <c r="G51" s="163"/>
      <c r="H51" s="163"/>
      <c r="I51" s="163"/>
      <c r="J51" s="163"/>
      <c r="K51" s="163"/>
      <c r="L51" s="163"/>
      <c r="M51" s="10"/>
      <c r="P51" s="17"/>
      <c r="AA51" s="26"/>
      <c r="AB51" s="27"/>
      <c r="AC51" s="27"/>
    </row>
    <row r="52" spans="1:29" x14ac:dyDescent="0.25">
      <c r="B52" s="189"/>
      <c r="C52" s="19" t="s">
        <v>84</v>
      </c>
      <c r="D52" s="163"/>
      <c r="E52" s="163"/>
      <c r="F52" s="163"/>
      <c r="G52" s="163"/>
      <c r="H52" s="163"/>
      <c r="I52" s="163"/>
      <c r="J52" s="163"/>
      <c r="K52" s="163"/>
      <c r="L52" s="163"/>
      <c r="M52" s="10"/>
      <c r="P52" s="17"/>
      <c r="AA52" s="26"/>
      <c r="AB52" s="27"/>
      <c r="AC52" s="27"/>
    </row>
    <row r="53" spans="1:29" x14ac:dyDescent="0.25">
      <c r="B53" s="189"/>
      <c r="C53" s="163" t="s">
        <v>85</v>
      </c>
      <c r="D53" s="163"/>
      <c r="E53" s="163"/>
      <c r="F53" s="163"/>
      <c r="G53" s="163"/>
      <c r="H53" s="163"/>
      <c r="I53" s="163"/>
      <c r="J53" s="163"/>
      <c r="K53" s="163"/>
      <c r="L53" s="163"/>
      <c r="M53" s="10"/>
    </row>
    <row r="54" spans="1:29" ht="15" customHeight="1" x14ac:dyDescent="0.25">
      <c r="B54" s="189"/>
      <c r="C54" s="287" t="s">
        <v>86</v>
      </c>
      <c r="D54" s="163"/>
      <c r="E54" s="163"/>
      <c r="F54" s="163"/>
      <c r="G54" s="163"/>
      <c r="H54" s="163"/>
      <c r="I54" s="163"/>
      <c r="J54" s="163"/>
      <c r="K54" s="163"/>
      <c r="L54" s="163"/>
      <c r="M54" s="10"/>
    </row>
    <row r="55" spans="1:29" ht="15" customHeight="1" x14ac:dyDescent="0.25">
      <c r="B55" s="189"/>
      <c r="C55" s="163" t="s">
        <v>87</v>
      </c>
      <c r="D55" s="163"/>
      <c r="E55" s="163"/>
      <c r="F55" s="163"/>
      <c r="G55" s="163"/>
      <c r="H55" s="163"/>
      <c r="I55" s="163"/>
      <c r="J55" s="163"/>
      <c r="K55" s="163"/>
      <c r="L55" s="163"/>
      <c r="M55" s="10"/>
    </row>
    <row r="56" spans="1:29" ht="15" customHeight="1" x14ac:dyDescent="0.35">
      <c r="B56" s="189"/>
      <c r="C56" s="190" t="s">
        <v>88</v>
      </c>
      <c r="D56" s="163"/>
      <c r="E56" s="163"/>
      <c r="F56" s="163"/>
      <c r="G56" s="163"/>
      <c r="H56" s="163"/>
      <c r="I56" s="163"/>
      <c r="J56" s="163"/>
      <c r="K56" s="163"/>
      <c r="L56" s="163"/>
      <c r="M56" s="10"/>
    </row>
    <row r="57" spans="1:29" ht="15" customHeight="1" x14ac:dyDescent="0.35">
      <c r="B57" s="189"/>
      <c r="C57" s="190" t="s">
        <v>89</v>
      </c>
      <c r="D57" s="163"/>
      <c r="E57" s="163"/>
      <c r="F57" s="163"/>
      <c r="G57" s="163"/>
      <c r="H57" s="163"/>
      <c r="I57" s="163"/>
      <c r="J57" s="163"/>
      <c r="K57" s="163"/>
      <c r="L57" s="163"/>
      <c r="M57" s="10"/>
    </row>
    <row r="58" spans="1:29" ht="16.5" customHeight="1" x14ac:dyDescent="0.35">
      <c r="B58" s="189"/>
      <c r="C58" s="190" t="s">
        <v>90</v>
      </c>
      <c r="D58" s="163"/>
      <c r="E58" s="163"/>
      <c r="F58" s="163"/>
      <c r="G58" s="163"/>
      <c r="H58" s="163"/>
      <c r="I58" s="163"/>
      <c r="J58" s="163"/>
      <c r="K58" s="163"/>
      <c r="L58" s="163"/>
      <c r="M58" s="10"/>
    </row>
    <row r="59" spans="1:29" ht="16.5" customHeight="1" x14ac:dyDescent="0.25">
      <c r="B59" s="189"/>
      <c r="C59" s="288" t="s">
        <v>91</v>
      </c>
      <c r="D59" s="163"/>
      <c r="E59" s="163"/>
      <c r="F59" s="163"/>
      <c r="G59" s="163"/>
      <c r="H59" s="163"/>
      <c r="I59" s="163"/>
      <c r="J59" s="163"/>
      <c r="K59" s="163"/>
      <c r="L59" s="163"/>
      <c r="M59" s="10"/>
    </row>
    <row r="60" spans="1:29" ht="16.5" customHeight="1" x14ac:dyDescent="0.25">
      <c r="B60" s="163"/>
      <c r="C60" s="19" t="s">
        <v>92</v>
      </c>
      <c r="D60" s="163"/>
      <c r="E60" s="163"/>
      <c r="F60" s="163"/>
      <c r="G60" s="163"/>
      <c r="H60" s="163"/>
      <c r="I60" s="163"/>
      <c r="J60" s="163"/>
      <c r="K60" s="163"/>
      <c r="L60" s="163"/>
      <c r="M60" s="10"/>
    </row>
    <row r="61" spans="1:29" x14ac:dyDescent="0.25">
      <c r="A61" s="164" t="s">
        <v>93</v>
      </c>
      <c r="B61" s="164" t="s">
        <v>94</v>
      </c>
      <c r="D61" s="163"/>
      <c r="E61" s="163"/>
      <c r="F61" s="163"/>
      <c r="G61" s="163"/>
      <c r="H61" s="163"/>
      <c r="I61" s="163"/>
      <c r="J61" s="163"/>
      <c r="K61" s="163"/>
      <c r="L61" s="163"/>
      <c r="M61" s="10"/>
    </row>
    <row r="62" spans="1:29" x14ac:dyDescent="0.25">
      <c r="B62" s="163" t="s">
        <v>95</v>
      </c>
      <c r="D62" s="163"/>
      <c r="E62" s="163"/>
      <c r="F62" s="163"/>
      <c r="G62" s="163"/>
      <c r="H62" s="163"/>
      <c r="I62" s="163"/>
      <c r="J62" s="163"/>
      <c r="K62" s="163"/>
      <c r="L62" s="163"/>
      <c r="M62" s="10"/>
    </row>
    <row r="63" spans="1:29" ht="15" customHeight="1" x14ac:dyDescent="0.25">
      <c r="B63" s="164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0"/>
    </row>
    <row r="64" spans="1:29" x14ac:dyDescent="0.25">
      <c r="A64" s="164" t="s">
        <v>96</v>
      </c>
      <c r="B64" s="164" t="s">
        <v>97</v>
      </c>
      <c r="D64" s="163"/>
      <c r="E64" s="163"/>
      <c r="F64" s="163"/>
      <c r="G64" s="163"/>
      <c r="H64" s="163"/>
      <c r="I64" s="163"/>
      <c r="J64" s="163"/>
      <c r="K64" s="163"/>
      <c r="L64" s="163"/>
      <c r="M64" s="10"/>
    </row>
    <row r="65" spans="2:13" x14ac:dyDescent="0.25">
      <c r="B65" s="10"/>
      <c r="C65" s="15"/>
      <c r="D65" s="15"/>
      <c r="E65" s="15"/>
      <c r="F65" s="15"/>
      <c r="G65" s="15"/>
      <c r="H65" s="15"/>
      <c r="I65" s="28"/>
      <c r="J65" s="10"/>
      <c r="K65" s="10"/>
      <c r="L65" s="3"/>
      <c r="M65" s="10"/>
    </row>
    <row r="66" spans="2:13" x14ac:dyDescent="0.25">
      <c r="B66" s="10"/>
      <c r="C66" s="25"/>
      <c r="D66" s="25"/>
      <c r="E66" s="25"/>
      <c r="F66" s="25"/>
      <c r="G66" s="25"/>
      <c r="H66" s="25"/>
      <c r="I66" s="3"/>
      <c r="J66" s="10"/>
      <c r="K66" s="10"/>
      <c r="L66" s="10"/>
      <c r="M66" s="10"/>
    </row>
    <row r="67" spans="2:13" x14ac:dyDescent="0.25">
      <c r="B67" s="10"/>
      <c r="C67" s="25"/>
      <c r="D67" s="25"/>
      <c r="E67" s="25"/>
      <c r="F67" s="25"/>
      <c r="G67" s="29"/>
      <c r="H67" s="25"/>
      <c r="I67" s="3"/>
      <c r="J67" s="10"/>
      <c r="K67" s="10"/>
      <c r="L67" s="10"/>
      <c r="M67" s="10"/>
    </row>
    <row r="68" spans="2:13" x14ac:dyDescent="0.25">
      <c r="B68" s="10"/>
      <c r="C68" s="25"/>
      <c r="D68" s="25"/>
      <c r="E68" s="25"/>
      <c r="F68" s="25"/>
      <c r="G68" s="29"/>
      <c r="H68" s="25"/>
      <c r="I68" s="3"/>
      <c r="J68" s="10"/>
      <c r="K68" s="10"/>
      <c r="L68" s="10"/>
      <c r="M68" s="10"/>
    </row>
    <row r="69" spans="2:13" x14ac:dyDescent="0.25">
      <c r="B69" s="10"/>
      <c r="C69" s="25"/>
      <c r="D69" s="25"/>
      <c r="E69" s="25"/>
      <c r="F69" s="25"/>
      <c r="G69" s="29"/>
      <c r="H69" s="25"/>
      <c r="I69" s="3"/>
      <c r="J69" s="10"/>
      <c r="K69" s="10"/>
      <c r="L69" s="10"/>
      <c r="M69" s="10"/>
    </row>
    <row r="70" spans="2:13" x14ac:dyDescent="0.25">
      <c r="C70" s="30"/>
      <c r="D70" s="30"/>
      <c r="E70" s="30"/>
      <c r="F70" s="30"/>
      <c r="G70" s="31"/>
      <c r="H70" s="30"/>
      <c r="I70" s="32"/>
    </row>
    <row r="71" spans="2:13" x14ac:dyDescent="0.25">
      <c r="C71" s="30"/>
      <c r="D71" s="30"/>
      <c r="E71" s="30"/>
      <c r="F71" s="30"/>
      <c r="G71" s="31"/>
      <c r="H71" s="30"/>
      <c r="I71" s="32"/>
      <c r="L71" s="33"/>
    </row>
    <row r="72" spans="2:13" x14ac:dyDescent="0.25">
      <c r="C72" s="30"/>
      <c r="D72" s="30"/>
      <c r="E72" s="30"/>
      <c r="F72" s="30"/>
      <c r="G72" s="31"/>
      <c r="H72" s="30"/>
      <c r="I72" s="32"/>
    </row>
    <row r="73" spans="2:13" x14ac:dyDescent="0.25">
      <c r="C73" s="30"/>
      <c r="D73" s="30"/>
      <c r="E73" s="30"/>
      <c r="F73" s="30"/>
      <c r="G73" s="31"/>
      <c r="H73" s="30"/>
      <c r="I73" s="32"/>
    </row>
    <row r="76" spans="2:13" x14ac:dyDescent="0.25">
      <c r="B76" s="783"/>
      <c r="C76" s="783"/>
      <c r="D76" s="783"/>
      <c r="E76" s="783"/>
      <c r="F76" s="783"/>
      <c r="G76" s="783"/>
      <c r="H76" s="783"/>
      <c r="I76" s="783"/>
      <c r="J76" s="783"/>
      <c r="K76" s="783"/>
      <c r="L76" s="783"/>
      <c r="M76" s="783"/>
    </row>
    <row r="77" spans="2:13" x14ac:dyDescent="0.25">
      <c r="B77" s="783"/>
      <c r="C77" s="783"/>
      <c r="D77" s="783"/>
      <c r="E77" s="783"/>
      <c r="F77" s="783"/>
      <c r="G77" s="783"/>
      <c r="H77" s="783"/>
      <c r="I77" s="783"/>
      <c r="J77" s="783"/>
      <c r="K77" s="783"/>
      <c r="L77" s="783"/>
      <c r="M77" s="783"/>
    </row>
  </sheetData>
  <mergeCells count="53">
    <mergeCell ref="J25:K25"/>
    <mergeCell ref="J26:K26"/>
    <mergeCell ref="J27:K27"/>
    <mergeCell ref="B23:B24"/>
    <mergeCell ref="B31:B32"/>
    <mergeCell ref="J23:K24"/>
    <mergeCell ref="C33:E34"/>
    <mergeCell ref="F30:I30"/>
    <mergeCell ref="J30:K30"/>
    <mergeCell ref="M38:M39"/>
    <mergeCell ref="M40:M43"/>
    <mergeCell ref="L40:L41"/>
    <mergeCell ref="L42:L43"/>
    <mergeCell ref="L38:L39"/>
    <mergeCell ref="B77:M77"/>
    <mergeCell ref="B40:B41"/>
    <mergeCell ref="B42:B43"/>
    <mergeCell ref="K38:K39"/>
    <mergeCell ref="K40:K41"/>
    <mergeCell ref="K42:K43"/>
    <mergeCell ref="F42:F43"/>
    <mergeCell ref="C40:E41"/>
    <mergeCell ref="C42:E43"/>
    <mergeCell ref="B38:B39"/>
    <mergeCell ref="C38:E39"/>
    <mergeCell ref="H38:J38"/>
    <mergeCell ref="B76:M76"/>
    <mergeCell ref="AB50:AC50"/>
    <mergeCell ref="J33:K34"/>
    <mergeCell ref="J31:K32"/>
    <mergeCell ref="AB46:AC46"/>
    <mergeCell ref="AB48:AC48"/>
    <mergeCell ref="AB49:AC49"/>
    <mergeCell ref="J35:K35"/>
    <mergeCell ref="J36:K36"/>
    <mergeCell ref="Q44:Y44"/>
    <mergeCell ref="AB44:AC44"/>
    <mergeCell ref="A1:M1"/>
    <mergeCell ref="A2:M2"/>
    <mergeCell ref="AB29:AC29"/>
    <mergeCell ref="Q45:Y45"/>
    <mergeCell ref="AB45:AC45"/>
    <mergeCell ref="B35:B36"/>
    <mergeCell ref="F16:G16"/>
    <mergeCell ref="F38:G39"/>
    <mergeCell ref="F4:K4"/>
    <mergeCell ref="F5:K5"/>
    <mergeCell ref="C30:E30"/>
    <mergeCell ref="C35:E36"/>
    <mergeCell ref="B33:B34"/>
    <mergeCell ref="C31:E32"/>
    <mergeCell ref="Q29:Y29"/>
    <mergeCell ref="Z29:AA29"/>
  </mergeCells>
  <phoneticPr fontId="73" type="noConversion"/>
  <printOptions horizontalCentered="1"/>
  <pageMargins left="0.5" right="0.25" top="0.5" bottom="0.25" header="0.25" footer="0.25"/>
  <pageSetup paperSize="9" scale="70" orientation="portrait" horizontalDpi="300" verticalDpi="300" r:id="rId1"/>
  <headerFooter>
    <oddHeader>&amp;R&amp;"-,Regular"&amp;8OA.LK - 065 - 18/ REV : 0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2289" r:id="rId4">
          <objectPr defaultSize="0" autoPict="0" r:id="rId5">
            <anchor moveWithCells="1" sizeWithCells="1">
              <from>
                <xdr:col>10</xdr:col>
                <xdr:colOff>431800</xdr:colOff>
                <xdr:row>20</xdr:row>
                <xdr:rowOff>0</xdr:rowOff>
              </from>
              <to>
                <xdr:col>10</xdr:col>
                <xdr:colOff>431800</xdr:colOff>
                <xdr:row>20</xdr:row>
                <xdr:rowOff>0</xdr:rowOff>
              </to>
            </anchor>
          </objectPr>
        </oleObject>
      </mc:Choice>
      <mc:Fallback>
        <oleObject progId="Equation.3" shapeId="12289" r:id="rId4"/>
      </mc:Fallback>
    </mc:AlternateContent>
    <mc:AlternateContent xmlns:mc="http://schemas.openxmlformats.org/markup-compatibility/2006">
      <mc:Choice Requires="x14">
        <oleObject progId="Equation.3" shapeId="12290" r:id="rId6">
          <objectPr defaultSize="0" autoPict="0" r:id="rId5">
            <anchor moveWithCells="1" sizeWithCells="1">
              <from>
                <xdr:col>10</xdr:col>
                <xdr:colOff>431800</xdr:colOff>
                <xdr:row>20</xdr:row>
                <xdr:rowOff>0</xdr:rowOff>
              </from>
              <to>
                <xdr:col>10</xdr:col>
                <xdr:colOff>431800</xdr:colOff>
                <xdr:row>20</xdr:row>
                <xdr:rowOff>0</xdr:rowOff>
              </to>
            </anchor>
          </objectPr>
        </oleObject>
      </mc:Choice>
      <mc:Fallback>
        <oleObject progId="Equation.3" shapeId="12290" r:id="rId6"/>
      </mc:Fallback>
    </mc:AlternateContent>
    <mc:AlternateContent xmlns:mc="http://schemas.openxmlformats.org/markup-compatibility/2006">
      <mc:Choice Requires="x14">
        <oleObject progId="Equation.3" shapeId="12291" r:id="rId7">
          <objectPr defaultSize="0" autoPict="0" r:id="rId5">
            <anchor moveWithCells="1" sizeWithCells="1">
              <from>
                <xdr:col>10</xdr:col>
                <xdr:colOff>431800</xdr:colOff>
                <xdr:row>20</xdr:row>
                <xdr:rowOff>0</xdr:rowOff>
              </from>
              <to>
                <xdr:col>10</xdr:col>
                <xdr:colOff>431800</xdr:colOff>
                <xdr:row>20</xdr:row>
                <xdr:rowOff>0</xdr:rowOff>
              </to>
            </anchor>
          </objectPr>
        </oleObject>
      </mc:Choice>
      <mc:Fallback>
        <oleObject progId="Equation.3" shapeId="12291" r:id="rId7"/>
      </mc:Fallback>
    </mc:AlternateContent>
    <mc:AlternateContent xmlns:mc="http://schemas.openxmlformats.org/markup-compatibility/2006">
      <mc:Choice Requires="x14">
        <oleObject progId="Equation.3" shapeId="12292" r:id="rId8">
          <objectPr defaultSize="0" autoPict="0" r:id="rId5">
            <anchor moveWithCells="1" sizeWithCells="1">
              <from>
                <xdr:col>10</xdr:col>
                <xdr:colOff>431800</xdr:colOff>
                <xdr:row>20</xdr:row>
                <xdr:rowOff>0</xdr:rowOff>
              </from>
              <to>
                <xdr:col>10</xdr:col>
                <xdr:colOff>431800</xdr:colOff>
                <xdr:row>20</xdr:row>
                <xdr:rowOff>0</xdr:rowOff>
              </to>
            </anchor>
          </objectPr>
        </oleObject>
      </mc:Choice>
      <mc:Fallback>
        <oleObject progId="Equation.3" shapeId="12292" r:id="rId8"/>
      </mc:Fallback>
    </mc:AlternateContent>
    <mc:AlternateContent xmlns:mc="http://schemas.openxmlformats.org/markup-compatibility/2006">
      <mc:Choice Requires="x14">
        <oleObject progId="Equation.3" shapeId="12293" r:id="rId9">
          <objectPr defaultSize="0" autoPict="0" r:id="rId5">
            <anchor moveWithCells="1" sizeWithCells="1">
              <from>
                <xdr:col>10</xdr:col>
                <xdr:colOff>431800</xdr:colOff>
                <xdr:row>20</xdr:row>
                <xdr:rowOff>0</xdr:rowOff>
              </from>
              <to>
                <xdr:col>10</xdr:col>
                <xdr:colOff>431800</xdr:colOff>
                <xdr:row>20</xdr:row>
                <xdr:rowOff>0</xdr:rowOff>
              </to>
            </anchor>
          </objectPr>
        </oleObject>
      </mc:Choice>
      <mc:Fallback>
        <oleObject progId="Equation.3" shapeId="12293" r:id="rId9"/>
      </mc:Fallback>
    </mc:AlternateContent>
    <mc:AlternateContent xmlns:mc="http://schemas.openxmlformats.org/markup-compatibility/2006">
      <mc:Choice Requires="x14">
        <oleObject progId="Equation.3" shapeId="12294" r:id="rId10">
          <objectPr defaultSize="0" autoPict="0" r:id="rId5">
            <anchor moveWithCells="1" sizeWithCells="1">
              <from>
                <xdr:col>10</xdr:col>
                <xdr:colOff>431800</xdr:colOff>
                <xdr:row>20</xdr:row>
                <xdr:rowOff>0</xdr:rowOff>
              </from>
              <to>
                <xdr:col>10</xdr:col>
                <xdr:colOff>431800</xdr:colOff>
                <xdr:row>20</xdr:row>
                <xdr:rowOff>0</xdr:rowOff>
              </to>
            </anchor>
          </objectPr>
        </oleObject>
      </mc:Choice>
      <mc:Fallback>
        <oleObject progId="Equation.3" shapeId="12294" r:id="rId10"/>
      </mc:Fallback>
    </mc:AlternateContent>
    <mc:AlternateContent xmlns:mc="http://schemas.openxmlformats.org/markup-compatibility/2006">
      <mc:Choice Requires="x14">
        <oleObject progId="Equation.3" shapeId="12295" r:id="rId11">
          <objectPr defaultSize="0" autoPict="0" r:id="rId5">
            <anchor moveWithCells="1" sizeWithCells="1">
              <from>
                <xdr:col>10</xdr:col>
                <xdr:colOff>431800</xdr:colOff>
                <xdr:row>20</xdr:row>
                <xdr:rowOff>0</xdr:rowOff>
              </from>
              <to>
                <xdr:col>10</xdr:col>
                <xdr:colOff>431800</xdr:colOff>
                <xdr:row>20</xdr:row>
                <xdr:rowOff>0</xdr:rowOff>
              </to>
            </anchor>
          </objectPr>
        </oleObject>
      </mc:Choice>
      <mc:Fallback>
        <oleObject progId="Equation.3" shapeId="12295" r:id="rId11"/>
      </mc:Fallback>
    </mc:AlternateContent>
    <mc:AlternateContent xmlns:mc="http://schemas.openxmlformats.org/markup-compatibility/2006">
      <mc:Choice Requires="x14">
        <oleObject progId="Equation.3" shapeId="12296" r:id="rId12">
          <objectPr defaultSize="0" autoPict="0" r:id="rId5">
            <anchor moveWithCells="1" sizeWithCells="1">
              <from>
                <xdr:col>10</xdr:col>
                <xdr:colOff>431800</xdr:colOff>
                <xdr:row>20</xdr:row>
                <xdr:rowOff>0</xdr:rowOff>
              </from>
              <to>
                <xdr:col>10</xdr:col>
                <xdr:colOff>431800</xdr:colOff>
                <xdr:row>20</xdr:row>
                <xdr:rowOff>0</xdr:rowOff>
              </to>
            </anchor>
          </objectPr>
        </oleObject>
      </mc:Choice>
      <mc:Fallback>
        <oleObject progId="Equation.3" shapeId="12296" r:id="rId12"/>
      </mc:Fallback>
    </mc:AlternateContent>
    <mc:AlternateContent xmlns:mc="http://schemas.openxmlformats.org/markup-compatibility/2006">
      <mc:Choice Requires="x14">
        <oleObject progId="Equation.3" shapeId="12297" r:id="rId13">
          <objectPr defaultSize="0" autoPict="0" r:id="rId5">
            <anchor moveWithCells="1" sizeWithCells="1">
              <from>
                <xdr:col>10</xdr:col>
                <xdr:colOff>431800</xdr:colOff>
                <xdr:row>20</xdr:row>
                <xdr:rowOff>0</xdr:rowOff>
              </from>
              <to>
                <xdr:col>10</xdr:col>
                <xdr:colOff>431800</xdr:colOff>
                <xdr:row>20</xdr:row>
                <xdr:rowOff>0</xdr:rowOff>
              </to>
            </anchor>
          </objectPr>
        </oleObject>
      </mc:Choice>
      <mc:Fallback>
        <oleObject progId="Equation.3" shapeId="12297" r:id="rId13"/>
      </mc:Fallback>
    </mc:AlternateContent>
    <mc:AlternateContent xmlns:mc="http://schemas.openxmlformats.org/markup-compatibility/2006">
      <mc:Choice Requires="x14">
        <oleObject progId="Equation.3" shapeId="12298" r:id="rId14">
          <objectPr defaultSize="0" autoPict="0" r:id="rId5">
            <anchor moveWithCells="1" sizeWithCells="1">
              <from>
                <xdr:col>10</xdr:col>
                <xdr:colOff>431800</xdr:colOff>
                <xdr:row>20</xdr:row>
                <xdr:rowOff>0</xdr:rowOff>
              </from>
              <to>
                <xdr:col>10</xdr:col>
                <xdr:colOff>431800</xdr:colOff>
                <xdr:row>20</xdr:row>
                <xdr:rowOff>0</xdr:rowOff>
              </to>
            </anchor>
          </objectPr>
        </oleObject>
      </mc:Choice>
      <mc:Fallback>
        <oleObject progId="Equation.3" shapeId="12298" r:id="rId14"/>
      </mc:Fallback>
    </mc:AlternateContent>
    <mc:AlternateContent xmlns:mc="http://schemas.openxmlformats.org/markup-compatibility/2006">
      <mc:Choice Requires="x14">
        <oleObject progId="Equation.3" shapeId="12299" r:id="rId15">
          <objectPr defaultSize="0" autoPict="0" r:id="rId5">
            <anchor moveWithCells="1" sizeWithCells="1">
              <from>
                <xdr:col>10</xdr:col>
                <xdr:colOff>431800</xdr:colOff>
                <xdr:row>20</xdr:row>
                <xdr:rowOff>0</xdr:rowOff>
              </from>
              <to>
                <xdr:col>10</xdr:col>
                <xdr:colOff>431800</xdr:colOff>
                <xdr:row>20</xdr:row>
                <xdr:rowOff>0</xdr:rowOff>
              </to>
            </anchor>
          </objectPr>
        </oleObject>
      </mc:Choice>
      <mc:Fallback>
        <oleObject progId="Equation.3" shapeId="12299" r:id="rId15"/>
      </mc:Fallback>
    </mc:AlternateContent>
    <mc:AlternateContent xmlns:mc="http://schemas.openxmlformats.org/markup-compatibility/2006">
      <mc:Choice Requires="x14">
        <oleObject progId="Equation.3" shapeId="12300" r:id="rId16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00" r:id="rId16"/>
      </mc:Fallback>
    </mc:AlternateContent>
    <mc:AlternateContent xmlns:mc="http://schemas.openxmlformats.org/markup-compatibility/2006">
      <mc:Choice Requires="x14">
        <oleObject progId="Equation.3" shapeId="12301" r:id="rId17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01" r:id="rId17"/>
      </mc:Fallback>
    </mc:AlternateContent>
    <mc:AlternateContent xmlns:mc="http://schemas.openxmlformats.org/markup-compatibility/2006">
      <mc:Choice Requires="x14">
        <oleObject progId="Equation.3" shapeId="12302" r:id="rId18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02" r:id="rId18"/>
      </mc:Fallback>
    </mc:AlternateContent>
    <mc:AlternateContent xmlns:mc="http://schemas.openxmlformats.org/markup-compatibility/2006">
      <mc:Choice Requires="x14">
        <oleObject progId="Equation.3" shapeId="12303" r:id="rId19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03" r:id="rId19"/>
      </mc:Fallback>
    </mc:AlternateContent>
    <mc:AlternateContent xmlns:mc="http://schemas.openxmlformats.org/markup-compatibility/2006">
      <mc:Choice Requires="x14">
        <oleObject progId="Equation.3" shapeId="12304" r:id="rId20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04" r:id="rId20"/>
      </mc:Fallback>
    </mc:AlternateContent>
    <mc:AlternateContent xmlns:mc="http://schemas.openxmlformats.org/markup-compatibility/2006">
      <mc:Choice Requires="x14">
        <oleObject progId="Equation.3" shapeId="12305" r:id="rId21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05" r:id="rId21"/>
      </mc:Fallback>
    </mc:AlternateContent>
    <mc:AlternateContent xmlns:mc="http://schemas.openxmlformats.org/markup-compatibility/2006">
      <mc:Choice Requires="x14">
        <oleObject progId="Equation.3" shapeId="12306" r:id="rId22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06" r:id="rId22"/>
      </mc:Fallback>
    </mc:AlternateContent>
    <mc:AlternateContent xmlns:mc="http://schemas.openxmlformats.org/markup-compatibility/2006">
      <mc:Choice Requires="x14">
        <oleObject progId="Equation.3" shapeId="12307" r:id="rId23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07" r:id="rId23"/>
      </mc:Fallback>
    </mc:AlternateContent>
    <mc:AlternateContent xmlns:mc="http://schemas.openxmlformats.org/markup-compatibility/2006">
      <mc:Choice Requires="x14">
        <oleObject progId="Equation.3" shapeId="12308" r:id="rId24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08" r:id="rId24"/>
      </mc:Fallback>
    </mc:AlternateContent>
    <mc:AlternateContent xmlns:mc="http://schemas.openxmlformats.org/markup-compatibility/2006">
      <mc:Choice Requires="x14">
        <oleObject progId="Equation.3" shapeId="12309" r:id="rId25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09" r:id="rId25"/>
      </mc:Fallback>
    </mc:AlternateContent>
    <mc:AlternateContent xmlns:mc="http://schemas.openxmlformats.org/markup-compatibility/2006">
      <mc:Choice Requires="x14">
        <oleObject progId="Equation.3" shapeId="12310" r:id="rId26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10" r:id="rId26"/>
      </mc:Fallback>
    </mc:AlternateContent>
    <mc:AlternateContent xmlns:mc="http://schemas.openxmlformats.org/markup-compatibility/2006">
      <mc:Choice Requires="x14">
        <oleObject progId="Equation.3" shapeId="12311" r:id="rId27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11" r:id="rId27"/>
      </mc:Fallback>
    </mc:AlternateContent>
    <mc:AlternateContent xmlns:mc="http://schemas.openxmlformats.org/markup-compatibility/2006">
      <mc:Choice Requires="x14">
        <oleObject progId="Equation.3" shapeId="12312" r:id="rId28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12" r:id="rId28"/>
      </mc:Fallback>
    </mc:AlternateContent>
    <mc:AlternateContent xmlns:mc="http://schemas.openxmlformats.org/markup-compatibility/2006">
      <mc:Choice Requires="x14">
        <oleObject progId="Equation.3" shapeId="12313" r:id="rId29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13" r:id="rId29"/>
      </mc:Fallback>
    </mc:AlternateContent>
    <mc:AlternateContent xmlns:mc="http://schemas.openxmlformats.org/markup-compatibility/2006">
      <mc:Choice Requires="x14">
        <oleObject progId="Equation.3" shapeId="12314" r:id="rId30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14" r:id="rId30"/>
      </mc:Fallback>
    </mc:AlternateContent>
    <mc:AlternateContent xmlns:mc="http://schemas.openxmlformats.org/markup-compatibility/2006">
      <mc:Choice Requires="x14">
        <oleObject progId="Equation.3" shapeId="12315" r:id="rId31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15" r:id="rId31"/>
      </mc:Fallback>
    </mc:AlternateContent>
    <mc:AlternateContent xmlns:mc="http://schemas.openxmlformats.org/markup-compatibility/2006">
      <mc:Choice Requires="x14">
        <oleObject progId="Equation.3" shapeId="12316" r:id="rId32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16" r:id="rId32"/>
      </mc:Fallback>
    </mc:AlternateContent>
    <mc:AlternateContent xmlns:mc="http://schemas.openxmlformats.org/markup-compatibility/2006">
      <mc:Choice Requires="x14">
        <oleObject progId="Equation.3" shapeId="12317" r:id="rId33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17" r:id="rId33"/>
      </mc:Fallback>
    </mc:AlternateContent>
    <mc:AlternateContent xmlns:mc="http://schemas.openxmlformats.org/markup-compatibility/2006">
      <mc:Choice Requires="x14">
        <oleObject progId="Equation.3" shapeId="12318" r:id="rId34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18" r:id="rId34"/>
      </mc:Fallback>
    </mc:AlternateContent>
    <mc:AlternateContent xmlns:mc="http://schemas.openxmlformats.org/markup-compatibility/2006">
      <mc:Choice Requires="x14">
        <oleObject progId="Equation.3" shapeId="12319" r:id="rId35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19" r:id="rId35"/>
      </mc:Fallback>
    </mc:AlternateContent>
    <mc:AlternateContent xmlns:mc="http://schemas.openxmlformats.org/markup-compatibility/2006">
      <mc:Choice Requires="x14">
        <oleObject progId="Equation.3" shapeId="12320" r:id="rId36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20" r:id="rId36"/>
      </mc:Fallback>
    </mc:AlternateContent>
    <mc:AlternateContent xmlns:mc="http://schemas.openxmlformats.org/markup-compatibility/2006">
      <mc:Choice Requires="x14">
        <oleObject progId="Equation.3" shapeId="12321" r:id="rId37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21" r:id="rId37"/>
      </mc:Fallback>
    </mc:AlternateContent>
    <mc:AlternateContent xmlns:mc="http://schemas.openxmlformats.org/markup-compatibility/2006">
      <mc:Choice Requires="x14">
        <oleObject progId="Equation.3" shapeId="12322" r:id="rId38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22" r:id="rId38"/>
      </mc:Fallback>
    </mc:AlternateContent>
    <mc:AlternateContent xmlns:mc="http://schemas.openxmlformats.org/markup-compatibility/2006">
      <mc:Choice Requires="x14">
        <oleObject progId="Equation.3" shapeId="12323" r:id="rId39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23" r:id="rId39"/>
      </mc:Fallback>
    </mc:AlternateContent>
    <mc:AlternateContent xmlns:mc="http://schemas.openxmlformats.org/markup-compatibility/2006">
      <mc:Choice Requires="x14">
        <oleObject progId="Equation.3" shapeId="12324" r:id="rId40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24" r:id="rId40"/>
      </mc:Fallback>
    </mc:AlternateContent>
    <mc:AlternateContent xmlns:mc="http://schemas.openxmlformats.org/markup-compatibility/2006">
      <mc:Choice Requires="x14">
        <oleObject progId="Equation.3" shapeId="12325" r:id="rId41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25" r:id="rId41"/>
      </mc:Fallback>
    </mc:AlternateContent>
    <mc:AlternateContent xmlns:mc="http://schemas.openxmlformats.org/markup-compatibility/2006">
      <mc:Choice Requires="x14">
        <oleObject progId="Equation.3" shapeId="12326" r:id="rId42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26" r:id="rId42"/>
      </mc:Fallback>
    </mc:AlternateContent>
    <mc:AlternateContent xmlns:mc="http://schemas.openxmlformats.org/markup-compatibility/2006">
      <mc:Choice Requires="x14">
        <oleObject progId="Equation.3" shapeId="12327" r:id="rId43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27" r:id="rId43"/>
      </mc:Fallback>
    </mc:AlternateContent>
    <mc:AlternateContent xmlns:mc="http://schemas.openxmlformats.org/markup-compatibility/2006">
      <mc:Choice Requires="x14">
        <oleObject progId="Equation.3" shapeId="12328" r:id="rId44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28" r:id="rId44"/>
      </mc:Fallback>
    </mc:AlternateContent>
    <mc:AlternateContent xmlns:mc="http://schemas.openxmlformats.org/markup-compatibility/2006">
      <mc:Choice Requires="x14">
        <oleObject progId="Equation.3" shapeId="12329" r:id="rId45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29" r:id="rId45"/>
      </mc:Fallback>
    </mc:AlternateContent>
    <mc:AlternateContent xmlns:mc="http://schemas.openxmlformats.org/markup-compatibility/2006">
      <mc:Choice Requires="x14">
        <oleObject progId="Equation.3" shapeId="12330" r:id="rId46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30" r:id="rId46"/>
      </mc:Fallback>
    </mc:AlternateContent>
    <mc:AlternateContent xmlns:mc="http://schemas.openxmlformats.org/markup-compatibility/2006">
      <mc:Choice Requires="x14">
        <oleObject progId="Equation.3" shapeId="12331" r:id="rId47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31" r:id="rId47"/>
      </mc:Fallback>
    </mc:AlternateContent>
    <mc:AlternateContent xmlns:mc="http://schemas.openxmlformats.org/markup-compatibility/2006">
      <mc:Choice Requires="x14">
        <oleObject progId="Equation.3" shapeId="12332" r:id="rId48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32" r:id="rId48"/>
      </mc:Fallback>
    </mc:AlternateContent>
    <mc:AlternateContent xmlns:mc="http://schemas.openxmlformats.org/markup-compatibility/2006">
      <mc:Choice Requires="x14">
        <oleObject progId="Equation.3" shapeId="12333" r:id="rId49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33" r:id="rId49"/>
      </mc:Fallback>
    </mc:AlternateContent>
    <mc:AlternateContent xmlns:mc="http://schemas.openxmlformats.org/markup-compatibility/2006">
      <mc:Choice Requires="x14">
        <oleObject progId="Equation.3" shapeId="12334" r:id="rId50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34" r:id="rId50"/>
      </mc:Fallback>
    </mc:AlternateContent>
    <mc:AlternateContent xmlns:mc="http://schemas.openxmlformats.org/markup-compatibility/2006">
      <mc:Choice Requires="x14">
        <oleObject progId="Equation.3" shapeId="12335" r:id="rId51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35" r:id="rId51"/>
      </mc:Fallback>
    </mc:AlternateContent>
    <mc:AlternateContent xmlns:mc="http://schemas.openxmlformats.org/markup-compatibility/2006">
      <mc:Choice Requires="x14">
        <oleObject progId="Equation.3" shapeId="12336" r:id="rId52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36" r:id="rId52"/>
      </mc:Fallback>
    </mc:AlternateContent>
    <mc:AlternateContent xmlns:mc="http://schemas.openxmlformats.org/markup-compatibility/2006">
      <mc:Choice Requires="x14">
        <oleObject progId="Equation.3" shapeId="12337" r:id="rId53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37" r:id="rId53"/>
      </mc:Fallback>
    </mc:AlternateContent>
    <mc:AlternateContent xmlns:mc="http://schemas.openxmlformats.org/markup-compatibility/2006">
      <mc:Choice Requires="x14">
        <oleObject progId="Equation.3" shapeId="12338" r:id="rId54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38" r:id="rId54"/>
      </mc:Fallback>
    </mc:AlternateContent>
    <mc:AlternateContent xmlns:mc="http://schemas.openxmlformats.org/markup-compatibility/2006">
      <mc:Choice Requires="x14">
        <oleObject progId="Equation.3" shapeId="12339" r:id="rId55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39" r:id="rId55"/>
      </mc:Fallback>
    </mc:AlternateContent>
    <mc:AlternateContent xmlns:mc="http://schemas.openxmlformats.org/markup-compatibility/2006">
      <mc:Choice Requires="x14">
        <oleObject progId="Equation.3" shapeId="12340" r:id="rId56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40" r:id="rId56"/>
      </mc:Fallback>
    </mc:AlternateContent>
    <mc:AlternateContent xmlns:mc="http://schemas.openxmlformats.org/markup-compatibility/2006">
      <mc:Choice Requires="x14">
        <oleObject progId="Equation.3" shapeId="12341" r:id="rId57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41" r:id="rId57"/>
      </mc:Fallback>
    </mc:AlternateContent>
    <mc:AlternateContent xmlns:mc="http://schemas.openxmlformats.org/markup-compatibility/2006">
      <mc:Choice Requires="x14">
        <oleObject progId="Equation.3" shapeId="12342" r:id="rId58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42" r:id="rId58"/>
      </mc:Fallback>
    </mc:AlternateContent>
    <mc:AlternateContent xmlns:mc="http://schemas.openxmlformats.org/markup-compatibility/2006">
      <mc:Choice Requires="x14">
        <oleObject progId="Equation.3" shapeId="12343" r:id="rId59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43" r:id="rId59"/>
      </mc:Fallback>
    </mc:AlternateContent>
    <mc:AlternateContent xmlns:mc="http://schemas.openxmlformats.org/markup-compatibility/2006">
      <mc:Choice Requires="x14">
        <oleObject progId="Equation.3" shapeId="12344" r:id="rId60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44" r:id="rId60"/>
      </mc:Fallback>
    </mc:AlternateContent>
    <mc:AlternateContent xmlns:mc="http://schemas.openxmlformats.org/markup-compatibility/2006">
      <mc:Choice Requires="x14">
        <oleObject progId="Equation.3" shapeId="12345" r:id="rId61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45" r:id="rId61"/>
      </mc:Fallback>
    </mc:AlternateContent>
    <mc:AlternateContent xmlns:mc="http://schemas.openxmlformats.org/markup-compatibility/2006">
      <mc:Choice Requires="x14">
        <oleObject progId="Equation.3" shapeId="12346" r:id="rId62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46" r:id="rId62"/>
      </mc:Fallback>
    </mc:AlternateContent>
    <mc:AlternateContent xmlns:mc="http://schemas.openxmlformats.org/markup-compatibility/2006">
      <mc:Choice Requires="x14">
        <oleObject progId="Equation.3" shapeId="12347" r:id="rId63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47" r:id="rId63"/>
      </mc:Fallback>
    </mc:AlternateContent>
    <mc:AlternateContent xmlns:mc="http://schemas.openxmlformats.org/markup-compatibility/2006">
      <mc:Choice Requires="x14">
        <oleObject progId="Equation.3" shapeId="12348" r:id="rId64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48" r:id="rId64"/>
      </mc:Fallback>
    </mc:AlternateContent>
    <mc:AlternateContent xmlns:mc="http://schemas.openxmlformats.org/markup-compatibility/2006">
      <mc:Choice Requires="x14">
        <oleObject progId="Equation.3" shapeId="12349" r:id="rId65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49" r:id="rId65"/>
      </mc:Fallback>
    </mc:AlternateContent>
    <mc:AlternateContent xmlns:mc="http://schemas.openxmlformats.org/markup-compatibility/2006">
      <mc:Choice Requires="x14">
        <oleObject progId="Equation.3" shapeId="12350" r:id="rId66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50" r:id="rId66"/>
      </mc:Fallback>
    </mc:AlternateContent>
    <mc:AlternateContent xmlns:mc="http://schemas.openxmlformats.org/markup-compatibility/2006">
      <mc:Choice Requires="x14">
        <oleObject progId="Equation.3" shapeId="12351" r:id="rId67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51" r:id="rId67"/>
      </mc:Fallback>
    </mc:AlternateContent>
    <mc:AlternateContent xmlns:mc="http://schemas.openxmlformats.org/markup-compatibility/2006">
      <mc:Choice Requires="x14">
        <oleObject progId="Equation.3" shapeId="12352" r:id="rId68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52" r:id="rId68"/>
      </mc:Fallback>
    </mc:AlternateContent>
    <mc:AlternateContent xmlns:mc="http://schemas.openxmlformats.org/markup-compatibility/2006">
      <mc:Choice Requires="x14">
        <oleObject progId="Equation.3" shapeId="12353" r:id="rId69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53" r:id="rId69"/>
      </mc:Fallback>
    </mc:AlternateContent>
    <mc:AlternateContent xmlns:mc="http://schemas.openxmlformats.org/markup-compatibility/2006">
      <mc:Choice Requires="x14">
        <oleObject progId="Equation.3" shapeId="12354" r:id="rId70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54" r:id="rId70"/>
      </mc:Fallback>
    </mc:AlternateContent>
    <mc:AlternateContent xmlns:mc="http://schemas.openxmlformats.org/markup-compatibility/2006">
      <mc:Choice Requires="x14">
        <oleObject progId="Equation.3" shapeId="12355" r:id="rId71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55" r:id="rId71"/>
      </mc:Fallback>
    </mc:AlternateContent>
    <mc:AlternateContent xmlns:mc="http://schemas.openxmlformats.org/markup-compatibility/2006">
      <mc:Choice Requires="x14">
        <oleObject progId="Equation.3" shapeId="12356" r:id="rId72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56" r:id="rId72"/>
      </mc:Fallback>
    </mc:AlternateContent>
    <mc:AlternateContent xmlns:mc="http://schemas.openxmlformats.org/markup-compatibility/2006">
      <mc:Choice Requires="x14">
        <oleObject progId="Equation.3" shapeId="12357" r:id="rId73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57" r:id="rId73"/>
      </mc:Fallback>
    </mc:AlternateContent>
    <mc:AlternateContent xmlns:mc="http://schemas.openxmlformats.org/markup-compatibility/2006">
      <mc:Choice Requires="x14">
        <oleObject progId="Equation.3" shapeId="12358" r:id="rId74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58" r:id="rId74"/>
      </mc:Fallback>
    </mc:AlternateContent>
    <mc:AlternateContent xmlns:mc="http://schemas.openxmlformats.org/markup-compatibility/2006">
      <mc:Choice Requires="x14">
        <oleObject progId="Equation.3" shapeId="12359" r:id="rId75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59" r:id="rId75"/>
      </mc:Fallback>
    </mc:AlternateContent>
    <mc:AlternateContent xmlns:mc="http://schemas.openxmlformats.org/markup-compatibility/2006">
      <mc:Choice Requires="x14">
        <oleObject progId="Equation.3" shapeId="12360" r:id="rId76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60" r:id="rId76"/>
      </mc:Fallback>
    </mc:AlternateContent>
    <mc:AlternateContent xmlns:mc="http://schemas.openxmlformats.org/markup-compatibility/2006">
      <mc:Choice Requires="x14">
        <oleObject progId="Equation.3" shapeId="12361" r:id="rId77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61" r:id="rId77"/>
      </mc:Fallback>
    </mc:AlternateContent>
    <mc:AlternateContent xmlns:mc="http://schemas.openxmlformats.org/markup-compatibility/2006">
      <mc:Choice Requires="x14">
        <oleObject progId="Equation.3" shapeId="12362" r:id="rId78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62" r:id="rId78"/>
      </mc:Fallback>
    </mc:AlternateContent>
    <mc:AlternateContent xmlns:mc="http://schemas.openxmlformats.org/markup-compatibility/2006">
      <mc:Choice Requires="x14">
        <oleObject progId="Equation.3" shapeId="12363" r:id="rId79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63" r:id="rId79"/>
      </mc:Fallback>
    </mc:AlternateContent>
    <mc:AlternateContent xmlns:mc="http://schemas.openxmlformats.org/markup-compatibility/2006">
      <mc:Choice Requires="x14">
        <oleObject progId="Equation.3" shapeId="12364" r:id="rId80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64" r:id="rId80"/>
      </mc:Fallback>
    </mc:AlternateContent>
    <mc:AlternateContent xmlns:mc="http://schemas.openxmlformats.org/markup-compatibility/2006">
      <mc:Choice Requires="x14">
        <oleObject progId="Equation.3" shapeId="12365" r:id="rId81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65" r:id="rId81"/>
      </mc:Fallback>
    </mc:AlternateContent>
    <mc:AlternateContent xmlns:mc="http://schemas.openxmlformats.org/markup-compatibility/2006">
      <mc:Choice Requires="x14">
        <oleObject progId="Equation.3" shapeId="12366" r:id="rId82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66" r:id="rId82"/>
      </mc:Fallback>
    </mc:AlternateContent>
    <mc:AlternateContent xmlns:mc="http://schemas.openxmlformats.org/markup-compatibility/2006">
      <mc:Choice Requires="x14">
        <oleObject progId="Equation.3" shapeId="12367" r:id="rId83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67" r:id="rId83"/>
      </mc:Fallback>
    </mc:AlternateContent>
    <mc:AlternateContent xmlns:mc="http://schemas.openxmlformats.org/markup-compatibility/2006">
      <mc:Choice Requires="x14">
        <oleObject progId="Equation.3" shapeId="12368" r:id="rId84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68" r:id="rId84"/>
      </mc:Fallback>
    </mc:AlternateContent>
    <mc:AlternateContent xmlns:mc="http://schemas.openxmlformats.org/markup-compatibility/2006">
      <mc:Choice Requires="x14">
        <oleObject progId="Equation.3" shapeId="12369" r:id="rId85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69" r:id="rId85"/>
      </mc:Fallback>
    </mc:AlternateContent>
    <mc:AlternateContent xmlns:mc="http://schemas.openxmlformats.org/markup-compatibility/2006">
      <mc:Choice Requires="x14">
        <oleObject progId="Equation.3" shapeId="12370" r:id="rId86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70" r:id="rId86"/>
      </mc:Fallback>
    </mc:AlternateContent>
    <mc:AlternateContent xmlns:mc="http://schemas.openxmlformats.org/markup-compatibility/2006">
      <mc:Choice Requires="x14">
        <oleObject progId="Equation.3" shapeId="12371" r:id="rId87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71" r:id="rId87"/>
      </mc:Fallback>
    </mc:AlternateContent>
    <mc:AlternateContent xmlns:mc="http://schemas.openxmlformats.org/markup-compatibility/2006">
      <mc:Choice Requires="x14">
        <oleObject progId="Equation.3" shapeId="12372" r:id="rId88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72" r:id="rId88"/>
      </mc:Fallback>
    </mc:AlternateContent>
    <mc:AlternateContent xmlns:mc="http://schemas.openxmlformats.org/markup-compatibility/2006">
      <mc:Choice Requires="x14">
        <oleObject progId="Equation.3" shapeId="12373" r:id="rId89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73" r:id="rId89"/>
      </mc:Fallback>
    </mc:AlternateContent>
    <mc:AlternateContent xmlns:mc="http://schemas.openxmlformats.org/markup-compatibility/2006">
      <mc:Choice Requires="x14">
        <oleObject progId="Equation.3" shapeId="12374" r:id="rId90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74" r:id="rId90"/>
      </mc:Fallback>
    </mc:AlternateContent>
    <mc:AlternateContent xmlns:mc="http://schemas.openxmlformats.org/markup-compatibility/2006">
      <mc:Choice Requires="x14">
        <oleObject progId="Equation.3" shapeId="12375" r:id="rId91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75" r:id="rId91"/>
      </mc:Fallback>
    </mc:AlternateContent>
    <mc:AlternateContent xmlns:mc="http://schemas.openxmlformats.org/markup-compatibility/2006">
      <mc:Choice Requires="x14">
        <oleObject progId="Equation.3" shapeId="12376" r:id="rId92">
          <objectPr defaultSize="0" autoPict="0" r:id="rId5">
            <anchor moveWithCells="1" sizeWithCells="1">
              <from>
                <xdr:col>10</xdr:col>
                <xdr:colOff>431800</xdr:colOff>
                <xdr:row>81</xdr:row>
                <xdr:rowOff>0</xdr:rowOff>
              </from>
              <to>
                <xdr:col>10</xdr:col>
                <xdr:colOff>431800</xdr:colOff>
                <xdr:row>81</xdr:row>
                <xdr:rowOff>0</xdr:rowOff>
              </to>
            </anchor>
          </objectPr>
        </oleObject>
      </mc:Choice>
      <mc:Fallback>
        <oleObject progId="Equation.3" shapeId="12376" r:id="rId92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2:K33"/>
  <sheetViews>
    <sheetView zoomScaleNormal="100" workbookViewId="0">
      <selection activeCell="D24" sqref="D24"/>
    </sheetView>
  </sheetViews>
  <sheetFormatPr defaultColWidth="9.1796875" defaultRowHeight="12.5" x14ac:dyDescent="0.25"/>
  <cols>
    <col min="1" max="1" width="4.81640625" style="292" customWidth="1"/>
    <col min="2" max="2" width="19.453125" style="292" customWidth="1"/>
    <col min="3" max="3" width="1.453125" style="292" customWidth="1"/>
    <col min="4" max="4" width="12" style="292" customWidth="1"/>
    <col min="5" max="5" width="19" style="292" customWidth="1"/>
    <col min="6" max="7" width="18.81640625" style="292" customWidth="1"/>
    <col min="8" max="8" width="9.1796875" style="292"/>
    <col min="9" max="9" width="23" style="292" bestFit="1" customWidth="1"/>
    <col min="10" max="10" width="9.81640625" style="292" bestFit="1" customWidth="1"/>
    <col min="11" max="11" width="8.81640625" style="292" customWidth="1"/>
    <col min="12" max="16384" width="9.1796875" style="292"/>
  </cols>
  <sheetData>
    <row r="2" spans="1:11" x14ac:dyDescent="0.25">
      <c r="G2" s="323" t="e">
        <f>VLOOKUP(B18,'DB SERTIFIKAT'!$B$2:$C$73,2,FALSE)</f>
        <v>#REF!</v>
      </c>
      <c r="I2" s="324"/>
      <c r="J2" s="1058"/>
      <c r="K2" s="1058"/>
    </row>
    <row r="3" spans="1:11" ht="22.5" x14ac:dyDescent="0.25">
      <c r="A3" s="1059" t="s">
        <v>317</v>
      </c>
      <c r="B3" s="1059"/>
      <c r="C3" s="1059"/>
      <c r="D3" s="1059"/>
      <c r="E3" s="1059"/>
      <c r="F3" s="1059"/>
      <c r="G3" s="1059"/>
      <c r="I3" s="295"/>
      <c r="J3" s="1060"/>
      <c r="K3" s="1061"/>
    </row>
    <row r="4" spans="1:11" ht="15" x14ac:dyDescent="0.25">
      <c r="A4" s="1062" t="str">
        <f>"Nomor : 56 /"&amp;" M - "&amp;ID!I2</f>
        <v>Nomor : 56 / M - 1 / IV - 21 / E - 00.000 DL</v>
      </c>
      <c r="B4" s="1062"/>
      <c r="C4" s="1062"/>
      <c r="D4" s="1062"/>
      <c r="E4" s="1062"/>
      <c r="F4" s="1062"/>
      <c r="G4" s="1062"/>
      <c r="I4" s="325"/>
      <c r="J4" s="326"/>
      <c r="K4" s="327"/>
    </row>
    <row r="5" spans="1:11" x14ac:dyDescent="0.25">
      <c r="I5" s="328"/>
      <c r="J5" s="329"/>
      <c r="K5" s="327"/>
    </row>
    <row r="6" spans="1:11" x14ac:dyDescent="0.25">
      <c r="I6" s="330"/>
      <c r="J6" s="327"/>
      <c r="K6" s="327"/>
    </row>
    <row r="7" spans="1:11" ht="33.75" customHeight="1" x14ac:dyDescent="0.25">
      <c r="A7" s="1050" t="s">
        <v>318</v>
      </c>
      <c r="B7" s="1050"/>
      <c r="C7" s="1050"/>
      <c r="D7" s="1050"/>
      <c r="E7" s="1050"/>
      <c r="F7" s="1050"/>
      <c r="G7" s="1050"/>
      <c r="I7" s="330"/>
      <c r="J7" s="331"/>
      <c r="K7" s="327"/>
    </row>
    <row r="8" spans="1:11" ht="15.5" x14ac:dyDescent="0.25">
      <c r="A8" s="332"/>
      <c r="B8" s="332"/>
      <c r="C8" s="332"/>
      <c r="D8" s="332"/>
      <c r="E8" s="332"/>
      <c r="F8" s="332"/>
      <c r="G8" s="332"/>
      <c r="I8" s="330"/>
      <c r="J8" s="327"/>
      <c r="K8" s="327"/>
    </row>
    <row r="9" spans="1:11" x14ac:dyDescent="0.25">
      <c r="I9" s="330"/>
      <c r="J9" s="327"/>
      <c r="K9" s="327"/>
    </row>
    <row r="10" spans="1:11" ht="15.5" x14ac:dyDescent="0.35">
      <c r="A10" s="333" t="s">
        <v>319</v>
      </c>
      <c r="C10" s="333" t="s">
        <v>19</v>
      </c>
      <c r="D10" s="1050" t="e">
        <f>#REF!</f>
        <v>#REF!</v>
      </c>
      <c r="E10" s="1050"/>
      <c r="F10" s="1050"/>
      <c r="G10" s="1050"/>
      <c r="I10" s="330"/>
      <c r="J10" s="1051"/>
      <c r="K10" s="1051"/>
    </row>
    <row r="11" spans="1:11" ht="32.25" customHeight="1" x14ac:dyDescent="0.25">
      <c r="A11" s="334" t="s">
        <v>320</v>
      </c>
      <c r="C11" s="334" t="s">
        <v>19</v>
      </c>
      <c r="D11" s="1050" t="e">
        <f>#REF!</f>
        <v>#REF!</v>
      </c>
      <c r="E11" s="1050"/>
      <c r="F11" s="1050"/>
      <c r="G11" s="1050"/>
      <c r="I11" s="330"/>
      <c r="J11" s="1051"/>
      <c r="K11" s="1051"/>
    </row>
    <row r="12" spans="1:11" ht="15.5" x14ac:dyDescent="0.35">
      <c r="A12" s="333" t="s">
        <v>321</v>
      </c>
      <c r="C12" s="333" t="s">
        <v>19</v>
      </c>
      <c r="D12" s="333" t="e">
        <f>#REF!</f>
        <v>#REF!</v>
      </c>
      <c r="I12" s="330"/>
      <c r="J12" s="1052"/>
      <c r="K12" s="1053"/>
    </row>
    <row r="15" spans="1:11" ht="15.5" x14ac:dyDescent="0.25">
      <c r="A15" s="335" t="s">
        <v>322</v>
      </c>
    </row>
    <row r="17" spans="1:7" ht="22.5" customHeight="1" x14ac:dyDescent="0.25">
      <c r="A17" s="336" t="s">
        <v>98</v>
      </c>
      <c r="B17" s="336" t="s">
        <v>323</v>
      </c>
      <c r="C17" s="1054" t="s">
        <v>324</v>
      </c>
      <c r="D17" s="1055"/>
      <c r="E17" s="336" t="s">
        <v>325</v>
      </c>
      <c r="F17" s="336" t="s">
        <v>326</v>
      </c>
      <c r="G17" s="336" t="s">
        <v>7</v>
      </c>
    </row>
    <row r="18" spans="1:7" ht="30.75" customHeight="1" x14ac:dyDescent="0.25">
      <c r="A18" s="337" t="s">
        <v>327</v>
      </c>
      <c r="B18" s="338" t="e">
        <f>#REF!</f>
        <v>#REF!</v>
      </c>
      <c r="C18" s="1056" t="e">
        <f>#REF!</f>
        <v>#REF!</v>
      </c>
      <c r="D18" s="1057"/>
      <c r="E18" s="339" t="e">
        <f>#REF!</f>
        <v>#REF!</v>
      </c>
      <c r="F18" s="339" t="e">
        <f>#REF!</f>
        <v>#REF!</v>
      </c>
      <c r="G18" s="336" t="e">
        <f>#REF!</f>
        <v>#REF!</v>
      </c>
    </row>
    <row r="19" spans="1:7" ht="15.5" x14ac:dyDescent="0.25">
      <c r="A19" s="340"/>
      <c r="C19" s="341"/>
      <c r="D19" s="341"/>
    </row>
    <row r="21" spans="1:7" ht="30.75" customHeight="1" x14ac:dyDescent="0.25">
      <c r="A21" s="1050" t="s">
        <v>328</v>
      </c>
      <c r="B21" s="1050"/>
      <c r="C21" s="1050"/>
      <c r="D21" s="1050"/>
      <c r="E21" s="1050"/>
      <c r="F21" s="1050"/>
      <c r="G21" s="1050"/>
    </row>
    <row r="23" spans="1:7" ht="15.5" x14ac:dyDescent="0.25">
      <c r="A23" s="1047" t="s">
        <v>329</v>
      </c>
      <c r="B23" s="1047"/>
      <c r="C23" s="1047"/>
      <c r="D23" s="1047"/>
      <c r="E23" s="1047"/>
      <c r="F23" s="1047"/>
      <c r="G23" s="1047"/>
    </row>
    <row r="24" spans="1:7" ht="15.5" x14ac:dyDescent="0.25">
      <c r="A24" s="342"/>
      <c r="B24" s="342"/>
      <c r="C24" s="342"/>
      <c r="D24" s="342"/>
      <c r="E24" s="342"/>
      <c r="F24" s="342"/>
      <c r="G24" s="342"/>
    </row>
    <row r="26" spans="1:7" ht="15.5" x14ac:dyDescent="0.25">
      <c r="F26" s="343" t="s">
        <v>330</v>
      </c>
      <c r="G26" s="344">
        <f ca="1">TODAY()</f>
        <v>45208</v>
      </c>
    </row>
    <row r="27" spans="1:7" ht="15.5" x14ac:dyDescent="0.35">
      <c r="F27" s="1048" t="s">
        <v>331</v>
      </c>
      <c r="G27" s="1048"/>
    </row>
    <row r="32" spans="1:7" ht="15" x14ac:dyDescent="0.3">
      <c r="F32" s="1049" t="s">
        <v>315</v>
      </c>
      <c r="G32" s="1049"/>
    </row>
    <row r="33" spans="6:7" ht="15.5" x14ac:dyDescent="0.35">
      <c r="F33" s="1048" t="s">
        <v>316</v>
      </c>
      <c r="G33" s="1048"/>
    </row>
  </sheetData>
  <sheetProtection algorithmName="SHA-512" hashValue="+GZUMwlEK2lJNmD/fNuJ08iMtYZJHYdhJ8+5ijBq6vES8u8fAHP8v5f6RdRzpd4hnlcyZhZP0TGxfiKwooKMug==" saltValue="s46+fpBy8aUrgX0qDc+ZmQ==" spinCount="100000" sheet="1" objects="1" scenarios="1"/>
  <mergeCells count="17">
    <mergeCell ref="D10:G10"/>
    <mergeCell ref="J10:K10"/>
    <mergeCell ref="J2:K2"/>
    <mergeCell ref="A3:G3"/>
    <mergeCell ref="J3:K3"/>
    <mergeCell ref="A4:G4"/>
    <mergeCell ref="A7:G7"/>
    <mergeCell ref="J11:K11"/>
    <mergeCell ref="J12:K12"/>
    <mergeCell ref="C17:D17"/>
    <mergeCell ref="C18:D18"/>
    <mergeCell ref="A21:G21"/>
    <mergeCell ref="A23:G23"/>
    <mergeCell ref="F27:G27"/>
    <mergeCell ref="F32:G32"/>
    <mergeCell ref="F33:G33"/>
    <mergeCell ref="D11:G11"/>
  </mergeCells>
  <pageMargins left="0.6" right="0.3" top="1.5" bottom="0.75" header="0.3" footer="0.3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3"/>
  <sheetViews>
    <sheetView topLeftCell="B22" workbookViewId="0">
      <selection activeCell="D24" sqref="D24"/>
    </sheetView>
  </sheetViews>
  <sheetFormatPr defaultColWidth="9.1796875" defaultRowHeight="12.5" x14ac:dyDescent="0.25"/>
  <cols>
    <col min="1" max="1" width="9.1796875" style="292"/>
    <col min="2" max="2" width="30.1796875" style="292" bestFit="1" customWidth="1"/>
    <col min="3" max="3" width="24.54296875" style="292" bestFit="1" customWidth="1"/>
    <col min="4" max="4" width="32.54296875" style="292" bestFit="1" customWidth="1"/>
    <col min="5" max="5" width="9.81640625" style="292" customWidth="1"/>
    <col min="6" max="6" width="30.1796875" style="292" bestFit="1" customWidth="1"/>
    <col min="7" max="7" width="9.1796875" style="292"/>
    <col min="8" max="8" width="15.453125" style="292" bestFit="1" customWidth="1"/>
    <col min="9" max="9" width="9.1796875" style="292"/>
    <col min="10" max="10" width="11.81640625" style="292" bestFit="1" customWidth="1"/>
    <col min="11" max="16384" width="9.1796875" style="292"/>
  </cols>
  <sheetData>
    <row r="1" spans="1:15" ht="14" x14ac:dyDescent="0.3">
      <c r="A1" s="345" t="s">
        <v>29</v>
      </c>
      <c r="B1" s="345" t="s">
        <v>323</v>
      </c>
      <c r="C1" s="345" t="s">
        <v>332</v>
      </c>
      <c r="D1" s="346" t="s">
        <v>333</v>
      </c>
      <c r="E1" s="347"/>
      <c r="F1" s="348" t="s">
        <v>298</v>
      </c>
      <c r="H1" s="347"/>
      <c r="J1" s="347"/>
    </row>
    <row r="2" spans="1:15" ht="14" x14ac:dyDescent="0.3">
      <c r="A2" s="349">
        <v>1</v>
      </c>
      <c r="B2" s="349" t="s">
        <v>334</v>
      </c>
      <c r="C2" s="349" t="s">
        <v>335</v>
      </c>
      <c r="D2" s="350" t="s">
        <v>336</v>
      </c>
      <c r="F2" s="351" t="s">
        <v>337</v>
      </c>
    </row>
    <row r="3" spans="1:15" ht="14" x14ac:dyDescent="0.3">
      <c r="A3" s="349">
        <v>2</v>
      </c>
      <c r="B3" s="349" t="s">
        <v>338</v>
      </c>
      <c r="C3" s="349" t="s">
        <v>339</v>
      </c>
      <c r="D3" s="349" t="s">
        <v>340</v>
      </c>
      <c r="F3" s="351" t="s">
        <v>341</v>
      </c>
    </row>
    <row r="4" spans="1:15" ht="14" x14ac:dyDescent="0.3">
      <c r="A4" s="349">
        <v>3</v>
      </c>
      <c r="B4" s="349" t="s">
        <v>342</v>
      </c>
      <c r="C4" s="349" t="s">
        <v>343</v>
      </c>
      <c r="D4" s="349" t="s">
        <v>344</v>
      </c>
      <c r="F4" s="351" t="s">
        <v>345</v>
      </c>
    </row>
    <row r="5" spans="1:15" ht="14" x14ac:dyDescent="0.3">
      <c r="A5" s="349">
        <v>4</v>
      </c>
      <c r="B5" s="349" t="s">
        <v>346</v>
      </c>
      <c r="C5" s="349" t="s">
        <v>347</v>
      </c>
      <c r="D5" s="350" t="s">
        <v>348</v>
      </c>
      <c r="F5" s="351" t="s">
        <v>349</v>
      </c>
      <c r="H5" s="352"/>
    </row>
    <row r="6" spans="1:15" ht="14" x14ac:dyDescent="0.3">
      <c r="A6" s="349">
        <v>5</v>
      </c>
      <c r="B6" s="349" t="s">
        <v>350</v>
      </c>
      <c r="C6" s="349" t="s">
        <v>351</v>
      </c>
      <c r="D6" s="350" t="s">
        <v>352</v>
      </c>
      <c r="F6" s="351" t="s">
        <v>353</v>
      </c>
    </row>
    <row r="7" spans="1:15" ht="14" x14ac:dyDescent="0.3">
      <c r="A7" s="349">
        <v>6</v>
      </c>
      <c r="B7" s="349" t="s">
        <v>354</v>
      </c>
      <c r="C7" s="349" t="s">
        <v>355</v>
      </c>
      <c r="D7" s="350" t="s">
        <v>356</v>
      </c>
      <c r="F7" s="351" t="s">
        <v>301</v>
      </c>
    </row>
    <row r="8" spans="1:15" ht="14" x14ac:dyDescent="0.3">
      <c r="A8" s="349">
        <v>7</v>
      </c>
      <c r="B8" s="349" t="s">
        <v>357</v>
      </c>
      <c r="C8" s="349" t="s">
        <v>358</v>
      </c>
      <c r="D8" s="350" t="s">
        <v>359</v>
      </c>
      <c r="F8" s="351" t="s">
        <v>360</v>
      </c>
    </row>
    <row r="9" spans="1:15" ht="14" x14ac:dyDescent="0.3">
      <c r="A9" s="349">
        <v>8</v>
      </c>
      <c r="B9" s="349" t="s">
        <v>361</v>
      </c>
      <c r="C9" s="349" t="s">
        <v>362</v>
      </c>
      <c r="D9" s="349" t="s">
        <v>363</v>
      </c>
      <c r="F9" s="351" t="s">
        <v>364</v>
      </c>
    </row>
    <row r="10" spans="1:15" ht="14" x14ac:dyDescent="0.3">
      <c r="A10" s="349">
        <v>9</v>
      </c>
      <c r="B10" s="349" t="s">
        <v>365</v>
      </c>
      <c r="C10" s="349" t="s">
        <v>366</v>
      </c>
      <c r="D10" s="350" t="s">
        <v>367</v>
      </c>
      <c r="F10" s="351" t="s">
        <v>368</v>
      </c>
      <c r="H10" s="352"/>
    </row>
    <row r="11" spans="1:15" ht="14" x14ac:dyDescent="0.3">
      <c r="A11" s="349">
        <v>10</v>
      </c>
      <c r="B11" s="349" t="s">
        <v>369</v>
      </c>
      <c r="C11" s="349" t="s">
        <v>370</v>
      </c>
      <c r="D11" s="349" t="s">
        <v>371</v>
      </c>
      <c r="F11" s="351" t="s">
        <v>372</v>
      </c>
      <c r="L11" s="353"/>
      <c r="M11" s="354"/>
      <c r="N11" s="353"/>
      <c r="O11" s="354"/>
    </row>
    <row r="12" spans="1:15" ht="14" x14ac:dyDescent="0.3">
      <c r="A12" s="349">
        <v>11</v>
      </c>
      <c r="B12" s="349" t="s">
        <v>373</v>
      </c>
      <c r="C12" s="349" t="s">
        <v>370</v>
      </c>
      <c r="D12" s="349" t="s">
        <v>371</v>
      </c>
      <c r="F12" s="351" t="s">
        <v>374</v>
      </c>
      <c r="H12" s="355"/>
    </row>
    <row r="13" spans="1:15" ht="14" x14ac:dyDescent="0.3">
      <c r="A13" s="349">
        <v>12</v>
      </c>
      <c r="B13" s="349" t="s">
        <v>375</v>
      </c>
      <c r="C13" s="349" t="s">
        <v>376</v>
      </c>
      <c r="D13" s="350" t="s">
        <v>377</v>
      </c>
      <c r="F13" s="351" t="s">
        <v>378</v>
      </c>
    </row>
    <row r="14" spans="1:15" ht="14" x14ac:dyDescent="0.3">
      <c r="A14" s="349">
        <v>13</v>
      </c>
      <c r="B14" s="349" t="s">
        <v>379</v>
      </c>
      <c r="C14" s="349" t="s">
        <v>380</v>
      </c>
      <c r="D14" s="350" t="s">
        <v>381</v>
      </c>
    </row>
    <row r="15" spans="1:15" ht="14" x14ac:dyDescent="0.3">
      <c r="A15" s="349">
        <v>14</v>
      </c>
      <c r="B15" s="349" t="s">
        <v>382</v>
      </c>
      <c r="C15" s="349" t="s">
        <v>383</v>
      </c>
      <c r="D15" s="350" t="s">
        <v>384</v>
      </c>
      <c r="L15" s="353"/>
      <c r="M15" s="353"/>
      <c r="N15" s="353"/>
      <c r="O15" s="354"/>
    </row>
    <row r="16" spans="1:15" ht="14" x14ac:dyDescent="0.3">
      <c r="A16" s="349">
        <v>15</v>
      </c>
      <c r="B16" s="349" t="s">
        <v>385</v>
      </c>
      <c r="C16" s="349" t="s">
        <v>386</v>
      </c>
      <c r="D16" s="350" t="s">
        <v>387</v>
      </c>
      <c r="L16" s="353"/>
      <c r="M16" s="353"/>
    </row>
    <row r="17" spans="1:14" ht="14" x14ac:dyDescent="0.3">
      <c r="A17" s="349">
        <v>16</v>
      </c>
      <c r="B17" s="349" t="s">
        <v>388</v>
      </c>
      <c r="C17" s="349" t="s">
        <v>383</v>
      </c>
      <c r="D17" s="350" t="s">
        <v>384</v>
      </c>
    </row>
    <row r="18" spans="1:14" ht="14" x14ac:dyDescent="0.3">
      <c r="A18" s="349">
        <v>17</v>
      </c>
      <c r="B18" s="349" t="s">
        <v>389</v>
      </c>
      <c r="C18" s="349" t="s">
        <v>390</v>
      </c>
      <c r="D18" s="349" t="s">
        <v>391</v>
      </c>
    </row>
    <row r="19" spans="1:14" ht="14" x14ac:dyDescent="0.3">
      <c r="A19" s="349">
        <v>18</v>
      </c>
      <c r="B19" s="349" t="s">
        <v>392</v>
      </c>
      <c r="C19" s="349" t="s">
        <v>393</v>
      </c>
      <c r="D19" s="350" t="s">
        <v>394</v>
      </c>
    </row>
    <row r="20" spans="1:14" ht="14" x14ac:dyDescent="0.3">
      <c r="A20" s="349">
        <v>19</v>
      </c>
      <c r="B20" s="349" t="s">
        <v>395</v>
      </c>
      <c r="C20" s="349" t="s">
        <v>396</v>
      </c>
      <c r="D20" s="350" t="s">
        <v>397</v>
      </c>
    </row>
    <row r="21" spans="1:14" ht="14" x14ac:dyDescent="0.3">
      <c r="A21" s="349">
        <v>20</v>
      </c>
      <c r="B21" s="349" t="s">
        <v>398</v>
      </c>
      <c r="C21" s="349" t="s">
        <v>399</v>
      </c>
      <c r="D21" s="349" t="s">
        <v>400</v>
      </c>
    </row>
    <row r="22" spans="1:14" ht="14" x14ac:dyDescent="0.3">
      <c r="A22" s="349">
        <v>21</v>
      </c>
      <c r="B22" s="349" t="s">
        <v>401</v>
      </c>
      <c r="C22" s="349" t="s">
        <v>402</v>
      </c>
      <c r="D22" s="349" t="s">
        <v>403</v>
      </c>
    </row>
    <row r="23" spans="1:14" ht="14" x14ac:dyDescent="0.3">
      <c r="A23" s="349">
        <v>22</v>
      </c>
      <c r="B23" s="349" t="s">
        <v>404</v>
      </c>
      <c r="C23" s="349" t="s">
        <v>405</v>
      </c>
      <c r="D23" s="350" t="s">
        <v>406</v>
      </c>
    </row>
    <row r="24" spans="1:14" ht="14" x14ac:dyDescent="0.3">
      <c r="A24" s="349">
        <v>23</v>
      </c>
      <c r="B24" s="349" t="s">
        <v>407</v>
      </c>
      <c r="C24" s="349" t="s">
        <v>408</v>
      </c>
      <c r="D24" s="350" t="s">
        <v>409</v>
      </c>
    </row>
    <row r="25" spans="1:14" ht="14" x14ac:dyDescent="0.3">
      <c r="A25" s="349">
        <v>24</v>
      </c>
      <c r="B25" s="349" t="s">
        <v>410</v>
      </c>
      <c r="C25" s="349" t="s">
        <v>411</v>
      </c>
      <c r="D25" s="350" t="s">
        <v>412</v>
      </c>
      <c r="G25" s="354"/>
      <c r="K25" s="353"/>
      <c r="L25" s="354"/>
      <c r="M25" s="353"/>
      <c r="N25" s="354"/>
    </row>
    <row r="26" spans="1:14" ht="14" x14ac:dyDescent="0.3">
      <c r="A26" s="349">
        <v>25</v>
      </c>
      <c r="B26" s="349" t="s">
        <v>413</v>
      </c>
      <c r="C26" s="349" t="s">
        <v>414</v>
      </c>
      <c r="D26" s="349" t="s">
        <v>415</v>
      </c>
    </row>
    <row r="27" spans="1:14" ht="14" x14ac:dyDescent="0.3">
      <c r="A27" s="349">
        <v>26</v>
      </c>
      <c r="B27" s="349" t="s">
        <v>416</v>
      </c>
      <c r="C27" s="349" t="s">
        <v>417</v>
      </c>
      <c r="D27" s="349" t="s">
        <v>418</v>
      </c>
      <c r="F27" s="353"/>
      <c r="G27" s="354"/>
    </row>
    <row r="28" spans="1:14" ht="14" x14ac:dyDescent="0.3">
      <c r="A28" s="349">
        <v>27</v>
      </c>
      <c r="B28" s="349" t="s">
        <v>419</v>
      </c>
      <c r="C28" s="349"/>
      <c r="D28" s="349"/>
    </row>
    <row r="29" spans="1:14" ht="14" x14ac:dyDescent="0.3">
      <c r="A29" s="349">
        <v>28</v>
      </c>
      <c r="B29" s="349" t="s">
        <v>420</v>
      </c>
      <c r="C29" s="349" t="s">
        <v>421</v>
      </c>
      <c r="D29" s="350" t="s">
        <v>422</v>
      </c>
    </row>
    <row r="30" spans="1:14" ht="14" x14ac:dyDescent="0.3">
      <c r="A30" s="349">
        <v>29</v>
      </c>
      <c r="B30" s="349" t="s">
        <v>423</v>
      </c>
      <c r="C30" s="349" t="s">
        <v>424</v>
      </c>
      <c r="D30" s="350" t="s">
        <v>425</v>
      </c>
      <c r="F30" s="353"/>
      <c r="G30" s="354"/>
    </row>
    <row r="31" spans="1:14" ht="14" x14ac:dyDescent="0.3">
      <c r="A31" s="349">
        <v>30</v>
      </c>
      <c r="B31" s="349" t="s">
        <v>426</v>
      </c>
      <c r="C31" s="349" t="s">
        <v>427</v>
      </c>
      <c r="D31" s="349" t="s">
        <v>428</v>
      </c>
      <c r="G31" s="353"/>
    </row>
    <row r="32" spans="1:14" ht="14" x14ac:dyDescent="0.3">
      <c r="A32" s="349">
        <v>31</v>
      </c>
      <c r="B32" s="349" t="s">
        <v>429</v>
      </c>
      <c r="C32" s="349" t="s">
        <v>430</v>
      </c>
      <c r="D32" s="349" t="s">
        <v>431</v>
      </c>
      <c r="G32" s="353"/>
    </row>
    <row r="33" spans="1:7" ht="14" x14ac:dyDescent="0.3">
      <c r="A33" s="349">
        <v>32</v>
      </c>
      <c r="B33" s="349" t="s">
        <v>432</v>
      </c>
      <c r="C33" s="349" t="s">
        <v>433</v>
      </c>
      <c r="D33" s="349" t="s">
        <v>434</v>
      </c>
      <c r="F33" s="353"/>
      <c r="G33" s="353"/>
    </row>
    <row r="34" spans="1:7" ht="14" x14ac:dyDescent="0.3">
      <c r="A34" s="349">
        <v>33</v>
      </c>
      <c r="B34" s="349" t="s">
        <v>435</v>
      </c>
      <c r="C34" s="349" t="s">
        <v>436</v>
      </c>
      <c r="D34" s="350" t="s">
        <v>437</v>
      </c>
      <c r="F34" s="353"/>
      <c r="G34" s="353"/>
    </row>
    <row r="35" spans="1:7" ht="14" x14ac:dyDescent="0.3">
      <c r="A35" s="349">
        <v>34</v>
      </c>
      <c r="B35" s="349" t="s">
        <v>438</v>
      </c>
      <c r="C35" s="349" t="s">
        <v>436</v>
      </c>
      <c r="D35" s="350" t="s">
        <v>437</v>
      </c>
      <c r="G35" s="353"/>
    </row>
    <row r="36" spans="1:7" ht="14" x14ac:dyDescent="0.3">
      <c r="A36" s="349">
        <v>35</v>
      </c>
      <c r="B36" s="349" t="s">
        <v>439</v>
      </c>
      <c r="C36" s="349" t="s">
        <v>440</v>
      </c>
      <c r="D36" s="350" t="s">
        <v>441</v>
      </c>
      <c r="G36" s="353"/>
    </row>
    <row r="37" spans="1:7" ht="14" x14ac:dyDescent="0.3">
      <c r="A37" s="349">
        <v>36</v>
      </c>
      <c r="B37" s="349" t="s">
        <v>442</v>
      </c>
      <c r="C37" s="349" t="s">
        <v>443</v>
      </c>
      <c r="D37" s="349" t="s">
        <v>444</v>
      </c>
      <c r="G37" s="353"/>
    </row>
    <row r="38" spans="1:7" ht="14" x14ac:dyDescent="0.3">
      <c r="A38" s="349">
        <v>37</v>
      </c>
      <c r="B38" s="349" t="s">
        <v>445</v>
      </c>
      <c r="C38" s="349" t="s">
        <v>446</v>
      </c>
      <c r="D38" s="349" t="s">
        <v>447</v>
      </c>
      <c r="G38" s="353"/>
    </row>
    <row r="39" spans="1:7" ht="14" x14ac:dyDescent="0.3">
      <c r="A39" s="349">
        <v>38</v>
      </c>
      <c r="B39" s="349" t="s">
        <v>448</v>
      </c>
      <c r="C39" s="349" t="s">
        <v>449</v>
      </c>
      <c r="D39" s="350" t="s">
        <v>450</v>
      </c>
      <c r="F39" s="353"/>
      <c r="G39" s="354"/>
    </row>
    <row r="40" spans="1:7" ht="14" x14ac:dyDescent="0.3">
      <c r="A40" s="349">
        <v>39</v>
      </c>
      <c r="B40" s="349" t="s">
        <v>451</v>
      </c>
      <c r="C40" s="349" t="s">
        <v>452</v>
      </c>
      <c r="D40" s="349" t="s">
        <v>453</v>
      </c>
    </row>
    <row r="41" spans="1:7" ht="14" x14ac:dyDescent="0.3">
      <c r="A41" s="349">
        <v>40</v>
      </c>
      <c r="B41" s="349" t="s">
        <v>454</v>
      </c>
      <c r="C41" s="349" t="s">
        <v>455</v>
      </c>
      <c r="D41" s="349" t="s">
        <v>456</v>
      </c>
    </row>
    <row r="42" spans="1:7" ht="14" x14ac:dyDescent="0.3">
      <c r="A42" s="349">
        <v>41</v>
      </c>
      <c r="B42" s="349" t="s">
        <v>457</v>
      </c>
      <c r="C42" s="349" t="s">
        <v>458</v>
      </c>
      <c r="D42" s="349" t="s">
        <v>459</v>
      </c>
    </row>
    <row r="43" spans="1:7" ht="14" x14ac:dyDescent="0.3">
      <c r="A43" s="349">
        <v>42</v>
      </c>
      <c r="B43" s="349" t="s">
        <v>460</v>
      </c>
      <c r="C43" s="349" t="s">
        <v>461</v>
      </c>
      <c r="D43" s="349" t="s">
        <v>462</v>
      </c>
    </row>
    <row r="44" spans="1:7" ht="14" x14ac:dyDescent="0.3">
      <c r="A44" s="349">
        <v>43</v>
      </c>
      <c r="B44" s="349" t="s">
        <v>463</v>
      </c>
      <c r="C44" s="349"/>
      <c r="D44" s="349"/>
    </row>
    <row r="45" spans="1:7" ht="14" x14ac:dyDescent="0.3">
      <c r="A45" s="349">
        <v>44</v>
      </c>
      <c r="B45" s="349" t="s">
        <v>464</v>
      </c>
      <c r="C45" s="349" t="s">
        <v>465</v>
      </c>
      <c r="D45" s="350" t="s">
        <v>466</v>
      </c>
    </row>
    <row r="46" spans="1:7" ht="14" x14ac:dyDescent="0.3">
      <c r="A46" s="349">
        <v>45</v>
      </c>
      <c r="B46" s="349" t="s">
        <v>467</v>
      </c>
      <c r="C46" s="349" t="s">
        <v>468</v>
      </c>
      <c r="D46" s="350" t="s">
        <v>469</v>
      </c>
    </row>
    <row r="47" spans="1:7" ht="14" x14ac:dyDescent="0.3">
      <c r="A47" s="349">
        <v>46</v>
      </c>
      <c r="B47" s="349" t="s">
        <v>470</v>
      </c>
      <c r="C47" s="349" t="s">
        <v>471</v>
      </c>
      <c r="D47" s="349" t="s">
        <v>472</v>
      </c>
    </row>
    <row r="48" spans="1:7" ht="14" x14ac:dyDescent="0.3">
      <c r="A48" s="349">
        <v>47</v>
      </c>
      <c r="B48" s="349" t="s">
        <v>473</v>
      </c>
      <c r="C48" s="349" t="s">
        <v>474</v>
      </c>
      <c r="D48" s="350" t="s">
        <v>475</v>
      </c>
    </row>
    <row r="49" spans="1:7" ht="14" x14ac:dyDescent="0.3">
      <c r="A49" s="349">
        <v>48</v>
      </c>
      <c r="B49" s="349" t="s">
        <v>476</v>
      </c>
      <c r="C49" s="349"/>
      <c r="D49" s="349"/>
    </row>
    <row r="50" spans="1:7" ht="14" x14ac:dyDescent="0.3">
      <c r="A50" s="349">
        <v>49</v>
      </c>
      <c r="B50" s="349" t="s">
        <v>477</v>
      </c>
      <c r="C50" s="349" t="s">
        <v>478</v>
      </c>
      <c r="D50" s="350" t="s">
        <v>479</v>
      </c>
      <c r="F50" s="353"/>
      <c r="G50" s="354"/>
    </row>
    <row r="51" spans="1:7" ht="14" x14ac:dyDescent="0.3">
      <c r="A51" s="349">
        <v>50</v>
      </c>
      <c r="B51" s="349" t="s">
        <v>480</v>
      </c>
      <c r="C51" s="349" t="s">
        <v>481</v>
      </c>
      <c r="D51" s="349" t="s">
        <v>482</v>
      </c>
    </row>
    <row r="52" spans="1:7" ht="14" x14ac:dyDescent="0.3">
      <c r="A52" s="349">
        <v>51</v>
      </c>
      <c r="B52" s="349" t="s">
        <v>483</v>
      </c>
      <c r="C52" s="349" t="s">
        <v>484</v>
      </c>
      <c r="D52" s="350" t="s">
        <v>485</v>
      </c>
      <c r="F52" s="353"/>
      <c r="G52" s="354"/>
    </row>
    <row r="53" spans="1:7" ht="14" x14ac:dyDescent="0.3">
      <c r="A53" s="349">
        <v>52</v>
      </c>
      <c r="B53" s="349" t="s">
        <v>486</v>
      </c>
      <c r="C53" s="349" t="s">
        <v>487</v>
      </c>
      <c r="D53" s="350" t="s">
        <v>488</v>
      </c>
    </row>
    <row r="54" spans="1:7" ht="14" x14ac:dyDescent="0.3">
      <c r="A54" s="349">
        <v>53</v>
      </c>
      <c r="B54" s="349" t="s">
        <v>489</v>
      </c>
      <c r="C54" s="349" t="s">
        <v>490</v>
      </c>
      <c r="D54" s="349" t="s">
        <v>491</v>
      </c>
    </row>
    <row r="55" spans="1:7" ht="14" x14ac:dyDescent="0.3">
      <c r="A55" s="349">
        <v>54</v>
      </c>
      <c r="B55" s="349" t="s">
        <v>492</v>
      </c>
      <c r="C55" s="349" t="s">
        <v>490</v>
      </c>
      <c r="D55" s="349" t="s">
        <v>491</v>
      </c>
    </row>
    <row r="56" spans="1:7" ht="14" x14ac:dyDescent="0.3">
      <c r="A56" s="349">
        <v>55</v>
      </c>
      <c r="B56" s="349" t="s">
        <v>493</v>
      </c>
      <c r="C56" s="349" t="s">
        <v>402</v>
      </c>
      <c r="D56" s="349" t="s">
        <v>494</v>
      </c>
    </row>
    <row r="57" spans="1:7" ht="14" x14ac:dyDescent="0.3">
      <c r="A57" s="349">
        <v>56</v>
      </c>
      <c r="B57" s="349" t="s">
        <v>303</v>
      </c>
      <c r="C57" s="349" t="s">
        <v>495</v>
      </c>
      <c r="D57" s="350" t="s">
        <v>148</v>
      </c>
      <c r="F57" s="353"/>
      <c r="G57" s="354"/>
    </row>
    <row r="58" spans="1:7" ht="14" x14ac:dyDescent="0.3">
      <c r="A58" s="349">
        <v>57</v>
      </c>
      <c r="B58" s="349" t="s">
        <v>496</v>
      </c>
      <c r="C58" s="349"/>
      <c r="D58" s="349"/>
    </row>
    <row r="59" spans="1:7" ht="14" x14ac:dyDescent="0.3">
      <c r="A59" s="349">
        <v>58</v>
      </c>
      <c r="B59" s="349" t="s">
        <v>497</v>
      </c>
      <c r="C59" s="349" t="s">
        <v>498</v>
      </c>
      <c r="D59" s="349" t="s">
        <v>499</v>
      </c>
    </row>
    <row r="60" spans="1:7" ht="14" x14ac:dyDescent="0.3">
      <c r="A60" s="349">
        <v>59</v>
      </c>
      <c r="B60" s="349" t="s">
        <v>500</v>
      </c>
      <c r="C60" s="349"/>
      <c r="D60" s="349"/>
    </row>
    <row r="61" spans="1:7" ht="14" x14ac:dyDescent="0.3">
      <c r="A61" s="349">
        <v>60</v>
      </c>
      <c r="B61" s="349" t="s">
        <v>501</v>
      </c>
      <c r="C61" s="349" t="s">
        <v>502</v>
      </c>
      <c r="D61" s="350" t="s">
        <v>503</v>
      </c>
    </row>
    <row r="62" spans="1:7" ht="14" x14ac:dyDescent="0.3">
      <c r="A62" s="349">
        <v>61</v>
      </c>
      <c r="B62" s="349" t="s">
        <v>504</v>
      </c>
      <c r="C62" s="349" t="s">
        <v>505</v>
      </c>
      <c r="D62" s="349" t="s">
        <v>506</v>
      </c>
    </row>
    <row r="63" spans="1:7" ht="14" x14ac:dyDescent="0.3">
      <c r="A63" s="349">
        <v>62</v>
      </c>
      <c r="B63" s="349" t="s">
        <v>507</v>
      </c>
      <c r="C63" s="349" t="s">
        <v>508</v>
      </c>
      <c r="D63" s="350" t="s">
        <v>509</v>
      </c>
    </row>
    <row r="64" spans="1:7" ht="14" x14ac:dyDescent="0.3">
      <c r="A64" s="349">
        <v>63</v>
      </c>
      <c r="B64" s="349" t="s">
        <v>510</v>
      </c>
      <c r="C64" s="349" t="s">
        <v>511</v>
      </c>
      <c r="D64" s="349" t="s">
        <v>512</v>
      </c>
    </row>
    <row r="65" spans="1:4" ht="14" x14ac:dyDescent="0.3">
      <c r="A65" s="349">
        <v>64</v>
      </c>
      <c r="B65" s="349" t="s">
        <v>513</v>
      </c>
      <c r="C65" s="349"/>
      <c r="D65" s="349"/>
    </row>
    <row r="66" spans="1:4" ht="14" x14ac:dyDescent="0.3">
      <c r="A66" s="349">
        <v>65</v>
      </c>
      <c r="B66" s="349" t="s">
        <v>514</v>
      </c>
      <c r="C66" s="349"/>
      <c r="D66" s="349"/>
    </row>
    <row r="67" spans="1:4" ht="14" x14ac:dyDescent="0.3">
      <c r="A67" s="349">
        <v>66</v>
      </c>
      <c r="B67" s="349" t="s">
        <v>515</v>
      </c>
      <c r="C67" s="349"/>
      <c r="D67" s="349"/>
    </row>
    <row r="68" spans="1:4" ht="14" x14ac:dyDescent="0.3">
      <c r="A68" s="349">
        <v>67</v>
      </c>
      <c r="B68" s="349" t="s">
        <v>516</v>
      </c>
      <c r="C68" s="349"/>
      <c r="D68" s="349"/>
    </row>
    <row r="69" spans="1:4" ht="14" x14ac:dyDescent="0.3">
      <c r="A69" s="349">
        <v>68</v>
      </c>
      <c r="B69" s="349" t="s">
        <v>517</v>
      </c>
      <c r="C69" s="349" t="s">
        <v>518</v>
      </c>
      <c r="D69" s="349" t="s">
        <v>519</v>
      </c>
    </row>
    <row r="70" spans="1:4" ht="14.5" x14ac:dyDescent="0.35">
      <c r="A70" s="349">
        <v>71</v>
      </c>
      <c r="B70" s="349" t="s">
        <v>520</v>
      </c>
      <c r="C70" s="349" t="s">
        <v>386</v>
      </c>
      <c r="D70" s="350" t="s">
        <v>387</v>
      </c>
    </row>
    <row r="71" spans="1:4" ht="14" x14ac:dyDescent="0.3">
      <c r="A71" s="349">
        <v>70</v>
      </c>
      <c r="B71" s="349" t="s">
        <v>521</v>
      </c>
      <c r="C71" s="349" t="s">
        <v>522</v>
      </c>
      <c r="D71" s="349" t="s">
        <v>387</v>
      </c>
    </row>
    <row r="72" spans="1:4" ht="14" x14ac:dyDescent="0.3">
      <c r="A72" s="349">
        <v>76</v>
      </c>
      <c r="B72" s="349" t="s">
        <v>523</v>
      </c>
      <c r="C72" s="349" t="s">
        <v>524</v>
      </c>
      <c r="D72" s="350" t="s">
        <v>525</v>
      </c>
    </row>
    <row r="73" spans="1:4" ht="14" x14ac:dyDescent="0.3">
      <c r="A73" s="349">
        <v>78</v>
      </c>
      <c r="B73" s="349" t="s">
        <v>526</v>
      </c>
      <c r="C73" s="349" t="s">
        <v>527</v>
      </c>
      <c r="D73" s="349" t="s">
        <v>528</v>
      </c>
    </row>
  </sheetData>
  <sheetProtection algorithmName="SHA-512" hashValue="Ww+sM8qACxgXhdMPEJwS/+IKz8RrjhGsr2pe0Fx/p8b/BxH77yjHTj+z344xBcN4NDQPI9zRb0+24kAtseoSXg==" saltValue="RKxrSzKQzVFp3nssY0ohf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H81"/>
  <sheetViews>
    <sheetView topLeftCell="C1" workbookViewId="0">
      <selection activeCell="E7" sqref="E7"/>
    </sheetView>
  </sheetViews>
  <sheetFormatPr defaultRowHeight="12.5" x14ac:dyDescent="0.25"/>
  <cols>
    <col min="1" max="1" width="92.54296875" customWidth="1"/>
    <col min="2" max="2" width="92.81640625" customWidth="1"/>
    <col min="3" max="3" width="31" customWidth="1"/>
    <col min="5" max="5" width="52.453125" customWidth="1"/>
  </cols>
  <sheetData>
    <row r="1" spans="1:7" x14ac:dyDescent="0.25">
      <c r="A1" s="6"/>
      <c r="B1" s="6"/>
    </row>
    <row r="2" spans="1:7" x14ac:dyDescent="0.25">
      <c r="A2" s="112" t="s">
        <v>594</v>
      </c>
    </row>
    <row r="3" spans="1:7" x14ac:dyDescent="0.25">
      <c r="A3" s="112" t="s">
        <v>595</v>
      </c>
      <c r="B3" s="1"/>
    </row>
    <row r="4" spans="1:7" x14ac:dyDescent="0.25">
      <c r="A4" s="112" t="s">
        <v>596</v>
      </c>
      <c r="B4" s="7"/>
    </row>
    <row r="5" spans="1:7" x14ac:dyDescent="0.25">
      <c r="A5" s="112" t="s">
        <v>597</v>
      </c>
    </row>
    <row r="6" spans="1:7" x14ac:dyDescent="0.25">
      <c r="A6" s="112" t="s">
        <v>598</v>
      </c>
    </row>
    <row r="7" spans="1:7" x14ac:dyDescent="0.25">
      <c r="A7" s="112" t="s">
        <v>599</v>
      </c>
      <c r="C7" s="269" t="s">
        <v>600</v>
      </c>
      <c r="E7" s="1" t="s">
        <v>727</v>
      </c>
      <c r="F7" s="1" t="s">
        <v>601</v>
      </c>
      <c r="G7">
        <v>500</v>
      </c>
    </row>
    <row r="8" spans="1:7" ht="14.5" x14ac:dyDescent="0.35">
      <c r="A8" s="8" t="s">
        <v>602</v>
      </c>
      <c r="C8" s="269" t="s">
        <v>603</v>
      </c>
      <c r="E8" s="1" t="s">
        <v>726</v>
      </c>
      <c r="F8" s="1" t="s">
        <v>604</v>
      </c>
      <c r="G8">
        <v>100</v>
      </c>
    </row>
    <row r="9" spans="1:7" ht="14.5" x14ac:dyDescent="0.35">
      <c r="A9" s="8" t="s">
        <v>605</v>
      </c>
      <c r="B9" s="1" t="s">
        <v>606</v>
      </c>
      <c r="C9" s="269" t="s">
        <v>605</v>
      </c>
    </row>
    <row r="10" spans="1:7" ht="14.5" x14ac:dyDescent="0.35">
      <c r="A10" s="8" t="s">
        <v>600</v>
      </c>
      <c r="B10" s="1" t="s">
        <v>607</v>
      </c>
      <c r="C10" s="269" t="s">
        <v>608</v>
      </c>
    </row>
    <row r="11" spans="1:7" ht="14.5" x14ac:dyDescent="0.35">
      <c r="A11" s="8" t="s">
        <v>608</v>
      </c>
      <c r="B11" s="1" t="s">
        <v>609</v>
      </c>
      <c r="C11" s="269" t="s">
        <v>610</v>
      </c>
    </row>
    <row r="12" spans="1:7" ht="14.5" x14ac:dyDescent="0.35">
      <c r="A12" s="8" t="s">
        <v>611</v>
      </c>
      <c r="B12" s="1"/>
      <c r="C12" s="269" t="s">
        <v>612</v>
      </c>
    </row>
    <row r="13" spans="1:7" ht="15.5" x14ac:dyDescent="0.35">
      <c r="A13" s="8" t="s">
        <v>613</v>
      </c>
      <c r="B13" s="180" t="s">
        <v>156</v>
      </c>
      <c r="C13" s="269" t="s">
        <v>611</v>
      </c>
    </row>
    <row r="14" spans="1:7" ht="15.5" x14ac:dyDescent="0.35">
      <c r="A14" s="8" t="s">
        <v>610</v>
      </c>
      <c r="B14" s="182" t="s">
        <v>163</v>
      </c>
      <c r="C14" s="269" t="s">
        <v>614</v>
      </c>
    </row>
    <row r="15" spans="1:7" ht="14.5" x14ac:dyDescent="0.35">
      <c r="A15" s="8" t="s">
        <v>612</v>
      </c>
      <c r="B15" s="6" t="s">
        <v>102</v>
      </c>
      <c r="C15" s="269" t="s">
        <v>615</v>
      </c>
    </row>
    <row r="16" spans="1:7" ht="14.5" x14ac:dyDescent="0.35">
      <c r="A16" s="8" t="s">
        <v>615</v>
      </c>
      <c r="B16" s="1" t="s">
        <v>154</v>
      </c>
      <c r="C16" s="269" t="s">
        <v>616</v>
      </c>
    </row>
    <row r="17" spans="1:4" ht="14.5" x14ac:dyDescent="0.35">
      <c r="A17" s="8" t="s">
        <v>617</v>
      </c>
      <c r="B17" s="1" t="s">
        <v>165</v>
      </c>
      <c r="C17" s="269" t="s">
        <v>617</v>
      </c>
    </row>
    <row r="18" spans="1:4" ht="14.5" x14ac:dyDescent="0.35">
      <c r="A18" s="8" t="s">
        <v>616</v>
      </c>
      <c r="B18" s="1"/>
      <c r="C18" s="269" t="s">
        <v>618</v>
      </c>
    </row>
    <row r="19" spans="1:4" x14ac:dyDescent="0.25">
      <c r="A19" s="6" t="s">
        <v>619</v>
      </c>
      <c r="B19" s="1"/>
      <c r="C19" s="269" t="s">
        <v>620</v>
      </c>
      <c r="D19" s="1"/>
    </row>
    <row r="20" spans="1:4" x14ac:dyDescent="0.25">
      <c r="A20" s="6" t="s">
        <v>621</v>
      </c>
      <c r="B20" s="1"/>
      <c r="C20" s="269" t="s">
        <v>622</v>
      </c>
    </row>
    <row r="21" spans="1:4" x14ac:dyDescent="0.25">
      <c r="B21" s="1" t="s">
        <v>150</v>
      </c>
      <c r="C21" s="269" t="s">
        <v>623</v>
      </c>
    </row>
    <row r="22" spans="1:4" x14ac:dyDescent="0.25">
      <c r="A22" s="1" t="s">
        <v>624</v>
      </c>
      <c r="B22" s="1" t="s">
        <v>625</v>
      </c>
      <c r="C22" s="269" t="s">
        <v>626</v>
      </c>
    </row>
    <row r="23" spans="1:4" x14ac:dyDescent="0.25">
      <c r="A23" t="s">
        <v>627</v>
      </c>
      <c r="B23" s="1"/>
      <c r="C23" s="269" t="s">
        <v>628</v>
      </c>
    </row>
    <row r="24" spans="1:4" x14ac:dyDescent="0.25">
      <c r="B24" s="1" t="s">
        <v>150</v>
      </c>
      <c r="C24" s="269" t="s">
        <v>629</v>
      </c>
    </row>
    <row r="25" spans="1:4" x14ac:dyDescent="0.25">
      <c r="A25" s="1"/>
      <c r="B25" s="1" t="s">
        <v>625</v>
      </c>
      <c r="C25" s="269" t="s">
        <v>630</v>
      </c>
    </row>
    <row r="26" spans="1:4" x14ac:dyDescent="0.25">
      <c r="A26" s="1"/>
      <c r="B26" s="1"/>
      <c r="C26" s="269" t="s">
        <v>631</v>
      </c>
    </row>
    <row r="27" spans="1:4" x14ac:dyDescent="0.25">
      <c r="B27" s="1" t="s">
        <v>150</v>
      </c>
      <c r="C27" s="269" t="s">
        <v>632</v>
      </c>
    </row>
    <row r="28" spans="1:4" x14ac:dyDescent="0.25">
      <c r="A28" s="1" t="s">
        <v>150</v>
      </c>
      <c r="B28" s="1" t="s">
        <v>625</v>
      </c>
      <c r="C28" s="269" t="s">
        <v>633</v>
      </c>
    </row>
    <row r="29" spans="1:4" x14ac:dyDescent="0.25">
      <c r="A29" s="1" t="s">
        <v>634</v>
      </c>
      <c r="B29" s="1"/>
      <c r="C29" s="269" t="s">
        <v>192</v>
      </c>
    </row>
    <row r="30" spans="1:4" x14ac:dyDescent="0.25">
      <c r="B30" s="1"/>
    </row>
    <row r="31" spans="1:4" x14ac:dyDescent="0.25">
      <c r="B31" s="1"/>
    </row>
    <row r="32" spans="1:4" x14ac:dyDescent="0.25">
      <c r="B32" s="1"/>
    </row>
    <row r="33" spans="1:2" x14ac:dyDescent="0.25">
      <c r="A33" s="112" t="s">
        <v>594</v>
      </c>
      <c r="B33" s="9" t="s">
        <v>635</v>
      </c>
    </row>
    <row r="34" spans="1:2" x14ac:dyDescent="0.25">
      <c r="A34" s="112" t="s">
        <v>595</v>
      </c>
      <c r="B34" s="9" t="s">
        <v>635</v>
      </c>
    </row>
    <row r="35" spans="1:2" x14ac:dyDescent="0.25">
      <c r="A35" s="112" t="s">
        <v>596</v>
      </c>
      <c r="B35" s="9" t="s">
        <v>636</v>
      </c>
    </row>
    <row r="36" spans="1:2" x14ac:dyDescent="0.25">
      <c r="A36" s="112" t="s">
        <v>597</v>
      </c>
      <c r="B36" s="9" t="s">
        <v>636</v>
      </c>
    </row>
    <row r="37" spans="1:2" x14ac:dyDescent="0.25">
      <c r="A37" s="112" t="s">
        <v>598</v>
      </c>
      <c r="B37" s="9" t="s">
        <v>636</v>
      </c>
    </row>
    <row r="38" spans="1:2" x14ac:dyDescent="0.25">
      <c r="A38" s="112" t="s">
        <v>599</v>
      </c>
      <c r="B38" s="9" t="s">
        <v>636</v>
      </c>
    </row>
    <row r="39" spans="1:2" x14ac:dyDescent="0.25">
      <c r="A39" s="112" t="s">
        <v>637</v>
      </c>
      <c r="B39" s="111" t="s">
        <v>636</v>
      </c>
    </row>
    <row r="42" spans="1:2" ht="15.5" x14ac:dyDescent="0.35">
      <c r="A42" s="5" t="s">
        <v>638</v>
      </c>
    </row>
    <row r="43" spans="1:2" ht="15.5" x14ac:dyDescent="0.35">
      <c r="A43" s="5" t="s">
        <v>639</v>
      </c>
    </row>
    <row r="44" spans="1:2" ht="15.5" x14ac:dyDescent="0.35">
      <c r="A44" s="5" t="s">
        <v>640</v>
      </c>
    </row>
    <row r="45" spans="1:2" ht="15.5" x14ac:dyDescent="0.35">
      <c r="A45" s="5" t="s">
        <v>641</v>
      </c>
    </row>
    <row r="46" spans="1:2" ht="15.5" x14ac:dyDescent="0.35">
      <c r="A46" s="5" t="s">
        <v>642</v>
      </c>
    </row>
    <row r="47" spans="1:2" ht="15.5" x14ac:dyDescent="0.35">
      <c r="A47" s="5" t="s">
        <v>643</v>
      </c>
    </row>
    <row r="48" spans="1:2" ht="16.5" customHeight="1" x14ac:dyDescent="0.25">
      <c r="A48" t="s">
        <v>644</v>
      </c>
    </row>
    <row r="49" spans="1:2" ht="16.5" customHeight="1" x14ac:dyDescent="0.25">
      <c r="A49" t="s">
        <v>645</v>
      </c>
    </row>
    <row r="50" spans="1:2" x14ac:dyDescent="0.25">
      <c r="A50" s="1" t="s">
        <v>646</v>
      </c>
    </row>
    <row r="51" spans="1:2" x14ac:dyDescent="0.25">
      <c r="A51" s="1" t="s">
        <v>647</v>
      </c>
    </row>
    <row r="52" spans="1:2" ht="14.5" x14ac:dyDescent="0.35">
      <c r="A52" s="8" t="s">
        <v>648</v>
      </c>
    </row>
    <row r="53" spans="1:2" ht="14.5" x14ac:dyDescent="0.35">
      <c r="A53" s="8" t="s">
        <v>649</v>
      </c>
    </row>
    <row r="54" spans="1:2" ht="14.5" x14ac:dyDescent="0.35">
      <c r="A54" s="8" t="s">
        <v>648</v>
      </c>
    </row>
    <row r="55" spans="1:2" ht="14.5" x14ac:dyDescent="0.35">
      <c r="A55" s="8" t="s">
        <v>649</v>
      </c>
    </row>
    <row r="57" spans="1:2" ht="14" x14ac:dyDescent="0.3">
      <c r="A57" s="256" t="s">
        <v>168</v>
      </c>
      <c r="B57" s="1" t="s">
        <v>650</v>
      </c>
    </row>
    <row r="58" spans="1:2" ht="14" x14ac:dyDescent="0.3">
      <c r="A58" s="256" t="s">
        <v>172</v>
      </c>
      <c r="B58" s="1" t="s">
        <v>650</v>
      </c>
    </row>
    <row r="59" spans="1:2" ht="14" x14ac:dyDescent="0.3">
      <c r="A59" s="256" t="s">
        <v>175</v>
      </c>
      <c r="B59" s="1" t="s">
        <v>650</v>
      </c>
    </row>
    <row r="60" spans="1:2" ht="14" x14ac:dyDescent="0.3">
      <c r="A60" s="256" t="s">
        <v>176</v>
      </c>
      <c r="B60" s="1" t="s">
        <v>650</v>
      </c>
    </row>
    <row r="61" spans="1:2" ht="14" x14ac:dyDescent="0.3">
      <c r="A61" s="256" t="s">
        <v>180</v>
      </c>
      <c r="B61" s="1" t="s">
        <v>650</v>
      </c>
    </row>
    <row r="62" spans="1:2" ht="14" x14ac:dyDescent="0.3">
      <c r="A62" s="256" t="s">
        <v>182</v>
      </c>
      <c r="B62" s="1" t="s">
        <v>650</v>
      </c>
    </row>
    <row r="63" spans="1:2" ht="14" x14ac:dyDescent="0.3">
      <c r="A63" s="256" t="s">
        <v>186</v>
      </c>
      <c r="B63" s="1" t="s">
        <v>650</v>
      </c>
    </row>
    <row r="64" spans="1:2" x14ac:dyDescent="0.25">
      <c r="A64" s="356" t="s">
        <v>187</v>
      </c>
      <c r="B64" s="1" t="s">
        <v>651</v>
      </c>
    </row>
    <row r="65" spans="1:8" x14ac:dyDescent="0.25">
      <c r="A65" s="356" t="s">
        <v>188</v>
      </c>
      <c r="B65" s="1" t="s">
        <v>651</v>
      </c>
      <c r="C65" s="113"/>
      <c r="D65" s="113"/>
      <c r="E65" s="113"/>
      <c r="F65" s="113"/>
      <c r="G65" s="113"/>
      <c r="H65" s="113"/>
    </row>
    <row r="66" spans="1:8" x14ac:dyDescent="0.25">
      <c r="A66" s="356" t="s">
        <v>190</v>
      </c>
      <c r="B66" s="1" t="s">
        <v>651</v>
      </c>
      <c r="C66" s="114"/>
      <c r="D66" s="114"/>
      <c r="E66" s="114"/>
      <c r="F66" s="114"/>
      <c r="G66" s="114"/>
      <c r="H66" s="115">
        <v>1</v>
      </c>
    </row>
    <row r="67" spans="1:8" x14ac:dyDescent="0.25">
      <c r="C67" s="116"/>
      <c r="D67" s="116"/>
      <c r="E67" s="116"/>
      <c r="F67" s="116"/>
      <c r="G67" s="116"/>
      <c r="H67" s="115">
        <v>2</v>
      </c>
    </row>
    <row r="68" spans="1:8" x14ac:dyDescent="0.25">
      <c r="C68" s="117"/>
      <c r="D68" s="117"/>
      <c r="E68" s="117"/>
      <c r="F68" s="117"/>
      <c r="G68" s="117"/>
      <c r="H68" s="115">
        <v>3</v>
      </c>
    </row>
    <row r="69" spans="1:8" x14ac:dyDescent="0.25">
      <c r="A69" s="1"/>
      <c r="C69" s="117"/>
      <c r="D69" s="117"/>
      <c r="E69" s="117"/>
      <c r="F69" s="117"/>
      <c r="G69" s="117"/>
      <c r="H69" s="115">
        <v>4</v>
      </c>
    </row>
    <row r="70" spans="1:8" x14ac:dyDescent="0.25">
      <c r="A70" s="1"/>
      <c r="C70" s="114"/>
      <c r="D70" s="114"/>
      <c r="E70" s="114"/>
      <c r="F70" s="114"/>
      <c r="G70" s="114"/>
      <c r="H70" s="115">
        <v>5</v>
      </c>
    </row>
    <row r="71" spans="1:8" x14ac:dyDescent="0.25">
      <c r="A71" s="1"/>
      <c r="B71" s="1" t="str">
        <f>ID!B51:L51</f>
        <v>Electrical Safety Analyzer, Merek : Fluke, Model : ESA 615, SN : 4669058</v>
      </c>
      <c r="C71" s="114"/>
      <c r="D71" s="114"/>
      <c r="E71" s="114"/>
      <c r="F71" s="114"/>
      <c r="G71" s="114"/>
      <c r="H71" s="115">
        <v>6</v>
      </c>
    </row>
    <row r="72" spans="1:8" x14ac:dyDescent="0.25">
      <c r="A72" s="1"/>
      <c r="B72" s="357" t="s">
        <v>594</v>
      </c>
      <c r="C72" s="113"/>
      <c r="D72" s="113"/>
      <c r="E72" s="113"/>
      <c r="F72" s="113"/>
      <c r="G72" s="113"/>
      <c r="H72" s="115">
        <v>7</v>
      </c>
    </row>
    <row r="73" spans="1:8" x14ac:dyDescent="0.25">
      <c r="A73" s="1"/>
      <c r="B73" s="357" t="s">
        <v>595</v>
      </c>
      <c r="C73" s="113"/>
      <c r="D73" s="113"/>
      <c r="E73" s="113"/>
      <c r="F73" s="113"/>
      <c r="G73" s="113"/>
      <c r="H73" s="115">
        <v>8</v>
      </c>
    </row>
    <row r="74" spans="1:8" x14ac:dyDescent="0.25">
      <c r="A74" s="1"/>
      <c r="B74" s="357" t="s">
        <v>596</v>
      </c>
      <c r="C74" s="113"/>
      <c r="D74" s="113"/>
      <c r="E74" s="113"/>
      <c r="F74" s="113"/>
      <c r="G74" s="113"/>
      <c r="H74" s="115">
        <v>9</v>
      </c>
    </row>
    <row r="75" spans="1:8" x14ac:dyDescent="0.25">
      <c r="A75" s="1"/>
      <c r="B75" s="357" t="s">
        <v>597</v>
      </c>
      <c r="C75" s="113"/>
      <c r="D75" s="113"/>
      <c r="E75" s="113"/>
      <c r="F75" s="113"/>
      <c r="G75" s="113"/>
      <c r="H75" s="113"/>
    </row>
    <row r="76" spans="1:8" x14ac:dyDescent="0.25">
      <c r="B76" s="357" t="s">
        <v>598</v>
      </c>
    </row>
    <row r="77" spans="1:8" ht="15.5" x14ac:dyDescent="0.25">
      <c r="A77" s="34" t="s">
        <v>158</v>
      </c>
      <c r="B77" s="357" t="s">
        <v>599</v>
      </c>
    </row>
    <row r="78" spans="1:8" ht="15.5" x14ac:dyDescent="0.25">
      <c r="A78" s="35" t="s">
        <v>161</v>
      </c>
      <c r="B78" s="357" t="s">
        <v>637</v>
      </c>
    </row>
    <row r="79" spans="1:8" x14ac:dyDescent="0.25">
      <c r="A79" s="268" t="s">
        <v>102</v>
      </c>
      <c r="B79" s="357" t="s">
        <v>652</v>
      </c>
    </row>
    <row r="80" spans="1:8" ht="13" thickBot="1" x14ac:dyDescent="0.3">
      <c r="B80" s="357" t="s">
        <v>653</v>
      </c>
    </row>
    <row r="81" spans="2:2" ht="13" thickBot="1" x14ac:dyDescent="0.3">
      <c r="B81" s="358">
        <f>VLOOKUP(B71,B66:H74,7,FALSE)</f>
        <v>6</v>
      </c>
    </row>
  </sheetData>
  <phoneticPr fontId="73" type="noConversion"/>
  <dataValidations count="1">
    <dataValidation type="list" allowBlank="1" showInputMessage="1" showErrorMessage="1" sqref="D19" xr:uid="{00000000-0002-0000-0B00-000000000000}">
      <formula1>$A$16:$A$18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"/>
  <sheetViews>
    <sheetView topLeftCell="D1" workbookViewId="0">
      <selection activeCell="H6" sqref="H6"/>
    </sheetView>
  </sheetViews>
  <sheetFormatPr defaultRowHeight="12.5" x14ac:dyDescent="0.25"/>
  <cols>
    <col min="7" max="7" width="21.1796875" customWidth="1"/>
    <col min="8" max="8" width="28.81640625" customWidth="1"/>
  </cols>
  <sheetData>
    <row r="1" spans="1:8" x14ac:dyDescent="0.25">
      <c r="A1" t="s">
        <v>654</v>
      </c>
    </row>
    <row r="10" spans="1:8" ht="13" x14ac:dyDescent="0.3">
      <c r="G10" s="11" t="s">
        <v>655</v>
      </c>
      <c r="H10" s="11" t="s">
        <v>656</v>
      </c>
    </row>
    <row r="11" spans="1:8" ht="49.5" customHeight="1" x14ac:dyDescent="0.25">
      <c r="G11" s="12" t="s">
        <v>657</v>
      </c>
      <c r="H11" s="13" t="s">
        <v>658</v>
      </c>
    </row>
    <row r="12" spans="1:8" ht="51" customHeight="1" x14ac:dyDescent="0.25">
      <c r="G12" s="14" t="s">
        <v>659</v>
      </c>
      <c r="H12" s="13" t="s">
        <v>660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3"/>
  <sheetViews>
    <sheetView showGridLines="0" view="pageBreakPreview" topLeftCell="F52" zoomScaleNormal="100" zoomScaleSheetLayoutView="100" workbookViewId="0">
      <selection activeCell="M65" sqref="M65"/>
    </sheetView>
  </sheetViews>
  <sheetFormatPr defaultColWidth="9.1796875" defaultRowHeight="13" x14ac:dyDescent="0.25"/>
  <cols>
    <col min="1" max="1" width="5.453125" style="85" customWidth="1"/>
    <col min="2" max="2" width="4.1796875" style="85" customWidth="1"/>
    <col min="3" max="3" width="22.81640625" style="85" customWidth="1"/>
    <col min="4" max="4" width="2.54296875" style="85" customWidth="1"/>
    <col min="5" max="5" width="36.453125" style="85" customWidth="1"/>
    <col min="6" max="6" width="14.81640625" style="85" customWidth="1"/>
    <col min="7" max="8" width="15.1796875" style="85" customWidth="1"/>
    <col min="9" max="9" width="12.453125" style="85" customWidth="1"/>
    <col min="10" max="10" width="20.453125" style="85" customWidth="1"/>
    <col min="11" max="11" width="10.81640625" style="85" customWidth="1"/>
    <col min="12" max="12" width="9.6328125" style="101" customWidth="1"/>
    <col min="13" max="13" width="23.7265625" style="85" customWidth="1"/>
    <col min="14" max="14" width="9.1796875" style="85" customWidth="1"/>
    <col min="15" max="15" width="9.54296875" style="85" customWidth="1"/>
    <col min="16" max="16" width="8" style="85" customWidth="1"/>
    <col min="17" max="16384" width="9.1796875" style="85"/>
  </cols>
  <sheetData>
    <row r="1" spans="1:12" ht="18.5" x14ac:dyDescent="0.25">
      <c r="A1" s="781" t="s">
        <v>239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69"/>
    </row>
    <row r="2" spans="1:12" ht="17.25" customHeight="1" x14ac:dyDescent="0.25">
      <c r="A2" s="194" t="str">
        <f>ID!F2&amp;" "&amp;ID!I2</f>
        <v>Nomor Sertifikat : 56 / 1 / IV - 21 / E - 00.000 DL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92"/>
    </row>
    <row r="3" spans="1:12" ht="15.75" customHeight="1" x14ac:dyDescent="0.25">
      <c r="A3" s="156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71"/>
    </row>
    <row r="4" spans="1:12" ht="15.5" x14ac:dyDescent="0.25">
      <c r="A4" s="197" t="s">
        <v>2</v>
      </c>
      <c r="B4" s="195"/>
      <c r="C4" s="197"/>
      <c r="D4" s="198" t="s">
        <v>19</v>
      </c>
      <c r="E4" s="950" t="str">
        <f>ID!E4:K4</f>
        <v>GE</v>
      </c>
      <c r="F4" s="950"/>
      <c r="G4" s="950"/>
      <c r="H4" s="950"/>
      <c r="I4" s="950"/>
      <c r="J4" s="197"/>
      <c r="K4" s="197"/>
      <c r="L4" s="73"/>
    </row>
    <row r="5" spans="1:12" ht="15.5" x14ac:dyDescent="0.25">
      <c r="A5" s="197" t="s">
        <v>4</v>
      </c>
      <c r="B5" s="195"/>
      <c r="C5" s="197"/>
      <c r="D5" s="198" t="s">
        <v>19</v>
      </c>
      <c r="E5" s="950" t="str">
        <f>ID!E5:K5</f>
        <v>LOGIQ F8</v>
      </c>
      <c r="F5" s="950"/>
      <c r="G5" s="950"/>
      <c r="H5" s="950"/>
      <c r="I5" s="950"/>
      <c r="J5" s="197"/>
      <c r="K5" s="197"/>
      <c r="L5" s="73"/>
    </row>
    <row r="6" spans="1:12" ht="15.5" x14ac:dyDescent="0.25">
      <c r="A6" s="197" t="s">
        <v>5</v>
      </c>
      <c r="B6" s="195"/>
      <c r="C6" s="197"/>
      <c r="D6" s="198" t="s">
        <v>19</v>
      </c>
      <c r="E6" s="950" t="str">
        <f>ID!E6:K6</f>
        <v>5478039</v>
      </c>
      <c r="F6" s="950"/>
      <c r="G6" s="950"/>
      <c r="H6" s="950"/>
      <c r="I6" s="950"/>
      <c r="J6" s="197"/>
      <c r="K6" s="197"/>
      <c r="L6" s="73"/>
    </row>
    <row r="7" spans="1:12" ht="15.5" x14ac:dyDescent="0.25">
      <c r="A7" s="197" t="s">
        <v>6</v>
      </c>
      <c r="B7" s="195"/>
      <c r="C7" s="197"/>
      <c r="D7" s="198" t="s">
        <v>19</v>
      </c>
      <c r="E7" s="219">
        <f>ID!E7</f>
        <v>0.01</v>
      </c>
      <c r="F7" s="215" t="str">
        <f>ID!F7</f>
        <v>cm</v>
      </c>
      <c r="G7" s="215"/>
      <c r="H7" s="215"/>
      <c r="I7" s="215"/>
      <c r="J7" s="197"/>
      <c r="K7" s="197"/>
      <c r="L7" s="73"/>
    </row>
    <row r="8" spans="1:12" ht="15.5" x14ac:dyDescent="0.25">
      <c r="A8" s="197" t="s">
        <v>7</v>
      </c>
      <c r="B8" s="195"/>
      <c r="C8" s="197"/>
      <c r="D8" s="198" t="s">
        <v>19</v>
      </c>
      <c r="E8" s="950" t="str">
        <f>ID!E8:K8</f>
        <v>4 Februari 2020</v>
      </c>
      <c r="F8" s="950"/>
      <c r="G8" s="950"/>
      <c r="H8" s="950"/>
      <c r="I8" s="950"/>
      <c r="J8" s="197"/>
      <c r="K8" s="197"/>
      <c r="L8" s="73"/>
    </row>
    <row r="9" spans="1:12" ht="15.5" x14ac:dyDescent="0.25">
      <c r="A9" s="197" t="s">
        <v>8</v>
      </c>
      <c r="B9" s="195"/>
      <c r="C9" s="197"/>
      <c r="D9" s="198" t="s">
        <v>19</v>
      </c>
      <c r="E9" s="950" t="str">
        <f>ID!E9:K9</f>
        <v>Ruang EKG</v>
      </c>
      <c r="F9" s="950"/>
      <c r="G9" s="950"/>
      <c r="H9" s="950"/>
      <c r="I9" s="950"/>
      <c r="J9" s="197"/>
      <c r="K9" s="197"/>
      <c r="L9" s="73"/>
    </row>
    <row r="10" spans="1:12" ht="15.5" x14ac:dyDescent="0.25">
      <c r="A10" s="197" t="s">
        <v>9</v>
      </c>
      <c r="B10" s="195"/>
      <c r="C10" s="197"/>
      <c r="D10" s="198" t="s">
        <v>19</v>
      </c>
      <c r="E10" s="950" t="str">
        <f>ID!E10:K10</f>
        <v>Ruang EKG</v>
      </c>
      <c r="F10" s="950"/>
      <c r="G10" s="950"/>
      <c r="H10" s="950"/>
      <c r="I10" s="950"/>
      <c r="J10" s="197"/>
      <c r="K10" s="197"/>
      <c r="L10" s="73"/>
    </row>
    <row r="11" spans="1:12" ht="15.5" x14ac:dyDescent="0.25">
      <c r="A11" s="197" t="s">
        <v>147</v>
      </c>
      <c r="B11" s="195"/>
      <c r="C11" s="197"/>
      <c r="D11" s="198" t="s">
        <v>19</v>
      </c>
      <c r="E11" s="950" t="str">
        <f>ID!E11:K11</f>
        <v>MK 065 - 18</v>
      </c>
      <c r="F11" s="950"/>
      <c r="G11" s="950"/>
      <c r="H11" s="950"/>
      <c r="I11" s="950"/>
      <c r="J11" s="197"/>
      <c r="K11" s="197"/>
      <c r="L11" s="73"/>
    </row>
    <row r="12" spans="1:12" ht="15.5" x14ac:dyDescent="0.25">
      <c r="A12" s="195"/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73"/>
    </row>
    <row r="13" spans="1:12" ht="15.5" x14ac:dyDescent="0.25">
      <c r="A13" s="220" t="s">
        <v>10</v>
      </c>
      <c r="B13" s="220" t="s">
        <v>11</v>
      </c>
      <c r="C13" s="195"/>
      <c r="D13" s="220"/>
      <c r="E13" s="220"/>
      <c r="F13" s="220"/>
      <c r="G13" s="220"/>
      <c r="H13" s="220"/>
      <c r="I13" s="220"/>
      <c r="J13" s="220"/>
      <c r="K13" s="220"/>
      <c r="L13" s="74"/>
    </row>
    <row r="14" spans="1:12" ht="15.5" x14ac:dyDescent="0.3">
      <c r="A14" s="195"/>
      <c r="B14" s="197" t="s">
        <v>14</v>
      </c>
      <c r="C14" s="195"/>
      <c r="D14" s="198" t="s">
        <v>19</v>
      </c>
      <c r="E14" s="285">
        <f>'DB Thermohygro'!S389</f>
        <v>26.985777052497223</v>
      </c>
      <c r="F14" s="285" t="str">
        <f>'DB Thermohygro'!T389</f>
        <v xml:space="preserve"> ± </v>
      </c>
      <c r="G14" s="285">
        <f>'DB Thermohygro'!U389</f>
        <v>0.5</v>
      </c>
      <c r="H14" s="285" t="str">
        <f>'DB Thermohygro'!V389</f>
        <v xml:space="preserve"> °C</v>
      </c>
      <c r="I14" s="599"/>
      <c r="J14" s="599"/>
      <c r="K14" s="197"/>
      <c r="L14" s="73"/>
    </row>
    <row r="15" spans="1:12" ht="15.5" x14ac:dyDescent="0.3">
      <c r="A15" s="195"/>
      <c r="B15" s="197" t="s">
        <v>16</v>
      </c>
      <c r="C15" s="195"/>
      <c r="D15" s="198" t="s">
        <v>19</v>
      </c>
      <c r="E15" s="285">
        <f>'DB Thermohygro'!S390</f>
        <v>73.671607142857141</v>
      </c>
      <c r="F15" s="285" t="str">
        <f>'DB Thermohygro'!T390</f>
        <v xml:space="preserve"> ± </v>
      </c>
      <c r="G15" s="285">
        <f>'DB Thermohygro'!U390</f>
        <v>3.1</v>
      </c>
      <c r="H15" s="285" t="str">
        <f>'DB Thermohygro'!V390</f>
        <v xml:space="preserve"> %RH</v>
      </c>
      <c r="I15" s="599"/>
      <c r="J15" s="599"/>
      <c r="K15" s="197"/>
      <c r="L15" s="73"/>
    </row>
    <row r="16" spans="1:12" ht="15.5" x14ac:dyDescent="0.25">
      <c r="A16" s="195"/>
      <c r="B16" s="197" t="s">
        <v>18</v>
      </c>
      <c r="C16" s="195"/>
      <c r="D16" s="198" t="s">
        <v>19</v>
      </c>
      <c r="E16" s="285">
        <f>'DB Kelistrikan'!M278</f>
        <v>225.64580000000001</v>
      </c>
      <c r="F16" s="284" t="str">
        <f>'DB Kelistrikan'!N278</f>
        <v xml:space="preserve"> ± </v>
      </c>
      <c r="G16" s="285">
        <f>'DB Kelistrikan'!O278</f>
        <v>2.7077496000000001</v>
      </c>
      <c r="H16" s="284" t="str">
        <f>'DB Kelistrikan'!P278</f>
        <v xml:space="preserve"> Volt</v>
      </c>
      <c r="I16" s="526"/>
      <c r="J16" s="526"/>
      <c r="K16" s="197"/>
      <c r="L16" s="73"/>
    </row>
    <row r="17" spans="1:19" ht="6.75" customHeight="1" x14ac:dyDescent="0.25">
      <c r="A17" s="195"/>
      <c r="B17" s="197"/>
      <c r="C17" s="197"/>
      <c r="D17" s="197"/>
      <c r="E17" s="197"/>
      <c r="F17" s="197"/>
      <c r="G17" s="197"/>
      <c r="H17" s="197"/>
      <c r="I17" s="197"/>
      <c r="J17" s="197"/>
      <c r="K17" s="249"/>
      <c r="L17" s="73"/>
    </row>
    <row r="18" spans="1:19" ht="14" x14ac:dyDescent="0.25">
      <c r="A18" s="220" t="s">
        <v>21</v>
      </c>
      <c r="B18" s="220" t="s">
        <v>22</v>
      </c>
      <c r="C18" s="195"/>
      <c r="D18" s="220"/>
      <c r="E18" s="220"/>
      <c r="F18" s="220"/>
      <c r="G18" s="220"/>
      <c r="H18" s="220"/>
      <c r="I18" s="220"/>
      <c r="J18" s="220"/>
      <c r="K18" s="265" t="str">
        <f t="shared" ref="K18" si="0">M18</f>
        <v>Score</v>
      </c>
      <c r="M18" s="214" t="s">
        <v>240</v>
      </c>
    </row>
    <row r="19" spans="1:19" ht="14" x14ac:dyDescent="0.2">
      <c r="A19" s="195"/>
      <c r="B19" s="197" t="s">
        <v>24</v>
      </c>
      <c r="C19" s="195"/>
      <c r="D19" s="198" t="s">
        <v>19</v>
      </c>
      <c r="E19" s="197" t="str">
        <f>ID!E20</f>
        <v>Baik</v>
      </c>
      <c r="F19" s="197"/>
      <c r="G19" s="197"/>
      <c r="H19" s="197"/>
      <c r="I19" s="197"/>
      <c r="J19" s="197"/>
      <c r="K19" s="207">
        <f>M19</f>
        <v>5</v>
      </c>
      <c r="L19" s="748"/>
      <c r="M19" s="749">
        <f>IF(E19="baik",5,IF(C19="Tidak Baik",0))</f>
        <v>5</v>
      </c>
      <c r="O19" s="243"/>
    </row>
    <row r="20" spans="1:19" ht="14" x14ac:dyDescent="0.2">
      <c r="A20" s="195"/>
      <c r="B20" s="197" t="s">
        <v>26</v>
      </c>
      <c r="C20" s="195"/>
      <c r="D20" s="198" t="s">
        <v>19</v>
      </c>
      <c r="E20" s="197" t="str">
        <f>ID!E21</f>
        <v>Baik</v>
      </c>
      <c r="F20" s="197"/>
      <c r="G20" s="197"/>
      <c r="H20" s="197"/>
      <c r="I20" s="197"/>
      <c r="J20" s="197"/>
      <c r="K20" s="207">
        <f>M20</f>
        <v>5</v>
      </c>
      <c r="L20" s="748"/>
      <c r="M20" s="749">
        <f>IF(E20="baik",5,IF(C20="Tidak Baik",0))</f>
        <v>5</v>
      </c>
      <c r="O20" s="243"/>
    </row>
    <row r="21" spans="1:19" ht="15.75" customHeight="1" x14ac:dyDescent="0.25">
      <c r="A21" s="195"/>
      <c r="B21" s="197"/>
      <c r="C21" s="197"/>
      <c r="D21" s="197"/>
      <c r="E21" s="197"/>
      <c r="F21" s="197"/>
      <c r="G21" s="197"/>
      <c r="H21" s="197"/>
      <c r="I21" s="197"/>
      <c r="J21" s="197"/>
      <c r="K21" s="750"/>
      <c r="L21" s="751"/>
      <c r="M21" s="748"/>
    </row>
    <row r="22" spans="1:19" ht="15.5" x14ac:dyDescent="0.25">
      <c r="A22" s="220" t="s">
        <v>27</v>
      </c>
      <c r="B22" s="220" t="s">
        <v>28</v>
      </c>
      <c r="C22" s="195"/>
      <c r="D22" s="197"/>
      <c r="E22" s="197"/>
      <c r="F22" s="197"/>
      <c r="G22" s="224"/>
      <c r="H22" s="225"/>
      <c r="I22" s="226"/>
      <c r="J22" s="197"/>
      <c r="K22" s="750"/>
      <c r="L22" s="751"/>
      <c r="M22" s="748"/>
    </row>
    <row r="23" spans="1:19" ht="19.5" customHeight="1" x14ac:dyDescent="0.25">
      <c r="A23" s="195"/>
      <c r="B23" s="1067" t="s">
        <v>29</v>
      </c>
      <c r="C23" s="911" t="s">
        <v>30</v>
      </c>
      <c r="D23" s="911"/>
      <c r="E23" s="911"/>
      <c r="F23" s="911"/>
      <c r="G23" s="911"/>
      <c r="H23" s="927" t="s">
        <v>31</v>
      </c>
      <c r="I23" s="953" t="s">
        <v>241</v>
      </c>
      <c r="J23" s="223"/>
      <c r="K23" s="750"/>
      <c r="L23" s="751"/>
      <c r="M23" s="748"/>
    </row>
    <row r="24" spans="1:19" ht="24.75" customHeight="1" x14ac:dyDescent="0.3">
      <c r="A24" s="195"/>
      <c r="B24" s="1068"/>
      <c r="C24" s="911"/>
      <c r="D24" s="911"/>
      <c r="E24" s="911"/>
      <c r="F24" s="911"/>
      <c r="G24" s="911"/>
      <c r="H24" s="930"/>
      <c r="I24" s="953"/>
      <c r="J24" s="223"/>
      <c r="K24" s="207" t="s">
        <v>240</v>
      </c>
      <c r="L24" s="748"/>
      <c r="M24" s="752" t="s">
        <v>240</v>
      </c>
    </row>
    <row r="25" spans="1:19" ht="18" customHeight="1" x14ac:dyDescent="0.25">
      <c r="A25" s="195"/>
      <c r="B25" s="202">
        <v>1</v>
      </c>
      <c r="C25" s="1074" t="str">
        <f>ID!C25</f>
        <v>Resistansi isolasi</v>
      </c>
      <c r="D25" s="1074"/>
      <c r="E25" s="1074"/>
      <c r="F25" s="1074"/>
      <c r="G25" s="1074"/>
      <c r="H25" s="290" t="str">
        <f>'DB Kelistrikan'!O269</f>
        <v>OL</v>
      </c>
      <c r="I25" s="227" t="str">
        <f>ID!L25</f>
        <v xml:space="preserve"> &gt; 2 MΩ
</v>
      </c>
      <c r="J25" s="223"/>
      <c r="K25" s="207">
        <f>M25</f>
        <v>10</v>
      </c>
      <c r="L25" s="748"/>
      <c r="M25" s="753">
        <f>IF(H25="-",10,IF(H25="OL",10,IF(H25="NC",10,IF(H25&gt;=2,10,IF(H25&lt;2,0)))))</f>
        <v>10</v>
      </c>
      <c r="O25" s="244"/>
    </row>
    <row r="26" spans="1:19" ht="18" customHeight="1" x14ac:dyDescent="0.25">
      <c r="A26" s="195"/>
      <c r="B26" s="203">
        <v>2</v>
      </c>
      <c r="C26" s="1074" t="str">
        <f>ID!C26</f>
        <v>Resistansi pembumian protektif</v>
      </c>
      <c r="D26" s="1074"/>
      <c r="E26" s="1074"/>
      <c r="F26" s="1074"/>
      <c r="G26" s="1074"/>
      <c r="H26" s="290" t="str">
        <f>'DB Kelistrikan'!O270</f>
        <v>-</v>
      </c>
      <c r="I26" s="227" t="str">
        <f>ID!$L$26</f>
        <v xml:space="preserve">   ≤ 0.2 Ω</v>
      </c>
      <c r="J26" s="223"/>
      <c r="K26" s="207">
        <f t="shared" ref="K26:K27" si="1">M26</f>
        <v>0</v>
      </c>
      <c r="L26" s="748"/>
      <c r="M26" s="753">
        <f>IF(H26="-",0,IF(H26="OL",10,IF(H26="NC",10,IF(H26&lt;=0.2,10,IF(H26&gt;0.2,0)))))</f>
        <v>0</v>
      </c>
      <c r="O26" s="244"/>
    </row>
    <row r="27" spans="1:19" ht="18" customHeight="1" x14ac:dyDescent="0.25">
      <c r="A27" s="195"/>
      <c r="B27" s="202">
        <v>3</v>
      </c>
      <c r="C27" s="959" t="str">
        <f>ID!C27</f>
        <v>Arus bocor peralatan untuk perangkat elektromedik kelas I</v>
      </c>
      <c r="D27" s="960"/>
      <c r="E27" s="960"/>
      <c r="F27" s="960"/>
      <c r="G27" s="961"/>
      <c r="H27" s="290">
        <f>'DB Kelistrikan'!O271</f>
        <v>69.227199999999996</v>
      </c>
      <c r="I27" s="227" t="str">
        <f>ID!L27</f>
        <v>≤ 500 µA</v>
      </c>
      <c r="J27" s="223"/>
      <c r="K27" s="207">
        <f t="shared" si="1"/>
        <v>20</v>
      </c>
      <c r="L27" s="748"/>
      <c r="M27" s="753">
        <f>IF(H27="-",20,IF(H27&lt;=ID!M27,20,0))</f>
        <v>20</v>
      </c>
      <c r="O27" s="244"/>
    </row>
    <row r="28" spans="1:19" ht="15.75" customHeight="1" x14ac:dyDescent="0.25">
      <c r="A28" s="195"/>
      <c r="B28" s="228"/>
      <c r="C28" s="197"/>
      <c r="D28" s="197"/>
      <c r="E28" s="197"/>
      <c r="F28" s="197"/>
      <c r="G28" s="197"/>
      <c r="H28" s="197"/>
      <c r="I28" s="197"/>
      <c r="J28" s="197"/>
      <c r="K28" s="750"/>
      <c r="L28" s="751"/>
      <c r="M28" s="754"/>
      <c r="N28" s="93"/>
      <c r="O28" s="94"/>
      <c r="P28" s="94"/>
      <c r="Q28" s="94"/>
      <c r="R28" s="94"/>
      <c r="S28" s="94"/>
    </row>
    <row r="29" spans="1:19" ht="15.5" x14ac:dyDescent="0.25">
      <c r="A29" s="220" t="s">
        <v>43</v>
      </c>
      <c r="B29" s="220" t="s">
        <v>242</v>
      </c>
      <c r="C29" s="195"/>
      <c r="D29" s="220"/>
      <c r="E29" s="220"/>
      <c r="F29" s="220"/>
      <c r="G29" s="220"/>
      <c r="H29" s="228"/>
      <c r="I29" s="197"/>
      <c r="J29" s="197"/>
      <c r="K29" s="750"/>
      <c r="L29" s="751"/>
      <c r="M29" s="755"/>
      <c r="N29" s="1072"/>
      <c r="O29" s="1072"/>
      <c r="P29" s="1072"/>
      <c r="Q29" s="96"/>
      <c r="R29" s="1073"/>
      <c r="S29" s="1073"/>
    </row>
    <row r="30" spans="1:19" ht="14" x14ac:dyDescent="0.3">
      <c r="A30" s="195"/>
      <c r="B30" s="193" t="s">
        <v>29</v>
      </c>
      <c r="C30" s="911" t="s">
        <v>30</v>
      </c>
      <c r="D30" s="911"/>
      <c r="E30" s="911" t="str">
        <f>ID!F30</f>
        <v>Hasil Pengamatan</v>
      </c>
      <c r="F30" s="911"/>
      <c r="G30" s="911"/>
      <c r="H30" s="911" t="str">
        <f>ID!K30</f>
        <v>Toleransi</v>
      </c>
      <c r="I30" s="911"/>
      <c r="J30" s="197"/>
      <c r="K30" s="748"/>
      <c r="L30" s="748"/>
      <c r="M30" s="756"/>
      <c r="N30" s="95"/>
      <c r="O30" s="95"/>
      <c r="P30" s="95"/>
      <c r="Q30" s="96"/>
      <c r="R30" s="96"/>
      <c r="S30" s="96"/>
    </row>
    <row r="31" spans="1:19" ht="15.5" x14ac:dyDescent="0.25">
      <c r="A31" s="195"/>
      <c r="B31" s="229">
        <f>ID!B31</f>
        <v>1</v>
      </c>
      <c r="C31" s="912" t="str">
        <f>ID!C31:E31</f>
        <v>Dead Zone</v>
      </c>
      <c r="D31" s="912"/>
      <c r="E31" s="1074" t="str">
        <f>ID!F31</f>
        <v>Terlihat ada 4 titik</v>
      </c>
      <c r="F31" s="1074"/>
      <c r="G31" s="1074"/>
      <c r="H31" s="912" t="str">
        <f>ID!K31</f>
        <v>4 titik</v>
      </c>
      <c r="I31" s="912"/>
      <c r="J31" s="197"/>
      <c r="K31" s="748"/>
      <c r="L31" s="748"/>
      <c r="M31" s="290">
        <f>IFERROR((ABS(N44/E37)*100),"-")</f>
        <v>9.9999999991773336E-5</v>
      </c>
      <c r="N31" s="95"/>
      <c r="O31" s="245"/>
      <c r="P31" s="95"/>
      <c r="Q31" s="96"/>
      <c r="R31" s="96"/>
      <c r="S31" s="96"/>
    </row>
    <row r="32" spans="1:19" ht="15.5" x14ac:dyDescent="0.25">
      <c r="A32" s="195"/>
      <c r="B32" s="229">
        <f>ID!B32</f>
        <v>2</v>
      </c>
      <c r="C32" s="912" t="str">
        <f>ID!C32:E32</f>
        <v>Axial Resolution</v>
      </c>
      <c r="D32" s="912"/>
      <c r="E32" s="1074" t="str">
        <f>ID!F32</f>
        <v>Dua pasangan titik terakhir tidak menyatu</v>
      </c>
      <c r="F32" s="1074"/>
      <c r="G32" s="1074"/>
      <c r="H32" s="912" t="str">
        <f>ID!K32</f>
        <v>Tidak Menyatu</v>
      </c>
      <c r="I32" s="912"/>
      <c r="J32" s="197"/>
      <c r="K32" s="750"/>
      <c r="L32" s="748"/>
      <c r="M32" s="290">
        <f>IFERROR((ABS(N45/E38)*100),"-")</f>
        <v>0.49999999999998934</v>
      </c>
      <c r="N32" s="95"/>
      <c r="O32" s="245"/>
      <c r="P32" s="95"/>
      <c r="Q32" s="96"/>
      <c r="R32" s="96"/>
      <c r="S32" s="96"/>
    </row>
    <row r="33" spans="1:19" ht="15.5" x14ac:dyDescent="0.25">
      <c r="A33" s="195"/>
      <c r="B33" s="227">
        <f>ID!B33</f>
        <v>3</v>
      </c>
      <c r="C33" s="912" t="str">
        <f>ID!C33:E33</f>
        <v>Grey Scale</v>
      </c>
      <c r="D33" s="912"/>
      <c r="E33" s="528" t="str">
        <f>ID!F33&amp;ID!H33</f>
        <v>Probe &lt; 5 MHzDiameter :</v>
      </c>
      <c r="F33" s="528"/>
      <c r="G33" s="528">
        <f>ID!I33</f>
        <v>0.79</v>
      </c>
      <c r="H33" s="1071" t="str">
        <f>ID!K33</f>
        <v>0.8 cm</v>
      </c>
      <c r="I33" s="1071"/>
      <c r="J33" s="197"/>
      <c r="K33" s="750"/>
      <c r="L33" s="748"/>
      <c r="M33" s="1112">
        <f>IFERROR((ABS(N46/E39)*100),"-")</f>
        <v>2.0000000000000129</v>
      </c>
      <c r="N33" s="95"/>
      <c r="O33" s="245"/>
      <c r="P33" s="95"/>
      <c r="Q33" s="96"/>
      <c r="R33" s="96"/>
      <c r="S33" s="96"/>
    </row>
    <row r="34" spans="1:19" ht="7.5" customHeight="1" x14ac:dyDescent="0.2">
      <c r="A34" s="195"/>
      <c r="B34" s="228"/>
      <c r="C34" s="228"/>
      <c r="D34" s="228"/>
      <c r="E34" s="215"/>
      <c r="F34" s="215"/>
      <c r="G34" s="215"/>
      <c r="H34" s="228"/>
      <c r="I34" s="228"/>
      <c r="J34" s="197"/>
      <c r="K34" s="750"/>
      <c r="L34" s="757"/>
      <c r="M34" s="290">
        <f>IFERROR((ABS(N47/E39)*100),"-")</f>
        <v>0.99990000000000911</v>
      </c>
      <c r="N34" s="95"/>
      <c r="O34" s="95"/>
      <c r="P34" s="95"/>
      <c r="Q34" s="96"/>
      <c r="R34" s="96"/>
      <c r="S34" s="96"/>
    </row>
    <row r="35" spans="1:19" ht="15.5" x14ac:dyDescent="0.25">
      <c r="A35" s="195"/>
      <c r="B35" s="220"/>
      <c r="C35" s="220"/>
      <c r="D35" s="220"/>
      <c r="E35" s="220"/>
      <c r="F35" s="220"/>
      <c r="G35" s="220"/>
      <c r="H35" s="228"/>
      <c r="I35" s="197"/>
      <c r="J35" s="197"/>
      <c r="K35" s="750"/>
      <c r="L35" s="1070"/>
      <c r="M35" s="1070"/>
      <c r="N35" s="95"/>
      <c r="O35" s="95"/>
      <c r="P35" s="95"/>
      <c r="Q35" s="96"/>
      <c r="R35" s="96"/>
      <c r="S35" s="96"/>
    </row>
    <row r="36" spans="1:19" ht="33" customHeight="1" x14ac:dyDescent="0.35">
      <c r="A36" s="195"/>
      <c r="B36" s="193" t="s">
        <v>29</v>
      </c>
      <c r="C36" s="911" t="s">
        <v>30</v>
      </c>
      <c r="D36" s="911"/>
      <c r="E36" s="957" t="s">
        <v>60</v>
      </c>
      <c r="F36" s="958"/>
      <c r="G36" s="230" t="s">
        <v>61</v>
      </c>
      <c r="H36" s="193" t="s">
        <v>243</v>
      </c>
      <c r="I36" s="193" t="s">
        <v>46</v>
      </c>
      <c r="J36" s="230" t="s">
        <v>244</v>
      </c>
      <c r="K36" s="207" t="s">
        <v>23</v>
      </c>
      <c r="L36" s="752"/>
      <c r="M36" s="758" t="s">
        <v>240</v>
      </c>
      <c r="N36" s="266" t="s">
        <v>245</v>
      </c>
      <c r="O36" s="95"/>
      <c r="P36" s="95"/>
      <c r="Q36" s="96"/>
      <c r="R36" s="96"/>
      <c r="S36" s="96"/>
    </row>
    <row r="37" spans="1:19" ht="15.5" x14ac:dyDescent="0.25">
      <c r="A37" s="195"/>
      <c r="B37" s="912">
        <f>ID!B38</f>
        <v>4</v>
      </c>
      <c r="C37" s="1036" t="str">
        <f>ID!C38</f>
        <v>Horizontal Distance (cm)</v>
      </c>
      <c r="D37" s="1036"/>
      <c r="E37" s="207">
        <f>ID!F38</f>
        <v>1</v>
      </c>
      <c r="F37" s="227" t="str">
        <f>ID!G38</f>
        <v>Pin 4 ke 5</v>
      </c>
      <c r="G37" s="290">
        <f t="shared" ref="G37:G39" si="2">M44</f>
        <v>1.0000009999999999</v>
      </c>
      <c r="H37" s="290">
        <f>N44</f>
        <v>-9.9999999991773336E-7</v>
      </c>
      <c r="I37" s="1037" t="s">
        <v>69</v>
      </c>
      <c r="J37" s="290">
        <f>O44</f>
        <v>8.0999695809149275E-3</v>
      </c>
      <c r="K37" s="1079">
        <f>IF(M41&gt;=70,50,IF(M41&lt;70,0))</f>
        <v>50</v>
      </c>
      <c r="L37" s="290">
        <f>IFERROR(M31,"-")</f>
        <v>9.9999999991773336E-5</v>
      </c>
      <c r="M37" s="290">
        <f>IF(N37&gt;=70,50,IF(N37&lt;70,0))</f>
        <v>50</v>
      </c>
      <c r="N37" s="290">
        <f>SUM(O37:O38)</f>
        <v>100</v>
      </c>
      <c r="O37" s="290">
        <f>IF(L37="-",50,IF(L37&lt;=5.1,50,IF(L37&gt;5.1,0)))</f>
        <v>50</v>
      </c>
      <c r="P37" s="290"/>
      <c r="Q37" s="96"/>
      <c r="R37" s="96"/>
      <c r="S37" s="96"/>
    </row>
    <row r="38" spans="1:19" ht="15.5" x14ac:dyDescent="0.25">
      <c r="A38" s="195"/>
      <c r="B38" s="912"/>
      <c r="C38" s="1036"/>
      <c r="D38" s="1036"/>
      <c r="E38" s="207">
        <f>ID!F39</f>
        <v>2</v>
      </c>
      <c r="F38" s="227" t="str">
        <f>ID!G39</f>
        <v>Pin 4 ke 6</v>
      </c>
      <c r="G38" s="290">
        <f t="shared" si="2"/>
        <v>2.0099999999999998</v>
      </c>
      <c r="H38" s="290">
        <f t="shared" ref="H38:H40" si="3">N45</f>
        <v>-9.9999999999997868E-3</v>
      </c>
      <c r="I38" s="1038"/>
      <c r="J38" s="290">
        <f t="shared" ref="J38:J40" si="4">O45</f>
        <v>8.0999695809149275E-3</v>
      </c>
      <c r="K38" s="1080"/>
      <c r="L38" s="290">
        <f>IFERROR(M32,"-")</f>
        <v>0.49999999999998934</v>
      </c>
      <c r="M38" s="290"/>
      <c r="N38" s="290"/>
      <c r="O38" s="290">
        <f>IF(L38="-",50,IF(L38&lt;=5.1,50,IF(L38&gt;5.1,0)))</f>
        <v>50</v>
      </c>
      <c r="P38" s="290"/>
      <c r="Q38" s="96"/>
      <c r="R38" s="96"/>
      <c r="S38" s="96"/>
    </row>
    <row r="39" spans="1:19" ht="15.5" x14ac:dyDescent="0.25">
      <c r="A39" s="195"/>
      <c r="B39" s="912">
        <f>ID!B40</f>
        <v>5</v>
      </c>
      <c r="C39" s="912" t="str">
        <f>ID!C40</f>
        <v>Vertical Distance (cm)</v>
      </c>
      <c r="D39" s="912"/>
      <c r="E39" s="1113">
        <f>ID!F40</f>
        <v>1</v>
      </c>
      <c r="F39" s="227" t="str">
        <f>ID!G40</f>
        <v>Pin 1 ke 3</v>
      </c>
      <c r="G39" s="290">
        <f t="shared" si="2"/>
        <v>0.97999999999999987</v>
      </c>
      <c r="H39" s="290">
        <f t="shared" si="3"/>
        <v>2.0000000000000129E-2</v>
      </c>
      <c r="I39" s="1037" t="s">
        <v>75</v>
      </c>
      <c r="J39" s="290">
        <f t="shared" si="4"/>
        <v>8.0999695809149241E-3</v>
      </c>
      <c r="K39" s="1080"/>
      <c r="L39" s="290">
        <f>IFERROR(M33,"-")</f>
        <v>2.0000000000000129</v>
      </c>
      <c r="M39" s="290">
        <f>IF(N39&gt;=70,50,IF(N39&lt;70,0))</f>
        <v>50</v>
      </c>
      <c r="N39" s="290">
        <f>SUM(O39:O40)</f>
        <v>100</v>
      </c>
      <c r="O39" s="290">
        <f>IF(L39="-",50,IF(L39&lt;=2.1,50,IF(L39&gt;2.1,0)))</f>
        <v>50</v>
      </c>
      <c r="P39" s="290"/>
      <c r="Q39" s="96"/>
      <c r="R39" s="96"/>
      <c r="S39" s="96"/>
    </row>
    <row r="40" spans="1:19" ht="15.5" x14ac:dyDescent="0.25">
      <c r="A40" s="195"/>
      <c r="B40" s="912"/>
      <c r="C40" s="912"/>
      <c r="D40" s="912"/>
      <c r="E40" s="207"/>
      <c r="F40" s="227" t="str">
        <f>ID!G41</f>
        <v>Pin 9 ke 11</v>
      </c>
      <c r="G40" s="290">
        <f>M47</f>
        <v>0.99000099999999991</v>
      </c>
      <c r="H40" s="290">
        <f t="shared" si="3"/>
        <v>9.9990000000000911E-3</v>
      </c>
      <c r="I40" s="1038"/>
      <c r="J40" s="290">
        <f t="shared" si="4"/>
        <v>5.7982691537132643E-3</v>
      </c>
      <c r="K40" s="1081"/>
      <c r="L40" s="290">
        <f>IFERROR(M34,"-")</f>
        <v>0.99990000000000911</v>
      </c>
      <c r="M40" s="290"/>
      <c r="N40" s="290"/>
      <c r="O40" s="290">
        <f>IF(L40="-",50,IF(L40&lt;=2.1,50,IF(L40&gt;2.1,0)))</f>
        <v>50</v>
      </c>
      <c r="P40" s="290"/>
      <c r="Q40" s="96"/>
      <c r="R40" s="96"/>
      <c r="S40" s="96"/>
    </row>
    <row r="41" spans="1:19" ht="15.75" customHeight="1" x14ac:dyDescent="0.25">
      <c r="A41" s="195"/>
      <c r="B41" s="228"/>
      <c r="C41" s="228"/>
      <c r="D41" s="215"/>
      <c r="E41" s="228"/>
      <c r="F41" s="228"/>
      <c r="G41" s="228"/>
      <c r="H41" s="228"/>
      <c r="I41" s="228"/>
      <c r="J41" s="228"/>
      <c r="K41" s="284"/>
      <c r="L41" s="290"/>
      <c r="M41" s="290">
        <f>SUM(M37,M39)</f>
        <v>100</v>
      </c>
      <c r="N41" s="290"/>
      <c r="O41" s="290"/>
      <c r="P41" s="290"/>
      <c r="Q41" s="97"/>
      <c r="R41" s="1075"/>
      <c r="S41" s="1075"/>
    </row>
    <row r="42" spans="1:19" ht="15.5" x14ac:dyDescent="0.25">
      <c r="A42" s="220" t="s">
        <v>77</v>
      </c>
      <c r="B42" s="220" t="s">
        <v>78</v>
      </c>
      <c r="C42" s="195"/>
      <c r="D42" s="197"/>
      <c r="E42" s="197"/>
      <c r="F42" s="197"/>
      <c r="G42" s="197"/>
      <c r="H42" s="197"/>
      <c r="I42" s="197"/>
      <c r="J42" s="197"/>
      <c r="K42" s="750"/>
      <c r="L42" s="751"/>
      <c r="M42" s="1078" t="s">
        <v>246</v>
      </c>
      <c r="N42" s="1076"/>
      <c r="O42" s="1076"/>
      <c r="P42" s="1076"/>
      <c r="Q42" s="97"/>
      <c r="R42" s="1075"/>
      <c r="S42" s="1075"/>
    </row>
    <row r="43" spans="1:19" ht="15.5" x14ac:dyDescent="0.25">
      <c r="A43" s="195"/>
      <c r="B43" s="215" t="str">
        <f>ID!B44</f>
        <v>Ketidakpastian pengukuran diperoleh dari sumber ketidakpastian tipe A dan B</v>
      </c>
      <c r="C43" s="195"/>
      <c r="D43" s="197"/>
      <c r="E43" s="197"/>
      <c r="F43" s="197"/>
      <c r="G43" s="197"/>
      <c r="H43" s="197"/>
      <c r="I43" s="197"/>
      <c r="J43" s="197"/>
      <c r="K43" s="750"/>
      <c r="L43" s="751"/>
      <c r="M43" s="1078"/>
      <c r="N43" s="94"/>
      <c r="O43" s="94"/>
      <c r="P43" s="94"/>
      <c r="Q43" s="97"/>
      <c r="R43" s="1075"/>
      <c r="S43" s="1075"/>
    </row>
    <row r="44" spans="1:19" ht="15.5" x14ac:dyDescent="0.25">
      <c r="A44" s="195"/>
      <c r="B44" s="215" t="str">
        <f>ID!B45</f>
        <v>Hasil pengukuran keselamatan listrik tertelusur ke Satuan Internasional ( SI ) melalui PT. Kaliman (LK-032-IDN)</v>
      </c>
      <c r="C44" s="195"/>
      <c r="D44" s="197"/>
      <c r="E44" s="197"/>
      <c r="F44" s="197"/>
      <c r="G44" s="197"/>
      <c r="H44" s="197"/>
      <c r="I44" s="197"/>
      <c r="J44" s="1115">
        <f>E39-M46</f>
        <v>2.0000000000000129E-2</v>
      </c>
      <c r="K44" s="750"/>
      <c r="L44" s="751"/>
      <c r="M44" s="207">
        <f>'Data Phantom'!I51</f>
        <v>1.0000009999999999</v>
      </c>
      <c r="N44" s="207">
        <f>E37-M44</f>
        <v>-9.9999999991773336E-7</v>
      </c>
      <c r="O44" s="207">
        <f>UB!K11</f>
        <v>8.0999695809149275E-3</v>
      </c>
      <c r="P44" s="94"/>
      <c r="Q44" s="97"/>
      <c r="R44" s="98"/>
      <c r="S44" s="98"/>
    </row>
    <row r="45" spans="1:19" ht="17.25" customHeight="1" x14ac:dyDescent="0.25">
      <c r="A45" s="195"/>
      <c r="B45" s="215" t="str">
        <f>ID!B46</f>
        <v>Hasil pengujian kinerja USG tertelusur ke Satuan Internasional ( SI ) melalui SUN NUCLEAR</v>
      </c>
      <c r="C45" s="195"/>
      <c r="D45" s="194"/>
      <c r="E45" s="194"/>
      <c r="F45" s="194"/>
      <c r="G45" s="194"/>
      <c r="H45" s="194"/>
      <c r="I45" s="194"/>
      <c r="J45" s="194"/>
      <c r="K45" s="231"/>
      <c r="L45" s="751"/>
      <c r="M45" s="207">
        <f>'Data Phantom'!I52</f>
        <v>2.0099999999999998</v>
      </c>
      <c r="N45" s="207">
        <f>E38-M45</f>
        <v>-9.9999999999997868E-3</v>
      </c>
      <c r="O45" s="207">
        <f>UB!K21</f>
        <v>8.0999695809149275E-3</v>
      </c>
      <c r="P45" s="94"/>
      <c r="Q45" s="97"/>
      <c r="R45" s="98"/>
      <c r="S45" s="98"/>
    </row>
    <row r="46" spans="1:19" ht="15.75" customHeight="1" x14ac:dyDescent="0.25">
      <c r="A46" s="195"/>
      <c r="B46" s="215" t="str">
        <f>ID!B47</f>
        <v>Tidak terdapat grounding diruangan</v>
      </c>
      <c r="C46" s="195"/>
      <c r="D46" s="194"/>
      <c r="E46" s="194"/>
      <c r="F46" s="194"/>
      <c r="G46" s="194"/>
      <c r="H46" s="194"/>
      <c r="I46" s="194"/>
      <c r="J46" s="194"/>
      <c r="K46" s="231"/>
      <c r="L46" s="751"/>
      <c r="M46" s="207">
        <f>'Data Phantom'!I53</f>
        <v>0.97999999999999987</v>
      </c>
      <c r="N46" s="207">
        <f>E39-M46</f>
        <v>2.0000000000000129E-2</v>
      </c>
      <c r="O46" s="207">
        <f>UB!K31</f>
        <v>8.0999695809149241E-3</v>
      </c>
      <c r="P46" s="94"/>
      <c r="Q46" s="97"/>
      <c r="R46" s="1075"/>
      <c r="S46" s="1075"/>
    </row>
    <row r="47" spans="1:19" ht="15.75" customHeight="1" x14ac:dyDescent="0.25">
      <c r="A47" s="195"/>
      <c r="B47" s="215">
        <f>ID!B48</f>
        <v>0</v>
      </c>
      <c r="C47" s="195"/>
      <c r="D47" s="194"/>
      <c r="E47" s="194"/>
      <c r="F47" s="194"/>
      <c r="G47" s="194"/>
      <c r="H47" s="194"/>
      <c r="I47" s="194"/>
      <c r="J47" s="194"/>
      <c r="K47" s="231"/>
      <c r="L47" s="751"/>
      <c r="M47" s="207">
        <f>'Data Phantom'!I54</f>
        <v>0.99000099999999991</v>
      </c>
      <c r="N47" s="207">
        <f>E39-M47</f>
        <v>9.9990000000000911E-3</v>
      </c>
      <c r="O47" s="207">
        <f>UB!K42</f>
        <v>5.7982691537132643E-3</v>
      </c>
      <c r="P47" s="94"/>
      <c r="Q47" s="97"/>
      <c r="R47" s="98"/>
      <c r="S47" s="98"/>
    </row>
    <row r="48" spans="1:19" ht="15.75" customHeight="1" x14ac:dyDescent="0.25">
      <c r="A48" s="195"/>
      <c r="B48" s="215"/>
      <c r="C48" s="195"/>
      <c r="D48" s="194"/>
      <c r="E48" s="194"/>
      <c r="F48" s="194"/>
      <c r="G48" s="194"/>
      <c r="H48" s="194"/>
      <c r="I48" s="194"/>
      <c r="J48" s="194"/>
      <c r="K48" s="231"/>
      <c r="L48" s="751"/>
      <c r="M48" s="284"/>
      <c r="N48" s="285"/>
      <c r="O48" s="286"/>
      <c r="P48" s="94"/>
      <c r="Q48" s="97"/>
      <c r="R48" s="98"/>
      <c r="S48" s="98"/>
    </row>
    <row r="49" spans="1:19" ht="15.5" x14ac:dyDescent="0.25">
      <c r="A49" s="200" t="s">
        <v>80</v>
      </c>
      <c r="B49" s="200" t="s">
        <v>189</v>
      </c>
      <c r="C49" s="195"/>
      <c r="D49" s="200"/>
      <c r="E49" s="194"/>
      <c r="F49" s="194"/>
      <c r="G49" s="194"/>
      <c r="H49" s="194"/>
      <c r="I49" s="194"/>
      <c r="J49" s="194"/>
      <c r="K49" s="231"/>
      <c r="L49" s="751"/>
      <c r="M49" s="759"/>
      <c r="N49" s="94"/>
      <c r="O49" s="94"/>
      <c r="P49" s="94"/>
      <c r="Q49" s="97"/>
      <c r="R49" s="1075"/>
      <c r="S49" s="1075"/>
    </row>
    <row r="50" spans="1:19" ht="15.5" x14ac:dyDescent="0.25">
      <c r="A50" s="195"/>
      <c r="B50" s="194" t="str">
        <f>ID!B50:L50</f>
        <v>Ultrasound Phantom, Merk : SUN NUCLEAR, Model : SUN 404, SN :802262-5381-1</v>
      </c>
      <c r="C50" s="195"/>
      <c r="D50" s="194"/>
      <c r="E50" s="194"/>
      <c r="F50" s="194"/>
      <c r="G50" s="194"/>
      <c r="H50" s="194"/>
      <c r="I50" s="194"/>
      <c r="J50" s="194"/>
      <c r="K50" s="231"/>
      <c r="L50" s="751"/>
      <c r="M50" s="759"/>
      <c r="N50" s="94"/>
      <c r="O50" s="94"/>
      <c r="P50" s="94"/>
      <c r="Q50" s="97"/>
      <c r="R50" s="1075"/>
      <c r="S50" s="1075"/>
    </row>
    <row r="51" spans="1:19" ht="15.5" x14ac:dyDescent="0.25">
      <c r="A51" s="195"/>
      <c r="B51" s="194" t="str">
        <f>ID!B51:L51</f>
        <v>Electrical Safety Analyzer, Merek : Fluke, Model : ESA 615, SN : 4669058</v>
      </c>
      <c r="C51" s="195"/>
      <c r="D51" s="194"/>
      <c r="E51" s="194"/>
      <c r="F51" s="194"/>
      <c r="G51" s="194"/>
      <c r="H51" s="194"/>
      <c r="I51" s="194"/>
      <c r="J51" s="194"/>
      <c r="K51" s="231"/>
      <c r="L51" s="751"/>
      <c r="M51" s="748"/>
    </row>
    <row r="52" spans="1:19" ht="15.75" customHeight="1" x14ac:dyDescent="0.25">
      <c r="A52" s="195"/>
      <c r="B52" s="200"/>
      <c r="C52" s="194"/>
      <c r="D52" s="194"/>
      <c r="E52" s="194"/>
      <c r="F52" s="194"/>
      <c r="G52" s="194"/>
      <c r="H52" s="194"/>
      <c r="I52" s="194"/>
      <c r="J52" s="194"/>
      <c r="K52" s="231"/>
      <c r="L52" s="751"/>
      <c r="M52" s="748"/>
    </row>
    <row r="53" spans="1:19" ht="15.5" x14ac:dyDescent="0.25">
      <c r="A53" s="200" t="s">
        <v>93</v>
      </c>
      <c r="B53" s="200" t="s">
        <v>94</v>
      </c>
      <c r="C53" s="195"/>
      <c r="D53" s="194"/>
      <c r="E53" s="194"/>
      <c r="F53" s="194"/>
      <c r="G53" s="194"/>
      <c r="H53" s="194"/>
      <c r="I53" s="194"/>
      <c r="J53" s="194"/>
      <c r="K53" s="231"/>
      <c r="L53" s="751"/>
      <c r="M53" s="748"/>
    </row>
    <row r="54" spans="1:19" ht="15.5" x14ac:dyDescent="0.25">
      <c r="A54" s="195"/>
      <c r="B54" s="1077" t="str">
        <f>ID!B55</f>
        <v>Alat yang dikalibrasi dalam batas toleransi dan dinyatakan LAIK PAKAI, dimana hasil atau skor akhir sama dengan atau melampaui 70 % berdasarkan Keputusan Direktur Jendral Pelayanan Kesehatan No : HK.02.02/V/0412/2020</v>
      </c>
      <c r="C54" s="1077"/>
      <c r="D54" s="1077"/>
      <c r="E54" s="1077"/>
      <c r="F54" s="1077"/>
      <c r="G54" s="1077"/>
      <c r="H54" s="1077"/>
      <c r="I54" s="1077"/>
      <c r="J54" s="1077"/>
      <c r="K54" s="231"/>
      <c r="L54" s="751"/>
      <c r="M54" s="748"/>
    </row>
    <row r="55" spans="1:19" ht="15.5" x14ac:dyDescent="0.25">
      <c r="A55" s="195"/>
      <c r="B55" s="1077"/>
      <c r="C55" s="1077"/>
      <c r="D55" s="1077"/>
      <c r="E55" s="1077"/>
      <c r="F55" s="1077"/>
      <c r="G55" s="1077"/>
      <c r="H55" s="1077"/>
      <c r="I55" s="1077"/>
      <c r="J55" s="1077"/>
      <c r="K55" s="231"/>
      <c r="L55" s="751"/>
      <c r="M55" s="748"/>
    </row>
    <row r="56" spans="1:19" ht="15.75" customHeight="1" x14ac:dyDescent="0.25">
      <c r="A56" s="195"/>
      <c r="B56" s="200"/>
      <c r="C56" s="194"/>
      <c r="D56" s="194"/>
      <c r="E56" s="194"/>
      <c r="F56" s="194"/>
      <c r="G56" s="194"/>
      <c r="H56" s="194"/>
      <c r="I56" s="194"/>
      <c r="J56" s="194"/>
      <c r="K56" s="231"/>
      <c r="L56" s="751"/>
      <c r="M56" s="748"/>
    </row>
    <row r="57" spans="1:19" ht="15.5" x14ac:dyDescent="0.25">
      <c r="A57" s="200" t="s">
        <v>96</v>
      </c>
      <c r="B57" s="200" t="s">
        <v>97</v>
      </c>
      <c r="C57" s="195"/>
      <c r="D57" s="194"/>
      <c r="E57" s="194"/>
      <c r="F57" s="194"/>
      <c r="G57" s="194"/>
      <c r="H57" s="194"/>
      <c r="I57" s="194"/>
      <c r="J57" s="194"/>
      <c r="K57" s="231"/>
      <c r="L57" s="751"/>
      <c r="M57" s="748"/>
    </row>
    <row r="58" spans="1:19" ht="15.5" x14ac:dyDescent="0.25">
      <c r="A58" s="195"/>
      <c r="B58" s="194" t="str">
        <f>ID!B59</f>
        <v>Venna Filosofia</v>
      </c>
      <c r="C58" s="195"/>
      <c r="D58" s="194"/>
      <c r="E58" s="194"/>
      <c r="F58" s="194"/>
      <c r="G58" s="194"/>
      <c r="H58" s="194"/>
      <c r="I58" s="194"/>
      <c r="J58" s="194"/>
      <c r="K58" s="231"/>
      <c r="L58" s="751"/>
      <c r="M58" s="748"/>
    </row>
    <row r="59" spans="1:19" ht="15.5" x14ac:dyDescent="0.25">
      <c r="A59" s="195"/>
      <c r="B59" s="194"/>
      <c r="C59" s="194"/>
      <c r="D59" s="194"/>
      <c r="E59" s="231"/>
      <c r="F59" s="231"/>
      <c r="G59" s="194"/>
      <c r="H59" s="194"/>
      <c r="I59" s="194"/>
      <c r="J59" s="194"/>
      <c r="K59" s="231"/>
      <c r="L59" s="751"/>
      <c r="M59" s="748"/>
    </row>
    <row r="60" spans="1:19" ht="15.5" x14ac:dyDescent="0.25">
      <c r="A60" s="195"/>
      <c r="B60" s="200"/>
      <c r="C60" s="209"/>
      <c r="D60" s="201"/>
      <c r="E60" s="201"/>
      <c r="F60" s="201"/>
      <c r="G60" s="201"/>
      <c r="H60" s="201"/>
      <c r="I60" s="210"/>
      <c r="J60" s="194"/>
      <c r="K60" s="231"/>
      <c r="L60" s="751"/>
      <c r="M60" s="748"/>
    </row>
    <row r="61" spans="1:19" ht="15.5" x14ac:dyDescent="0.25">
      <c r="A61" s="195"/>
      <c r="B61" s="194"/>
      <c r="C61" s="955"/>
      <c r="D61" s="955"/>
      <c r="E61" s="955"/>
      <c r="F61" s="955"/>
      <c r="G61" s="955"/>
      <c r="H61" s="955"/>
      <c r="I61" s="211"/>
      <c r="J61" s="194"/>
      <c r="K61" s="231"/>
      <c r="L61" s="751"/>
      <c r="M61" s="748"/>
    </row>
    <row r="62" spans="1:19" ht="15.5" x14ac:dyDescent="0.25">
      <c r="A62" s="195"/>
      <c r="B62" s="194"/>
      <c r="C62" s="1069" t="s">
        <v>247</v>
      </c>
      <c r="D62" s="1069"/>
      <c r="E62" s="1069"/>
      <c r="F62" s="1069"/>
      <c r="G62" s="1069"/>
      <c r="H62" s="1069" t="s">
        <v>99</v>
      </c>
      <c r="I62" s="1069"/>
      <c r="J62" s="232" t="s">
        <v>248</v>
      </c>
      <c r="K62" s="760" t="s">
        <v>249</v>
      </c>
      <c r="L62" s="751"/>
      <c r="M62" s="748"/>
    </row>
    <row r="63" spans="1:19" ht="15.5" x14ac:dyDescent="0.25">
      <c r="A63" s="195"/>
      <c r="B63" s="194"/>
      <c r="C63" s="250" t="s">
        <v>250</v>
      </c>
      <c r="D63" s="233" t="s">
        <v>19</v>
      </c>
      <c r="E63" s="233" t="str">
        <f>B58</f>
        <v>Venna Filosofia</v>
      </c>
      <c r="G63" s="252"/>
      <c r="H63" s="1063" t="str">
        <f>ID!B62</f>
        <v>11 Maret 2020</v>
      </c>
      <c r="I63" s="1063"/>
      <c r="J63" s="234"/>
      <c r="K63" s="1065">
        <f>SUM(M63:M65)</f>
        <v>90</v>
      </c>
      <c r="L63" s="761" t="s">
        <v>251</v>
      </c>
      <c r="M63" s="290">
        <f>SUM(K19:K20)</f>
        <v>10</v>
      </c>
    </row>
    <row r="64" spans="1:19" ht="15.5" x14ac:dyDescent="0.25">
      <c r="A64" s="195"/>
      <c r="B64" s="194"/>
      <c r="C64" s="250" t="s">
        <v>252</v>
      </c>
      <c r="D64" s="195" t="s">
        <v>19</v>
      </c>
      <c r="E64" s="233" t="s">
        <v>253</v>
      </c>
      <c r="F64" s="251"/>
      <c r="H64" s="1064"/>
      <c r="I64" s="1064"/>
      <c r="J64" s="234"/>
      <c r="K64" s="1066"/>
      <c r="L64" s="761" t="s">
        <v>254</v>
      </c>
      <c r="M64" s="290">
        <f>ID!P65</f>
        <v>30</v>
      </c>
    </row>
    <row r="65" spans="1:13" ht="15.5" x14ac:dyDescent="0.25">
      <c r="A65" s="195"/>
      <c r="B65" s="194"/>
      <c r="C65" s="195"/>
      <c r="D65" s="253"/>
      <c r="E65" s="195"/>
      <c r="F65" s="254"/>
      <c r="G65" s="255"/>
      <c r="H65" s="208"/>
      <c r="I65" s="194"/>
      <c r="J65" s="194"/>
      <c r="K65" s="231"/>
      <c r="L65" s="761" t="s">
        <v>255</v>
      </c>
      <c r="M65" s="290">
        <f>K37</f>
        <v>50</v>
      </c>
    </row>
    <row r="66" spans="1:13" ht="15.5" x14ac:dyDescent="0.25">
      <c r="A66" s="195"/>
      <c r="B66" s="194"/>
      <c r="C66" s="208"/>
      <c r="D66" s="195"/>
      <c r="E66" s="195"/>
      <c r="F66" s="195"/>
      <c r="G66" s="195"/>
      <c r="H66" s="208"/>
      <c r="I66" s="194"/>
      <c r="J66" s="194"/>
      <c r="K66" s="231"/>
      <c r="L66" s="751"/>
      <c r="M66" s="748"/>
    </row>
    <row r="67" spans="1:13" ht="15.5" x14ac:dyDescent="0.25">
      <c r="B67" s="72"/>
      <c r="C67" s="80"/>
      <c r="H67" s="80"/>
      <c r="I67" s="99"/>
      <c r="J67" s="72"/>
      <c r="K67" s="72"/>
      <c r="L67" s="73"/>
    </row>
    <row r="68" spans="1:13" ht="15.5" x14ac:dyDescent="0.25">
      <c r="B68" s="72"/>
      <c r="C68" s="80"/>
      <c r="H68" s="80"/>
      <c r="I68" s="99"/>
      <c r="J68" s="72"/>
      <c r="K68" s="72"/>
      <c r="L68" s="73"/>
    </row>
    <row r="69" spans="1:13" ht="15.5" x14ac:dyDescent="0.25">
      <c r="B69" s="72"/>
      <c r="C69" s="80"/>
      <c r="D69" s="80"/>
      <c r="E69" s="80"/>
      <c r="F69" s="80"/>
      <c r="G69" s="82"/>
      <c r="H69" s="80"/>
      <c r="I69" s="99"/>
      <c r="J69" s="72"/>
      <c r="K69" s="72"/>
      <c r="L69" s="73"/>
    </row>
    <row r="70" spans="1:13" ht="15.5" x14ac:dyDescent="0.25">
      <c r="B70" s="72"/>
      <c r="C70" s="80"/>
      <c r="D70" s="80"/>
      <c r="E70" s="80"/>
      <c r="F70" s="80"/>
      <c r="G70" s="82"/>
      <c r="H70" s="80"/>
      <c r="I70" s="99"/>
      <c r="J70" s="72"/>
      <c r="K70" s="72"/>
      <c r="L70" s="73"/>
    </row>
    <row r="71" spans="1:13" ht="15.5" x14ac:dyDescent="0.25">
      <c r="B71" s="72"/>
      <c r="C71" s="80"/>
      <c r="D71" s="80"/>
      <c r="E71" s="80"/>
      <c r="F71" s="80"/>
      <c r="G71" s="82"/>
      <c r="H71" s="80"/>
      <c r="I71" s="99"/>
      <c r="J71" s="72"/>
      <c r="K71" s="72"/>
      <c r="L71" s="73"/>
    </row>
    <row r="72" spans="1:13" ht="15.5" x14ac:dyDescent="0.25">
      <c r="B72" s="72"/>
      <c r="C72" s="80"/>
      <c r="D72" s="80"/>
      <c r="E72" s="80"/>
      <c r="F72" s="80"/>
      <c r="G72" s="82"/>
      <c r="H72" s="80"/>
      <c r="I72" s="72"/>
      <c r="J72" s="72"/>
      <c r="K72" s="72"/>
      <c r="L72" s="73"/>
    </row>
    <row r="73" spans="1:13" ht="14.5" x14ac:dyDescent="0.25">
      <c r="B73" s="83"/>
      <c r="C73" s="86"/>
      <c r="D73" s="86"/>
      <c r="E73" s="86"/>
      <c r="F73" s="86"/>
      <c r="G73" s="87"/>
      <c r="H73" s="86"/>
      <c r="I73" s="84"/>
      <c r="J73" s="83"/>
      <c r="K73" s="83"/>
      <c r="L73" s="84"/>
    </row>
    <row r="74" spans="1:13" ht="14.5" x14ac:dyDescent="0.25">
      <c r="B74" s="83"/>
      <c r="C74" s="86"/>
      <c r="D74" s="86"/>
      <c r="E74" s="86"/>
      <c r="F74" s="86"/>
      <c r="G74" s="87"/>
      <c r="H74" s="86"/>
      <c r="I74" s="84"/>
      <c r="J74" s="83"/>
      <c r="K74" s="83"/>
      <c r="L74" s="84"/>
    </row>
    <row r="75" spans="1:13" ht="14.5" x14ac:dyDescent="0.25">
      <c r="B75" s="83"/>
      <c r="C75" s="86"/>
      <c r="D75" s="86"/>
      <c r="E75" s="86"/>
      <c r="F75" s="86"/>
      <c r="G75" s="87"/>
      <c r="H75" s="86"/>
      <c r="I75" s="84"/>
      <c r="J75" s="83"/>
      <c r="K75" s="83"/>
      <c r="L75" s="84"/>
    </row>
    <row r="76" spans="1:13" ht="14.5" x14ac:dyDescent="0.25">
      <c r="B76" s="83"/>
      <c r="C76" s="86"/>
      <c r="D76" s="86"/>
      <c r="E76" s="86"/>
      <c r="F76" s="86"/>
      <c r="G76" s="87"/>
      <c r="H76" s="86"/>
      <c r="I76" s="84"/>
      <c r="J76" s="83"/>
      <c r="K76" s="83"/>
      <c r="L76" s="84"/>
    </row>
    <row r="77" spans="1:13" x14ac:dyDescent="0.25"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1"/>
    </row>
    <row r="80" spans="1:13" x14ac:dyDescent="0.25"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1"/>
    </row>
    <row r="81" spans="2:12" x14ac:dyDescent="0.25">
      <c r="B81" s="70"/>
      <c r="C81" s="70"/>
      <c r="D81" s="70"/>
      <c r="E81" s="70"/>
      <c r="F81" s="70"/>
      <c r="G81" s="70"/>
      <c r="H81" s="70"/>
      <c r="I81" s="100"/>
      <c r="J81" s="70"/>
      <c r="K81" s="70"/>
      <c r="L81" s="71"/>
    </row>
    <row r="82" spans="2:12" x14ac:dyDescent="0.25">
      <c r="I82" s="94"/>
    </row>
    <row r="83" spans="2:12" x14ac:dyDescent="0.25">
      <c r="I83" s="94"/>
    </row>
  </sheetData>
  <sheetProtection formatCells="0" formatColumns="0" formatRows="0" insertColumns="0" insertRows="0" deleteColumns="0" deleteRows="0"/>
  <mergeCells count="55">
    <mergeCell ref="A1:K1"/>
    <mergeCell ref="C37:D38"/>
    <mergeCell ref="H30:I30"/>
    <mergeCell ref="H31:I31"/>
    <mergeCell ref="H32:I32"/>
    <mergeCell ref="C30:D30"/>
    <mergeCell ref="C31:D31"/>
    <mergeCell ref="C32:D32"/>
    <mergeCell ref="E30:G30"/>
    <mergeCell ref="E31:G31"/>
    <mergeCell ref="E32:G32"/>
    <mergeCell ref="E36:F36"/>
    <mergeCell ref="K37:K40"/>
    <mergeCell ref="R46:S46"/>
    <mergeCell ref="R49:S49"/>
    <mergeCell ref="R50:S50"/>
    <mergeCell ref="G61:H61"/>
    <mergeCell ref="C39:D40"/>
    <mergeCell ref="R41:S41"/>
    <mergeCell ref="N42:P42"/>
    <mergeCell ref="R42:S42"/>
    <mergeCell ref="R43:S43"/>
    <mergeCell ref="B54:J55"/>
    <mergeCell ref="I39:I40"/>
    <mergeCell ref="M42:M43"/>
    <mergeCell ref="N29:P29"/>
    <mergeCell ref="R29:S29"/>
    <mergeCell ref="E8:I8"/>
    <mergeCell ref="E9:I9"/>
    <mergeCell ref="E10:I10"/>
    <mergeCell ref="E11:I11"/>
    <mergeCell ref="H23:H24"/>
    <mergeCell ref="I23:I24"/>
    <mergeCell ref="C23:G24"/>
    <mergeCell ref="C25:G25"/>
    <mergeCell ref="C26:G26"/>
    <mergeCell ref="L35:M35"/>
    <mergeCell ref="E4:I4"/>
    <mergeCell ref="E5:I5"/>
    <mergeCell ref="E6:I6"/>
    <mergeCell ref="C61:D61"/>
    <mergeCell ref="E61:F61"/>
    <mergeCell ref="C33:D33"/>
    <mergeCell ref="H33:I33"/>
    <mergeCell ref="I37:I38"/>
    <mergeCell ref="H64:I64"/>
    <mergeCell ref="K63:K64"/>
    <mergeCell ref="B23:B24"/>
    <mergeCell ref="C36:D36"/>
    <mergeCell ref="B39:B40"/>
    <mergeCell ref="B37:B38"/>
    <mergeCell ref="C62:G62"/>
    <mergeCell ref="H62:I62"/>
    <mergeCell ref="C27:G27"/>
    <mergeCell ref="H63:I63"/>
  </mergeCells>
  <printOptions horizontalCentered="1"/>
  <pageMargins left="0.59055118110236204" right="0.511811023622047" top="0.511811023622047" bottom="0.23622047244094499" header="0.23622047244094499" footer="0.23622047244094499"/>
  <pageSetup paperSize="9" scale="70" orientation="portrait" horizontalDpi="4294967294" r:id="rId1"/>
  <headerFooter>
    <oddHeader>&amp;R&amp;"-,Regular"&amp;8OA.LP - 065 - 18/ REV : 0</oddHeader>
    <oddFooter>&amp;R&amp;K00-047USG 10.1.2023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396B-D41C-4999-AA37-5B558A8A5951}">
  <sheetPr>
    <tabColor rgb="FF00B050"/>
  </sheetPr>
  <dimension ref="A1:O61"/>
  <sheetViews>
    <sheetView zoomScaleNormal="100" zoomScaleSheetLayoutView="90" workbookViewId="0">
      <selection activeCell="H18" sqref="H18"/>
    </sheetView>
  </sheetViews>
  <sheetFormatPr defaultColWidth="9.1796875" defaultRowHeight="12.5" x14ac:dyDescent="0.25"/>
  <cols>
    <col min="1" max="1" width="18.1796875" style="292" customWidth="1"/>
    <col min="2" max="2" width="26.1796875" style="292" customWidth="1"/>
    <col min="3" max="3" width="3.1796875" style="292" customWidth="1"/>
    <col min="4" max="4" width="11.54296875" style="292" customWidth="1"/>
    <col min="5" max="5" width="9.453125" style="292" customWidth="1"/>
    <col min="6" max="6" width="22.54296875" style="292" customWidth="1"/>
    <col min="7" max="7" width="9.1796875" style="292"/>
    <col min="8" max="8" width="18.81640625" style="292" customWidth="1"/>
    <col min="9" max="9" width="12.1796875" style="292" customWidth="1"/>
    <col min="10" max="16384" width="9.1796875" style="292"/>
  </cols>
  <sheetData>
    <row r="1" spans="1:15" x14ac:dyDescent="0.25">
      <c r="H1" s="293" t="str">
        <f>IF(PENYELIA!K63&gt;=70,"LAIK","TIDAK LAIK")</f>
        <v>LAIK</v>
      </c>
      <c r="I1" s="294"/>
      <c r="J1" s="294"/>
    </row>
    <row r="2" spans="1:15" ht="30" x14ac:dyDescent="0.25">
      <c r="A2" s="1084" t="str">
        <f>B46</f>
        <v>SERTIFIKAT KALIBRASI</v>
      </c>
      <c r="B2" s="1084"/>
      <c r="C2" s="1084"/>
      <c r="D2" s="1084"/>
      <c r="E2" s="1084"/>
      <c r="F2" s="1084"/>
      <c r="H2" s="295"/>
      <c r="I2" s="1085"/>
      <c r="J2" s="1086"/>
    </row>
    <row r="3" spans="1:15" ht="14" x14ac:dyDescent="0.3">
      <c r="A3" s="1087" t="str">
        <f>LH!A2</f>
        <v>Nomor Sertifikat : 56 / 1 / IV - 21 / E - 00.000 DL</v>
      </c>
      <c r="B3" s="1087"/>
      <c r="C3" s="1087"/>
      <c r="D3" s="1087"/>
      <c r="E3" s="1087"/>
      <c r="F3" s="1087"/>
    </row>
    <row r="4" spans="1:15" ht="13" x14ac:dyDescent="0.3">
      <c r="C4" s="292" t="s">
        <v>300</v>
      </c>
      <c r="D4" s="1088" t="str">
        <f>ID!E11</f>
        <v>MK 065 - 18</v>
      </c>
      <c r="E4" s="1088"/>
      <c r="F4" s="1088"/>
      <c r="H4" s="490"/>
      <c r="I4" s="490"/>
      <c r="J4" s="490"/>
    </row>
    <row r="5" spans="1:15" ht="14.5" x14ac:dyDescent="0.35">
      <c r="H5" s="1089"/>
      <c r="I5" s="1089"/>
      <c r="J5" s="1089"/>
    </row>
    <row r="6" spans="1:15" ht="14" x14ac:dyDescent="0.25">
      <c r="A6" s="296" t="s">
        <v>302</v>
      </c>
      <c r="B6" s="297" t="s">
        <v>303</v>
      </c>
      <c r="C6" s="298"/>
      <c r="D6" s="1082" t="s">
        <v>304</v>
      </c>
      <c r="E6" s="1083"/>
      <c r="F6" s="299" t="str">
        <f>MID(A3,SEARCH("E - ",A3),LEN(A3))</f>
        <v>E - 00.000 DL</v>
      </c>
    </row>
    <row r="7" spans="1:15" ht="14" x14ac:dyDescent="0.25">
      <c r="A7" s="300"/>
      <c r="B7" s="300"/>
      <c r="C7" s="300"/>
    </row>
    <row r="8" spans="1:15" ht="14" x14ac:dyDescent="0.25">
      <c r="A8" s="1091" t="s">
        <v>2</v>
      </c>
      <c r="B8" s="1091"/>
      <c r="C8" s="301" t="s">
        <v>19</v>
      </c>
      <c r="D8" s="1091" t="str">
        <f>PENYELIA!E4</f>
        <v>GE</v>
      </c>
      <c r="E8" s="1091"/>
      <c r="F8" s="1091"/>
      <c r="I8" s="1092"/>
      <c r="J8" s="1092"/>
    </row>
    <row r="9" spans="1:15" ht="14" customHeight="1" x14ac:dyDescent="0.25">
      <c r="A9" s="1091" t="s">
        <v>305</v>
      </c>
      <c r="B9" s="1091"/>
      <c r="C9" s="301" t="s">
        <v>19</v>
      </c>
      <c r="D9" s="1091" t="str">
        <f>PENYELIA!E5</f>
        <v>LOGIQ F8</v>
      </c>
      <c r="E9" s="1091"/>
      <c r="F9" s="1091"/>
      <c r="I9" s="1092"/>
      <c r="J9" s="1092"/>
    </row>
    <row r="10" spans="1:15" ht="14.5" customHeight="1" x14ac:dyDescent="0.35">
      <c r="A10" s="1091" t="s">
        <v>306</v>
      </c>
      <c r="B10" s="1091"/>
      <c r="C10" s="301" t="s">
        <v>19</v>
      </c>
      <c r="D10" s="1091" t="str">
        <f>PENYELIA!E6</f>
        <v>5478039</v>
      </c>
      <c r="E10" s="1091"/>
      <c r="F10" s="1091"/>
      <c r="I10" s="1093"/>
      <c r="J10" s="1094"/>
      <c r="O10" s="302"/>
    </row>
    <row r="11" spans="1:15" s="294" customFormat="1" ht="14.5" hidden="1" x14ac:dyDescent="0.35">
      <c r="A11" s="1095" t="s">
        <v>307</v>
      </c>
      <c r="B11" s="1095"/>
      <c r="C11" s="303" t="s">
        <v>19</v>
      </c>
      <c r="D11" s="304" t="str">
        <f>I11&amp;"    "&amp;J11&amp;""</f>
        <v xml:space="preserve">    </v>
      </c>
      <c r="E11" s="304"/>
      <c r="F11" s="305">
        <f>J11</f>
        <v>0</v>
      </c>
      <c r="I11" s="306"/>
      <c r="J11" s="307"/>
      <c r="O11" s="307"/>
    </row>
    <row r="12" spans="1:15" s="294" customFormat="1" ht="14.5" hidden="1" x14ac:dyDescent="0.35">
      <c r="A12" s="1095" t="s">
        <v>6</v>
      </c>
      <c r="B12" s="1095"/>
      <c r="C12" s="303" t="s">
        <v>19</v>
      </c>
      <c r="D12" s="308">
        <f>[3]LH!E8</f>
        <v>1</v>
      </c>
      <c r="E12" s="308"/>
      <c r="F12" s="305"/>
      <c r="I12" s="309"/>
      <c r="J12" s="307"/>
      <c r="O12" s="307"/>
    </row>
    <row r="13" spans="1:15" ht="14.5" x14ac:dyDescent="0.35">
      <c r="A13" s="310"/>
      <c r="B13" s="310"/>
      <c r="C13" s="300"/>
      <c r="I13" s="1090"/>
      <c r="J13" s="1090"/>
      <c r="O13" s="302"/>
    </row>
    <row r="14" spans="1:15" ht="28.5" customHeight="1" x14ac:dyDescent="0.35">
      <c r="A14" s="311" t="s">
        <v>308</v>
      </c>
      <c r="B14" s="312"/>
      <c r="C14" s="300"/>
      <c r="D14" s="1082" t="s">
        <v>309</v>
      </c>
      <c r="E14" s="1083"/>
      <c r="F14" s="313"/>
      <c r="I14" s="1094"/>
      <c r="J14" s="1094"/>
      <c r="O14" s="302"/>
    </row>
    <row r="15" spans="1:15" ht="14.5" x14ac:dyDescent="0.25">
      <c r="A15" s="314"/>
      <c r="B15" s="300"/>
      <c r="C15" s="300"/>
      <c r="D15" s="300"/>
      <c r="E15" s="300"/>
      <c r="I15" s="1097"/>
      <c r="J15" s="1097"/>
    </row>
    <row r="16" spans="1:15" s="294" customFormat="1" ht="42.75" customHeight="1" x14ac:dyDescent="0.3">
      <c r="A16" s="1098" t="s">
        <v>310</v>
      </c>
      <c r="B16" s="1098"/>
      <c r="C16" s="315" t="s">
        <v>19</v>
      </c>
      <c r="D16" s="1099" t="s">
        <v>661</v>
      </c>
      <c r="E16" s="1099"/>
      <c r="F16" s="1099"/>
      <c r="H16" s="316"/>
      <c r="I16" s="1100"/>
      <c r="J16" s="1101"/>
    </row>
    <row r="17" spans="1:10" ht="14.5" x14ac:dyDescent="0.35">
      <c r="A17" s="1091" t="str">
        <f>"Nama Ruang "</f>
        <v xml:space="preserve">Nama Ruang </v>
      </c>
      <c r="B17" s="1091"/>
      <c r="C17" s="301" t="s">
        <v>19</v>
      </c>
      <c r="D17" s="1102" t="str">
        <f>LH!E11</f>
        <v>Ruang EKG</v>
      </c>
      <c r="E17" s="1102"/>
      <c r="F17" s="1102"/>
      <c r="H17" s="1103"/>
      <c r="I17" s="1103"/>
      <c r="J17" s="1103"/>
    </row>
    <row r="18" spans="1:10" ht="14.5" x14ac:dyDescent="0.35">
      <c r="A18" s="1091" t="s">
        <v>256</v>
      </c>
      <c r="B18" s="1091"/>
      <c r="C18" s="301" t="s">
        <v>19</v>
      </c>
      <c r="D18" s="1096" t="str">
        <f>LH!E8</f>
        <v>4 Februari 2020</v>
      </c>
      <c r="E18" s="1096"/>
      <c r="F18" s="1096"/>
      <c r="H18" s="317"/>
      <c r="I18" s="317"/>
      <c r="J18" s="317"/>
    </row>
    <row r="19" spans="1:10" ht="14.25" customHeight="1" x14ac:dyDescent="0.25">
      <c r="A19" s="1091" t="str">
        <f>"Tanggal "&amp;B50</f>
        <v>Tanggal Kalibrasi</v>
      </c>
      <c r="B19" s="1091"/>
      <c r="C19" s="301" t="s">
        <v>19</v>
      </c>
      <c r="D19" s="1096" t="str">
        <f>LH!E9</f>
        <v>4 Februari 2020</v>
      </c>
      <c r="E19" s="1096"/>
      <c r="F19" s="1096"/>
    </row>
    <row r="20" spans="1:10" ht="14" x14ac:dyDescent="0.25">
      <c r="A20" s="1091" t="str">
        <f>"Penanggungjawab "&amp;B50</f>
        <v>Penanggungjawab Kalibrasi</v>
      </c>
      <c r="B20" s="1091"/>
      <c r="C20" s="301" t="s">
        <v>19</v>
      </c>
      <c r="D20" s="1091" t="str">
        <f>LH!B57</f>
        <v>Venna Filosofia</v>
      </c>
      <c r="E20" s="1091"/>
      <c r="F20" s="1091"/>
    </row>
    <row r="21" spans="1:10" ht="14.5" x14ac:dyDescent="0.35">
      <c r="A21" s="1091" t="str">
        <f>"Lokasi "&amp;B50</f>
        <v>Lokasi Kalibrasi</v>
      </c>
      <c r="B21" s="1091"/>
      <c r="C21" s="301" t="s">
        <v>19</v>
      </c>
      <c r="D21" s="1102" t="str">
        <f>LH!E10</f>
        <v>Ruang EKG</v>
      </c>
      <c r="E21" s="1102"/>
      <c r="F21" s="1102"/>
      <c r="H21" s="318"/>
    </row>
    <row r="22" spans="1:10" ht="31.5" customHeight="1" x14ac:dyDescent="0.25">
      <c r="A22" s="1102" t="str">
        <f>"Hasil "&amp;B50</f>
        <v>Hasil Kalibrasi</v>
      </c>
      <c r="B22" s="1102"/>
      <c r="C22" s="319" t="s">
        <v>19</v>
      </c>
      <c r="D22" s="1104" t="str">
        <f>[4]LH!B54</f>
        <v>Alat yang dikalibrasi dalam batas toleransi dan dinyatakan LAIK PAKAI, dimana hasil atau skor akhir sama dengan atau melampaui 70 % berdasarkan Keputusan Direktur Jenderal Pelayanan Kesehatan No : HK.02.02/V/0412/2020</v>
      </c>
      <c r="E22" s="1104"/>
      <c r="F22" s="1104"/>
    </row>
    <row r="23" spans="1:10" ht="14" x14ac:dyDescent="0.25">
      <c r="A23" s="1091" t="s">
        <v>147</v>
      </c>
      <c r="B23" s="1091"/>
      <c r="C23" s="301" t="s">
        <v>19</v>
      </c>
      <c r="D23" s="1091" t="str">
        <f>D4</f>
        <v>MK 065 - 18</v>
      </c>
      <c r="E23" s="1091"/>
      <c r="F23" s="1091"/>
    </row>
    <row r="26" spans="1:10" ht="26.25" customHeight="1" x14ac:dyDescent="0.25">
      <c r="D26" s="320" t="s">
        <v>312</v>
      </c>
      <c r="E26" s="1106">
        <f ca="1">TODAY()</f>
        <v>45208</v>
      </c>
      <c r="F26" s="1106"/>
    </row>
    <row r="27" spans="1:10" ht="14" x14ac:dyDescent="0.25">
      <c r="D27" s="1091" t="s">
        <v>313</v>
      </c>
      <c r="E27" s="1091"/>
      <c r="F27" s="1091"/>
    </row>
    <row r="28" spans="1:10" ht="14" x14ac:dyDescent="0.25">
      <c r="D28" s="1091" t="s">
        <v>314</v>
      </c>
      <c r="E28" s="1091"/>
      <c r="F28" s="1091"/>
    </row>
    <row r="29" spans="1:10" ht="14" x14ac:dyDescent="0.25">
      <c r="D29" s="321"/>
      <c r="E29" s="321"/>
    </row>
    <row r="30" spans="1:10" ht="14" x14ac:dyDescent="0.25">
      <c r="D30" s="321"/>
      <c r="E30" s="321"/>
    </row>
    <row r="31" spans="1:10" ht="14" x14ac:dyDescent="0.25">
      <c r="D31" s="321"/>
      <c r="E31" s="321"/>
    </row>
    <row r="32" spans="1:10" ht="14" x14ac:dyDescent="0.25">
      <c r="D32" s="1091" t="s">
        <v>315</v>
      </c>
      <c r="E32" s="1091"/>
      <c r="F32" s="1091"/>
    </row>
    <row r="33" spans="1:6" ht="14" x14ac:dyDescent="0.25">
      <c r="D33" s="1105" t="s">
        <v>316</v>
      </c>
      <c r="E33" s="1105"/>
      <c r="F33" s="1105"/>
    </row>
    <row r="36" spans="1:6" ht="13" x14ac:dyDescent="0.25">
      <c r="A36" s="322"/>
      <c r="B36" s="322"/>
      <c r="C36" s="322"/>
      <c r="D36" s="322"/>
      <c r="E36" s="322"/>
      <c r="F36" s="322"/>
    </row>
    <row r="42" spans="1:6" ht="13" thickBot="1" x14ac:dyDescent="0.3"/>
    <row r="43" spans="1:6" ht="31.5" customHeight="1" x14ac:dyDescent="0.25">
      <c r="A43" s="491" t="s">
        <v>662</v>
      </c>
      <c r="B43" s="492" t="str">
        <f>F6</f>
        <v>E - 00.000 DL</v>
      </c>
    </row>
    <row r="44" spans="1:6" x14ac:dyDescent="0.25">
      <c r="A44" s="493"/>
      <c r="B44" s="494"/>
    </row>
    <row r="45" spans="1:6" ht="24" customHeight="1" x14ac:dyDescent="0.25">
      <c r="A45" s="495" t="s">
        <v>663</v>
      </c>
      <c r="B45" s="496" t="str">
        <f>ID!A1</f>
        <v>INPUT DATA KALIBRASI USG</v>
      </c>
    </row>
    <row r="46" spans="1:6" ht="39" customHeight="1" x14ac:dyDescent="0.25">
      <c r="A46" s="495" t="s">
        <v>664</v>
      </c>
      <c r="B46" s="497" t="str">
        <f>IF(B45="INPUT DATA KALIBRASI USG",B47,B48)</f>
        <v>SERTIFIKAT KALIBRASI</v>
      </c>
    </row>
    <row r="47" spans="1:6" ht="22.5" customHeight="1" x14ac:dyDescent="0.25">
      <c r="A47" s="495" t="s">
        <v>665</v>
      </c>
      <c r="B47" s="494" t="s">
        <v>297</v>
      </c>
    </row>
    <row r="48" spans="1:6" x14ac:dyDescent="0.25">
      <c r="A48" s="493"/>
      <c r="B48" s="494" t="s">
        <v>666</v>
      </c>
    </row>
    <row r="49" spans="1:2" x14ac:dyDescent="0.25">
      <c r="A49" s="493"/>
      <c r="B49" s="494"/>
    </row>
    <row r="50" spans="1:2" ht="48" customHeight="1" x14ac:dyDescent="0.25">
      <c r="A50" s="495" t="s">
        <v>667</v>
      </c>
      <c r="B50" s="494" t="str">
        <f>IF(RIGHT(A2,10)=" KALIBRASI","Kalibrasi","Pengujian")</f>
        <v>Kalibrasi</v>
      </c>
    </row>
    <row r="51" spans="1:2" x14ac:dyDescent="0.25">
      <c r="A51" s="493"/>
      <c r="B51" s="494"/>
    </row>
    <row r="52" spans="1:2" s="499" customFormat="1" ht="34.5" customHeight="1" x14ac:dyDescent="0.3">
      <c r="A52" s="495" t="s">
        <v>668</v>
      </c>
      <c r="B52" s="498" t="s">
        <v>311</v>
      </c>
    </row>
    <row r="53" spans="1:2" x14ac:dyDescent="0.25">
      <c r="A53" s="493"/>
      <c r="B53" s="494"/>
    </row>
    <row r="54" spans="1:2" ht="50.25" customHeight="1" x14ac:dyDescent="0.3">
      <c r="A54" s="500" t="s">
        <v>669</v>
      </c>
      <c r="B54" s="501" t="e">
        <f>DATE(YEAR(D19)+1,MONTH(D19),DAY(D19))</f>
        <v>#VALUE!</v>
      </c>
    </row>
    <row r="55" spans="1:2" ht="27" customHeight="1" x14ac:dyDescent="0.25">
      <c r="A55" s="495" t="s">
        <v>670</v>
      </c>
      <c r="B55" s="502" t="e">
        <f>TEXT(B54,"d mmmm yyyy")</f>
        <v>#VALUE!</v>
      </c>
    </row>
    <row r="56" spans="1:2" x14ac:dyDescent="0.25">
      <c r="A56" s="493"/>
      <c r="B56" s="494"/>
    </row>
    <row r="57" spans="1:2" ht="30" customHeight="1" x14ac:dyDescent="0.3">
      <c r="A57" s="500" t="s">
        <v>671</v>
      </c>
      <c r="B57" s="503" t="e">
        <f>IF(B46=B47,B58,B59)</f>
        <v>#VALUE!</v>
      </c>
    </row>
    <row r="58" spans="1:2" ht="14" x14ac:dyDescent="0.3">
      <c r="A58" s="493" t="s">
        <v>672</v>
      </c>
      <c r="B58" s="504" t="e">
        <f>CONCATENATE(B60,B55)</f>
        <v>#VALUE!</v>
      </c>
    </row>
    <row r="59" spans="1:2" ht="14" x14ac:dyDescent="0.3">
      <c r="A59" s="493"/>
      <c r="B59" s="504" t="e">
        <f>CONCATENATE(B61,B55)</f>
        <v>#VALUE!</v>
      </c>
    </row>
    <row r="60" spans="1:2" ht="42" customHeight="1" x14ac:dyDescent="0.3">
      <c r="A60" s="505" t="s">
        <v>665</v>
      </c>
      <c r="B60" s="504" t="s">
        <v>673</v>
      </c>
    </row>
    <row r="61" spans="1:2" ht="39.75" customHeight="1" thickBot="1" x14ac:dyDescent="0.35">
      <c r="A61" s="506"/>
      <c r="B61" s="507" t="s">
        <v>674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9EDDF08D-2F93-4EA8-BB58-BAE2BF0703D4}">
      <formula1>"SERTIFIKAT KALIBRASI,SERTIFIKAT PENGUJIAN"</formula1>
    </dataValidation>
    <dataValidation type="list" allowBlank="1" showInputMessage="1" showErrorMessage="1" sqref="J11" xr:uid="{CEF8475D-D4D3-40C1-BF90-985EAD1EF6A9}">
      <formula1>$M$2:$M$22</formula1>
    </dataValidation>
    <dataValidation type="list" allowBlank="1" showInputMessage="1" showErrorMessage="1" sqref="J12" xr:uid="{AC9934BA-A88F-468E-B74D-057EC36272AF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workbookViewId="0">
      <selection activeCell="C19" sqref="C19"/>
    </sheetView>
  </sheetViews>
  <sheetFormatPr defaultRowHeight="12.5" x14ac:dyDescent="0.25"/>
  <cols>
    <col min="2" max="2" width="20.1796875" customWidth="1"/>
    <col min="3" max="3" width="42.1796875" bestFit="1" customWidth="1"/>
    <col min="4" max="4" width="56.81640625" customWidth="1"/>
  </cols>
  <sheetData>
    <row r="2" spans="1:5" x14ac:dyDescent="0.25">
      <c r="A2" s="813" t="s">
        <v>98</v>
      </c>
      <c r="B2" s="813" t="s">
        <v>99</v>
      </c>
      <c r="C2" s="813" t="s">
        <v>100</v>
      </c>
      <c r="D2" s="813"/>
      <c r="E2" s="814" t="s">
        <v>101</v>
      </c>
    </row>
    <row r="3" spans="1:5" x14ac:dyDescent="0.25">
      <c r="A3" s="813"/>
      <c r="B3" s="813"/>
      <c r="C3" s="275" t="s">
        <v>12</v>
      </c>
      <c r="D3" s="275" t="s">
        <v>13</v>
      </c>
      <c r="E3" s="815"/>
    </row>
    <row r="4" spans="1:5" ht="14" x14ac:dyDescent="0.25">
      <c r="A4" s="275">
        <v>1</v>
      </c>
      <c r="B4" s="276">
        <v>44225</v>
      </c>
      <c r="C4" s="277" t="s">
        <v>102</v>
      </c>
      <c r="D4" s="278" t="s">
        <v>103</v>
      </c>
      <c r="E4" s="9"/>
    </row>
    <row r="5" spans="1:5" ht="15.5" x14ac:dyDescent="0.25">
      <c r="A5" s="275"/>
      <c r="B5" s="279"/>
      <c r="C5" s="280" t="s">
        <v>104</v>
      </c>
      <c r="D5" s="270" t="s">
        <v>105</v>
      </c>
      <c r="E5" s="9"/>
    </row>
    <row r="6" spans="1:5" ht="25" x14ac:dyDescent="0.25">
      <c r="A6" s="275"/>
      <c r="B6" s="279"/>
      <c r="C6" s="281" t="s">
        <v>102</v>
      </c>
      <c r="D6" s="282" t="s">
        <v>106</v>
      </c>
      <c r="E6" s="9"/>
    </row>
    <row r="7" spans="1:5" x14ac:dyDescent="0.25">
      <c r="A7" s="275"/>
      <c r="B7" s="279"/>
      <c r="C7" s="275" t="s">
        <v>107</v>
      </c>
      <c r="D7" s="275" t="s">
        <v>108</v>
      </c>
      <c r="E7" s="9"/>
    </row>
    <row r="8" spans="1:5" x14ac:dyDescent="0.25">
      <c r="A8" s="275">
        <v>2</v>
      </c>
      <c r="B8" s="279">
        <v>44301</v>
      </c>
      <c r="C8" s="275" t="s">
        <v>109</v>
      </c>
      <c r="D8" s="275" t="s">
        <v>110</v>
      </c>
      <c r="E8" s="9" t="s">
        <v>111</v>
      </c>
    </row>
    <row r="9" spans="1:5" x14ac:dyDescent="0.25">
      <c r="A9" s="275"/>
      <c r="B9" s="279"/>
      <c r="C9" s="275" t="s">
        <v>112</v>
      </c>
      <c r="D9" s="275" t="s">
        <v>110</v>
      </c>
      <c r="E9" s="9" t="s">
        <v>111</v>
      </c>
    </row>
    <row r="10" spans="1:5" x14ac:dyDescent="0.25">
      <c r="A10" s="275">
        <v>3</v>
      </c>
      <c r="B10" s="291" t="s">
        <v>113</v>
      </c>
      <c r="C10" s="275" t="s">
        <v>114</v>
      </c>
      <c r="D10" s="275" t="s">
        <v>110</v>
      </c>
      <c r="E10" s="9" t="s">
        <v>111</v>
      </c>
    </row>
    <row r="11" spans="1:5" x14ac:dyDescent="0.25">
      <c r="A11" s="275">
        <v>4</v>
      </c>
      <c r="B11" s="291" t="s">
        <v>113</v>
      </c>
      <c r="C11" s="275" t="s">
        <v>115</v>
      </c>
      <c r="D11" s="275" t="s">
        <v>110</v>
      </c>
      <c r="E11" s="9" t="s">
        <v>116</v>
      </c>
    </row>
    <row r="12" spans="1:5" ht="25" x14ac:dyDescent="0.25">
      <c r="A12" s="275">
        <v>5</v>
      </c>
      <c r="B12" s="279">
        <v>44349</v>
      </c>
      <c r="C12" s="282" t="s">
        <v>117</v>
      </c>
      <c r="D12" s="275" t="s">
        <v>110</v>
      </c>
      <c r="E12" s="9" t="s">
        <v>116</v>
      </c>
    </row>
    <row r="13" spans="1:5" x14ac:dyDescent="0.25">
      <c r="A13" s="275">
        <v>6</v>
      </c>
      <c r="B13" s="279" t="s">
        <v>118</v>
      </c>
      <c r="C13" s="275" t="s">
        <v>119</v>
      </c>
      <c r="D13" s="275" t="s">
        <v>110</v>
      </c>
      <c r="E13" s="9" t="s">
        <v>116</v>
      </c>
    </row>
    <row r="14" spans="1:5" x14ac:dyDescent="0.25">
      <c r="A14" s="275">
        <v>7</v>
      </c>
      <c r="B14" s="279">
        <v>44509</v>
      </c>
      <c r="C14" s="275" t="s">
        <v>120</v>
      </c>
      <c r="D14" s="275" t="s">
        <v>110</v>
      </c>
      <c r="E14" s="9" t="s">
        <v>116</v>
      </c>
    </row>
    <row r="15" spans="1:5" x14ac:dyDescent="0.25">
      <c r="A15" s="275">
        <v>8</v>
      </c>
      <c r="B15" s="279" t="s">
        <v>121</v>
      </c>
      <c r="C15" s="275" t="s">
        <v>122</v>
      </c>
      <c r="D15" s="275" t="s">
        <v>110</v>
      </c>
      <c r="E15" s="111" t="s">
        <v>123</v>
      </c>
    </row>
    <row r="16" spans="1:5" x14ac:dyDescent="0.25">
      <c r="A16" s="275">
        <v>9</v>
      </c>
      <c r="B16" s="279" t="s">
        <v>124</v>
      </c>
      <c r="C16" s="275" t="s">
        <v>125</v>
      </c>
      <c r="D16" s="275" t="s">
        <v>126</v>
      </c>
      <c r="E16" s="9" t="s">
        <v>116</v>
      </c>
    </row>
    <row r="17" spans="1:5" x14ac:dyDescent="0.25">
      <c r="A17" s="275">
        <v>10</v>
      </c>
      <c r="B17" s="291" t="s">
        <v>127</v>
      </c>
      <c r="C17" s="275" t="s">
        <v>128</v>
      </c>
      <c r="D17" s="275" t="s">
        <v>126</v>
      </c>
      <c r="E17" s="111" t="s">
        <v>116</v>
      </c>
    </row>
    <row r="18" spans="1:5" x14ac:dyDescent="0.25">
      <c r="A18" s="275">
        <v>11</v>
      </c>
      <c r="B18" s="279" t="s">
        <v>129</v>
      </c>
      <c r="C18" s="281" t="s">
        <v>130</v>
      </c>
      <c r="D18" s="275" t="s">
        <v>131</v>
      </c>
      <c r="E18" s="9" t="s">
        <v>132</v>
      </c>
    </row>
    <row r="19" spans="1:5" x14ac:dyDescent="0.25">
      <c r="A19" s="275"/>
      <c r="B19" s="279"/>
      <c r="C19" s="275"/>
      <c r="D19" s="275"/>
      <c r="E19" s="9"/>
    </row>
    <row r="100" spans="1:1" x14ac:dyDescent="0.25">
      <c r="A100" s="289" t="s">
        <v>133</v>
      </c>
    </row>
  </sheetData>
  <sheetProtection algorithmName="SHA-512" hashValue="T6YVJ/8kEvON2Ebb3tRBel/l+mzwCn4zuRsWU8QGpVcIWQJtM/hj8Tox1RT6Hj6E7YGQsFqkqHZwuqboR3LMcw==" saltValue="B9+u3uiJ5ncKC0o0CxY2Gw==" spinCount="100000" sheet="1" objects="1" scenarios="1"/>
  <mergeCells count="4">
    <mergeCell ref="A2:A3"/>
    <mergeCell ref="B2:B3"/>
    <mergeCell ref="C2:D2"/>
    <mergeCell ref="E2:E3"/>
  </mergeCells>
  <phoneticPr fontId="7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02A7-5677-48B4-B8DD-8856698C369C}">
  <sheetPr>
    <tabColor rgb="FF00B050"/>
  </sheetPr>
  <dimension ref="A1:AB311"/>
  <sheetViews>
    <sheetView topLeftCell="A263" zoomScaleNormal="100" workbookViewId="0">
      <selection activeCell="M273" sqref="M273"/>
    </sheetView>
  </sheetViews>
  <sheetFormatPr defaultColWidth="8.7265625" defaultRowHeight="12.5" x14ac:dyDescent="0.25"/>
  <cols>
    <col min="1" max="1" width="10.26953125" style="537" bestFit="1" customWidth="1"/>
    <col min="2" max="2" width="10.1796875" style="537" bestFit="1" customWidth="1"/>
    <col min="3" max="4" width="9.453125" style="537" bestFit="1" customWidth="1"/>
    <col min="5" max="5" width="9.26953125" style="537" bestFit="1" customWidth="1"/>
    <col min="6" max="6" width="9" style="537" bestFit="1" customWidth="1"/>
    <col min="7" max="7" width="9.26953125" style="537" bestFit="1" customWidth="1"/>
    <col min="8" max="9" width="8.7265625" style="537"/>
    <col min="10" max="10" width="10.1796875" style="537" bestFit="1" customWidth="1"/>
    <col min="11" max="11" width="9.7265625" style="537" bestFit="1" customWidth="1"/>
    <col min="12" max="12" width="8.54296875" style="537" customWidth="1"/>
    <col min="13" max="13" width="12.26953125" style="537" customWidth="1"/>
    <col min="14" max="14" width="11" style="537" customWidth="1"/>
    <col min="15" max="15" width="11.81640625" style="537" customWidth="1"/>
    <col min="16" max="16" width="8.7265625" style="537" customWidth="1"/>
    <col min="17" max="17" width="10.26953125" style="537" bestFit="1" customWidth="1"/>
    <col min="18" max="19" width="9.26953125" style="537" bestFit="1" customWidth="1"/>
    <col min="20" max="20" width="9.453125" style="537" bestFit="1" customWidth="1"/>
    <col min="21" max="21" width="9.26953125" style="537" bestFit="1" customWidth="1"/>
    <col min="22" max="16384" width="8.7265625" style="537"/>
  </cols>
  <sheetData>
    <row r="1" spans="1:24" ht="18" x14ac:dyDescent="0.25">
      <c r="A1" s="818" t="s">
        <v>529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819"/>
      <c r="P1" s="819"/>
      <c r="Q1" s="819"/>
      <c r="R1" s="819"/>
      <c r="S1" s="819"/>
      <c r="T1" s="819"/>
      <c r="U1" s="819"/>
      <c r="V1" s="537" t="s">
        <v>530</v>
      </c>
    </row>
    <row r="2" spans="1:24" ht="14.5" x14ac:dyDescent="0.25">
      <c r="A2" s="820" t="s">
        <v>169</v>
      </c>
      <c r="B2" s="821" t="s">
        <v>531</v>
      </c>
      <c r="C2" s="821"/>
      <c r="D2" s="821"/>
      <c r="E2" s="821"/>
      <c r="F2" s="821"/>
      <c r="G2" s="821"/>
      <c r="H2" s="822" t="s">
        <v>173</v>
      </c>
      <c r="I2" s="821" t="s">
        <v>532</v>
      </c>
      <c r="J2" s="821"/>
      <c r="K2" s="821"/>
      <c r="L2" s="821"/>
      <c r="M2" s="821"/>
      <c r="N2" s="821"/>
      <c r="O2" s="822" t="s">
        <v>174</v>
      </c>
      <c r="P2" s="821" t="s">
        <v>533</v>
      </c>
      <c r="Q2" s="821"/>
      <c r="R2" s="821"/>
      <c r="S2" s="821"/>
      <c r="T2" s="821"/>
      <c r="U2" s="821"/>
    </row>
    <row r="3" spans="1:24" ht="14" x14ac:dyDescent="0.3">
      <c r="A3" s="820"/>
      <c r="B3" s="823" t="s">
        <v>534</v>
      </c>
      <c r="C3" s="823"/>
      <c r="D3" s="823"/>
      <c r="E3" s="823"/>
      <c r="F3" s="823"/>
      <c r="G3" s="823"/>
      <c r="H3" s="822"/>
      <c r="I3" s="823" t="s">
        <v>534</v>
      </c>
      <c r="J3" s="823"/>
      <c r="K3" s="823"/>
      <c r="L3" s="823"/>
      <c r="M3" s="823"/>
      <c r="N3" s="823"/>
      <c r="O3" s="822"/>
      <c r="P3" s="824" t="s">
        <v>534</v>
      </c>
      <c r="Q3" s="824"/>
      <c r="R3" s="824"/>
      <c r="S3" s="824"/>
      <c r="T3" s="824"/>
      <c r="U3" s="824"/>
    </row>
    <row r="4" spans="1:24" ht="13" x14ac:dyDescent="0.25">
      <c r="A4" s="820"/>
      <c r="B4" s="817" t="s">
        <v>535</v>
      </c>
      <c r="C4" s="817"/>
      <c r="D4" s="817"/>
      <c r="E4" s="817"/>
      <c r="F4" s="817" t="s">
        <v>536</v>
      </c>
      <c r="G4" s="817" t="s">
        <v>537</v>
      </c>
      <c r="H4" s="822"/>
      <c r="I4" s="817" t="str">
        <f>B4</f>
        <v>Setting VAC</v>
      </c>
      <c r="J4" s="817"/>
      <c r="K4" s="817"/>
      <c r="L4" s="817"/>
      <c r="M4" s="817" t="s">
        <v>536</v>
      </c>
      <c r="N4" s="817" t="s">
        <v>537</v>
      </c>
      <c r="O4" s="822"/>
      <c r="P4" s="817" t="str">
        <f>B4</f>
        <v>Setting VAC</v>
      </c>
      <c r="Q4" s="817"/>
      <c r="R4" s="817"/>
      <c r="S4" s="817"/>
      <c r="T4" s="817" t="s">
        <v>536</v>
      </c>
      <c r="U4" s="817" t="s">
        <v>537</v>
      </c>
    </row>
    <row r="5" spans="1:24" ht="14" x14ac:dyDescent="0.25">
      <c r="A5" s="820"/>
      <c r="B5" s="583" t="s">
        <v>538</v>
      </c>
      <c r="C5" s="736">
        <v>2020</v>
      </c>
      <c r="D5" s="736">
        <v>2019</v>
      </c>
      <c r="E5" s="737" t="s">
        <v>102</v>
      </c>
      <c r="F5" s="817"/>
      <c r="G5" s="817"/>
      <c r="H5" s="822"/>
      <c r="I5" s="583" t="s">
        <v>538</v>
      </c>
      <c r="J5" s="736">
        <v>2019</v>
      </c>
      <c r="K5" s="737">
        <v>2017</v>
      </c>
      <c r="L5" s="737" t="s">
        <v>102</v>
      </c>
      <c r="M5" s="817"/>
      <c r="N5" s="817"/>
      <c r="O5" s="822"/>
      <c r="P5" s="583" t="s">
        <v>538</v>
      </c>
      <c r="Q5" s="736">
        <v>2022</v>
      </c>
      <c r="R5" s="736">
        <v>2021</v>
      </c>
      <c r="S5" s="736">
        <v>2018</v>
      </c>
      <c r="T5" s="817"/>
      <c r="U5" s="817"/>
      <c r="V5" s="594"/>
      <c r="W5" s="594"/>
      <c r="X5" s="546"/>
    </row>
    <row r="6" spans="1:24" x14ac:dyDescent="0.25">
      <c r="A6" s="820"/>
      <c r="B6" s="575">
        <v>150</v>
      </c>
      <c r="C6" s="743">
        <v>0.31</v>
      </c>
      <c r="D6" s="743">
        <v>0.76</v>
      </c>
      <c r="E6" s="744" t="s">
        <v>102</v>
      </c>
      <c r="F6" s="742">
        <f t="shared" ref="F6:F11" si="0">0.5*(MAX(C6:E6)-MIN(C6:E6))</f>
        <v>0.22500000000000001</v>
      </c>
      <c r="G6" s="575">
        <f t="shared" ref="G6:G11" si="1">(1.2/100)*B6</f>
        <v>1.8</v>
      </c>
      <c r="H6" s="822"/>
      <c r="I6" s="575">
        <v>150</v>
      </c>
      <c r="J6" s="744">
        <v>0.15</v>
      </c>
      <c r="K6" s="744">
        <v>0.23</v>
      </c>
      <c r="L6" s="744" t="s">
        <v>102</v>
      </c>
      <c r="M6" s="742">
        <f t="shared" ref="M6:M11" si="2">0.5*(MAX(J6:L6)-MIN(J6:L6))</f>
        <v>4.0000000000000008E-2</v>
      </c>
      <c r="N6" s="575">
        <f>(1.2/100)*I6</f>
        <v>1.8</v>
      </c>
      <c r="O6" s="822"/>
      <c r="P6" s="575">
        <v>150</v>
      </c>
      <c r="Q6" s="744">
        <v>-1.43</v>
      </c>
      <c r="R6" s="744">
        <v>-1.6</v>
      </c>
      <c r="S6" s="744">
        <v>-7.0000000000000007E-2</v>
      </c>
      <c r="T6" s="742">
        <f t="shared" ref="T6:T11" si="3">0.5*(MAX(Q6:S6)-MIN(Q6:S6))</f>
        <v>0.76500000000000001</v>
      </c>
      <c r="U6" s="575">
        <f t="shared" ref="U6:U11" si="4">(1.2/100)*P6</f>
        <v>1.8</v>
      </c>
      <c r="V6" s="564"/>
      <c r="W6" s="593"/>
      <c r="X6" s="546"/>
    </row>
    <row r="7" spans="1:24" x14ac:dyDescent="0.25">
      <c r="A7" s="820"/>
      <c r="B7" s="575">
        <v>180</v>
      </c>
      <c r="C7" s="743">
        <v>0.1</v>
      </c>
      <c r="D7" s="743">
        <v>-0.03</v>
      </c>
      <c r="E7" s="744" t="s">
        <v>102</v>
      </c>
      <c r="F7" s="742">
        <f t="shared" si="0"/>
        <v>6.5000000000000002E-2</v>
      </c>
      <c r="G7" s="575">
        <f t="shared" si="1"/>
        <v>2.16</v>
      </c>
      <c r="H7" s="822"/>
      <c r="I7" s="575">
        <v>180</v>
      </c>
      <c r="J7" s="744">
        <v>0.12</v>
      </c>
      <c r="K7" s="744">
        <v>-0.06</v>
      </c>
      <c r="L7" s="744" t="s">
        <v>102</v>
      </c>
      <c r="M7" s="742">
        <f t="shared" si="2"/>
        <v>0.09</v>
      </c>
      <c r="N7" s="575">
        <f>(1.2/100)*I7</f>
        <v>2.16</v>
      </c>
      <c r="O7" s="822"/>
      <c r="P7" s="575">
        <v>180</v>
      </c>
      <c r="Q7" s="744">
        <v>-1.81</v>
      </c>
      <c r="R7" s="744">
        <v>-1.9</v>
      </c>
      <c r="S7" s="744">
        <v>-0.13</v>
      </c>
      <c r="T7" s="742">
        <f t="shared" si="3"/>
        <v>0.88500000000000001</v>
      </c>
      <c r="U7" s="575">
        <f t="shared" si="4"/>
        <v>2.16</v>
      </c>
      <c r="V7" s="564"/>
      <c r="W7" s="593"/>
      <c r="X7" s="546"/>
    </row>
    <row r="8" spans="1:24" x14ac:dyDescent="0.25">
      <c r="A8" s="820"/>
      <c r="B8" s="575">
        <v>200</v>
      </c>
      <c r="C8" s="743">
        <v>-0.04</v>
      </c>
      <c r="D8" s="743">
        <v>-0.16</v>
      </c>
      <c r="E8" s="744" t="s">
        <v>102</v>
      </c>
      <c r="F8" s="742">
        <f t="shared" si="0"/>
        <v>0.06</v>
      </c>
      <c r="G8" s="575">
        <f t="shared" si="1"/>
        <v>2.4</v>
      </c>
      <c r="H8" s="822"/>
      <c r="I8" s="575">
        <v>200</v>
      </c>
      <c r="J8" s="744">
        <v>0.06</v>
      </c>
      <c r="K8" s="744">
        <v>-0.18</v>
      </c>
      <c r="L8" s="744" t="s">
        <v>102</v>
      </c>
      <c r="M8" s="742">
        <f t="shared" si="2"/>
        <v>0.12</v>
      </c>
      <c r="N8" s="575">
        <f>(1.2/100)*I8</f>
        <v>2.4</v>
      </c>
      <c r="O8" s="822"/>
      <c r="P8" s="575">
        <v>200</v>
      </c>
      <c r="Q8" s="744">
        <v>-2.0499999999999998</v>
      </c>
      <c r="R8" s="744">
        <v>-2.14</v>
      </c>
      <c r="S8" s="744">
        <v>-0.26</v>
      </c>
      <c r="T8" s="742">
        <f t="shared" si="3"/>
        <v>0.94000000000000006</v>
      </c>
      <c r="U8" s="575">
        <f t="shared" si="4"/>
        <v>2.4</v>
      </c>
      <c r="V8" s="564"/>
      <c r="W8" s="593"/>
      <c r="X8" s="546"/>
    </row>
    <row r="9" spans="1:24" x14ac:dyDescent="0.25">
      <c r="A9" s="820"/>
      <c r="B9" s="575">
        <v>220</v>
      </c>
      <c r="C9" s="743">
        <v>-0.28000000000000003</v>
      </c>
      <c r="D9" s="743">
        <v>-0.18</v>
      </c>
      <c r="E9" s="744" t="s">
        <v>102</v>
      </c>
      <c r="F9" s="742">
        <f t="shared" si="0"/>
        <v>5.0000000000000017E-2</v>
      </c>
      <c r="G9" s="575">
        <f t="shared" si="1"/>
        <v>2.64</v>
      </c>
      <c r="H9" s="822"/>
      <c r="I9" s="575">
        <v>220</v>
      </c>
      <c r="J9" s="744">
        <v>0.05</v>
      </c>
      <c r="K9" s="744">
        <v>-0.03</v>
      </c>
      <c r="L9" s="744" t="s">
        <v>102</v>
      </c>
      <c r="M9" s="742">
        <f t="shared" si="2"/>
        <v>0.04</v>
      </c>
      <c r="N9" s="575">
        <f>(1.2/100)*I9</f>
        <v>2.64</v>
      </c>
      <c r="O9" s="822"/>
      <c r="P9" s="575">
        <v>220</v>
      </c>
      <c r="Q9" s="744">
        <v>-2.29</v>
      </c>
      <c r="R9" s="744">
        <v>-3.44</v>
      </c>
      <c r="S9" s="744">
        <v>-0.28999999999999998</v>
      </c>
      <c r="T9" s="742">
        <f t="shared" si="3"/>
        <v>1.575</v>
      </c>
      <c r="U9" s="575">
        <f t="shared" si="4"/>
        <v>2.64</v>
      </c>
      <c r="V9" s="564"/>
      <c r="W9" s="593"/>
      <c r="X9" s="546"/>
    </row>
    <row r="10" spans="1:24" x14ac:dyDescent="0.25">
      <c r="A10" s="820"/>
      <c r="B10" s="575">
        <v>230</v>
      </c>
      <c r="C10" s="743">
        <v>-0.2</v>
      </c>
      <c r="D10" s="743">
        <v>-0.26</v>
      </c>
      <c r="E10" s="744" t="s">
        <v>102</v>
      </c>
      <c r="F10" s="742">
        <f t="shared" si="0"/>
        <v>0.03</v>
      </c>
      <c r="G10" s="575">
        <f t="shared" si="1"/>
        <v>2.7600000000000002</v>
      </c>
      <c r="H10" s="822"/>
      <c r="I10" s="575">
        <v>230</v>
      </c>
      <c r="J10" s="743">
        <v>9.9999999999999995E-7</v>
      </c>
      <c r="K10" s="743">
        <v>0.05</v>
      </c>
      <c r="L10" s="744" t="s">
        <v>102</v>
      </c>
      <c r="M10" s="742">
        <f t="shared" si="2"/>
        <v>2.4999500000000001E-2</v>
      </c>
      <c r="N10" s="575">
        <f>(1.2/100)*I10</f>
        <v>2.7600000000000002</v>
      </c>
      <c r="O10" s="822"/>
      <c r="P10" s="575">
        <v>230</v>
      </c>
      <c r="Q10" s="744">
        <v>-11.79</v>
      </c>
      <c r="R10" s="744">
        <v>-2.52</v>
      </c>
      <c r="S10" s="744">
        <v>-0.23</v>
      </c>
      <c r="T10" s="742">
        <f t="shared" si="3"/>
        <v>5.7799999999999994</v>
      </c>
      <c r="U10" s="575">
        <f t="shared" si="4"/>
        <v>2.7600000000000002</v>
      </c>
      <c r="V10" s="564"/>
      <c r="W10" s="593"/>
      <c r="X10" s="546"/>
    </row>
    <row r="11" spans="1:24" x14ac:dyDescent="0.25">
      <c r="A11" s="820"/>
      <c r="B11" s="575">
        <v>250</v>
      </c>
      <c r="C11" s="743">
        <v>-0.32</v>
      </c>
      <c r="D11" s="743">
        <v>9.9999999999999995E-7</v>
      </c>
      <c r="E11" s="744" t="s">
        <v>102</v>
      </c>
      <c r="F11" s="742">
        <f t="shared" si="0"/>
        <v>0.16000049999999999</v>
      </c>
      <c r="G11" s="575">
        <f t="shared" si="1"/>
        <v>3</v>
      </c>
      <c r="H11" s="822"/>
      <c r="I11" s="575">
        <v>250</v>
      </c>
      <c r="J11" s="743">
        <v>9.9999999999999995E-7</v>
      </c>
      <c r="K11" s="743">
        <v>9.9999999999999995E-7</v>
      </c>
      <c r="L11" s="744" t="s">
        <v>102</v>
      </c>
      <c r="M11" s="742">
        <f t="shared" si="2"/>
        <v>0</v>
      </c>
      <c r="N11" s="575">
        <v>2.76</v>
      </c>
      <c r="O11" s="822"/>
      <c r="P11" s="575">
        <v>250</v>
      </c>
      <c r="Q11" s="744">
        <v>9.9999999999999995E-7</v>
      </c>
      <c r="R11" s="744">
        <v>9.9999999999999995E-7</v>
      </c>
      <c r="S11" s="744">
        <v>9.9999999999999995E-7</v>
      </c>
      <c r="T11" s="742">
        <f t="shared" si="3"/>
        <v>0</v>
      </c>
      <c r="U11" s="575">
        <f t="shared" si="4"/>
        <v>3</v>
      </c>
      <c r="V11" s="564"/>
      <c r="W11" s="593"/>
      <c r="X11" s="546"/>
    </row>
    <row r="12" spans="1:24" ht="13.15" customHeight="1" x14ac:dyDescent="0.25">
      <c r="A12" s="820"/>
      <c r="B12" s="816" t="s">
        <v>539</v>
      </c>
      <c r="C12" s="816"/>
      <c r="D12" s="816"/>
      <c r="E12" s="816"/>
      <c r="F12" s="817" t="s">
        <v>536</v>
      </c>
      <c r="G12" s="817" t="s">
        <v>537</v>
      </c>
      <c r="H12" s="822"/>
      <c r="I12" s="816" t="str">
        <f>B12</f>
        <v>Current Leakage</v>
      </c>
      <c r="J12" s="816"/>
      <c r="K12" s="816"/>
      <c r="L12" s="816"/>
      <c r="M12" s="817" t="s">
        <v>536</v>
      </c>
      <c r="N12" s="817" t="s">
        <v>537</v>
      </c>
      <c r="O12" s="822"/>
      <c r="P12" s="816" t="str">
        <f>B12</f>
        <v>Current Leakage</v>
      </c>
      <c r="Q12" s="816"/>
      <c r="R12" s="816"/>
      <c r="S12" s="816"/>
      <c r="T12" s="817" t="s">
        <v>536</v>
      </c>
      <c r="U12" s="817" t="s">
        <v>537</v>
      </c>
      <c r="V12" s="546"/>
      <c r="W12" s="546"/>
      <c r="X12" s="546"/>
    </row>
    <row r="13" spans="1:24" ht="14" x14ac:dyDescent="0.25">
      <c r="A13" s="820"/>
      <c r="B13" s="583" t="s">
        <v>540</v>
      </c>
      <c r="C13" s="736">
        <f>C5</f>
        <v>2020</v>
      </c>
      <c r="D13" s="736">
        <f>D5</f>
        <v>2019</v>
      </c>
      <c r="E13" s="582" t="str">
        <f>E5</f>
        <v>-</v>
      </c>
      <c r="F13" s="817"/>
      <c r="G13" s="817"/>
      <c r="H13" s="822"/>
      <c r="I13" s="583" t="s">
        <v>540</v>
      </c>
      <c r="J13" s="736">
        <f>J5</f>
        <v>2019</v>
      </c>
      <c r="K13" s="736">
        <f>K5</f>
        <v>2017</v>
      </c>
      <c r="L13" s="736" t="str">
        <f>L5</f>
        <v>-</v>
      </c>
      <c r="M13" s="817"/>
      <c r="N13" s="817"/>
      <c r="O13" s="822"/>
      <c r="P13" s="583" t="s">
        <v>540</v>
      </c>
      <c r="Q13" s="736">
        <f>Q5</f>
        <v>2022</v>
      </c>
      <c r="R13" s="736">
        <f>R5</f>
        <v>2021</v>
      </c>
      <c r="S13" s="736">
        <f>S5</f>
        <v>2018</v>
      </c>
      <c r="T13" s="817"/>
      <c r="U13" s="817"/>
      <c r="V13" s="546"/>
      <c r="W13" s="546"/>
      <c r="X13" s="546"/>
    </row>
    <row r="14" spans="1:24" x14ac:dyDescent="0.25">
      <c r="A14" s="820"/>
      <c r="B14" s="575">
        <v>0</v>
      </c>
      <c r="C14" s="743">
        <v>9.9999999999999995E-7</v>
      </c>
      <c r="D14" s="743">
        <v>9.9999999999999995E-7</v>
      </c>
      <c r="E14" s="744" t="s">
        <v>102</v>
      </c>
      <c r="F14" s="742">
        <f t="shared" ref="F14:F19" si="5">0.5*(MAX(C14:E14)-MIN(C14:E14))</f>
        <v>0</v>
      </c>
      <c r="G14" s="575">
        <v>0.3</v>
      </c>
      <c r="H14" s="822"/>
      <c r="I14" s="575">
        <v>0</v>
      </c>
      <c r="J14" s="743">
        <v>9.9999999999999995E-7</v>
      </c>
      <c r="K14" s="743">
        <v>9.9999999999999995E-7</v>
      </c>
      <c r="L14" s="744" t="s">
        <v>102</v>
      </c>
      <c r="M14" s="742">
        <f t="shared" ref="M14:M19" si="6">0.5*(MAX(J14:L14)-MIN(J14:L14))</f>
        <v>0</v>
      </c>
      <c r="N14" s="575">
        <v>0.3</v>
      </c>
      <c r="O14" s="822"/>
      <c r="P14" s="575">
        <v>9.9999999999999995E-7</v>
      </c>
      <c r="Q14" s="743">
        <v>9.9999999999999995E-7</v>
      </c>
      <c r="R14" s="743">
        <v>9.9999999999999995E-7</v>
      </c>
      <c r="S14" s="743">
        <v>9.9999999999999995E-7</v>
      </c>
      <c r="T14" s="742">
        <f t="shared" ref="T14:T19" si="7">0.5*(MAX(Q14:S14)-MIN(Q14:S14))</f>
        <v>0</v>
      </c>
      <c r="U14" s="575">
        <f t="shared" ref="U14:U19" si="8">(0.59/100)*P14</f>
        <v>5.8999999999999999E-9</v>
      </c>
      <c r="V14" s="546"/>
      <c r="W14" s="546"/>
      <c r="X14" s="546"/>
    </row>
    <row r="15" spans="1:24" x14ac:dyDescent="0.25">
      <c r="A15" s="820"/>
      <c r="B15" s="575">
        <v>50</v>
      </c>
      <c r="C15" s="743">
        <v>0.1</v>
      </c>
      <c r="D15" s="743">
        <v>-0.06</v>
      </c>
      <c r="E15" s="744" t="s">
        <v>102</v>
      </c>
      <c r="F15" s="742">
        <f t="shared" si="5"/>
        <v>0.08</v>
      </c>
      <c r="G15" s="575">
        <f>(0.59/100)*B15</f>
        <v>0.29499999999999998</v>
      </c>
      <c r="H15" s="822"/>
      <c r="I15" s="575">
        <v>50</v>
      </c>
      <c r="J15" s="744">
        <v>-0.08</v>
      </c>
      <c r="K15" s="744">
        <v>0.1</v>
      </c>
      <c r="L15" s="744" t="s">
        <v>102</v>
      </c>
      <c r="M15" s="742">
        <f t="shared" si="6"/>
        <v>0.09</v>
      </c>
      <c r="N15" s="575">
        <f>(0.59/100)*I15</f>
        <v>0.29499999999999998</v>
      </c>
      <c r="O15" s="822"/>
      <c r="P15" s="575">
        <v>50</v>
      </c>
      <c r="Q15" s="744">
        <v>9.1</v>
      </c>
      <c r="R15" s="744">
        <v>-0.62</v>
      </c>
      <c r="S15" s="744">
        <v>2</v>
      </c>
      <c r="T15" s="742">
        <f t="shared" si="7"/>
        <v>4.8599999999999994</v>
      </c>
      <c r="U15" s="575">
        <f t="shared" si="8"/>
        <v>0.29499999999999998</v>
      </c>
      <c r="V15" s="546"/>
      <c r="W15" s="546"/>
      <c r="X15" s="546"/>
    </row>
    <row r="16" spans="1:24" x14ac:dyDescent="0.25">
      <c r="A16" s="820"/>
      <c r="B16" s="575">
        <v>100</v>
      </c>
      <c r="C16" s="743">
        <v>0.2</v>
      </c>
      <c r="D16" s="743">
        <v>-0.06</v>
      </c>
      <c r="E16" s="744" t="s">
        <v>102</v>
      </c>
      <c r="F16" s="742">
        <f t="shared" si="5"/>
        <v>0.13</v>
      </c>
      <c r="G16" s="575">
        <f>(0.59/100)*B16</f>
        <v>0.59</v>
      </c>
      <c r="H16" s="822"/>
      <c r="I16" s="575">
        <v>100</v>
      </c>
      <c r="J16" s="743">
        <v>-7.0000000000000007E-2</v>
      </c>
      <c r="K16" s="743">
        <v>2.2000000000000002</v>
      </c>
      <c r="L16" s="744" t="s">
        <v>102</v>
      </c>
      <c r="M16" s="742">
        <f t="shared" si="6"/>
        <v>1.135</v>
      </c>
      <c r="N16" s="575">
        <f>(0.59/100)*I16</f>
        <v>0.59</v>
      </c>
      <c r="O16" s="822"/>
      <c r="P16" s="575">
        <v>100</v>
      </c>
      <c r="Q16" s="744">
        <v>6</v>
      </c>
      <c r="R16" s="744">
        <v>-0.22</v>
      </c>
      <c r="S16" s="744">
        <v>2</v>
      </c>
      <c r="T16" s="742">
        <f t="shared" si="7"/>
        <v>3.11</v>
      </c>
      <c r="U16" s="575">
        <f t="shared" si="8"/>
        <v>0.59</v>
      </c>
      <c r="V16" s="546"/>
      <c r="W16" s="546"/>
      <c r="X16" s="546"/>
    </row>
    <row r="17" spans="1:28" x14ac:dyDescent="0.25">
      <c r="A17" s="820"/>
      <c r="B17" s="575">
        <v>200</v>
      </c>
      <c r="C17" s="743">
        <v>0.4</v>
      </c>
      <c r="D17" s="743">
        <v>9.9999999999999995E-7</v>
      </c>
      <c r="E17" s="744" t="s">
        <v>102</v>
      </c>
      <c r="F17" s="742">
        <f t="shared" si="5"/>
        <v>0.19999950000000002</v>
      </c>
      <c r="G17" s="575">
        <f>(0.59/100)*B17</f>
        <v>1.18</v>
      </c>
      <c r="H17" s="822"/>
      <c r="I17" s="575">
        <v>200</v>
      </c>
      <c r="J17" s="744">
        <v>-0.1</v>
      </c>
      <c r="K17" s="744">
        <v>3.3</v>
      </c>
      <c r="L17" s="744" t="s">
        <v>102</v>
      </c>
      <c r="M17" s="742">
        <f t="shared" si="6"/>
        <v>1.7</v>
      </c>
      <c r="N17" s="575">
        <f>(0.59/100)*I17</f>
        <v>1.18</v>
      </c>
      <c r="O17" s="822"/>
      <c r="P17" s="575">
        <v>200</v>
      </c>
      <c r="Q17" s="744">
        <v>-3.6</v>
      </c>
      <c r="R17" s="744">
        <v>-0.1</v>
      </c>
      <c r="S17" s="744">
        <v>3.6</v>
      </c>
      <c r="T17" s="742">
        <f t="shared" si="7"/>
        <v>3.6</v>
      </c>
      <c r="U17" s="575">
        <f t="shared" si="8"/>
        <v>1.18</v>
      </c>
      <c r="V17" s="546"/>
      <c r="W17" s="546"/>
      <c r="X17" s="546"/>
    </row>
    <row r="18" spans="1:28" ht="13" x14ac:dyDescent="0.3">
      <c r="A18" s="820"/>
      <c r="B18" s="575">
        <v>500</v>
      </c>
      <c r="C18" s="743">
        <v>3.8</v>
      </c>
      <c r="D18" s="743">
        <v>-0.9</v>
      </c>
      <c r="E18" s="744" t="s">
        <v>102</v>
      </c>
      <c r="F18" s="742">
        <f t="shared" si="5"/>
        <v>2.35</v>
      </c>
      <c r="G18" s="575">
        <f>(0.59/100)*B18</f>
        <v>2.9499999999999997</v>
      </c>
      <c r="H18" s="822"/>
      <c r="I18" s="575">
        <v>500</v>
      </c>
      <c r="J18" s="744">
        <v>0.8</v>
      </c>
      <c r="K18" s="744">
        <v>2</v>
      </c>
      <c r="L18" s="744" t="s">
        <v>102</v>
      </c>
      <c r="M18" s="742">
        <f t="shared" si="6"/>
        <v>0.6</v>
      </c>
      <c r="N18" s="575">
        <f>(0.59/100)*I18</f>
        <v>2.9499999999999997</v>
      </c>
      <c r="O18" s="822"/>
      <c r="P18" s="575">
        <v>500</v>
      </c>
      <c r="Q18" s="744">
        <v>-18.8</v>
      </c>
      <c r="R18" s="744">
        <v>-1.1000000000000001</v>
      </c>
      <c r="S18" s="744">
        <v>2.9</v>
      </c>
      <c r="T18" s="742">
        <f t="shared" si="7"/>
        <v>10.85</v>
      </c>
      <c r="U18" s="575">
        <f t="shared" si="8"/>
        <v>2.9499999999999997</v>
      </c>
      <c r="V18" s="546"/>
      <c r="W18" s="546"/>
      <c r="X18" s="546"/>
      <c r="AB18" s="596"/>
    </row>
    <row r="19" spans="1:28" x14ac:dyDescent="0.25">
      <c r="A19" s="820"/>
      <c r="B19" s="575">
        <v>1000</v>
      </c>
      <c r="C19" s="743">
        <v>9.9999999999999995E-7</v>
      </c>
      <c r="D19" s="743">
        <v>9.9999999999999995E-7</v>
      </c>
      <c r="E19" s="744" t="s">
        <v>102</v>
      </c>
      <c r="F19" s="742">
        <f t="shared" si="5"/>
        <v>0</v>
      </c>
      <c r="G19" s="575">
        <v>2.95</v>
      </c>
      <c r="H19" s="822"/>
      <c r="I19" s="575">
        <v>1000</v>
      </c>
      <c r="J19" s="743">
        <v>9.9999999999999995E-7</v>
      </c>
      <c r="K19" s="743">
        <v>9.9999999999999995E-7</v>
      </c>
      <c r="L19" s="744" t="s">
        <v>102</v>
      </c>
      <c r="M19" s="742">
        <f t="shared" si="6"/>
        <v>0</v>
      </c>
      <c r="N19" s="575">
        <v>2.95</v>
      </c>
      <c r="O19" s="822"/>
      <c r="P19" s="575">
        <v>1000</v>
      </c>
      <c r="Q19" s="744">
        <v>-47</v>
      </c>
      <c r="R19" s="744">
        <v>3</v>
      </c>
      <c r="S19" s="744">
        <v>3</v>
      </c>
      <c r="T19" s="742">
        <f t="shared" si="7"/>
        <v>25</v>
      </c>
      <c r="U19" s="575">
        <f t="shared" si="8"/>
        <v>5.8999999999999995</v>
      </c>
      <c r="V19" s="546"/>
      <c r="W19" s="546"/>
      <c r="X19" s="546"/>
    </row>
    <row r="20" spans="1:28" ht="13" x14ac:dyDescent="0.25">
      <c r="A20" s="820"/>
      <c r="B20" s="816" t="s">
        <v>541</v>
      </c>
      <c r="C20" s="816"/>
      <c r="D20" s="816"/>
      <c r="E20" s="816"/>
      <c r="F20" s="817" t="s">
        <v>536</v>
      </c>
      <c r="G20" s="817" t="s">
        <v>537</v>
      </c>
      <c r="H20" s="822"/>
      <c r="I20" s="816" t="str">
        <f>B20</f>
        <v>Main-PE</v>
      </c>
      <c r="J20" s="816"/>
      <c r="K20" s="816"/>
      <c r="L20" s="816"/>
      <c r="M20" s="817" t="s">
        <v>536</v>
      </c>
      <c r="N20" s="817" t="s">
        <v>537</v>
      </c>
      <c r="O20" s="822"/>
      <c r="P20" s="816" t="str">
        <f>B20</f>
        <v>Main-PE</v>
      </c>
      <c r="Q20" s="816"/>
      <c r="R20" s="816"/>
      <c r="S20" s="816"/>
      <c r="T20" s="817" t="s">
        <v>536</v>
      </c>
      <c r="U20" s="817" t="s">
        <v>537</v>
      </c>
      <c r="V20" s="546"/>
      <c r="W20" s="546"/>
      <c r="X20" s="546"/>
    </row>
    <row r="21" spans="1:28" ht="14.5" x14ac:dyDescent="0.25">
      <c r="A21" s="820"/>
      <c r="B21" s="583" t="s">
        <v>685</v>
      </c>
      <c r="C21" s="736">
        <f>C5</f>
        <v>2020</v>
      </c>
      <c r="D21" s="736">
        <f>D5</f>
        <v>2019</v>
      </c>
      <c r="E21" s="582" t="str">
        <f>E5</f>
        <v>-</v>
      </c>
      <c r="F21" s="817"/>
      <c r="G21" s="817"/>
      <c r="H21" s="822"/>
      <c r="I21" s="583" t="s">
        <v>685</v>
      </c>
      <c r="J21" s="736">
        <f>J5</f>
        <v>2019</v>
      </c>
      <c r="K21" s="736">
        <f>K5</f>
        <v>2017</v>
      </c>
      <c r="L21" s="736" t="str">
        <f>L5</f>
        <v>-</v>
      </c>
      <c r="M21" s="817"/>
      <c r="N21" s="817"/>
      <c r="O21" s="822"/>
      <c r="P21" s="583" t="s">
        <v>685</v>
      </c>
      <c r="Q21" s="736">
        <f>Q5</f>
        <v>2022</v>
      </c>
      <c r="R21" s="736">
        <f>R5</f>
        <v>2021</v>
      </c>
      <c r="S21" s="736">
        <f>S5</f>
        <v>2018</v>
      </c>
      <c r="T21" s="817"/>
      <c r="U21" s="817"/>
      <c r="V21" s="546"/>
      <c r="W21" s="546"/>
      <c r="X21" s="546"/>
    </row>
    <row r="22" spans="1:28" x14ac:dyDescent="0.25">
      <c r="A22" s="820"/>
      <c r="B22" s="575">
        <v>10</v>
      </c>
      <c r="C22" s="743">
        <v>-1E-3</v>
      </c>
      <c r="D22" s="743">
        <v>9.9999999999999995E-7</v>
      </c>
      <c r="E22" s="744" t="s">
        <v>102</v>
      </c>
      <c r="F22" s="742">
        <f>0.5*(MAX(C22:E22)-MIN(C22:E22))</f>
        <v>5.0049999999999997E-4</v>
      </c>
      <c r="G22" s="575">
        <v>0</v>
      </c>
      <c r="H22" s="822"/>
      <c r="I22" s="575">
        <v>10</v>
      </c>
      <c r="J22" s="743">
        <v>0.1</v>
      </c>
      <c r="K22" s="743">
        <v>9.9999999999999995E-7</v>
      </c>
      <c r="L22" s="744" t="s">
        <v>102</v>
      </c>
      <c r="M22" s="742">
        <f>0.5*(MAX(J22:L22)-MIN(J22:L22))</f>
        <v>4.9999500000000002E-2</v>
      </c>
      <c r="N22" s="575">
        <f>(0.59/100)*I22</f>
        <v>5.8999999999999997E-2</v>
      </c>
      <c r="O22" s="822"/>
      <c r="P22" s="575">
        <v>5</v>
      </c>
      <c r="Q22" s="744">
        <v>9.9999999999999995E-7</v>
      </c>
      <c r="R22" s="744">
        <v>9.9999999999999995E-7</v>
      </c>
      <c r="S22" s="744">
        <v>9.9999999999999995E-7</v>
      </c>
      <c r="T22" s="742">
        <f>0.5*(MAX(Q22:S22)-MIN(Q22:S22))</f>
        <v>0</v>
      </c>
      <c r="U22" s="575">
        <f>(1.7/100)*P22</f>
        <v>8.5000000000000006E-2</v>
      </c>
      <c r="V22" s="546"/>
      <c r="W22" s="546"/>
      <c r="X22" s="546"/>
    </row>
    <row r="23" spans="1:28" x14ac:dyDescent="0.25">
      <c r="A23" s="820"/>
      <c r="B23" s="575">
        <v>20</v>
      </c>
      <c r="C23" s="743">
        <v>9.9999999999999995E-7</v>
      </c>
      <c r="D23" s="743">
        <v>9.9999999999999995E-7</v>
      </c>
      <c r="E23" s="744" t="s">
        <v>102</v>
      </c>
      <c r="F23" s="742">
        <f>0.5*(MAX(C23:E23)-MIN(C23:E23))</f>
        <v>0</v>
      </c>
      <c r="G23" s="575">
        <v>0</v>
      </c>
      <c r="H23" s="822"/>
      <c r="I23" s="575">
        <v>20</v>
      </c>
      <c r="J23" s="743">
        <v>0.2</v>
      </c>
      <c r="K23" s="743">
        <v>0.1</v>
      </c>
      <c r="L23" s="744" t="s">
        <v>102</v>
      </c>
      <c r="M23" s="742">
        <f>0.5*(MAX(J23:L23)-MIN(J23:L23))</f>
        <v>0.05</v>
      </c>
      <c r="N23" s="575">
        <f>(0.59/100)*I23</f>
        <v>0.11799999999999999</v>
      </c>
      <c r="O23" s="822"/>
      <c r="P23" s="575">
        <v>10</v>
      </c>
      <c r="Q23" s="744">
        <v>9.9999999999999995E-7</v>
      </c>
      <c r="R23" s="744">
        <v>9.9999999999999995E-7</v>
      </c>
      <c r="S23" s="744">
        <v>9.9999999999999995E-7</v>
      </c>
      <c r="T23" s="742">
        <f>0.5*(MAX(Q23:S23)-MIN(Q23:S23))</f>
        <v>0</v>
      </c>
      <c r="U23" s="575">
        <f>(1.7/100)*P23</f>
        <v>0.17</v>
      </c>
      <c r="V23" s="546"/>
      <c r="W23" s="546"/>
      <c r="X23" s="546"/>
    </row>
    <row r="24" spans="1:28" x14ac:dyDescent="0.25">
      <c r="A24" s="820"/>
      <c r="B24" s="575">
        <v>50</v>
      </c>
      <c r="C24" s="743">
        <v>9.9999999999999995E-7</v>
      </c>
      <c r="D24" s="743">
        <v>9.9999999999999995E-7</v>
      </c>
      <c r="E24" s="744" t="s">
        <v>102</v>
      </c>
      <c r="F24" s="742">
        <f>0.5*(MAX(C24:E24)-MIN(C24:E24))</f>
        <v>0</v>
      </c>
      <c r="G24" s="575">
        <v>0</v>
      </c>
      <c r="H24" s="822"/>
      <c r="I24" s="575">
        <v>50</v>
      </c>
      <c r="J24" s="743">
        <v>0.3</v>
      </c>
      <c r="K24" s="743">
        <v>0.1</v>
      </c>
      <c r="L24" s="744" t="s">
        <v>102</v>
      </c>
      <c r="M24" s="742">
        <f>0.5*(MAX(J24:L24)-MIN(J24:L24))</f>
        <v>9.9999999999999992E-2</v>
      </c>
      <c r="N24" s="575">
        <f>(0.59/100)*I24</f>
        <v>0.29499999999999998</v>
      </c>
      <c r="O24" s="822"/>
      <c r="P24" s="575">
        <v>20</v>
      </c>
      <c r="Q24" s="744">
        <v>9.9999999999999995E-7</v>
      </c>
      <c r="R24" s="744">
        <v>0.4</v>
      </c>
      <c r="S24" s="744">
        <v>0.3</v>
      </c>
      <c r="T24" s="742">
        <f>0.5*(MAX(Q24:S24)-MIN(Q24:S24))</f>
        <v>0.19999950000000002</v>
      </c>
      <c r="U24" s="575">
        <f>(1.7/100)*P24</f>
        <v>0.34</v>
      </c>
      <c r="V24" s="546"/>
      <c r="W24" s="546"/>
      <c r="X24" s="546"/>
    </row>
    <row r="25" spans="1:28" x14ac:dyDescent="0.25">
      <c r="A25" s="820"/>
      <c r="B25" s="575">
        <v>100</v>
      </c>
      <c r="C25" s="743">
        <v>9.9999999999999995E-7</v>
      </c>
      <c r="D25" s="743">
        <v>9.9999999999999995E-7</v>
      </c>
      <c r="E25" s="744" t="s">
        <v>102</v>
      </c>
      <c r="F25" s="742">
        <f>0.5*(MAX(C25:E25)-MIN(C25:E25))</f>
        <v>0</v>
      </c>
      <c r="G25" s="575">
        <v>0</v>
      </c>
      <c r="H25" s="822"/>
      <c r="I25" s="575">
        <v>100</v>
      </c>
      <c r="J25" s="743">
        <v>0.3</v>
      </c>
      <c r="K25" s="743">
        <v>9.9999999999999995E-7</v>
      </c>
      <c r="L25" s="744" t="s">
        <v>102</v>
      </c>
      <c r="M25" s="742">
        <f>0.5*(MAX(J25:L25)-MIN(J25:L25))</f>
        <v>0.14999950000000001</v>
      </c>
      <c r="N25" s="575">
        <f>(0.59/100)*I25</f>
        <v>0.59</v>
      </c>
      <c r="O25" s="822"/>
      <c r="P25" s="575">
        <v>50</v>
      </c>
      <c r="Q25" s="744">
        <v>0.1</v>
      </c>
      <c r="R25" s="744">
        <v>1.1000000000000001</v>
      </c>
      <c r="S25" s="744">
        <v>0.6</v>
      </c>
      <c r="T25" s="742">
        <f>0.5*(MAX(Q25:S25)-MIN(Q25:S25))</f>
        <v>0.5</v>
      </c>
      <c r="U25" s="575">
        <f>(1.7/100)*P25</f>
        <v>0.85000000000000009</v>
      </c>
      <c r="V25" s="546"/>
      <c r="W25" s="546"/>
      <c r="X25" s="546"/>
    </row>
    <row r="26" spans="1:28" ht="13.15" customHeight="1" x14ac:dyDescent="0.25">
      <c r="A26" s="820"/>
      <c r="B26" s="816" t="s">
        <v>542</v>
      </c>
      <c r="C26" s="816"/>
      <c r="D26" s="816"/>
      <c r="E26" s="816"/>
      <c r="F26" s="817" t="s">
        <v>536</v>
      </c>
      <c r="G26" s="817" t="s">
        <v>537</v>
      </c>
      <c r="H26" s="822"/>
      <c r="I26" s="816" t="str">
        <f>B26</f>
        <v>Resistance</v>
      </c>
      <c r="J26" s="816"/>
      <c r="K26" s="816"/>
      <c r="L26" s="816"/>
      <c r="M26" s="817" t="s">
        <v>536</v>
      </c>
      <c r="N26" s="817" t="s">
        <v>537</v>
      </c>
      <c r="O26" s="822"/>
      <c r="P26" s="816" t="str">
        <f>B26</f>
        <v>Resistance</v>
      </c>
      <c r="Q26" s="816"/>
      <c r="R26" s="816"/>
      <c r="S26" s="816"/>
      <c r="T26" s="817" t="s">
        <v>536</v>
      </c>
      <c r="U26" s="817" t="s">
        <v>537</v>
      </c>
      <c r="V26" s="546"/>
      <c r="W26" s="747"/>
      <c r="X26" s="546"/>
    </row>
    <row r="27" spans="1:28" ht="14.5" x14ac:dyDescent="0.25">
      <c r="A27" s="820"/>
      <c r="B27" s="583" t="s">
        <v>684</v>
      </c>
      <c r="C27" s="736">
        <f>C5</f>
        <v>2020</v>
      </c>
      <c r="D27" s="736">
        <f>D5</f>
        <v>2019</v>
      </c>
      <c r="E27" s="582" t="str">
        <f>E5</f>
        <v>-</v>
      </c>
      <c r="F27" s="817"/>
      <c r="G27" s="817"/>
      <c r="H27" s="822"/>
      <c r="I27" s="583" t="s">
        <v>684</v>
      </c>
      <c r="J27" s="736">
        <f>J5</f>
        <v>2019</v>
      </c>
      <c r="K27" s="736">
        <f>K5</f>
        <v>2017</v>
      </c>
      <c r="L27" s="736" t="str">
        <f>L5</f>
        <v>-</v>
      </c>
      <c r="M27" s="817"/>
      <c r="N27" s="817"/>
      <c r="O27" s="822"/>
      <c r="P27" s="583" t="s">
        <v>684</v>
      </c>
      <c r="Q27" s="736">
        <f>Q5</f>
        <v>2022</v>
      </c>
      <c r="R27" s="736">
        <f>R5</f>
        <v>2021</v>
      </c>
      <c r="S27" s="736">
        <f>S5</f>
        <v>2018</v>
      </c>
      <c r="T27" s="817"/>
      <c r="U27" s="817"/>
      <c r="V27" s="546"/>
      <c r="W27" s="546"/>
      <c r="X27" s="546"/>
    </row>
    <row r="28" spans="1:28" x14ac:dyDescent="0.25">
      <c r="A28" s="820"/>
      <c r="B28" s="575">
        <v>0</v>
      </c>
      <c r="C28" s="743">
        <v>9.9999999999999995E-7</v>
      </c>
      <c r="D28" s="743">
        <v>9.9999999999999995E-7</v>
      </c>
      <c r="E28" s="744" t="s">
        <v>102</v>
      </c>
      <c r="F28" s="742">
        <f>0.5*(MAX(C28:E28)-MIN(C28:E28))</f>
        <v>0</v>
      </c>
      <c r="G28" s="575">
        <f>(1.2/100)*B28</f>
        <v>0</v>
      </c>
      <c r="H28" s="822"/>
      <c r="I28" s="575">
        <v>0.01</v>
      </c>
      <c r="J28" s="743">
        <v>9.9999999999999995E-7</v>
      </c>
      <c r="K28" s="743">
        <v>9.9999999999999995E-7</v>
      </c>
      <c r="L28" s="744" t="s">
        <v>102</v>
      </c>
      <c r="M28" s="742">
        <f>0.5*(MAX(J28:L28)-MIN(J28:L28))</f>
        <v>0</v>
      </c>
      <c r="N28" s="575">
        <f>(1.2/100)*I28</f>
        <v>1.2E-4</v>
      </c>
      <c r="O28" s="822"/>
      <c r="P28" s="575">
        <v>9.9999999999999995E-7</v>
      </c>
      <c r="Q28" s="744">
        <v>-1E-3</v>
      </c>
      <c r="R28" s="744">
        <v>9.9999999999999995E-7</v>
      </c>
      <c r="S28" s="744">
        <v>9.9999999999999995E-7</v>
      </c>
      <c r="T28" s="742">
        <f>0.5*(MAX(Q28:S28)-MIN(Q28:S28))</f>
        <v>5.0049999999999997E-4</v>
      </c>
      <c r="U28" s="575">
        <f>(1.2/100)*P28</f>
        <v>1.2E-8</v>
      </c>
      <c r="V28" s="546"/>
      <c r="W28" s="546"/>
      <c r="X28" s="546"/>
    </row>
    <row r="29" spans="1:28" x14ac:dyDescent="0.25">
      <c r="A29" s="820"/>
      <c r="B29" s="575">
        <v>0.1</v>
      </c>
      <c r="C29" s="743">
        <v>-1E-3</v>
      </c>
      <c r="D29" s="743">
        <v>2E-3</v>
      </c>
      <c r="E29" s="744" t="s">
        <v>102</v>
      </c>
      <c r="F29" s="742">
        <f>0.5*(MAX(C29:E29)-MIN(C29:E29))</f>
        <v>1.5E-3</v>
      </c>
      <c r="G29" s="575">
        <f>(1.2/100)*B29</f>
        <v>1.2000000000000001E-3</v>
      </c>
      <c r="H29" s="822"/>
      <c r="I29" s="575">
        <v>0.1</v>
      </c>
      <c r="J29" s="743">
        <v>6.0000000000000001E-3</v>
      </c>
      <c r="K29" s="743">
        <v>5.0000000000000001E-3</v>
      </c>
      <c r="L29" s="744" t="s">
        <v>102</v>
      </c>
      <c r="M29" s="742">
        <f>0.5*(MAX(J29:L29)-MIN(J29:L29))</f>
        <v>5.0000000000000001E-4</v>
      </c>
      <c r="N29" s="575">
        <f>(1.2/100)*I29</f>
        <v>1.2000000000000001E-3</v>
      </c>
      <c r="O29" s="822"/>
      <c r="P29" s="575">
        <v>0.5</v>
      </c>
      <c r="Q29" s="744">
        <v>-2E-3</v>
      </c>
      <c r="R29" s="744">
        <v>-1E-3</v>
      </c>
      <c r="S29" s="744">
        <v>9.9999999999999995E-7</v>
      </c>
      <c r="T29" s="742">
        <f>0.5*(MAX(Q29:S29)-MIN(Q29:S29))</f>
        <v>1.0005000000000001E-3</v>
      </c>
      <c r="U29" s="575">
        <f>(1.2/100)*P29</f>
        <v>6.0000000000000001E-3</v>
      </c>
      <c r="V29" s="546"/>
      <c r="W29" s="546"/>
      <c r="X29" s="546"/>
    </row>
    <row r="30" spans="1:28" x14ac:dyDescent="0.25">
      <c r="A30" s="820"/>
      <c r="B30" s="575">
        <v>1</v>
      </c>
      <c r="C30" s="743">
        <v>4.0000000000000001E-3</v>
      </c>
      <c r="D30" s="743">
        <v>1.2E-2</v>
      </c>
      <c r="E30" s="744" t="s">
        <v>102</v>
      </c>
      <c r="F30" s="742">
        <f>0.5*(MAX(C30:E30)-MIN(C30:E30))</f>
        <v>4.0000000000000001E-3</v>
      </c>
      <c r="G30" s="575">
        <f>(1.2/100)*B30</f>
        <v>1.2E-2</v>
      </c>
      <c r="H30" s="822"/>
      <c r="I30" s="575">
        <v>1</v>
      </c>
      <c r="J30" s="743">
        <v>4.4999999999999998E-2</v>
      </c>
      <c r="K30" s="743">
        <v>5.5E-2</v>
      </c>
      <c r="L30" s="744" t="s">
        <v>102</v>
      </c>
      <c r="M30" s="742">
        <f>0.5*(MAX(J30:L30)-MIN(J30:L30))</f>
        <v>5.000000000000001E-3</v>
      </c>
      <c r="N30" s="575">
        <f>(1.2/100)*I30</f>
        <v>1.2E-2</v>
      </c>
      <c r="O30" s="822"/>
      <c r="P30" s="575">
        <v>1</v>
      </c>
      <c r="Q30" s="744">
        <v>-1.2E-2</v>
      </c>
      <c r="R30" s="744">
        <v>5.0000000000000001E-3</v>
      </c>
      <c r="S30" s="744">
        <v>9.9999999999999995E-7</v>
      </c>
      <c r="T30" s="742">
        <f>0.5*(MAX(Q30:S30)-MIN(Q30:S30))</f>
        <v>8.5000000000000006E-3</v>
      </c>
      <c r="U30" s="575">
        <f>(1.2/100)*P30</f>
        <v>1.2E-2</v>
      </c>
      <c r="V30" s="546"/>
      <c r="W30" s="546"/>
      <c r="X30" s="546"/>
    </row>
    <row r="31" spans="1:28" x14ac:dyDescent="0.25">
      <c r="A31" s="820"/>
      <c r="B31" s="575">
        <v>2</v>
      </c>
      <c r="C31" s="743">
        <v>7.0000000000000001E-3</v>
      </c>
      <c r="D31" s="743">
        <v>9.9999999999999995E-7</v>
      </c>
      <c r="E31" s="744" t="s">
        <v>102</v>
      </c>
      <c r="F31" s="742">
        <f>0.5*(MAX(C31:E31)-MIN(C31:E31))</f>
        <v>3.4995E-3</v>
      </c>
      <c r="G31" s="575">
        <f>(1.2/100)*B31</f>
        <v>2.4E-2</v>
      </c>
      <c r="H31" s="822"/>
      <c r="I31" s="575">
        <v>2</v>
      </c>
      <c r="J31" s="743">
        <v>9.9999999999999995E-7</v>
      </c>
      <c r="K31" s="743">
        <v>9.9999999999999995E-7</v>
      </c>
      <c r="L31" s="744" t="s">
        <v>102</v>
      </c>
      <c r="M31" s="742">
        <f>0.5*(MAX(J31:L31)-MIN(J31:L31))</f>
        <v>0</v>
      </c>
      <c r="N31" s="575">
        <f>(0/100)*I31</f>
        <v>0</v>
      </c>
      <c r="O31" s="822"/>
      <c r="P31" s="575">
        <v>2</v>
      </c>
      <c r="Q31" s="744">
        <v>-8.0000000000000002E-3</v>
      </c>
      <c r="R31" s="744">
        <v>1.4E-2</v>
      </c>
      <c r="S31" s="744">
        <v>9.9999999999999995E-7</v>
      </c>
      <c r="T31" s="742">
        <f>0.5*(MAX(Q31:S31)-MIN(Q31:S31))</f>
        <v>1.0999999999999999E-2</v>
      </c>
      <c r="U31" s="575">
        <f>(1.2/100)*P31</f>
        <v>2.4E-2</v>
      </c>
      <c r="V31" s="546"/>
      <c r="W31" s="546"/>
      <c r="X31" s="546"/>
    </row>
    <row r="32" spans="1:28" x14ac:dyDescent="0.25">
      <c r="A32" s="595"/>
      <c r="T32" s="590"/>
      <c r="V32" s="546"/>
      <c r="W32" s="546"/>
      <c r="X32" s="546"/>
    </row>
    <row r="33" spans="1:24" ht="14.5" x14ac:dyDescent="0.25">
      <c r="A33" s="820" t="s">
        <v>265</v>
      </c>
      <c r="B33" s="825" t="s">
        <v>543</v>
      </c>
      <c r="C33" s="825"/>
      <c r="D33" s="825"/>
      <c r="E33" s="825"/>
      <c r="F33" s="825"/>
      <c r="G33" s="825"/>
      <c r="H33" s="822" t="s">
        <v>266</v>
      </c>
      <c r="I33" s="821" t="s">
        <v>544</v>
      </c>
      <c r="J33" s="821"/>
      <c r="K33" s="821"/>
      <c r="L33" s="821"/>
      <c r="M33" s="821"/>
      <c r="N33" s="821"/>
      <c r="O33" s="822" t="s">
        <v>267</v>
      </c>
      <c r="P33" s="825" t="s">
        <v>545</v>
      </c>
      <c r="Q33" s="825"/>
      <c r="R33" s="825"/>
      <c r="S33" s="825"/>
      <c r="T33" s="825"/>
      <c r="U33" s="825"/>
      <c r="V33" s="546"/>
      <c r="W33" s="546"/>
      <c r="X33" s="546"/>
    </row>
    <row r="34" spans="1:24" ht="14" x14ac:dyDescent="0.3">
      <c r="A34" s="820"/>
      <c r="B34" s="823" t="s">
        <v>534</v>
      </c>
      <c r="C34" s="823"/>
      <c r="D34" s="823"/>
      <c r="E34" s="823"/>
      <c r="F34" s="823"/>
      <c r="G34" s="823"/>
      <c r="H34" s="822"/>
      <c r="I34" s="823" t="s">
        <v>534</v>
      </c>
      <c r="J34" s="823"/>
      <c r="K34" s="823"/>
      <c r="L34" s="823"/>
      <c r="M34" s="823"/>
      <c r="N34" s="823"/>
      <c r="O34" s="822"/>
      <c r="P34" s="823" t="s">
        <v>534</v>
      </c>
      <c r="Q34" s="823"/>
      <c r="R34" s="823"/>
      <c r="S34" s="823"/>
      <c r="T34" s="823"/>
      <c r="U34" s="823"/>
      <c r="V34" s="546"/>
      <c r="W34" s="546"/>
      <c r="X34" s="546"/>
    </row>
    <row r="35" spans="1:24" ht="13" x14ac:dyDescent="0.25">
      <c r="A35" s="820"/>
      <c r="B35" s="817" t="str">
        <f>B4</f>
        <v>Setting VAC</v>
      </c>
      <c r="C35" s="817"/>
      <c r="D35" s="817"/>
      <c r="E35" s="817"/>
      <c r="F35" s="817" t="s">
        <v>536</v>
      </c>
      <c r="G35" s="817" t="s">
        <v>537</v>
      </c>
      <c r="H35" s="822"/>
      <c r="I35" s="817" t="str">
        <f>B35</f>
        <v>Setting VAC</v>
      </c>
      <c r="J35" s="817"/>
      <c r="K35" s="817"/>
      <c r="L35" s="817"/>
      <c r="M35" s="817" t="s">
        <v>536</v>
      </c>
      <c r="N35" s="817" t="s">
        <v>537</v>
      </c>
      <c r="O35" s="822"/>
      <c r="P35" s="817" t="str">
        <f>I35</f>
        <v>Setting VAC</v>
      </c>
      <c r="Q35" s="817"/>
      <c r="R35" s="817"/>
      <c r="S35" s="817"/>
      <c r="T35" s="817" t="s">
        <v>536</v>
      </c>
      <c r="U35" s="817" t="s">
        <v>537</v>
      </c>
      <c r="V35" s="546"/>
      <c r="W35" s="546"/>
      <c r="X35" s="546"/>
    </row>
    <row r="36" spans="1:24" ht="14" x14ac:dyDescent="0.25">
      <c r="A36" s="820"/>
      <c r="B36" s="583" t="s">
        <v>538</v>
      </c>
      <c r="C36" s="736">
        <v>2021</v>
      </c>
      <c r="D36" s="736">
        <v>2019</v>
      </c>
      <c r="E36" s="737" t="s">
        <v>102</v>
      </c>
      <c r="F36" s="817"/>
      <c r="G36" s="817"/>
      <c r="H36" s="822"/>
      <c r="I36" s="583" t="s">
        <v>538</v>
      </c>
      <c r="J36" s="736">
        <v>2021</v>
      </c>
      <c r="K36" s="736">
        <v>2019</v>
      </c>
      <c r="L36" s="737" t="s">
        <v>102</v>
      </c>
      <c r="M36" s="817"/>
      <c r="N36" s="817"/>
      <c r="O36" s="822"/>
      <c r="P36" s="583" t="s">
        <v>538</v>
      </c>
      <c r="Q36" s="736">
        <v>2019</v>
      </c>
      <c r="R36" s="736">
        <v>2018</v>
      </c>
      <c r="S36" s="737" t="s">
        <v>102</v>
      </c>
      <c r="T36" s="817"/>
      <c r="U36" s="817"/>
      <c r="V36" s="594"/>
      <c r="W36" s="594"/>
      <c r="X36" s="546"/>
    </row>
    <row r="37" spans="1:24" x14ac:dyDescent="0.25">
      <c r="A37" s="820"/>
      <c r="B37" s="575">
        <v>150</v>
      </c>
      <c r="C37" s="744">
        <v>-0.05</v>
      </c>
      <c r="D37" s="744">
        <v>0.11</v>
      </c>
      <c r="E37" s="739"/>
      <c r="F37" s="742">
        <f t="shared" ref="F37:F42" si="9">0.5*(MAX(C37:E37)-MIN(C37:E37))</f>
        <v>0.08</v>
      </c>
      <c r="G37" s="575">
        <f>(1.2/100)*B37</f>
        <v>1.8</v>
      </c>
      <c r="H37" s="822"/>
      <c r="I37" s="575">
        <v>150</v>
      </c>
      <c r="J37" s="744">
        <v>0.25</v>
      </c>
      <c r="K37" s="744">
        <v>0.02</v>
      </c>
      <c r="L37" s="739"/>
      <c r="M37" s="742">
        <f t="shared" ref="M37:M42" si="10">0.5*(MAX(J37:L37)-MIN(J37:L37))</f>
        <v>0.115</v>
      </c>
      <c r="N37" s="575">
        <f>(1.2/100)*I37</f>
        <v>1.8</v>
      </c>
      <c r="O37" s="822"/>
      <c r="P37" s="575">
        <v>150</v>
      </c>
      <c r="Q37" s="744">
        <v>-0.15</v>
      </c>
      <c r="R37" s="744">
        <v>0.03</v>
      </c>
      <c r="S37" s="739"/>
      <c r="T37" s="742">
        <f t="shared" ref="T37:T42" si="11">0.5*(MAX(Q37:S37)-MIN(Q37:S37))</f>
        <v>0.09</v>
      </c>
      <c r="U37" s="575">
        <f>(1.2/100)*P37</f>
        <v>1.8</v>
      </c>
      <c r="V37" s="564"/>
      <c r="W37" s="593"/>
      <c r="X37" s="546"/>
    </row>
    <row r="38" spans="1:24" x14ac:dyDescent="0.25">
      <c r="A38" s="820"/>
      <c r="B38" s="575">
        <v>180</v>
      </c>
      <c r="C38" s="744">
        <v>-0.04</v>
      </c>
      <c r="D38" s="744">
        <v>0.03</v>
      </c>
      <c r="E38" s="739"/>
      <c r="F38" s="742">
        <f t="shared" si="9"/>
        <v>3.5000000000000003E-2</v>
      </c>
      <c r="G38" s="575">
        <f>(1.2/100)*B38</f>
        <v>2.16</v>
      </c>
      <c r="H38" s="822"/>
      <c r="I38" s="575">
        <v>180</v>
      </c>
      <c r="J38" s="744">
        <v>0.09</v>
      </c>
      <c r="K38" s="744">
        <v>0.1</v>
      </c>
      <c r="L38" s="739"/>
      <c r="M38" s="742">
        <f t="shared" si="10"/>
        <v>5.0000000000000044E-3</v>
      </c>
      <c r="N38" s="575">
        <f>(1.2/100)*I38</f>
        <v>2.16</v>
      </c>
      <c r="O38" s="822"/>
      <c r="P38" s="575">
        <v>180</v>
      </c>
      <c r="Q38" s="744">
        <v>-0.11</v>
      </c>
      <c r="R38" s="744">
        <v>9.9999999999999995E-7</v>
      </c>
      <c r="S38" s="739"/>
      <c r="T38" s="742">
        <f t="shared" si="11"/>
        <v>5.5000500000000001E-2</v>
      </c>
      <c r="U38" s="575">
        <f>(1.2/100)*P38</f>
        <v>2.16</v>
      </c>
      <c r="V38" s="564"/>
      <c r="W38" s="593"/>
      <c r="X38" s="546"/>
    </row>
    <row r="39" spans="1:24" x14ac:dyDescent="0.25">
      <c r="A39" s="820"/>
      <c r="B39" s="575">
        <v>200</v>
      </c>
      <c r="C39" s="744">
        <v>-0.67</v>
      </c>
      <c r="D39" s="744">
        <v>0.05</v>
      </c>
      <c r="E39" s="739"/>
      <c r="F39" s="742">
        <f t="shared" si="9"/>
        <v>0.36000000000000004</v>
      </c>
      <c r="G39" s="575">
        <f>(1.2/100)*B39</f>
        <v>2.4</v>
      </c>
      <c r="H39" s="822"/>
      <c r="I39" s="575">
        <v>200</v>
      </c>
      <c r="J39" s="744">
        <v>0.18</v>
      </c>
      <c r="K39" s="744">
        <v>-0.03</v>
      </c>
      <c r="L39" s="739"/>
      <c r="M39" s="742">
        <f t="shared" si="10"/>
        <v>0.105</v>
      </c>
      <c r="N39" s="575">
        <f>(1.2/100)*I39</f>
        <v>2.4</v>
      </c>
      <c r="O39" s="822"/>
      <c r="P39" s="575">
        <v>200</v>
      </c>
      <c r="Q39" s="744">
        <v>-0.1</v>
      </c>
      <c r="R39" s="744">
        <v>0.05</v>
      </c>
      <c r="S39" s="739"/>
      <c r="T39" s="742">
        <f t="shared" si="11"/>
        <v>7.5000000000000011E-2</v>
      </c>
      <c r="U39" s="575">
        <f>(1.2/100)*P39</f>
        <v>2.4</v>
      </c>
      <c r="V39" s="564"/>
      <c r="W39" s="593"/>
      <c r="X39" s="546"/>
    </row>
    <row r="40" spans="1:24" x14ac:dyDescent="0.25">
      <c r="A40" s="820"/>
      <c r="B40" s="575">
        <v>220</v>
      </c>
      <c r="C40" s="744">
        <v>9.9999999999999995E-7</v>
      </c>
      <c r="D40" s="744">
        <v>0.1</v>
      </c>
      <c r="E40" s="739"/>
      <c r="F40" s="742">
        <f t="shared" si="9"/>
        <v>4.9999500000000002E-2</v>
      </c>
      <c r="G40" s="575">
        <f>(1.2/100)*B40</f>
        <v>2.64</v>
      </c>
      <c r="H40" s="822"/>
      <c r="I40" s="575">
        <v>220</v>
      </c>
      <c r="J40" s="744">
        <v>0.56000000000000005</v>
      </c>
      <c r="K40" s="744">
        <v>0.38</v>
      </c>
      <c r="L40" s="739"/>
      <c r="M40" s="742">
        <f t="shared" si="10"/>
        <v>9.0000000000000024E-2</v>
      </c>
      <c r="N40" s="575">
        <f>(1.2/100)*I40</f>
        <v>2.64</v>
      </c>
      <c r="O40" s="822"/>
      <c r="P40" s="589">
        <v>220</v>
      </c>
      <c r="Q40" s="744">
        <v>-0.13</v>
      </c>
      <c r="R40" s="744">
        <v>0.05</v>
      </c>
      <c r="S40" s="739"/>
      <c r="T40" s="742">
        <f t="shared" si="11"/>
        <v>0.09</v>
      </c>
      <c r="U40" s="589">
        <f>(1.2/100)*P40</f>
        <v>2.64</v>
      </c>
      <c r="V40" s="564"/>
      <c r="W40" s="593"/>
      <c r="X40" s="546"/>
    </row>
    <row r="41" spans="1:24" x14ac:dyDescent="0.25">
      <c r="A41" s="820"/>
      <c r="B41" s="575">
        <v>230</v>
      </c>
      <c r="C41" s="744">
        <v>-0.11</v>
      </c>
      <c r="D41" s="744">
        <v>1.1100000000000001</v>
      </c>
      <c r="E41" s="739"/>
      <c r="F41" s="742">
        <f t="shared" si="9"/>
        <v>0.6100000000000001</v>
      </c>
      <c r="G41" s="575">
        <f>(1.2/100)*B41</f>
        <v>2.7600000000000002</v>
      </c>
      <c r="H41" s="822"/>
      <c r="I41" s="575">
        <v>230</v>
      </c>
      <c r="J41" s="744">
        <v>0.73</v>
      </c>
      <c r="K41" s="744">
        <v>-0.16</v>
      </c>
      <c r="L41" s="739"/>
      <c r="M41" s="742">
        <f t="shared" si="10"/>
        <v>0.44500000000000001</v>
      </c>
      <c r="N41" s="575">
        <f>(1.2/100)*I41</f>
        <v>2.7600000000000002</v>
      </c>
      <c r="O41" s="822"/>
      <c r="P41" s="575">
        <v>230</v>
      </c>
      <c r="Q41" s="744">
        <v>-0.15</v>
      </c>
      <c r="R41" s="744">
        <v>-0.05</v>
      </c>
      <c r="S41" s="739"/>
      <c r="T41" s="742">
        <f t="shared" si="11"/>
        <v>4.9999999999999996E-2</v>
      </c>
      <c r="U41" s="575">
        <f>(1.2/100)*P41</f>
        <v>2.7600000000000002</v>
      </c>
      <c r="V41" s="564"/>
      <c r="W41" s="593"/>
      <c r="X41" s="546"/>
    </row>
    <row r="42" spans="1:24" x14ac:dyDescent="0.25">
      <c r="A42" s="820"/>
      <c r="B42" s="575">
        <v>250</v>
      </c>
      <c r="C42" s="744">
        <v>9.9999999999999995E-7</v>
      </c>
      <c r="D42" s="744">
        <v>9.9999999999999995E-7</v>
      </c>
      <c r="E42" s="739"/>
      <c r="F42" s="742">
        <f t="shared" si="9"/>
        <v>0</v>
      </c>
      <c r="G42" s="575">
        <v>2.76</v>
      </c>
      <c r="H42" s="822"/>
      <c r="I42" s="575">
        <v>250</v>
      </c>
      <c r="J42" s="744">
        <v>9.9999999999999995E-7</v>
      </c>
      <c r="K42" s="744">
        <v>9.9999999999999995E-7</v>
      </c>
      <c r="L42" s="739"/>
      <c r="M42" s="742">
        <f t="shared" si="10"/>
        <v>0</v>
      </c>
      <c r="N42" s="575">
        <v>2.76</v>
      </c>
      <c r="O42" s="822"/>
      <c r="P42" s="575">
        <v>250</v>
      </c>
      <c r="Q42" s="744">
        <v>9.9999999999999995E-7</v>
      </c>
      <c r="R42" s="744">
        <v>9.9999999999999995E-7</v>
      </c>
      <c r="S42" s="739"/>
      <c r="T42" s="742">
        <f t="shared" si="11"/>
        <v>0</v>
      </c>
      <c r="U42" s="575">
        <f>(0/100)*P42</f>
        <v>0</v>
      </c>
      <c r="V42" s="564"/>
      <c r="W42" s="593"/>
      <c r="X42" s="546"/>
    </row>
    <row r="43" spans="1:24" ht="12.75" customHeight="1" x14ac:dyDescent="0.25">
      <c r="A43" s="820"/>
      <c r="B43" s="816" t="str">
        <f>B12</f>
        <v>Current Leakage</v>
      </c>
      <c r="C43" s="816"/>
      <c r="D43" s="816"/>
      <c r="E43" s="816"/>
      <c r="F43" s="817" t="s">
        <v>536</v>
      </c>
      <c r="G43" s="817" t="s">
        <v>537</v>
      </c>
      <c r="H43" s="822"/>
      <c r="I43" s="816" t="str">
        <f>B43</f>
        <v>Current Leakage</v>
      </c>
      <c r="J43" s="816"/>
      <c r="K43" s="816"/>
      <c r="L43" s="816"/>
      <c r="M43" s="817" t="s">
        <v>536</v>
      </c>
      <c r="N43" s="817" t="s">
        <v>537</v>
      </c>
      <c r="O43" s="822"/>
      <c r="P43" s="816" t="str">
        <f>I43</f>
        <v>Current Leakage</v>
      </c>
      <c r="Q43" s="816"/>
      <c r="R43" s="816"/>
      <c r="S43" s="816"/>
      <c r="T43" s="817" t="s">
        <v>536</v>
      </c>
      <c r="U43" s="817" t="s">
        <v>537</v>
      </c>
      <c r="V43" s="546"/>
      <c r="W43" s="546"/>
      <c r="X43" s="546"/>
    </row>
    <row r="44" spans="1:24" ht="14" x14ac:dyDescent="0.25">
      <c r="A44" s="820"/>
      <c r="B44" s="583" t="s">
        <v>540</v>
      </c>
      <c r="C44" s="736">
        <f>C36</f>
        <v>2021</v>
      </c>
      <c r="D44" s="736">
        <f>D36</f>
        <v>2019</v>
      </c>
      <c r="E44" s="736" t="str">
        <f>E36</f>
        <v>-</v>
      </c>
      <c r="F44" s="817"/>
      <c r="G44" s="817"/>
      <c r="H44" s="822"/>
      <c r="I44" s="583" t="s">
        <v>540</v>
      </c>
      <c r="J44" s="736">
        <f>J36</f>
        <v>2021</v>
      </c>
      <c r="K44" s="736">
        <f>K36</f>
        <v>2019</v>
      </c>
      <c r="L44" s="736" t="str">
        <f>L36</f>
        <v>-</v>
      </c>
      <c r="M44" s="817"/>
      <c r="N44" s="817"/>
      <c r="O44" s="822"/>
      <c r="P44" s="583" t="s">
        <v>540</v>
      </c>
      <c r="Q44" s="736">
        <f>Q36</f>
        <v>2019</v>
      </c>
      <c r="R44" s="736">
        <f>R36</f>
        <v>2018</v>
      </c>
      <c r="S44" s="736" t="str">
        <f>S36</f>
        <v>-</v>
      </c>
      <c r="T44" s="817"/>
      <c r="U44" s="817"/>
      <c r="V44" s="546"/>
      <c r="W44" s="546"/>
      <c r="X44" s="546"/>
    </row>
    <row r="45" spans="1:24" x14ac:dyDescent="0.25">
      <c r="A45" s="820"/>
      <c r="B45" s="575">
        <v>0</v>
      </c>
      <c r="C45" s="744">
        <v>9.9999999999999995E-7</v>
      </c>
      <c r="D45" s="743">
        <v>9.9999999999999995E-7</v>
      </c>
      <c r="E45" s="739"/>
      <c r="F45" s="742">
        <f t="shared" ref="F45:F50" si="12">0.5*(MAX(C45:E45)-MIN(C45:E45))</f>
        <v>0</v>
      </c>
      <c r="G45" s="575">
        <v>0.3</v>
      </c>
      <c r="H45" s="822"/>
      <c r="I45" s="575">
        <v>0</v>
      </c>
      <c r="J45" s="744">
        <v>9.9999999999999995E-7</v>
      </c>
      <c r="K45" s="744">
        <v>9.9999999999999995E-7</v>
      </c>
      <c r="L45" s="739"/>
      <c r="M45" s="742">
        <f t="shared" ref="M45:M50" si="13">0.5*(MAX(J45:L45)-MIN(J45:L45))</f>
        <v>0</v>
      </c>
      <c r="N45" s="575">
        <f>(0.58/100)*I45</f>
        <v>0</v>
      </c>
      <c r="O45" s="822"/>
      <c r="P45" s="575">
        <v>0</v>
      </c>
      <c r="Q45" s="744">
        <v>9.9999999999999995E-7</v>
      </c>
      <c r="R45" s="743">
        <v>9.9999999999999995E-7</v>
      </c>
      <c r="S45" s="739"/>
      <c r="T45" s="742">
        <f t="shared" ref="T45:T50" si="14">0.5*(MAX(Q45:S45)-MIN(Q45:S45))</f>
        <v>0</v>
      </c>
      <c r="U45" s="575">
        <v>0.28999999999999998</v>
      </c>
    </row>
    <row r="46" spans="1:24" x14ac:dyDescent="0.25">
      <c r="A46" s="820"/>
      <c r="B46" s="575">
        <v>50</v>
      </c>
      <c r="C46" s="744">
        <v>-0.3</v>
      </c>
      <c r="D46" s="744">
        <v>-0.28999999999999998</v>
      </c>
      <c r="E46" s="739"/>
      <c r="F46" s="742">
        <f t="shared" si="12"/>
        <v>5.0000000000000044E-3</v>
      </c>
      <c r="G46" s="575">
        <f>(0.59/100)*B46</f>
        <v>0.29499999999999998</v>
      </c>
      <c r="H46" s="822"/>
      <c r="I46" s="575">
        <v>50</v>
      </c>
      <c r="J46" s="744">
        <v>0.3</v>
      </c>
      <c r="K46" s="744">
        <v>-0.33</v>
      </c>
      <c r="L46" s="739"/>
      <c r="M46" s="742">
        <f t="shared" si="13"/>
        <v>0.315</v>
      </c>
      <c r="N46" s="575">
        <f>(0.58/100)*I46</f>
        <v>0.28999999999999998</v>
      </c>
      <c r="O46" s="822"/>
      <c r="P46" s="575">
        <v>50</v>
      </c>
      <c r="Q46" s="744">
        <v>0.02</v>
      </c>
      <c r="R46" s="744">
        <v>-0.1</v>
      </c>
      <c r="S46" s="739"/>
      <c r="T46" s="742">
        <f t="shared" si="14"/>
        <v>6.0000000000000005E-2</v>
      </c>
      <c r="U46" s="575">
        <f>(0.58/100)*P46</f>
        <v>0.28999999999999998</v>
      </c>
    </row>
    <row r="47" spans="1:24" x14ac:dyDescent="0.25">
      <c r="A47" s="820"/>
      <c r="B47" s="575">
        <v>100</v>
      </c>
      <c r="C47" s="744">
        <v>-0.4</v>
      </c>
      <c r="D47" s="744">
        <v>-0.35</v>
      </c>
      <c r="E47" s="739"/>
      <c r="F47" s="742">
        <f t="shared" si="12"/>
        <v>2.5000000000000022E-2</v>
      </c>
      <c r="G47" s="575">
        <f>(0.59/100)*B47</f>
        <v>0.59</v>
      </c>
      <c r="H47" s="822"/>
      <c r="I47" s="575">
        <v>100</v>
      </c>
      <c r="J47" s="744">
        <v>-0.1</v>
      </c>
      <c r="K47" s="744">
        <v>-0.42</v>
      </c>
      <c r="L47" s="739"/>
      <c r="M47" s="742">
        <f t="shared" si="13"/>
        <v>0.15999999999999998</v>
      </c>
      <c r="N47" s="575">
        <f>(0.58/100)*I47</f>
        <v>0.57999999999999996</v>
      </c>
      <c r="O47" s="822"/>
      <c r="P47" s="575">
        <v>100</v>
      </c>
      <c r="Q47" s="744">
        <v>0.22</v>
      </c>
      <c r="R47" s="743">
        <v>-0.2</v>
      </c>
      <c r="S47" s="739"/>
      <c r="T47" s="742">
        <f t="shared" si="14"/>
        <v>0.21000000000000002</v>
      </c>
      <c r="U47" s="575">
        <f>(0.58/100)*P47</f>
        <v>0.57999999999999996</v>
      </c>
    </row>
    <row r="48" spans="1:24" x14ac:dyDescent="0.25">
      <c r="A48" s="820"/>
      <c r="B48" s="575">
        <v>200</v>
      </c>
      <c r="C48" s="744">
        <v>0.3</v>
      </c>
      <c r="D48" s="744">
        <v>0.8</v>
      </c>
      <c r="E48" s="739"/>
      <c r="F48" s="742">
        <f t="shared" si="12"/>
        <v>0.25</v>
      </c>
      <c r="G48" s="575">
        <f>(0.59/100)*B48</f>
        <v>1.18</v>
      </c>
      <c r="H48" s="822"/>
      <c r="I48" s="575">
        <v>200</v>
      </c>
      <c r="J48" s="744">
        <v>1.3</v>
      </c>
      <c r="K48" s="744">
        <v>1.3</v>
      </c>
      <c r="L48" s="739"/>
      <c r="M48" s="742">
        <f t="shared" si="13"/>
        <v>0</v>
      </c>
      <c r="N48" s="575">
        <f>(0.58/100)*I48</f>
        <v>1.1599999999999999</v>
      </c>
      <c r="O48" s="822"/>
      <c r="P48" s="575">
        <v>200</v>
      </c>
      <c r="Q48" s="744">
        <v>0.8</v>
      </c>
      <c r="R48" s="744">
        <v>0.8</v>
      </c>
      <c r="S48" s="739"/>
      <c r="T48" s="742">
        <f t="shared" si="14"/>
        <v>0</v>
      </c>
      <c r="U48" s="575">
        <f>(0.58/100)*P48</f>
        <v>1.1599999999999999</v>
      </c>
    </row>
    <row r="49" spans="1:22" x14ac:dyDescent="0.25">
      <c r="A49" s="820"/>
      <c r="B49" s="575">
        <v>500</v>
      </c>
      <c r="C49" s="744">
        <v>0.2</v>
      </c>
      <c r="D49" s="744">
        <v>1.2</v>
      </c>
      <c r="E49" s="739"/>
      <c r="F49" s="742">
        <f t="shared" si="12"/>
        <v>0.5</v>
      </c>
      <c r="G49" s="575">
        <f>(0.59/100)*B49</f>
        <v>2.9499999999999997</v>
      </c>
      <c r="H49" s="822"/>
      <c r="I49" s="575">
        <v>500</v>
      </c>
      <c r="J49" s="744">
        <v>0.7</v>
      </c>
      <c r="K49" s="744">
        <v>0.7</v>
      </c>
      <c r="L49" s="739"/>
      <c r="M49" s="742">
        <f t="shared" si="13"/>
        <v>0</v>
      </c>
      <c r="N49" s="575">
        <f>(0.58/100)*I49</f>
        <v>2.9</v>
      </c>
      <c r="O49" s="822"/>
      <c r="P49" s="575">
        <v>500</v>
      </c>
      <c r="Q49" s="744">
        <v>1.1000000000000001</v>
      </c>
      <c r="R49" s="744">
        <v>0.6</v>
      </c>
      <c r="S49" s="739"/>
      <c r="T49" s="742">
        <f t="shared" si="14"/>
        <v>0.25000000000000006</v>
      </c>
      <c r="U49" s="575">
        <f>(0.58/100)*P49</f>
        <v>2.9</v>
      </c>
    </row>
    <row r="50" spans="1:22" x14ac:dyDescent="0.25">
      <c r="A50" s="820"/>
      <c r="B50" s="575">
        <v>1000</v>
      </c>
      <c r="C50" s="744">
        <v>2</v>
      </c>
      <c r="D50" s="744">
        <v>2</v>
      </c>
      <c r="E50" s="739"/>
      <c r="F50" s="742">
        <f t="shared" si="12"/>
        <v>0</v>
      </c>
      <c r="G50" s="575">
        <f>(0/100)*B50</f>
        <v>0</v>
      </c>
      <c r="H50" s="822"/>
      <c r="I50" s="575">
        <v>850</v>
      </c>
      <c r="J50" s="744">
        <v>9.9999999999999995E-7</v>
      </c>
      <c r="K50" s="744">
        <v>9.9999999999999995E-7</v>
      </c>
      <c r="L50" s="739"/>
      <c r="M50" s="742">
        <f t="shared" si="13"/>
        <v>0</v>
      </c>
      <c r="N50" s="575">
        <v>2.9</v>
      </c>
      <c r="O50" s="822"/>
      <c r="P50" s="575">
        <v>1000</v>
      </c>
      <c r="Q50" s="744">
        <v>9.9999999999999995E-7</v>
      </c>
      <c r="R50" s="743">
        <v>9.9999999999999995E-7</v>
      </c>
      <c r="S50" s="739"/>
      <c r="T50" s="742">
        <f t="shared" si="14"/>
        <v>0</v>
      </c>
      <c r="U50" s="575">
        <v>2.9</v>
      </c>
      <c r="V50" s="723"/>
    </row>
    <row r="51" spans="1:22" ht="13" x14ac:dyDescent="0.25">
      <c r="A51" s="820"/>
      <c r="B51" s="816" t="str">
        <f>B20</f>
        <v>Main-PE</v>
      </c>
      <c r="C51" s="816"/>
      <c r="D51" s="816"/>
      <c r="E51" s="816"/>
      <c r="F51" s="817" t="s">
        <v>536</v>
      </c>
      <c r="G51" s="817" t="s">
        <v>537</v>
      </c>
      <c r="H51" s="822"/>
      <c r="I51" s="816" t="str">
        <f>B51</f>
        <v>Main-PE</v>
      </c>
      <c r="J51" s="816"/>
      <c r="K51" s="816"/>
      <c r="L51" s="816"/>
      <c r="M51" s="817" t="s">
        <v>536</v>
      </c>
      <c r="N51" s="817" t="s">
        <v>537</v>
      </c>
      <c r="O51" s="822"/>
      <c r="P51" s="816" t="str">
        <f>I51</f>
        <v>Main-PE</v>
      </c>
      <c r="Q51" s="816"/>
      <c r="R51" s="816"/>
      <c r="S51" s="816"/>
      <c r="T51" s="817" t="s">
        <v>536</v>
      </c>
      <c r="U51" s="817" t="s">
        <v>537</v>
      </c>
    </row>
    <row r="52" spans="1:22" ht="14.5" x14ac:dyDescent="0.25">
      <c r="A52" s="820"/>
      <c r="B52" s="583" t="s">
        <v>685</v>
      </c>
      <c r="C52" s="736">
        <f>C36</f>
        <v>2021</v>
      </c>
      <c r="D52" s="736">
        <f>D36</f>
        <v>2019</v>
      </c>
      <c r="E52" s="736" t="str">
        <f>E36</f>
        <v>-</v>
      </c>
      <c r="F52" s="817"/>
      <c r="G52" s="817"/>
      <c r="H52" s="822"/>
      <c r="I52" s="583" t="s">
        <v>685</v>
      </c>
      <c r="J52" s="736">
        <f>J36</f>
        <v>2021</v>
      </c>
      <c r="K52" s="736">
        <f>K36</f>
        <v>2019</v>
      </c>
      <c r="L52" s="736" t="str">
        <f>L36</f>
        <v>-</v>
      </c>
      <c r="M52" s="817"/>
      <c r="N52" s="817"/>
      <c r="O52" s="822"/>
      <c r="P52" s="583" t="s">
        <v>685</v>
      </c>
      <c r="Q52" s="736">
        <f>Q36</f>
        <v>2019</v>
      </c>
      <c r="R52" s="736">
        <f>R36</f>
        <v>2018</v>
      </c>
      <c r="S52" s="736" t="str">
        <f>S36</f>
        <v>-</v>
      </c>
      <c r="T52" s="817"/>
      <c r="U52" s="817"/>
    </row>
    <row r="53" spans="1:22" x14ac:dyDescent="0.25">
      <c r="A53" s="820"/>
      <c r="B53" s="575">
        <v>10</v>
      </c>
      <c r="C53" s="744">
        <v>9.9999999999999995E-7</v>
      </c>
      <c r="D53" s="744">
        <v>0.1</v>
      </c>
      <c r="E53" s="739"/>
      <c r="F53" s="742">
        <f>0.5*(MAX(C53:E53)-MIN(C53:E53))</f>
        <v>4.9999500000000002E-2</v>
      </c>
      <c r="G53" s="575">
        <f>(1.7/100)*B53</f>
        <v>0.17</v>
      </c>
      <c r="H53" s="822"/>
      <c r="I53" s="575">
        <v>10</v>
      </c>
      <c r="J53" s="744">
        <v>9.9999999999999995E-7</v>
      </c>
      <c r="K53" s="744">
        <v>0.1</v>
      </c>
      <c r="L53" s="739"/>
      <c r="M53" s="742">
        <f>0.5*(MAX(J53:L53)-MIN(J53:L53))</f>
        <v>4.9999500000000002E-2</v>
      </c>
      <c r="N53" s="575">
        <f>(1.7/100)*I53</f>
        <v>0.17</v>
      </c>
      <c r="O53" s="822"/>
      <c r="P53" s="575">
        <v>10</v>
      </c>
      <c r="Q53" s="744">
        <v>0.1</v>
      </c>
      <c r="R53" s="743">
        <v>9.9999999999999995E-7</v>
      </c>
      <c r="S53" s="739"/>
      <c r="T53" s="742">
        <f>0.5*(MAX(Q53:S53)-MIN(Q53:S53))</f>
        <v>4.9999500000000002E-2</v>
      </c>
      <c r="U53" s="575">
        <f>(1.7/100)*P53</f>
        <v>0.17</v>
      </c>
    </row>
    <row r="54" spans="1:22" x14ac:dyDescent="0.25">
      <c r="A54" s="820"/>
      <c r="B54" s="575">
        <v>20</v>
      </c>
      <c r="C54" s="744">
        <v>0.1</v>
      </c>
      <c r="D54" s="744">
        <v>0.2</v>
      </c>
      <c r="E54" s="739"/>
      <c r="F54" s="742">
        <f>0.5*(MAX(C54:E54)-MIN(C54:E54))</f>
        <v>0.05</v>
      </c>
      <c r="G54" s="575">
        <f>(1.7/100)*B54</f>
        <v>0.34</v>
      </c>
      <c r="H54" s="822"/>
      <c r="I54" s="575">
        <v>20</v>
      </c>
      <c r="J54" s="744">
        <v>0.1</v>
      </c>
      <c r="K54" s="744">
        <v>0.1</v>
      </c>
      <c r="L54" s="739"/>
      <c r="M54" s="742">
        <f>0.5*(MAX(J54:L54)-MIN(J54:L54))</f>
        <v>0</v>
      </c>
      <c r="N54" s="575">
        <f>(1.7/100)*I54</f>
        <v>0.34</v>
      </c>
      <c r="O54" s="822"/>
      <c r="P54" s="575">
        <v>20</v>
      </c>
      <c r="Q54" s="744">
        <v>0.1</v>
      </c>
      <c r="R54" s="743">
        <v>9.9999999999999995E-7</v>
      </c>
      <c r="S54" s="739"/>
      <c r="T54" s="742">
        <f>0.5*(MAX(Q54:S54)-MIN(Q54:S54))</f>
        <v>4.9999500000000002E-2</v>
      </c>
      <c r="U54" s="575">
        <f>(1.7/100)*P54</f>
        <v>0.34</v>
      </c>
    </row>
    <row r="55" spans="1:22" x14ac:dyDescent="0.25">
      <c r="A55" s="820"/>
      <c r="B55" s="575">
        <v>50</v>
      </c>
      <c r="C55" s="744">
        <v>0.4</v>
      </c>
      <c r="D55" s="744">
        <v>0.5</v>
      </c>
      <c r="E55" s="739"/>
      <c r="F55" s="742">
        <f>0.5*(MAX(C55:E55)-MIN(C55:E55))</f>
        <v>4.9999999999999989E-2</v>
      </c>
      <c r="G55" s="575">
        <f>(1.7/100)*B55</f>
        <v>0.85000000000000009</v>
      </c>
      <c r="H55" s="822"/>
      <c r="I55" s="575">
        <v>50</v>
      </c>
      <c r="J55" s="744">
        <v>0.6</v>
      </c>
      <c r="K55" s="744">
        <v>0.4</v>
      </c>
      <c r="L55" s="739"/>
      <c r="M55" s="742">
        <f>0.5*(MAX(J55:L55)-MIN(J55:L55))</f>
        <v>9.9999999999999978E-2</v>
      </c>
      <c r="N55" s="575">
        <f>(1.7/100)*I55</f>
        <v>0.85000000000000009</v>
      </c>
      <c r="O55" s="822"/>
      <c r="P55" s="575">
        <v>50</v>
      </c>
      <c r="Q55" s="744">
        <v>0.3</v>
      </c>
      <c r="R55" s="743">
        <v>0.2</v>
      </c>
      <c r="S55" s="739"/>
      <c r="T55" s="742">
        <f>0.5*(MAX(Q55:S55)-MIN(Q55:S55))</f>
        <v>4.9999999999999989E-2</v>
      </c>
      <c r="U55" s="575">
        <f>(1.7/100)*P55</f>
        <v>0.85000000000000009</v>
      </c>
    </row>
    <row r="56" spans="1:22" x14ac:dyDescent="0.25">
      <c r="A56" s="820"/>
      <c r="B56" s="575">
        <v>100</v>
      </c>
      <c r="C56" s="744">
        <v>1.4</v>
      </c>
      <c r="D56" s="744">
        <v>1</v>
      </c>
      <c r="E56" s="739"/>
      <c r="F56" s="742">
        <f>0.5*(MAX(C56:E56)-MIN(C56:E56))</f>
        <v>0.19999999999999996</v>
      </c>
      <c r="G56" s="575">
        <f>(1.7/100)*B56</f>
        <v>1.7000000000000002</v>
      </c>
      <c r="H56" s="822"/>
      <c r="I56" s="575">
        <v>100</v>
      </c>
      <c r="J56" s="744">
        <v>1.5</v>
      </c>
      <c r="K56" s="744">
        <v>0.8</v>
      </c>
      <c r="L56" s="739"/>
      <c r="M56" s="742">
        <f>0.5*(MAX(J56:L56)-MIN(J56:L56))</f>
        <v>0.35</v>
      </c>
      <c r="N56" s="575">
        <f>(1.7/100)*I56</f>
        <v>1.7000000000000002</v>
      </c>
      <c r="O56" s="822"/>
      <c r="P56" s="575">
        <v>100</v>
      </c>
      <c r="Q56" s="744">
        <v>0.6</v>
      </c>
      <c r="R56" s="743">
        <v>0.7</v>
      </c>
      <c r="S56" s="739"/>
      <c r="T56" s="742">
        <f>0.5*(MAX(Q56:S56)-MIN(Q56:S56))</f>
        <v>4.9999999999999989E-2</v>
      </c>
      <c r="U56" s="575">
        <f>(1.7/100)*P56</f>
        <v>1.7000000000000002</v>
      </c>
    </row>
    <row r="57" spans="1:22" ht="12.75" customHeight="1" x14ac:dyDescent="0.25">
      <c r="A57" s="820"/>
      <c r="B57" s="816" t="str">
        <f>B26</f>
        <v>Resistance</v>
      </c>
      <c r="C57" s="816"/>
      <c r="D57" s="816"/>
      <c r="E57" s="816"/>
      <c r="F57" s="817" t="s">
        <v>536</v>
      </c>
      <c r="G57" s="817" t="s">
        <v>537</v>
      </c>
      <c r="H57" s="822"/>
      <c r="I57" s="816" t="str">
        <f>B57</f>
        <v>Resistance</v>
      </c>
      <c r="J57" s="816"/>
      <c r="K57" s="816"/>
      <c r="L57" s="816"/>
      <c r="M57" s="817" t="s">
        <v>536</v>
      </c>
      <c r="N57" s="817" t="s">
        <v>537</v>
      </c>
      <c r="O57" s="822"/>
      <c r="P57" s="816" t="str">
        <f>I57</f>
        <v>Resistance</v>
      </c>
      <c r="Q57" s="816"/>
      <c r="R57" s="816"/>
      <c r="S57" s="816"/>
      <c r="T57" s="817" t="s">
        <v>536</v>
      </c>
      <c r="U57" s="817" t="s">
        <v>537</v>
      </c>
    </row>
    <row r="58" spans="1:22" ht="14.5" x14ac:dyDescent="0.25">
      <c r="A58" s="820"/>
      <c r="B58" s="583" t="s">
        <v>684</v>
      </c>
      <c r="C58" s="736">
        <f>C36</f>
        <v>2021</v>
      </c>
      <c r="D58" s="736">
        <f>D36</f>
        <v>2019</v>
      </c>
      <c r="E58" s="736" t="str">
        <f>E36</f>
        <v>-</v>
      </c>
      <c r="F58" s="817"/>
      <c r="G58" s="817"/>
      <c r="H58" s="822"/>
      <c r="I58" s="583" t="s">
        <v>684</v>
      </c>
      <c r="J58" s="736">
        <f>J36</f>
        <v>2021</v>
      </c>
      <c r="K58" s="736">
        <f>K36</f>
        <v>2019</v>
      </c>
      <c r="L58" s="736" t="str">
        <f>L36</f>
        <v>-</v>
      </c>
      <c r="M58" s="817"/>
      <c r="N58" s="817"/>
      <c r="O58" s="822"/>
      <c r="P58" s="583" t="s">
        <v>684</v>
      </c>
      <c r="Q58" s="736">
        <f>Q36</f>
        <v>2019</v>
      </c>
      <c r="R58" s="736">
        <f>R36</f>
        <v>2018</v>
      </c>
      <c r="S58" s="736" t="str">
        <f>S36</f>
        <v>-</v>
      </c>
      <c r="T58" s="817"/>
      <c r="U58" s="817"/>
    </row>
    <row r="59" spans="1:22" x14ac:dyDescent="0.25">
      <c r="A59" s="820"/>
      <c r="B59" s="575">
        <v>0.01</v>
      </c>
      <c r="C59" s="744">
        <v>9.9999999999999995E-7</v>
      </c>
      <c r="D59" s="744">
        <v>9.9999999999999995E-7</v>
      </c>
      <c r="E59" s="739"/>
      <c r="F59" s="742">
        <f>0.5*(MAX(C59:E59)-MIN(C59:E59))</f>
        <v>0</v>
      </c>
      <c r="G59" s="575">
        <f>(0/100)*B59</f>
        <v>0</v>
      </c>
      <c r="H59" s="822"/>
      <c r="I59" s="575">
        <v>0.01</v>
      </c>
      <c r="J59" s="744">
        <v>9.9999999999999995E-7</v>
      </c>
      <c r="K59" s="744">
        <v>9.9999999999999995E-7</v>
      </c>
      <c r="L59" s="739"/>
      <c r="M59" s="742">
        <f>0.5*(MAX(J59:L59)-MIN(J59:L59))</f>
        <v>0</v>
      </c>
      <c r="N59" s="575">
        <f>(1.2/100)*I59</f>
        <v>1.2E-4</v>
      </c>
      <c r="O59" s="822"/>
      <c r="P59" s="575">
        <v>0.01</v>
      </c>
      <c r="Q59" s="744">
        <v>9.9999999999999995E-7</v>
      </c>
      <c r="R59" s="743">
        <v>9.9999999999999995E-7</v>
      </c>
      <c r="S59" s="739"/>
      <c r="T59" s="742">
        <f>0.5*(MAX(Q59:S59)-MIN(Q59:S59))</f>
        <v>0</v>
      </c>
      <c r="U59" s="575">
        <f>(1.2/100)*P59</f>
        <v>1.2E-4</v>
      </c>
    </row>
    <row r="60" spans="1:22" x14ac:dyDescent="0.25">
      <c r="A60" s="820"/>
      <c r="B60" s="575">
        <v>0.1</v>
      </c>
      <c r="C60" s="744">
        <v>-2E-3</v>
      </c>
      <c r="D60" s="744">
        <v>9.9999999999999995E-7</v>
      </c>
      <c r="E60" s="739"/>
      <c r="F60" s="742">
        <f>0.5*(MAX(C60:E60)-MIN(C60:E60))</f>
        <v>1.0005000000000001E-3</v>
      </c>
      <c r="G60" s="575">
        <f>(1.2/100)*B60</f>
        <v>1.2000000000000001E-3</v>
      </c>
      <c r="H60" s="822"/>
      <c r="I60" s="575">
        <v>0.1</v>
      </c>
      <c r="J60" s="744">
        <v>5.0000000000000001E-3</v>
      </c>
      <c r="K60" s="744">
        <v>2E-3</v>
      </c>
      <c r="L60" s="739"/>
      <c r="M60" s="742">
        <f>0.5*(MAX(J60:L60)-MIN(J60:L60))</f>
        <v>1.5E-3</v>
      </c>
      <c r="N60" s="575">
        <f>(1.2/100)*I60</f>
        <v>1.2000000000000001E-3</v>
      </c>
      <c r="O60" s="822"/>
      <c r="P60" s="575">
        <v>0.1</v>
      </c>
      <c r="Q60" s="744">
        <v>-2E-3</v>
      </c>
      <c r="R60" s="743">
        <v>6.0000000000000001E-3</v>
      </c>
      <c r="S60" s="739"/>
      <c r="T60" s="742">
        <f>0.5*(MAX(Q60:S60)-MIN(Q60:S60))</f>
        <v>4.0000000000000001E-3</v>
      </c>
      <c r="U60" s="575">
        <f>(1.2/100)*P60</f>
        <v>1.2000000000000001E-3</v>
      </c>
    </row>
    <row r="61" spans="1:22" x14ac:dyDescent="0.25">
      <c r="A61" s="820"/>
      <c r="B61" s="575">
        <v>1</v>
      </c>
      <c r="C61" s="744">
        <v>-8.0000000000000002E-3</v>
      </c>
      <c r="D61" s="744">
        <v>-1E-3</v>
      </c>
      <c r="E61" s="739"/>
      <c r="F61" s="742">
        <f>0.5*(MAX(C61:E61)-MIN(C61:E61))</f>
        <v>3.5000000000000001E-3</v>
      </c>
      <c r="G61" s="575">
        <f>(1.2/100)*B61</f>
        <v>1.2E-2</v>
      </c>
      <c r="H61" s="822"/>
      <c r="I61" s="575">
        <v>1</v>
      </c>
      <c r="J61" s="744">
        <v>1.7999999999999999E-2</v>
      </c>
      <c r="K61" s="744">
        <v>1.2E-2</v>
      </c>
      <c r="L61" s="739"/>
      <c r="M61" s="742">
        <f>0.5*(MAX(J61:L61)-MIN(J61:L61))</f>
        <v>2.9999999999999992E-3</v>
      </c>
      <c r="N61" s="575">
        <f>(1.2/100)*I61</f>
        <v>1.2E-2</v>
      </c>
      <c r="O61" s="822"/>
      <c r="P61" s="575">
        <v>1</v>
      </c>
      <c r="Q61" s="744">
        <v>-1E-3</v>
      </c>
      <c r="R61" s="743">
        <v>8.0000000000000002E-3</v>
      </c>
      <c r="S61" s="739"/>
      <c r="T61" s="742">
        <f>0.5*(MAX(Q61:S61)-MIN(Q61:S61))</f>
        <v>4.5000000000000005E-3</v>
      </c>
      <c r="U61" s="575">
        <f>(1.2/100)*P61</f>
        <v>1.2E-2</v>
      </c>
    </row>
    <row r="62" spans="1:22" x14ac:dyDescent="0.25">
      <c r="A62" s="820"/>
      <c r="B62" s="575">
        <v>2</v>
      </c>
      <c r="C62" s="744">
        <v>-7.0000000000000001E-3</v>
      </c>
      <c r="D62" s="744">
        <v>9.9999999999999995E-7</v>
      </c>
      <c r="E62" s="739"/>
      <c r="F62" s="742">
        <f>0.5*(MAX(C62:E62)-MIN(C62:E62))</f>
        <v>3.5005000000000001E-3</v>
      </c>
      <c r="G62" s="575">
        <f>(1.2/100)*B62</f>
        <v>2.4E-2</v>
      </c>
      <c r="H62" s="822"/>
      <c r="I62" s="589">
        <v>2</v>
      </c>
      <c r="J62" s="740">
        <v>0.113</v>
      </c>
      <c r="K62" s="740">
        <v>9.9999999999999995E-7</v>
      </c>
      <c r="L62" s="739"/>
      <c r="M62" s="738">
        <f>0.5*(MAX(J62:L62)-MIN(J62:L62))</f>
        <v>5.6499500000000001E-2</v>
      </c>
      <c r="N62" s="589">
        <f>(1.2/100)*I62</f>
        <v>2.4E-2</v>
      </c>
      <c r="O62" s="822"/>
      <c r="P62" s="575">
        <v>2</v>
      </c>
      <c r="Q62" s="744">
        <v>9.9999999999999995E-7</v>
      </c>
      <c r="R62" s="743">
        <v>9.9999999999999995E-7</v>
      </c>
      <c r="S62" s="739"/>
      <c r="T62" s="742">
        <f>0.5*(MAX(Q62:S62)-MIN(Q62:S62))</f>
        <v>0</v>
      </c>
      <c r="U62" s="575">
        <f>(0/100)*P62</f>
        <v>0</v>
      </c>
    </row>
    <row r="63" spans="1:22" ht="15.5" x14ac:dyDescent="0.25">
      <c r="A63" s="592"/>
      <c r="B63" s="562"/>
      <c r="C63" s="562"/>
      <c r="D63" s="585"/>
      <c r="E63" s="585"/>
      <c r="F63" s="585"/>
      <c r="H63" s="586"/>
      <c r="I63" s="591"/>
      <c r="J63" s="562"/>
      <c r="K63" s="585"/>
      <c r="L63" s="585"/>
      <c r="M63" s="585"/>
      <c r="O63" s="586"/>
      <c r="P63" s="562"/>
      <c r="Q63" s="562"/>
      <c r="T63" s="590"/>
    </row>
    <row r="64" spans="1:22" ht="14.65" customHeight="1" x14ac:dyDescent="0.25">
      <c r="A64" s="820" t="s">
        <v>268</v>
      </c>
      <c r="B64" s="825" t="s">
        <v>546</v>
      </c>
      <c r="C64" s="825"/>
      <c r="D64" s="825"/>
      <c r="E64" s="825"/>
      <c r="F64" s="825"/>
      <c r="G64" s="825"/>
      <c r="H64" s="822" t="s">
        <v>269</v>
      </c>
      <c r="I64" s="825" t="s">
        <v>688</v>
      </c>
      <c r="J64" s="825"/>
      <c r="K64" s="825"/>
      <c r="L64" s="825"/>
      <c r="M64" s="825"/>
      <c r="N64" s="825"/>
      <c r="O64" s="826" t="s">
        <v>63</v>
      </c>
      <c r="P64" s="825" t="s">
        <v>547</v>
      </c>
      <c r="Q64" s="825"/>
      <c r="R64" s="825"/>
      <c r="S64" s="825"/>
      <c r="T64" s="825"/>
      <c r="U64" s="825"/>
    </row>
    <row r="65" spans="1:21" ht="14" x14ac:dyDescent="0.3">
      <c r="A65" s="820"/>
      <c r="B65" s="823" t="s">
        <v>534</v>
      </c>
      <c r="C65" s="823"/>
      <c r="D65" s="823"/>
      <c r="E65" s="823"/>
      <c r="F65" s="823"/>
      <c r="G65" s="823"/>
      <c r="H65" s="822"/>
      <c r="I65" s="824" t="s">
        <v>534</v>
      </c>
      <c r="J65" s="824"/>
      <c r="K65" s="824"/>
      <c r="L65" s="824"/>
      <c r="M65" s="824"/>
      <c r="N65" s="824"/>
      <c r="O65" s="826"/>
      <c r="P65" s="824" t="s">
        <v>534</v>
      </c>
      <c r="Q65" s="824"/>
      <c r="R65" s="824"/>
      <c r="S65" s="824"/>
      <c r="T65" s="824"/>
      <c r="U65" s="824"/>
    </row>
    <row r="66" spans="1:21" ht="13" x14ac:dyDescent="0.25">
      <c r="A66" s="820"/>
      <c r="B66" s="817" t="s">
        <v>535</v>
      </c>
      <c r="C66" s="817"/>
      <c r="D66" s="817"/>
      <c r="E66" s="817"/>
      <c r="F66" s="817" t="s">
        <v>536</v>
      </c>
      <c r="G66" s="817" t="s">
        <v>537</v>
      </c>
      <c r="H66" s="822"/>
      <c r="I66" s="817" t="str">
        <f>B66</f>
        <v>Setting VAC</v>
      </c>
      <c r="J66" s="817"/>
      <c r="K66" s="817"/>
      <c r="L66" s="817"/>
      <c r="M66" s="817" t="s">
        <v>536</v>
      </c>
      <c r="N66" s="817" t="s">
        <v>537</v>
      </c>
      <c r="O66" s="826"/>
      <c r="P66" s="817" t="str">
        <f>B66</f>
        <v>Setting VAC</v>
      </c>
      <c r="Q66" s="817"/>
      <c r="R66" s="817"/>
      <c r="S66" s="817"/>
      <c r="T66" s="817" t="s">
        <v>536</v>
      </c>
      <c r="U66" s="817" t="s">
        <v>537</v>
      </c>
    </row>
    <row r="67" spans="1:21" ht="14" x14ac:dyDescent="0.25">
      <c r="A67" s="820"/>
      <c r="B67" s="583" t="s">
        <v>538</v>
      </c>
      <c r="C67" s="736">
        <v>2020</v>
      </c>
      <c r="D67" s="736">
        <v>2018</v>
      </c>
      <c r="E67" s="737" t="s">
        <v>102</v>
      </c>
      <c r="F67" s="817"/>
      <c r="G67" s="817"/>
      <c r="H67" s="822"/>
      <c r="I67" s="583" t="s">
        <v>538</v>
      </c>
      <c r="J67" s="736">
        <v>2022</v>
      </c>
      <c r="K67" s="736">
        <v>2020</v>
      </c>
      <c r="L67" s="737" t="s">
        <v>102</v>
      </c>
      <c r="M67" s="817"/>
      <c r="N67" s="817"/>
      <c r="O67" s="826"/>
      <c r="P67" s="583" t="s">
        <v>538</v>
      </c>
      <c r="Q67" s="736">
        <v>2020</v>
      </c>
      <c r="R67" s="737" t="s">
        <v>102</v>
      </c>
      <c r="S67" s="737" t="s">
        <v>102</v>
      </c>
      <c r="T67" s="817"/>
      <c r="U67" s="817"/>
    </row>
    <row r="68" spans="1:21" ht="13" x14ac:dyDescent="0.25">
      <c r="A68" s="820"/>
      <c r="B68" s="575">
        <v>150.21</v>
      </c>
      <c r="C68" s="743">
        <v>0.21</v>
      </c>
      <c r="D68" s="743">
        <v>0.27</v>
      </c>
      <c r="E68" s="739"/>
      <c r="F68" s="742">
        <f t="shared" ref="F68:F73" si="15">0.5*(MAX(C68:E68)-MIN(C68:E68))</f>
        <v>3.0000000000000013E-2</v>
      </c>
      <c r="G68" s="575">
        <f t="shared" ref="G68:G73" si="16">(1.2/100)*B68</f>
        <v>1.8025200000000001</v>
      </c>
      <c r="H68" s="822"/>
      <c r="I68" s="575">
        <v>150</v>
      </c>
      <c r="J68" s="746">
        <v>-0.17</v>
      </c>
      <c r="K68" s="746">
        <v>-0.24</v>
      </c>
      <c r="L68" s="739"/>
      <c r="M68" s="742">
        <f t="shared" ref="M68:M73" si="17">0.5*(MAX(J68:L68)-MIN(J68:L68))</f>
        <v>3.4999999999999989E-2</v>
      </c>
      <c r="N68" s="575">
        <f t="shared" ref="N68:N73" si="18">(1.2/100)*I68</f>
        <v>1.8</v>
      </c>
      <c r="O68" s="826"/>
      <c r="P68" s="575">
        <v>149.83000000000001</v>
      </c>
      <c r="Q68" s="746">
        <v>-0.17</v>
      </c>
      <c r="R68" s="745" t="s">
        <v>102</v>
      </c>
      <c r="S68" s="739"/>
      <c r="T68" s="742">
        <f t="shared" ref="T68:T73" si="19">0.5*(MAX(Q68:S68)-MIN(Q68:S68))</f>
        <v>0</v>
      </c>
      <c r="U68" s="575">
        <f t="shared" ref="U68:U73" si="20">(1.2/100)*P68</f>
        <v>1.7979600000000002</v>
      </c>
    </row>
    <row r="69" spans="1:21" ht="13" x14ac:dyDescent="0.25">
      <c r="A69" s="820"/>
      <c r="B69" s="575">
        <v>180.33</v>
      </c>
      <c r="C69" s="743">
        <v>0.33</v>
      </c>
      <c r="D69" s="743">
        <v>0.37</v>
      </c>
      <c r="E69" s="739"/>
      <c r="F69" s="742">
        <f t="shared" si="15"/>
        <v>1.999999999999999E-2</v>
      </c>
      <c r="G69" s="575">
        <f t="shared" si="16"/>
        <v>2.1639600000000003</v>
      </c>
      <c r="H69" s="822"/>
      <c r="I69" s="575">
        <v>180</v>
      </c>
      <c r="J69" s="746">
        <v>-0.39</v>
      </c>
      <c r="K69" s="746">
        <v>-0.14000000000000001</v>
      </c>
      <c r="L69" s="739"/>
      <c r="M69" s="742">
        <f t="shared" si="17"/>
        <v>0.125</v>
      </c>
      <c r="N69" s="575">
        <f t="shared" si="18"/>
        <v>2.16</v>
      </c>
      <c r="O69" s="826"/>
      <c r="P69" s="575">
        <v>179.78</v>
      </c>
      <c r="Q69" s="746">
        <v>-0.22</v>
      </c>
      <c r="R69" s="744" t="s">
        <v>102</v>
      </c>
      <c r="S69" s="739"/>
      <c r="T69" s="742">
        <f t="shared" si="19"/>
        <v>0</v>
      </c>
      <c r="U69" s="575">
        <f t="shared" si="20"/>
        <v>2.1573600000000002</v>
      </c>
    </row>
    <row r="70" spans="1:21" x14ac:dyDescent="0.25">
      <c r="A70" s="820"/>
      <c r="B70" s="575">
        <v>200.35</v>
      </c>
      <c r="C70" s="743">
        <v>0.34</v>
      </c>
      <c r="D70" s="743">
        <v>0.4</v>
      </c>
      <c r="E70" s="739"/>
      <c r="F70" s="742">
        <f t="shared" si="15"/>
        <v>0.03</v>
      </c>
      <c r="G70" s="575">
        <f t="shared" si="16"/>
        <v>2.4041999999999999</v>
      </c>
      <c r="H70" s="822"/>
      <c r="I70" s="575">
        <v>200</v>
      </c>
      <c r="J70" s="743">
        <v>-0.23</v>
      </c>
      <c r="K70" s="743">
        <v>-0.33</v>
      </c>
      <c r="L70" s="739"/>
      <c r="M70" s="742">
        <f t="shared" si="17"/>
        <v>0.05</v>
      </c>
      <c r="N70" s="575">
        <f t="shared" si="18"/>
        <v>2.4</v>
      </c>
      <c r="O70" s="826"/>
      <c r="P70" s="575">
        <v>199.67</v>
      </c>
      <c r="Q70" s="743">
        <v>-0.33</v>
      </c>
      <c r="R70" s="744" t="s">
        <v>102</v>
      </c>
      <c r="S70" s="739"/>
      <c r="T70" s="742">
        <f t="shared" si="19"/>
        <v>0</v>
      </c>
      <c r="U70" s="575">
        <f t="shared" si="20"/>
        <v>2.3960399999999997</v>
      </c>
    </row>
    <row r="71" spans="1:21" x14ac:dyDescent="0.25">
      <c r="A71" s="820"/>
      <c r="B71" s="575">
        <v>220.37</v>
      </c>
      <c r="C71" s="743">
        <v>0.37</v>
      </c>
      <c r="D71" s="743">
        <v>0.38</v>
      </c>
      <c r="E71" s="739"/>
      <c r="F71" s="742">
        <f t="shared" si="15"/>
        <v>5.0000000000000044E-3</v>
      </c>
      <c r="G71" s="575">
        <f t="shared" si="16"/>
        <v>2.6444399999999999</v>
      </c>
      <c r="H71" s="822"/>
      <c r="I71" s="575">
        <v>220</v>
      </c>
      <c r="J71" s="743">
        <v>-0.16</v>
      </c>
      <c r="K71" s="743">
        <v>-0.45</v>
      </c>
      <c r="L71" s="739"/>
      <c r="M71" s="742">
        <f t="shared" si="17"/>
        <v>0.14500000000000002</v>
      </c>
      <c r="N71" s="575">
        <f t="shared" si="18"/>
        <v>2.64</v>
      </c>
      <c r="O71" s="826"/>
      <c r="P71" s="575">
        <v>219.61</v>
      </c>
      <c r="Q71" s="743">
        <v>-0.39</v>
      </c>
      <c r="R71" s="744" t="s">
        <v>102</v>
      </c>
      <c r="S71" s="739"/>
      <c r="T71" s="742">
        <f t="shared" si="19"/>
        <v>0</v>
      </c>
      <c r="U71" s="575">
        <f t="shared" si="20"/>
        <v>2.6353200000000001</v>
      </c>
    </row>
    <row r="72" spans="1:21" x14ac:dyDescent="0.25">
      <c r="A72" s="820"/>
      <c r="B72" s="575">
        <v>230.47</v>
      </c>
      <c r="C72" s="743">
        <v>0.47</v>
      </c>
      <c r="D72" s="743">
        <v>0.4</v>
      </c>
      <c r="E72" s="739"/>
      <c r="F72" s="742">
        <f t="shared" si="15"/>
        <v>3.4999999999999976E-2</v>
      </c>
      <c r="G72" s="575">
        <f t="shared" si="16"/>
        <v>2.7656399999999999</v>
      </c>
      <c r="H72" s="822"/>
      <c r="I72" s="575">
        <v>230</v>
      </c>
      <c r="J72" s="743">
        <v>-0.15</v>
      </c>
      <c r="K72" s="743">
        <v>-0.54</v>
      </c>
      <c r="L72" s="739"/>
      <c r="M72" s="742">
        <f t="shared" si="17"/>
        <v>0.19500000000000001</v>
      </c>
      <c r="N72" s="575">
        <f t="shared" si="18"/>
        <v>2.7600000000000002</v>
      </c>
      <c r="O72" s="826"/>
      <c r="P72" s="575">
        <v>229.61</v>
      </c>
      <c r="Q72" s="743">
        <v>-0.39</v>
      </c>
      <c r="R72" s="744" t="s">
        <v>102</v>
      </c>
      <c r="S72" s="739"/>
      <c r="T72" s="742">
        <f t="shared" si="19"/>
        <v>0</v>
      </c>
      <c r="U72" s="575">
        <f t="shared" si="20"/>
        <v>2.7553200000000002</v>
      </c>
    </row>
    <row r="73" spans="1:21" x14ac:dyDescent="0.25">
      <c r="A73" s="820"/>
      <c r="B73" s="575">
        <v>240.38</v>
      </c>
      <c r="C73" s="743">
        <v>0.38</v>
      </c>
      <c r="D73" s="743">
        <v>9.9999999999999995E-7</v>
      </c>
      <c r="E73" s="739"/>
      <c r="F73" s="742">
        <f t="shared" si="15"/>
        <v>0.18999950000000002</v>
      </c>
      <c r="G73" s="575">
        <f t="shared" si="16"/>
        <v>2.88456</v>
      </c>
      <c r="H73" s="822"/>
      <c r="I73" s="575">
        <v>250</v>
      </c>
      <c r="J73" s="743">
        <v>9.9999999999999995E-7</v>
      </c>
      <c r="K73" s="743">
        <v>-0.49</v>
      </c>
      <c r="L73" s="739"/>
      <c r="M73" s="742">
        <f t="shared" si="17"/>
        <v>0.24500049999999998</v>
      </c>
      <c r="N73" s="575">
        <f t="shared" si="18"/>
        <v>3</v>
      </c>
      <c r="O73" s="826"/>
      <c r="P73" s="575">
        <v>239.61</v>
      </c>
      <c r="Q73" s="743">
        <v>-0.39</v>
      </c>
      <c r="R73" s="744" t="s">
        <v>102</v>
      </c>
      <c r="S73" s="739"/>
      <c r="T73" s="742">
        <f t="shared" si="19"/>
        <v>0</v>
      </c>
      <c r="U73" s="575">
        <f t="shared" si="20"/>
        <v>2.8753200000000003</v>
      </c>
    </row>
    <row r="74" spans="1:21" ht="12.75" customHeight="1" x14ac:dyDescent="0.25">
      <c r="A74" s="820"/>
      <c r="B74" s="816" t="s">
        <v>539</v>
      </c>
      <c r="C74" s="816"/>
      <c r="D74" s="816"/>
      <c r="E74" s="816"/>
      <c r="F74" s="817" t="s">
        <v>536</v>
      </c>
      <c r="G74" s="817" t="s">
        <v>537</v>
      </c>
      <c r="H74" s="822"/>
      <c r="I74" s="816" t="str">
        <f>B74</f>
        <v>Current Leakage</v>
      </c>
      <c r="J74" s="816"/>
      <c r="K74" s="816"/>
      <c r="L74" s="816"/>
      <c r="M74" s="817" t="s">
        <v>536</v>
      </c>
      <c r="N74" s="817" t="s">
        <v>537</v>
      </c>
      <c r="O74" s="826"/>
      <c r="P74" s="816" t="str">
        <f>B74</f>
        <v>Current Leakage</v>
      </c>
      <c r="Q74" s="816"/>
      <c r="R74" s="816"/>
      <c r="S74" s="816"/>
      <c r="T74" s="817" t="s">
        <v>536</v>
      </c>
      <c r="U74" s="817" t="s">
        <v>537</v>
      </c>
    </row>
    <row r="75" spans="1:21" ht="14" x14ac:dyDescent="0.25">
      <c r="A75" s="820"/>
      <c r="B75" s="583" t="s">
        <v>540</v>
      </c>
      <c r="C75" s="736">
        <f>C67</f>
        <v>2020</v>
      </c>
      <c r="D75" s="736">
        <f>D67</f>
        <v>2018</v>
      </c>
      <c r="E75" s="736" t="str">
        <f>E67</f>
        <v>-</v>
      </c>
      <c r="F75" s="817"/>
      <c r="G75" s="817"/>
      <c r="H75" s="822"/>
      <c r="I75" s="583" t="s">
        <v>540</v>
      </c>
      <c r="J75" s="736">
        <f>J67</f>
        <v>2022</v>
      </c>
      <c r="K75" s="736">
        <f>K67</f>
        <v>2020</v>
      </c>
      <c r="L75" s="736" t="str">
        <f>L67</f>
        <v>-</v>
      </c>
      <c r="M75" s="817"/>
      <c r="N75" s="817"/>
      <c r="O75" s="826"/>
      <c r="P75" s="583" t="s">
        <v>540</v>
      </c>
      <c r="Q75" s="736">
        <f>Q67</f>
        <v>2020</v>
      </c>
      <c r="R75" s="736" t="str">
        <f>R67</f>
        <v>-</v>
      </c>
      <c r="S75" s="736" t="str">
        <f>S67</f>
        <v>-</v>
      </c>
      <c r="T75" s="817"/>
      <c r="U75" s="817"/>
    </row>
    <row r="76" spans="1:21" ht="13" x14ac:dyDescent="0.25">
      <c r="A76" s="820"/>
      <c r="B76" s="575">
        <v>0</v>
      </c>
      <c r="C76" s="743">
        <v>9.9999999999999995E-7</v>
      </c>
      <c r="D76" s="743">
        <v>9.9999999999999995E-7</v>
      </c>
      <c r="E76" s="739"/>
      <c r="F76" s="742">
        <f t="shared" ref="F76:F81" si="21">0.5*(MAX(C76:E76)-MIN(C76:E76))</f>
        <v>0</v>
      </c>
      <c r="G76" s="575">
        <v>0.3</v>
      </c>
      <c r="H76" s="822"/>
      <c r="I76" s="575">
        <v>0</v>
      </c>
      <c r="J76" s="743">
        <v>9.9999999999999995E-7</v>
      </c>
      <c r="K76" s="743">
        <v>9.9999999999999995E-7</v>
      </c>
      <c r="L76" s="739"/>
      <c r="M76" s="742">
        <f t="shared" ref="M76:M81" si="22">0.5*(MAX(J76:L76)-MIN(J76:L76))</f>
        <v>0</v>
      </c>
      <c r="N76" s="575">
        <f t="shared" ref="N76:N81" si="23">(0.59/100)*I76</f>
        <v>0</v>
      </c>
      <c r="O76" s="826"/>
      <c r="P76" s="575">
        <v>0</v>
      </c>
      <c r="Q76" s="743">
        <v>9.9999999999999995E-7</v>
      </c>
      <c r="R76" s="745" t="s">
        <v>102</v>
      </c>
      <c r="S76" s="739"/>
      <c r="T76" s="742">
        <f t="shared" ref="T76:T81" si="24">0.5*(MAX(Q76:S76)-MIN(Q76:S76))</f>
        <v>0</v>
      </c>
      <c r="U76" s="575">
        <v>0.12</v>
      </c>
    </row>
    <row r="77" spans="1:21" x14ac:dyDescent="0.25">
      <c r="A77" s="820"/>
      <c r="B77" s="575">
        <v>50</v>
      </c>
      <c r="C77" s="743">
        <v>1.7</v>
      </c>
      <c r="D77" s="743">
        <v>2.1</v>
      </c>
      <c r="E77" s="739"/>
      <c r="F77" s="742">
        <f t="shared" si="21"/>
        <v>0.20000000000000007</v>
      </c>
      <c r="G77" s="575">
        <f>(0.59/100)*B77</f>
        <v>0.29499999999999998</v>
      </c>
      <c r="H77" s="822"/>
      <c r="I77" s="575">
        <v>20</v>
      </c>
      <c r="J77" s="743">
        <v>6.6</v>
      </c>
      <c r="K77" s="743">
        <v>0.9</v>
      </c>
      <c r="L77" s="739"/>
      <c r="M77" s="742">
        <f t="shared" si="22"/>
        <v>2.8499999999999996</v>
      </c>
      <c r="N77" s="575">
        <f t="shared" si="23"/>
        <v>0.11799999999999999</v>
      </c>
      <c r="O77" s="826"/>
      <c r="P77" s="575">
        <v>20.8</v>
      </c>
      <c r="Q77" s="743">
        <v>0.8</v>
      </c>
      <c r="R77" s="744" t="s">
        <v>102</v>
      </c>
      <c r="S77" s="739"/>
      <c r="T77" s="742">
        <f t="shared" si="24"/>
        <v>0</v>
      </c>
      <c r="U77" s="575">
        <f>(0.59/100)*P77</f>
        <v>0.12272</v>
      </c>
    </row>
    <row r="78" spans="1:21" x14ac:dyDescent="0.25">
      <c r="A78" s="820"/>
      <c r="B78" s="575">
        <v>100</v>
      </c>
      <c r="C78" s="743">
        <v>1.7</v>
      </c>
      <c r="D78" s="743">
        <v>2.2000000000000002</v>
      </c>
      <c r="E78" s="739"/>
      <c r="F78" s="742">
        <f t="shared" si="21"/>
        <v>0.25000000000000011</v>
      </c>
      <c r="G78" s="575">
        <f>(0.59/100)*B78</f>
        <v>0.59</v>
      </c>
      <c r="H78" s="822"/>
      <c r="I78" s="575">
        <v>50</v>
      </c>
      <c r="J78" s="743">
        <v>5</v>
      </c>
      <c r="K78" s="743">
        <v>2.1</v>
      </c>
      <c r="L78" s="739"/>
      <c r="M78" s="742">
        <f t="shared" si="22"/>
        <v>1.45</v>
      </c>
      <c r="N78" s="575">
        <f t="shared" si="23"/>
        <v>0.29499999999999998</v>
      </c>
      <c r="O78" s="826"/>
      <c r="P78" s="575">
        <v>51.7</v>
      </c>
      <c r="Q78" s="743">
        <v>1.7</v>
      </c>
      <c r="R78" s="744" t="s">
        <v>102</v>
      </c>
      <c r="S78" s="739"/>
      <c r="T78" s="742">
        <f t="shared" si="24"/>
        <v>0</v>
      </c>
      <c r="U78" s="575">
        <f>(0.59/100)*P78</f>
        <v>0.30503000000000002</v>
      </c>
    </row>
    <row r="79" spans="1:21" x14ac:dyDescent="0.25">
      <c r="A79" s="820"/>
      <c r="B79" s="575">
        <v>200.4</v>
      </c>
      <c r="C79" s="743">
        <v>0.4</v>
      </c>
      <c r="D79" s="743">
        <v>2.4</v>
      </c>
      <c r="E79" s="739"/>
      <c r="F79" s="742">
        <f t="shared" si="21"/>
        <v>1</v>
      </c>
      <c r="G79" s="575">
        <f>(0.59/100)*B79</f>
        <v>1.1823600000000001</v>
      </c>
      <c r="H79" s="822"/>
      <c r="I79" s="575">
        <v>200</v>
      </c>
      <c r="J79" s="743">
        <v>-8.1999999999999993</v>
      </c>
      <c r="K79" s="743">
        <v>3.7</v>
      </c>
      <c r="L79" s="739"/>
      <c r="M79" s="742">
        <f t="shared" si="22"/>
        <v>5.9499999999999993</v>
      </c>
      <c r="N79" s="575">
        <f t="shared" si="23"/>
        <v>1.18</v>
      </c>
      <c r="O79" s="826"/>
      <c r="P79" s="575">
        <v>103.4</v>
      </c>
      <c r="Q79" s="743">
        <v>3.4</v>
      </c>
      <c r="R79" s="744" t="s">
        <v>102</v>
      </c>
      <c r="S79" s="739"/>
      <c r="T79" s="742">
        <f t="shared" si="24"/>
        <v>0</v>
      </c>
      <c r="U79" s="575">
        <f>(0.59/100)*P79</f>
        <v>0.61006000000000005</v>
      </c>
    </row>
    <row r="80" spans="1:21" x14ac:dyDescent="0.25">
      <c r="A80" s="820"/>
      <c r="B80" s="575">
        <v>500</v>
      </c>
      <c r="C80" s="743">
        <v>3</v>
      </c>
      <c r="D80" s="743">
        <v>3.3</v>
      </c>
      <c r="E80" s="739"/>
      <c r="F80" s="742">
        <f t="shared" si="21"/>
        <v>0.14999999999999991</v>
      </c>
      <c r="G80" s="575">
        <f>(0.59/100)*B80</f>
        <v>2.9499999999999997</v>
      </c>
      <c r="H80" s="822"/>
      <c r="I80" s="575">
        <v>500</v>
      </c>
      <c r="J80" s="743">
        <v>-31.8</v>
      </c>
      <c r="K80" s="743">
        <v>8.3000000000000007</v>
      </c>
      <c r="L80" s="739"/>
      <c r="M80" s="742">
        <f t="shared" si="22"/>
        <v>20.05</v>
      </c>
      <c r="N80" s="575">
        <f t="shared" si="23"/>
        <v>2.9499999999999997</v>
      </c>
      <c r="O80" s="826"/>
      <c r="P80" s="575">
        <v>507.2</v>
      </c>
      <c r="Q80" s="743">
        <v>7.2</v>
      </c>
      <c r="R80" s="744" t="s">
        <v>102</v>
      </c>
      <c r="S80" s="739"/>
      <c r="T80" s="742">
        <f t="shared" si="24"/>
        <v>0</v>
      </c>
      <c r="U80" s="575">
        <f>(0.59/100)*P80</f>
        <v>2.99248</v>
      </c>
    </row>
    <row r="81" spans="1:21" x14ac:dyDescent="0.25">
      <c r="A81" s="820"/>
      <c r="B81" s="575">
        <v>1000</v>
      </c>
      <c r="C81" s="743">
        <v>9.9999999999999995E-7</v>
      </c>
      <c r="D81" s="743">
        <v>9.9999999999999995E-7</v>
      </c>
      <c r="E81" s="739"/>
      <c r="F81" s="742">
        <f t="shared" si="21"/>
        <v>0</v>
      </c>
      <c r="G81" s="575">
        <v>2.95</v>
      </c>
      <c r="H81" s="822"/>
      <c r="I81" s="575">
        <v>1000</v>
      </c>
      <c r="J81" s="743">
        <v>-74</v>
      </c>
      <c r="K81" s="743">
        <v>9.9999999999999995E-7</v>
      </c>
      <c r="L81" s="739"/>
      <c r="M81" s="742">
        <f t="shared" si="22"/>
        <v>37.000000499999999</v>
      </c>
      <c r="N81" s="575">
        <f t="shared" si="23"/>
        <v>5.8999999999999995</v>
      </c>
      <c r="O81" s="826"/>
      <c r="P81" s="575">
        <v>920</v>
      </c>
      <c r="Q81" s="743">
        <v>9.9999999999999995E-7</v>
      </c>
      <c r="R81" s="744" t="s">
        <v>102</v>
      </c>
      <c r="S81" s="739"/>
      <c r="T81" s="742">
        <f t="shared" si="24"/>
        <v>0</v>
      </c>
      <c r="U81" s="575">
        <v>2.99</v>
      </c>
    </row>
    <row r="82" spans="1:21" ht="13" x14ac:dyDescent="0.25">
      <c r="A82" s="820"/>
      <c r="B82" s="816" t="s">
        <v>541</v>
      </c>
      <c r="C82" s="816"/>
      <c r="D82" s="816"/>
      <c r="E82" s="816"/>
      <c r="F82" s="817" t="s">
        <v>536</v>
      </c>
      <c r="G82" s="817" t="s">
        <v>537</v>
      </c>
      <c r="H82" s="822"/>
      <c r="I82" s="816" t="s">
        <v>541</v>
      </c>
      <c r="J82" s="816"/>
      <c r="K82" s="816"/>
      <c r="L82" s="816"/>
      <c r="M82" s="817" t="s">
        <v>536</v>
      </c>
      <c r="N82" s="817" t="s">
        <v>537</v>
      </c>
      <c r="O82" s="826"/>
      <c r="P82" s="816" t="str">
        <f>B82</f>
        <v>Main-PE</v>
      </c>
      <c r="Q82" s="816"/>
      <c r="R82" s="816"/>
      <c r="S82" s="816"/>
      <c r="T82" s="817" t="s">
        <v>536</v>
      </c>
      <c r="U82" s="817" t="s">
        <v>537</v>
      </c>
    </row>
    <row r="83" spans="1:21" ht="14.5" x14ac:dyDescent="0.25">
      <c r="A83" s="820"/>
      <c r="B83" s="583" t="s">
        <v>685</v>
      </c>
      <c r="C83" s="736">
        <f>C67</f>
        <v>2020</v>
      </c>
      <c r="D83" s="736">
        <f>D67</f>
        <v>2018</v>
      </c>
      <c r="E83" s="736" t="str">
        <f>E67</f>
        <v>-</v>
      </c>
      <c r="F83" s="817"/>
      <c r="G83" s="817"/>
      <c r="H83" s="822"/>
      <c r="I83" s="583" t="s">
        <v>685</v>
      </c>
      <c r="J83" s="736">
        <f>J67</f>
        <v>2022</v>
      </c>
      <c r="K83" s="736">
        <f>K67</f>
        <v>2020</v>
      </c>
      <c r="L83" s="736" t="str">
        <f>L67</f>
        <v>-</v>
      </c>
      <c r="M83" s="817"/>
      <c r="N83" s="817"/>
      <c r="O83" s="826"/>
      <c r="P83" s="583" t="s">
        <v>685</v>
      </c>
      <c r="Q83" s="736">
        <f>Q67</f>
        <v>2020</v>
      </c>
      <c r="R83" s="736" t="str">
        <f>R67</f>
        <v>-</v>
      </c>
      <c r="S83" s="736" t="str">
        <f>S67</f>
        <v>-</v>
      </c>
      <c r="T83" s="817"/>
      <c r="U83" s="817"/>
    </row>
    <row r="84" spans="1:21" x14ac:dyDescent="0.25">
      <c r="A84" s="820"/>
      <c r="B84" s="575">
        <v>10</v>
      </c>
      <c r="C84" s="743">
        <v>9.9999999999999995E-7</v>
      </c>
      <c r="D84" s="743">
        <v>9.9999999999999995E-7</v>
      </c>
      <c r="E84" s="739"/>
      <c r="F84" s="742">
        <f>0.5*(MAX(C84:E84)-MIN(C84:E84))</f>
        <v>0</v>
      </c>
      <c r="G84" s="575">
        <f>(1.7/100)*B84</f>
        <v>0.17</v>
      </c>
      <c r="H84" s="822"/>
      <c r="I84" s="575">
        <v>10</v>
      </c>
      <c r="J84" s="743">
        <v>9.9999999999999995E-7</v>
      </c>
      <c r="K84" s="743">
        <v>9.9999999999999995E-7</v>
      </c>
      <c r="L84" s="739"/>
      <c r="M84" s="742">
        <f>0.5*(MAX(J84:L84)-MIN(J84:L84))</f>
        <v>0</v>
      </c>
      <c r="N84" s="575">
        <f>(1.7/100)*I84</f>
        <v>0.17</v>
      </c>
      <c r="O84" s="826"/>
      <c r="P84" s="575">
        <v>10</v>
      </c>
      <c r="Q84" s="743">
        <v>9.9999999999999995E-7</v>
      </c>
      <c r="R84" s="744" t="s">
        <v>102</v>
      </c>
      <c r="S84" s="739"/>
      <c r="T84" s="742">
        <f>0.5*(MAX(Q84:S84)-MIN(Q84:S84))</f>
        <v>0</v>
      </c>
      <c r="U84" s="575">
        <v>0</v>
      </c>
    </row>
    <row r="85" spans="1:21" x14ac:dyDescent="0.25">
      <c r="A85" s="820"/>
      <c r="B85" s="575">
        <v>20</v>
      </c>
      <c r="C85" s="743">
        <v>9.9999999999999995E-7</v>
      </c>
      <c r="D85" s="743">
        <v>0.1</v>
      </c>
      <c r="E85" s="739"/>
      <c r="F85" s="742">
        <f>0.5*(MAX(C85:E85)-MIN(C85:E85))</f>
        <v>4.9999500000000002E-2</v>
      </c>
      <c r="G85" s="575">
        <f>(1.7/100)*B85</f>
        <v>0.34</v>
      </c>
      <c r="H85" s="822"/>
      <c r="I85" s="575">
        <v>20</v>
      </c>
      <c r="J85" s="743">
        <v>9.9999999999999995E-7</v>
      </c>
      <c r="K85" s="743">
        <v>9.9999999999999995E-7</v>
      </c>
      <c r="L85" s="739"/>
      <c r="M85" s="742">
        <f>0.5*(MAX(J85:L85)-MIN(J85:L85))</f>
        <v>0</v>
      </c>
      <c r="N85" s="575">
        <f>(1.7/100)*I85</f>
        <v>0.34</v>
      </c>
      <c r="O85" s="826"/>
      <c r="P85" s="575">
        <v>20</v>
      </c>
      <c r="Q85" s="743">
        <v>9.9999999999999995E-7</v>
      </c>
      <c r="R85" s="744" t="s">
        <v>102</v>
      </c>
      <c r="S85" s="739"/>
      <c r="T85" s="742">
        <f>0.5*(MAX(Q85:S85)-MIN(Q85:S85))</f>
        <v>0</v>
      </c>
      <c r="U85" s="575">
        <v>0</v>
      </c>
    </row>
    <row r="86" spans="1:21" x14ac:dyDescent="0.25">
      <c r="A86" s="820"/>
      <c r="B86" s="575">
        <v>50</v>
      </c>
      <c r="C86" s="743">
        <v>9.9999999999999995E-7</v>
      </c>
      <c r="D86" s="743">
        <v>0.4</v>
      </c>
      <c r="E86" s="739"/>
      <c r="F86" s="742">
        <f>0.5*(MAX(C86:E86)-MIN(C86:E86))</f>
        <v>0.19999950000000002</v>
      </c>
      <c r="G86" s="575">
        <f>(1.7/100)*B86</f>
        <v>0.85000000000000009</v>
      </c>
      <c r="H86" s="822"/>
      <c r="I86" s="575">
        <v>50</v>
      </c>
      <c r="J86" s="743">
        <v>0.2</v>
      </c>
      <c r="K86" s="743">
        <v>9.9999999999999995E-7</v>
      </c>
      <c r="L86" s="739"/>
      <c r="M86" s="742">
        <f>0.5*(MAX(J86:L86)-MIN(J86:L86))</f>
        <v>9.9999500000000005E-2</v>
      </c>
      <c r="N86" s="575">
        <f>(1.7/100)*I86</f>
        <v>0.85000000000000009</v>
      </c>
      <c r="O86" s="826"/>
      <c r="P86" s="575">
        <v>50</v>
      </c>
      <c r="Q86" s="743">
        <v>9.9999999999999995E-7</v>
      </c>
      <c r="R86" s="744" t="s">
        <v>102</v>
      </c>
      <c r="S86" s="739"/>
      <c r="T86" s="742">
        <f>0.5*(MAX(Q86:S86)-MIN(Q86:S86))</f>
        <v>0</v>
      </c>
      <c r="U86" s="575">
        <v>0</v>
      </c>
    </row>
    <row r="87" spans="1:21" x14ac:dyDescent="0.25">
      <c r="A87" s="820"/>
      <c r="B87" s="575">
        <v>100</v>
      </c>
      <c r="C87" s="743">
        <v>9.9999999999999995E-7</v>
      </c>
      <c r="D87" s="743">
        <v>1.4</v>
      </c>
      <c r="E87" s="739"/>
      <c r="F87" s="742">
        <f>0.5*(MAX(C87:E87)-MIN(C87:E87))</f>
        <v>0.6999995</v>
      </c>
      <c r="G87" s="575">
        <f>(1.7/100)*B87</f>
        <v>1.7000000000000002</v>
      </c>
      <c r="H87" s="822"/>
      <c r="I87" s="575">
        <v>100</v>
      </c>
      <c r="J87" s="743">
        <v>0.4</v>
      </c>
      <c r="K87" s="743">
        <v>9.9999999999999995E-7</v>
      </c>
      <c r="L87" s="739"/>
      <c r="M87" s="742">
        <f>0.5*(MAX(J87:L87)-MIN(J87:L87))</f>
        <v>0.19999950000000002</v>
      </c>
      <c r="N87" s="575">
        <f>(1.7/100)*I87</f>
        <v>1.7000000000000002</v>
      </c>
      <c r="O87" s="826"/>
      <c r="P87" s="575">
        <v>100</v>
      </c>
      <c r="Q87" s="743">
        <v>9.9999999999999995E-7</v>
      </c>
      <c r="R87" s="744" t="s">
        <v>102</v>
      </c>
      <c r="S87" s="739"/>
      <c r="T87" s="742">
        <f>0.5*(MAX(Q87:S87)-MIN(Q87:S87))</f>
        <v>0</v>
      </c>
      <c r="U87" s="575">
        <v>0</v>
      </c>
    </row>
    <row r="88" spans="1:21" ht="12.75" customHeight="1" x14ac:dyDescent="0.25">
      <c r="A88" s="820"/>
      <c r="B88" s="816" t="s">
        <v>542</v>
      </c>
      <c r="C88" s="816"/>
      <c r="D88" s="816"/>
      <c r="E88" s="816"/>
      <c r="F88" s="817" t="s">
        <v>536</v>
      </c>
      <c r="G88" s="817" t="s">
        <v>537</v>
      </c>
      <c r="H88" s="822"/>
      <c r="I88" s="816" t="s">
        <v>542</v>
      </c>
      <c r="J88" s="816"/>
      <c r="K88" s="816"/>
      <c r="L88" s="816"/>
      <c r="M88" s="817" t="s">
        <v>536</v>
      </c>
      <c r="N88" s="817" t="s">
        <v>537</v>
      </c>
      <c r="O88" s="826"/>
      <c r="P88" s="816" t="str">
        <f>B88</f>
        <v>Resistance</v>
      </c>
      <c r="Q88" s="816"/>
      <c r="R88" s="816"/>
      <c r="S88" s="816"/>
      <c r="T88" s="817" t="s">
        <v>536</v>
      </c>
      <c r="U88" s="817" t="s">
        <v>537</v>
      </c>
    </row>
    <row r="89" spans="1:21" ht="14.5" x14ac:dyDescent="0.25">
      <c r="A89" s="820"/>
      <c r="B89" s="583" t="s">
        <v>684</v>
      </c>
      <c r="C89" s="736">
        <f>C67</f>
        <v>2020</v>
      </c>
      <c r="D89" s="736">
        <f>D67</f>
        <v>2018</v>
      </c>
      <c r="E89" s="736" t="str">
        <f>E67</f>
        <v>-</v>
      </c>
      <c r="F89" s="817"/>
      <c r="G89" s="817"/>
      <c r="H89" s="822"/>
      <c r="I89" s="583" t="s">
        <v>684</v>
      </c>
      <c r="J89" s="736">
        <f>J67</f>
        <v>2022</v>
      </c>
      <c r="K89" s="736">
        <f>K67</f>
        <v>2020</v>
      </c>
      <c r="L89" s="736" t="str">
        <f>L67</f>
        <v>-</v>
      </c>
      <c r="M89" s="817"/>
      <c r="N89" s="817"/>
      <c r="O89" s="826"/>
      <c r="P89" s="583" t="s">
        <v>684</v>
      </c>
      <c r="Q89" s="736">
        <f>Q67</f>
        <v>2020</v>
      </c>
      <c r="R89" s="736" t="str">
        <f>R67</f>
        <v>-</v>
      </c>
      <c r="S89" s="736" t="str">
        <f>S67</f>
        <v>-</v>
      </c>
      <c r="T89" s="817"/>
      <c r="U89" s="817"/>
    </row>
    <row r="90" spans="1:21" x14ac:dyDescent="0.25">
      <c r="A90" s="820"/>
      <c r="B90" s="575">
        <v>0.01</v>
      </c>
      <c r="C90" s="743">
        <v>9.9999999999999995E-7</v>
      </c>
      <c r="D90" s="743">
        <v>9.9999999999999995E-7</v>
      </c>
      <c r="E90" s="739"/>
      <c r="F90" s="742">
        <f>0.5*(MAX(C90:E90)-MIN(C90:E90))</f>
        <v>0</v>
      </c>
      <c r="G90" s="575">
        <v>0.01</v>
      </c>
      <c r="H90" s="822"/>
      <c r="I90" s="575">
        <v>0.1</v>
      </c>
      <c r="J90" s="743">
        <v>-1E-3</v>
      </c>
      <c r="K90" s="743">
        <v>-1E-3</v>
      </c>
      <c r="L90" s="739"/>
      <c r="M90" s="742">
        <f>0.5*(MAX(J90:L90)-MIN(J90:L90))</f>
        <v>0</v>
      </c>
      <c r="N90" s="575">
        <f>(1.2/100)*I90</f>
        <v>1.2000000000000001E-3</v>
      </c>
      <c r="O90" s="826"/>
      <c r="P90" s="575">
        <v>1E-3</v>
      </c>
      <c r="Q90" s="743">
        <v>-1E-3</v>
      </c>
      <c r="R90" s="744" t="s">
        <v>102</v>
      </c>
      <c r="S90" s="739"/>
      <c r="T90" s="742">
        <f>0.5*(MAX(Q90:S90)-MIN(Q90:S90))</f>
        <v>0</v>
      </c>
      <c r="U90" s="575">
        <f>(1.2/100)*P90</f>
        <v>1.2E-5</v>
      </c>
    </row>
    <row r="91" spans="1:21" x14ac:dyDescent="0.25">
      <c r="A91" s="820"/>
      <c r="B91" s="575">
        <v>0.5</v>
      </c>
      <c r="C91" s="743">
        <v>9.9999999999999995E-7</v>
      </c>
      <c r="D91" s="743">
        <v>1E-3</v>
      </c>
      <c r="E91" s="739"/>
      <c r="F91" s="742">
        <f>0.5*(MAX(C91:E91)-MIN(C91:E91))</f>
        <v>4.9950000000000005E-4</v>
      </c>
      <c r="G91" s="575">
        <f>(1.2/100)*B91</f>
        <v>6.0000000000000001E-3</v>
      </c>
      <c r="H91" s="822"/>
      <c r="I91" s="575">
        <v>0.5</v>
      </c>
      <c r="J91" s="743">
        <v>4.0000000000000001E-3</v>
      </c>
      <c r="K91" s="743">
        <v>-3.0000000000000001E-3</v>
      </c>
      <c r="L91" s="739"/>
      <c r="M91" s="742">
        <f>0.5*(MAX(J91:L91)-MIN(J91:L91))</f>
        <v>3.5000000000000001E-3</v>
      </c>
      <c r="N91" s="575">
        <f>(1.2/100)*I91</f>
        <v>6.0000000000000001E-3</v>
      </c>
      <c r="O91" s="826"/>
      <c r="P91" s="575">
        <v>0.10199999999999999</v>
      </c>
      <c r="Q91" s="743">
        <v>-2E-3</v>
      </c>
      <c r="R91" s="744" t="s">
        <v>102</v>
      </c>
      <c r="S91" s="739"/>
      <c r="T91" s="742">
        <f>0.5*(MAX(Q91:S91)-MIN(Q91:S91))</f>
        <v>0</v>
      </c>
      <c r="U91" s="575">
        <f>(1.2/100)*P91</f>
        <v>1.224E-3</v>
      </c>
    </row>
    <row r="92" spans="1:21" x14ac:dyDescent="0.25">
      <c r="A92" s="820"/>
      <c r="B92" s="575">
        <v>1</v>
      </c>
      <c r="C92" s="743">
        <v>-2E-3</v>
      </c>
      <c r="D92" s="743">
        <v>1E-3</v>
      </c>
      <c r="E92" s="739"/>
      <c r="F92" s="742">
        <f>0.5*(MAX(C92:E92)-MIN(C92:E92))</f>
        <v>1.5E-3</v>
      </c>
      <c r="G92" s="575">
        <f>(1.2/100)*B92</f>
        <v>1.2E-2</v>
      </c>
      <c r="H92" s="822"/>
      <c r="I92" s="575">
        <v>1</v>
      </c>
      <c r="J92" s="743">
        <v>5.0000000000000001E-3</v>
      </c>
      <c r="K92" s="743">
        <v>1E-3</v>
      </c>
      <c r="L92" s="739"/>
      <c r="M92" s="742">
        <f>0.5*(MAX(J92:L92)-MIN(J92:L92))</f>
        <v>2E-3</v>
      </c>
      <c r="N92" s="575">
        <f>(1.2/100)*I92</f>
        <v>1.2E-2</v>
      </c>
      <c r="O92" s="826"/>
      <c r="P92" s="575">
        <v>0.5</v>
      </c>
      <c r="Q92" s="743">
        <v>9.9999999999999995E-7</v>
      </c>
      <c r="R92" s="744" t="s">
        <v>102</v>
      </c>
      <c r="S92" s="739"/>
      <c r="T92" s="742">
        <f>0.5*(MAX(Q92:S92)-MIN(Q92:S92))</f>
        <v>0</v>
      </c>
      <c r="U92" s="575">
        <f>(1.2/100)*P92</f>
        <v>6.0000000000000001E-3</v>
      </c>
    </row>
    <row r="93" spans="1:21" x14ac:dyDescent="0.25">
      <c r="A93" s="820"/>
      <c r="B93" s="575">
        <v>2</v>
      </c>
      <c r="C93" s="743">
        <v>9.9999999999999995E-7</v>
      </c>
      <c r="D93" s="743">
        <v>9.9999999999999995E-7</v>
      </c>
      <c r="E93" s="739"/>
      <c r="F93" s="742">
        <f>0.5*(MAX(C93:E93)-MIN(C93:E93))</f>
        <v>0</v>
      </c>
      <c r="G93" s="575">
        <f>(1.2/100)*B93</f>
        <v>2.4E-2</v>
      </c>
      <c r="H93" s="822"/>
      <c r="I93" s="575">
        <v>2</v>
      </c>
      <c r="J93" s="743">
        <v>5.0000000000000001E-3</v>
      </c>
      <c r="K93" s="743">
        <v>-1E-3</v>
      </c>
      <c r="L93" s="739"/>
      <c r="M93" s="742">
        <f>0.5*(MAX(J93:L93)-MIN(J93:L93))</f>
        <v>3.0000000000000001E-3</v>
      </c>
      <c r="N93" s="575">
        <f>(1.2/100)*I93</f>
        <v>2.4E-2</v>
      </c>
      <c r="O93" s="826"/>
      <c r="P93" s="589">
        <v>1</v>
      </c>
      <c r="Q93" s="741">
        <v>-1E-3</v>
      </c>
      <c r="R93" s="740" t="s">
        <v>102</v>
      </c>
      <c r="S93" s="739"/>
      <c r="T93" s="738">
        <f>0.5*(MAX(Q93:S93)-MIN(Q93:S93))</f>
        <v>0</v>
      </c>
      <c r="U93" s="589">
        <f>(1.2/100)*P93</f>
        <v>1.2E-2</v>
      </c>
    </row>
    <row r="94" spans="1:21" ht="15.5" x14ac:dyDescent="0.25">
      <c r="A94" s="588"/>
      <c r="B94" s="562"/>
      <c r="C94" s="562"/>
      <c r="D94" s="585"/>
      <c r="E94" s="587"/>
      <c r="F94" s="585"/>
      <c r="H94" s="586"/>
      <c r="I94" s="562"/>
      <c r="J94" s="562"/>
      <c r="K94" s="585"/>
      <c r="L94" s="585"/>
      <c r="M94" s="585"/>
      <c r="O94" s="586"/>
      <c r="P94" s="562"/>
      <c r="Q94" s="562"/>
      <c r="R94" s="585"/>
      <c r="S94" s="585"/>
      <c r="T94" s="585"/>
    </row>
    <row r="95" spans="1:21" ht="14.5" x14ac:dyDescent="0.25">
      <c r="A95" s="820" t="s">
        <v>270</v>
      </c>
      <c r="B95" s="825">
        <v>10</v>
      </c>
      <c r="C95" s="825"/>
      <c r="D95" s="825"/>
      <c r="E95" s="825"/>
      <c r="F95" s="825"/>
      <c r="G95" s="825"/>
      <c r="H95" s="822" t="s">
        <v>271</v>
      </c>
      <c r="I95" s="821">
        <v>11</v>
      </c>
      <c r="J95" s="821"/>
      <c r="K95" s="821"/>
      <c r="L95" s="821"/>
      <c r="M95" s="821"/>
      <c r="N95" s="821"/>
      <c r="O95" s="822" t="s">
        <v>272</v>
      </c>
      <c r="P95" s="821">
        <v>12</v>
      </c>
      <c r="Q95" s="821"/>
      <c r="R95" s="821"/>
      <c r="S95" s="821"/>
      <c r="T95" s="821"/>
      <c r="U95" s="821"/>
    </row>
    <row r="96" spans="1:21" ht="14" x14ac:dyDescent="0.3">
      <c r="A96" s="820"/>
      <c r="B96" s="823" t="s">
        <v>534</v>
      </c>
      <c r="C96" s="823"/>
      <c r="D96" s="823"/>
      <c r="E96" s="823"/>
      <c r="F96" s="823"/>
      <c r="G96" s="823"/>
      <c r="H96" s="822"/>
      <c r="I96" s="824" t="s">
        <v>534</v>
      </c>
      <c r="J96" s="824"/>
      <c r="K96" s="824"/>
      <c r="L96" s="824"/>
      <c r="M96" s="824"/>
      <c r="N96" s="824"/>
      <c r="O96" s="822"/>
      <c r="P96" s="824" t="s">
        <v>534</v>
      </c>
      <c r="Q96" s="824"/>
      <c r="R96" s="824"/>
      <c r="S96" s="824"/>
      <c r="T96" s="824"/>
      <c r="U96" s="824"/>
    </row>
    <row r="97" spans="1:21" ht="13" x14ac:dyDescent="0.25">
      <c r="A97" s="820"/>
      <c r="B97" s="817" t="s">
        <v>535</v>
      </c>
      <c r="C97" s="817"/>
      <c r="D97" s="817"/>
      <c r="E97" s="817"/>
      <c r="F97" s="817" t="s">
        <v>536</v>
      </c>
      <c r="G97" s="817" t="s">
        <v>537</v>
      </c>
      <c r="H97" s="822"/>
      <c r="I97" s="817" t="str">
        <f>B97</f>
        <v>Setting VAC</v>
      </c>
      <c r="J97" s="817"/>
      <c r="K97" s="817"/>
      <c r="L97" s="817"/>
      <c r="M97" s="817" t="s">
        <v>536</v>
      </c>
      <c r="N97" s="817" t="s">
        <v>537</v>
      </c>
      <c r="O97" s="822"/>
      <c r="P97" s="817" t="str">
        <f>B97</f>
        <v>Setting VAC</v>
      </c>
      <c r="Q97" s="817"/>
      <c r="R97" s="817"/>
      <c r="S97" s="817"/>
      <c r="T97" s="817" t="s">
        <v>536</v>
      </c>
      <c r="U97" s="817" t="s">
        <v>537</v>
      </c>
    </row>
    <row r="98" spans="1:21" ht="14" x14ac:dyDescent="0.25">
      <c r="A98" s="820"/>
      <c r="B98" s="583" t="s">
        <v>538</v>
      </c>
      <c r="C98" s="737" t="s">
        <v>102</v>
      </c>
      <c r="D98" s="737" t="s">
        <v>102</v>
      </c>
      <c r="E98" s="737" t="s">
        <v>102</v>
      </c>
      <c r="F98" s="817"/>
      <c r="G98" s="817"/>
      <c r="H98" s="822"/>
      <c r="I98" s="583" t="s">
        <v>538</v>
      </c>
      <c r="J98" s="737" t="s">
        <v>102</v>
      </c>
      <c r="K98" s="737" t="s">
        <v>102</v>
      </c>
      <c r="L98" s="737" t="s">
        <v>102</v>
      </c>
      <c r="M98" s="817"/>
      <c r="N98" s="817"/>
      <c r="O98" s="822"/>
      <c r="P98" s="583" t="s">
        <v>538</v>
      </c>
      <c r="Q98" s="737" t="s">
        <v>102</v>
      </c>
      <c r="R98" s="737" t="s">
        <v>102</v>
      </c>
      <c r="S98" s="737" t="s">
        <v>102</v>
      </c>
      <c r="T98" s="817"/>
      <c r="U98" s="817"/>
    </row>
    <row r="99" spans="1:21" ht="13" x14ac:dyDescent="0.25">
      <c r="A99" s="820"/>
      <c r="B99" s="575">
        <v>150</v>
      </c>
      <c r="C99" s="584" t="s">
        <v>102</v>
      </c>
      <c r="D99" s="584" t="s">
        <v>102</v>
      </c>
      <c r="E99" s="584" t="s">
        <v>102</v>
      </c>
      <c r="F99" s="581">
        <f t="shared" ref="F99:F104" si="25">0.5*(MAX(C99:E99)-MIN(C99:E99))</f>
        <v>0</v>
      </c>
      <c r="G99" s="584" t="s">
        <v>102</v>
      </c>
      <c r="H99" s="822"/>
      <c r="I99" s="575">
        <v>150</v>
      </c>
      <c r="J99" s="584" t="s">
        <v>102</v>
      </c>
      <c r="K99" s="584" t="s">
        <v>102</v>
      </c>
      <c r="L99" s="571"/>
      <c r="M99" s="581">
        <f t="shared" ref="M99:M104" si="26">0.5*(MAX(J99:L99)-MIN(J99:L99))</f>
        <v>0</v>
      </c>
      <c r="N99" s="584" t="s">
        <v>102</v>
      </c>
      <c r="O99" s="822"/>
      <c r="P99" s="575">
        <v>150</v>
      </c>
      <c r="Q99" s="584" t="s">
        <v>102</v>
      </c>
      <c r="R99" s="584" t="s">
        <v>102</v>
      </c>
      <c r="S99" s="571"/>
      <c r="T99" s="581">
        <f t="shared" ref="T99:T104" si="27">0.5*(MAX(Q99:S99)-MIN(Q99:S99))</f>
        <v>0</v>
      </c>
      <c r="U99" s="584" t="s">
        <v>102</v>
      </c>
    </row>
    <row r="100" spans="1:21" ht="13" x14ac:dyDescent="0.25">
      <c r="A100" s="820"/>
      <c r="B100" s="575">
        <v>180</v>
      </c>
      <c r="C100" s="580" t="s">
        <v>102</v>
      </c>
      <c r="D100" s="580" t="s">
        <v>102</v>
      </c>
      <c r="E100" s="580" t="s">
        <v>102</v>
      </c>
      <c r="F100" s="581">
        <f t="shared" si="25"/>
        <v>0</v>
      </c>
      <c r="G100" s="584" t="s">
        <v>102</v>
      </c>
      <c r="H100" s="822"/>
      <c r="I100" s="575">
        <v>180</v>
      </c>
      <c r="J100" s="580" t="s">
        <v>102</v>
      </c>
      <c r="K100" s="580" t="s">
        <v>102</v>
      </c>
      <c r="L100" s="571"/>
      <c r="M100" s="581">
        <f t="shared" si="26"/>
        <v>0</v>
      </c>
      <c r="N100" s="580" t="s">
        <v>102</v>
      </c>
      <c r="O100" s="822"/>
      <c r="P100" s="575">
        <v>180</v>
      </c>
      <c r="Q100" s="580" t="s">
        <v>102</v>
      </c>
      <c r="R100" s="580" t="s">
        <v>102</v>
      </c>
      <c r="S100" s="571"/>
      <c r="T100" s="581">
        <f t="shared" si="27"/>
        <v>0</v>
      </c>
      <c r="U100" s="580" t="s">
        <v>102</v>
      </c>
    </row>
    <row r="101" spans="1:21" ht="13" x14ac:dyDescent="0.25">
      <c r="A101" s="820"/>
      <c r="B101" s="575">
        <v>200</v>
      </c>
      <c r="C101" s="580" t="s">
        <v>102</v>
      </c>
      <c r="D101" s="580" t="s">
        <v>102</v>
      </c>
      <c r="E101" s="580" t="s">
        <v>102</v>
      </c>
      <c r="F101" s="581">
        <f t="shared" si="25"/>
        <v>0</v>
      </c>
      <c r="G101" s="584" t="s">
        <v>102</v>
      </c>
      <c r="H101" s="822"/>
      <c r="I101" s="575">
        <v>200</v>
      </c>
      <c r="J101" s="580" t="s">
        <v>102</v>
      </c>
      <c r="K101" s="580" t="s">
        <v>102</v>
      </c>
      <c r="L101" s="571"/>
      <c r="M101" s="581">
        <f t="shared" si="26"/>
        <v>0</v>
      </c>
      <c r="N101" s="580" t="s">
        <v>102</v>
      </c>
      <c r="O101" s="822"/>
      <c r="P101" s="575">
        <v>200</v>
      </c>
      <c r="Q101" s="580" t="s">
        <v>102</v>
      </c>
      <c r="R101" s="580" t="s">
        <v>102</v>
      </c>
      <c r="S101" s="571"/>
      <c r="T101" s="581">
        <f t="shared" si="27"/>
        <v>0</v>
      </c>
      <c r="U101" s="580" t="s">
        <v>102</v>
      </c>
    </row>
    <row r="102" spans="1:21" ht="13" x14ac:dyDescent="0.25">
      <c r="A102" s="820"/>
      <c r="B102" s="575">
        <v>220</v>
      </c>
      <c r="C102" s="580" t="s">
        <v>102</v>
      </c>
      <c r="D102" s="580" t="s">
        <v>102</v>
      </c>
      <c r="E102" s="580" t="s">
        <v>102</v>
      </c>
      <c r="F102" s="581">
        <f t="shared" si="25"/>
        <v>0</v>
      </c>
      <c r="G102" s="584" t="s">
        <v>102</v>
      </c>
      <c r="H102" s="822"/>
      <c r="I102" s="575">
        <v>220</v>
      </c>
      <c r="J102" s="580" t="s">
        <v>102</v>
      </c>
      <c r="K102" s="580" t="s">
        <v>102</v>
      </c>
      <c r="L102" s="571"/>
      <c r="M102" s="581">
        <f t="shared" si="26"/>
        <v>0</v>
      </c>
      <c r="N102" s="580" t="s">
        <v>102</v>
      </c>
      <c r="O102" s="822"/>
      <c r="P102" s="575">
        <v>220</v>
      </c>
      <c r="Q102" s="580" t="s">
        <v>102</v>
      </c>
      <c r="R102" s="580" t="s">
        <v>102</v>
      </c>
      <c r="S102" s="571"/>
      <c r="T102" s="581">
        <f t="shared" si="27"/>
        <v>0</v>
      </c>
      <c r="U102" s="580" t="s">
        <v>102</v>
      </c>
    </row>
    <row r="103" spans="1:21" ht="13" x14ac:dyDescent="0.25">
      <c r="A103" s="820"/>
      <c r="B103" s="575">
        <v>230</v>
      </c>
      <c r="C103" s="580" t="s">
        <v>102</v>
      </c>
      <c r="D103" s="580" t="s">
        <v>102</v>
      </c>
      <c r="E103" s="580" t="s">
        <v>102</v>
      </c>
      <c r="F103" s="581">
        <f t="shared" si="25"/>
        <v>0</v>
      </c>
      <c r="G103" s="584" t="s">
        <v>102</v>
      </c>
      <c r="H103" s="822"/>
      <c r="I103" s="575">
        <v>230</v>
      </c>
      <c r="J103" s="580" t="s">
        <v>102</v>
      </c>
      <c r="K103" s="580" t="s">
        <v>102</v>
      </c>
      <c r="L103" s="571"/>
      <c r="M103" s="581">
        <f t="shared" si="26"/>
        <v>0</v>
      </c>
      <c r="N103" s="580" t="s">
        <v>102</v>
      </c>
      <c r="O103" s="822"/>
      <c r="P103" s="575">
        <v>230</v>
      </c>
      <c r="Q103" s="580" t="s">
        <v>102</v>
      </c>
      <c r="R103" s="580" t="s">
        <v>102</v>
      </c>
      <c r="S103" s="571"/>
      <c r="T103" s="581">
        <f t="shared" si="27"/>
        <v>0</v>
      </c>
      <c r="U103" s="580" t="s">
        <v>102</v>
      </c>
    </row>
    <row r="104" spans="1:21" ht="13" x14ac:dyDescent="0.25">
      <c r="A104" s="820"/>
      <c r="B104" s="575">
        <v>250</v>
      </c>
      <c r="C104" s="580" t="s">
        <v>102</v>
      </c>
      <c r="D104" s="580" t="s">
        <v>102</v>
      </c>
      <c r="E104" s="580" t="s">
        <v>102</v>
      </c>
      <c r="F104" s="581">
        <f t="shared" si="25"/>
        <v>0</v>
      </c>
      <c r="G104" s="584" t="s">
        <v>102</v>
      </c>
      <c r="H104" s="822"/>
      <c r="I104" s="575">
        <v>250</v>
      </c>
      <c r="J104" s="580" t="s">
        <v>102</v>
      </c>
      <c r="K104" s="580" t="s">
        <v>102</v>
      </c>
      <c r="L104" s="571"/>
      <c r="M104" s="581">
        <f t="shared" si="26"/>
        <v>0</v>
      </c>
      <c r="N104" s="580" t="s">
        <v>102</v>
      </c>
      <c r="O104" s="822"/>
      <c r="P104" s="575">
        <v>250</v>
      </c>
      <c r="Q104" s="580" t="s">
        <v>102</v>
      </c>
      <c r="R104" s="580" t="s">
        <v>102</v>
      </c>
      <c r="S104" s="571"/>
      <c r="T104" s="581">
        <f t="shared" si="27"/>
        <v>0</v>
      </c>
      <c r="U104" s="580" t="s">
        <v>102</v>
      </c>
    </row>
    <row r="105" spans="1:21" ht="13.15" customHeight="1" x14ac:dyDescent="0.25">
      <c r="A105" s="820"/>
      <c r="B105" s="816" t="s">
        <v>539</v>
      </c>
      <c r="C105" s="816"/>
      <c r="D105" s="816"/>
      <c r="E105" s="816"/>
      <c r="F105" s="817" t="s">
        <v>536</v>
      </c>
      <c r="G105" s="817" t="s">
        <v>537</v>
      </c>
      <c r="H105" s="822"/>
      <c r="I105" s="816" t="str">
        <f>B105</f>
        <v>Current Leakage</v>
      </c>
      <c r="J105" s="816"/>
      <c r="K105" s="816"/>
      <c r="L105" s="816"/>
      <c r="M105" s="817" t="s">
        <v>536</v>
      </c>
      <c r="N105" s="817" t="s">
        <v>537</v>
      </c>
      <c r="O105" s="822"/>
      <c r="P105" s="816" t="str">
        <f>B105</f>
        <v>Current Leakage</v>
      </c>
      <c r="Q105" s="816"/>
      <c r="R105" s="816"/>
      <c r="S105" s="816"/>
      <c r="T105" s="817" t="s">
        <v>536</v>
      </c>
      <c r="U105" s="817" t="s">
        <v>537</v>
      </c>
    </row>
    <row r="106" spans="1:21" ht="14" x14ac:dyDescent="0.25">
      <c r="A106" s="820"/>
      <c r="B106" s="583" t="s">
        <v>540</v>
      </c>
      <c r="C106" s="736" t="str">
        <f>C98</f>
        <v>-</v>
      </c>
      <c r="D106" s="736" t="str">
        <f>D98</f>
        <v>-</v>
      </c>
      <c r="E106" s="736" t="str">
        <f>E98</f>
        <v>-</v>
      </c>
      <c r="F106" s="817"/>
      <c r="G106" s="817"/>
      <c r="H106" s="822"/>
      <c r="I106" s="583" t="s">
        <v>540</v>
      </c>
      <c r="J106" s="736" t="str">
        <f>J98</f>
        <v>-</v>
      </c>
      <c r="K106" s="736" t="str">
        <f>K98</f>
        <v>-</v>
      </c>
      <c r="L106" s="736" t="str">
        <f>L98</f>
        <v>-</v>
      </c>
      <c r="M106" s="817"/>
      <c r="N106" s="817"/>
      <c r="O106" s="822"/>
      <c r="P106" s="583" t="s">
        <v>540</v>
      </c>
      <c r="Q106" s="736" t="str">
        <f>Q98</f>
        <v>-</v>
      </c>
      <c r="R106" s="736" t="str">
        <f>R98</f>
        <v>-</v>
      </c>
      <c r="S106" s="736" t="str">
        <f>S98</f>
        <v>-</v>
      </c>
      <c r="T106" s="817"/>
      <c r="U106" s="817"/>
    </row>
    <row r="107" spans="1:21" ht="13" x14ac:dyDescent="0.25">
      <c r="A107" s="820"/>
      <c r="B107" s="575">
        <v>0</v>
      </c>
      <c r="C107" s="584" t="s">
        <v>102</v>
      </c>
      <c r="D107" s="584" t="s">
        <v>102</v>
      </c>
      <c r="E107" s="571"/>
      <c r="F107" s="581">
        <f t="shared" ref="F107:F112" si="28">0.5*(MAX(C107:E107)-MIN(C107:E107))</f>
        <v>0</v>
      </c>
      <c r="G107" s="584" t="s">
        <v>102</v>
      </c>
      <c r="H107" s="822"/>
      <c r="I107" s="575">
        <v>0</v>
      </c>
      <c r="J107" s="584" t="s">
        <v>102</v>
      </c>
      <c r="K107" s="584" t="s">
        <v>102</v>
      </c>
      <c r="L107" s="571"/>
      <c r="M107" s="581">
        <f t="shared" ref="M107:M112" si="29">0.5*(MAX(J107:L107)-MIN(J107:L107))</f>
        <v>0</v>
      </c>
      <c r="N107" s="584" t="s">
        <v>102</v>
      </c>
      <c r="O107" s="822"/>
      <c r="P107" s="575">
        <v>0</v>
      </c>
      <c r="Q107" s="584" t="s">
        <v>102</v>
      </c>
      <c r="R107" s="584" t="s">
        <v>102</v>
      </c>
      <c r="S107" s="571"/>
      <c r="T107" s="581">
        <f t="shared" ref="T107:T112" si="30">0.5*(MAX(Q107:S107)-MIN(Q107:S107))</f>
        <v>0</v>
      </c>
      <c r="U107" s="584" t="s">
        <v>102</v>
      </c>
    </row>
    <row r="108" spans="1:21" ht="13" x14ac:dyDescent="0.25">
      <c r="A108" s="820"/>
      <c r="B108" s="575">
        <v>50</v>
      </c>
      <c r="C108" s="580" t="s">
        <v>102</v>
      </c>
      <c r="D108" s="580" t="s">
        <v>102</v>
      </c>
      <c r="E108" s="571"/>
      <c r="F108" s="581">
        <f t="shared" si="28"/>
        <v>0</v>
      </c>
      <c r="G108" s="584" t="s">
        <v>102</v>
      </c>
      <c r="H108" s="822"/>
      <c r="I108" s="575">
        <v>50</v>
      </c>
      <c r="J108" s="580" t="s">
        <v>102</v>
      </c>
      <c r="K108" s="580" t="s">
        <v>102</v>
      </c>
      <c r="L108" s="571"/>
      <c r="M108" s="581">
        <f t="shared" si="29"/>
        <v>0</v>
      </c>
      <c r="N108" s="580" t="s">
        <v>102</v>
      </c>
      <c r="O108" s="822"/>
      <c r="P108" s="575">
        <v>50</v>
      </c>
      <c r="Q108" s="580" t="s">
        <v>102</v>
      </c>
      <c r="R108" s="580" t="s">
        <v>102</v>
      </c>
      <c r="S108" s="571"/>
      <c r="T108" s="581">
        <f t="shared" si="30"/>
        <v>0</v>
      </c>
      <c r="U108" s="580" t="s">
        <v>102</v>
      </c>
    </row>
    <row r="109" spans="1:21" ht="13" x14ac:dyDescent="0.25">
      <c r="A109" s="820"/>
      <c r="B109" s="575">
        <v>100</v>
      </c>
      <c r="C109" s="580" t="s">
        <v>102</v>
      </c>
      <c r="D109" s="580" t="s">
        <v>102</v>
      </c>
      <c r="E109" s="571"/>
      <c r="F109" s="581">
        <f t="shared" si="28"/>
        <v>0</v>
      </c>
      <c r="G109" s="584" t="s">
        <v>102</v>
      </c>
      <c r="H109" s="822"/>
      <c r="I109" s="575">
        <v>100</v>
      </c>
      <c r="J109" s="580" t="s">
        <v>102</v>
      </c>
      <c r="K109" s="580" t="s">
        <v>102</v>
      </c>
      <c r="L109" s="571"/>
      <c r="M109" s="581">
        <f t="shared" si="29"/>
        <v>0</v>
      </c>
      <c r="N109" s="580" t="s">
        <v>102</v>
      </c>
      <c r="O109" s="822"/>
      <c r="P109" s="575">
        <v>100</v>
      </c>
      <c r="Q109" s="580" t="s">
        <v>102</v>
      </c>
      <c r="R109" s="580" t="s">
        <v>102</v>
      </c>
      <c r="S109" s="571"/>
      <c r="T109" s="581">
        <f t="shared" si="30"/>
        <v>0</v>
      </c>
      <c r="U109" s="580" t="s">
        <v>102</v>
      </c>
    </row>
    <row r="110" spans="1:21" ht="13" x14ac:dyDescent="0.25">
      <c r="A110" s="820"/>
      <c r="B110" s="575">
        <v>200</v>
      </c>
      <c r="C110" s="580" t="s">
        <v>102</v>
      </c>
      <c r="D110" s="580" t="s">
        <v>102</v>
      </c>
      <c r="E110" s="571"/>
      <c r="F110" s="581">
        <f t="shared" si="28"/>
        <v>0</v>
      </c>
      <c r="G110" s="584" t="s">
        <v>102</v>
      </c>
      <c r="H110" s="822"/>
      <c r="I110" s="575">
        <v>200</v>
      </c>
      <c r="J110" s="580" t="s">
        <v>102</v>
      </c>
      <c r="K110" s="580" t="s">
        <v>102</v>
      </c>
      <c r="L110" s="571"/>
      <c r="M110" s="581">
        <f t="shared" si="29"/>
        <v>0</v>
      </c>
      <c r="N110" s="580" t="s">
        <v>102</v>
      </c>
      <c r="O110" s="822"/>
      <c r="P110" s="575">
        <v>200</v>
      </c>
      <c r="Q110" s="580" t="s">
        <v>102</v>
      </c>
      <c r="R110" s="580" t="s">
        <v>102</v>
      </c>
      <c r="S110" s="571"/>
      <c r="T110" s="581">
        <f t="shared" si="30"/>
        <v>0</v>
      </c>
      <c r="U110" s="580" t="s">
        <v>102</v>
      </c>
    </row>
    <row r="111" spans="1:21" ht="13" x14ac:dyDescent="0.25">
      <c r="A111" s="820"/>
      <c r="B111" s="575">
        <v>500</v>
      </c>
      <c r="C111" s="580" t="s">
        <v>102</v>
      </c>
      <c r="D111" s="580" t="s">
        <v>102</v>
      </c>
      <c r="E111" s="571"/>
      <c r="F111" s="581">
        <f t="shared" si="28"/>
        <v>0</v>
      </c>
      <c r="G111" s="584" t="s">
        <v>102</v>
      </c>
      <c r="H111" s="822"/>
      <c r="I111" s="575">
        <v>500</v>
      </c>
      <c r="J111" s="580" t="s">
        <v>102</v>
      </c>
      <c r="K111" s="580" t="s">
        <v>102</v>
      </c>
      <c r="L111" s="571"/>
      <c r="M111" s="581">
        <f t="shared" si="29"/>
        <v>0</v>
      </c>
      <c r="N111" s="580" t="s">
        <v>102</v>
      </c>
      <c r="O111" s="822"/>
      <c r="P111" s="575">
        <v>500</v>
      </c>
      <c r="Q111" s="580" t="s">
        <v>102</v>
      </c>
      <c r="R111" s="580" t="s">
        <v>102</v>
      </c>
      <c r="S111" s="571"/>
      <c r="T111" s="581">
        <f t="shared" si="30"/>
        <v>0</v>
      </c>
      <c r="U111" s="580" t="s">
        <v>102</v>
      </c>
    </row>
    <row r="112" spans="1:21" ht="13" x14ac:dyDescent="0.25">
      <c r="A112" s="820"/>
      <c r="B112" s="575">
        <v>1000</v>
      </c>
      <c r="C112" s="580" t="s">
        <v>102</v>
      </c>
      <c r="D112" s="580" t="s">
        <v>102</v>
      </c>
      <c r="E112" s="571"/>
      <c r="F112" s="581">
        <f t="shared" si="28"/>
        <v>0</v>
      </c>
      <c r="G112" s="584" t="s">
        <v>102</v>
      </c>
      <c r="H112" s="822"/>
      <c r="I112" s="575">
        <v>1000</v>
      </c>
      <c r="J112" s="580" t="s">
        <v>102</v>
      </c>
      <c r="K112" s="580" t="s">
        <v>102</v>
      </c>
      <c r="L112" s="571"/>
      <c r="M112" s="581">
        <f t="shared" si="29"/>
        <v>0</v>
      </c>
      <c r="N112" s="580" t="s">
        <v>102</v>
      </c>
      <c r="O112" s="822"/>
      <c r="P112" s="575">
        <v>1000</v>
      </c>
      <c r="Q112" s="580" t="s">
        <v>102</v>
      </c>
      <c r="R112" s="580" t="s">
        <v>102</v>
      </c>
      <c r="S112" s="571"/>
      <c r="T112" s="581">
        <f t="shared" si="30"/>
        <v>0</v>
      </c>
      <c r="U112" s="580" t="s">
        <v>102</v>
      </c>
    </row>
    <row r="113" spans="1:21" ht="13" x14ac:dyDescent="0.25">
      <c r="A113" s="820"/>
      <c r="B113" s="816" t="s">
        <v>541</v>
      </c>
      <c r="C113" s="816"/>
      <c r="D113" s="816"/>
      <c r="E113" s="816"/>
      <c r="F113" s="817" t="s">
        <v>536</v>
      </c>
      <c r="G113" s="817" t="s">
        <v>537</v>
      </c>
      <c r="H113" s="822"/>
      <c r="I113" s="816" t="s">
        <v>541</v>
      </c>
      <c r="J113" s="816"/>
      <c r="K113" s="816"/>
      <c r="L113" s="816"/>
      <c r="M113" s="817" t="s">
        <v>536</v>
      </c>
      <c r="N113" s="817" t="s">
        <v>537</v>
      </c>
      <c r="O113" s="822"/>
      <c r="P113" s="816" t="str">
        <f>B113</f>
        <v>Main-PE</v>
      </c>
      <c r="Q113" s="816"/>
      <c r="R113" s="816"/>
      <c r="S113" s="816"/>
      <c r="T113" s="817" t="s">
        <v>536</v>
      </c>
      <c r="U113" s="817" t="s">
        <v>537</v>
      </c>
    </row>
    <row r="114" spans="1:21" ht="14.5" x14ac:dyDescent="0.25">
      <c r="A114" s="820"/>
      <c r="B114" s="583" t="s">
        <v>685</v>
      </c>
      <c r="C114" s="736" t="str">
        <f>C98</f>
        <v>-</v>
      </c>
      <c r="D114" s="736" t="str">
        <f>D98</f>
        <v>-</v>
      </c>
      <c r="E114" s="736" t="str">
        <f>E98</f>
        <v>-</v>
      </c>
      <c r="F114" s="817"/>
      <c r="G114" s="817"/>
      <c r="H114" s="822"/>
      <c r="I114" s="583" t="s">
        <v>685</v>
      </c>
      <c r="J114" s="736" t="str">
        <f>J98</f>
        <v>-</v>
      </c>
      <c r="K114" s="736" t="str">
        <f>K98</f>
        <v>-</v>
      </c>
      <c r="L114" s="736" t="str">
        <f>L98</f>
        <v>-</v>
      </c>
      <c r="M114" s="817"/>
      <c r="N114" s="817"/>
      <c r="O114" s="822"/>
      <c r="P114" s="583" t="s">
        <v>685</v>
      </c>
      <c r="Q114" s="736" t="str">
        <f>Q98</f>
        <v>-</v>
      </c>
      <c r="R114" s="736" t="str">
        <f>R98</f>
        <v>-</v>
      </c>
      <c r="S114" s="736" t="str">
        <f>S98</f>
        <v>-</v>
      </c>
      <c r="T114" s="817"/>
      <c r="U114" s="817"/>
    </row>
    <row r="115" spans="1:21" x14ac:dyDescent="0.25">
      <c r="A115" s="820"/>
      <c r="B115" s="575">
        <v>10</v>
      </c>
      <c r="C115" s="580" t="s">
        <v>102</v>
      </c>
      <c r="D115" s="580" t="s">
        <v>102</v>
      </c>
      <c r="E115" s="571"/>
      <c r="F115" s="581">
        <f>0.5*(MAX(C115:E115)-MIN(C115:E115))</f>
        <v>0</v>
      </c>
      <c r="G115" s="580" t="s">
        <v>102</v>
      </c>
      <c r="H115" s="822"/>
      <c r="I115" s="575">
        <v>10</v>
      </c>
      <c r="J115" s="580" t="s">
        <v>102</v>
      </c>
      <c r="K115" s="580" t="s">
        <v>102</v>
      </c>
      <c r="L115" s="571"/>
      <c r="M115" s="581">
        <f>0.5*(MAX(J115:L115)-MIN(J115:L115))</f>
        <v>0</v>
      </c>
      <c r="N115" s="580" t="s">
        <v>102</v>
      </c>
      <c r="O115" s="822"/>
      <c r="P115" s="575">
        <v>10</v>
      </c>
      <c r="Q115" s="580" t="s">
        <v>102</v>
      </c>
      <c r="R115" s="580" t="s">
        <v>102</v>
      </c>
      <c r="S115" s="571"/>
      <c r="T115" s="581">
        <f>0.5*(MAX(Q115:S115)-MIN(Q115:S115))</f>
        <v>0</v>
      </c>
      <c r="U115" s="580" t="s">
        <v>102</v>
      </c>
    </row>
    <row r="116" spans="1:21" x14ac:dyDescent="0.25">
      <c r="A116" s="820"/>
      <c r="B116" s="575">
        <v>20</v>
      </c>
      <c r="C116" s="580" t="s">
        <v>102</v>
      </c>
      <c r="D116" s="580" t="s">
        <v>102</v>
      </c>
      <c r="E116" s="571"/>
      <c r="F116" s="581">
        <f>0.5*(MAX(C116:E116)-MIN(C116:E116))</f>
        <v>0</v>
      </c>
      <c r="G116" s="580" t="s">
        <v>102</v>
      </c>
      <c r="H116" s="822"/>
      <c r="I116" s="575">
        <v>20</v>
      </c>
      <c r="J116" s="580" t="s">
        <v>102</v>
      </c>
      <c r="K116" s="580" t="s">
        <v>102</v>
      </c>
      <c r="L116" s="571"/>
      <c r="M116" s="581">
        <f>0.5*(MAX(J116:L116)-MIN(J116:L116))</f>
        <v>0</v>
      </c>
      <c r="N116" s="580" t="s">
        <v>102</v>
      </c>
      <c r="O116" s="822"/>
      <c r="P116" s="575">
        <v>20</v>
      </c>
      <c r="Q116" s="580" t="s">
        <v>102</v>
      </c>
      <c r="R116" s="580" t="s">
        <v>102</v>
      </c>
      <c r="S116" s="571"/>
      <c r="T116" s="581">
        <f>0.5*(MAX(Q116:S116)-MIN(Q116:S116))</f>
        <v>0</v>
      </c>
      <c r="U116" s="580" t="s">
        <v>102</v>
      </c>
    </row>
    <row r="117" spans="1:21" x14ac:dyDescent="0.25">
      <c r="A117" s="820"/>
      <c r="B117" s="575">
        <v>50</v>
      </c>
      <c r="C117" s="580" t="s">
        <v>102</v>
      </c>
      <c r="D117" s="580" t="s">
        <v>102</v>
      </c>
      <c r="E117" s="571"/>
      <c r="F117" s="581">
        <f>0.5*(MAX(C117:E117)-MIN(C117:E117))</f>
        <v>0</v>
      </c>
      <c r="G117" s="580" t="s">
        <v>102</v>
      </c>
      <c r="H117" s="822"/>
      <c r="I117" s="575">
        <v>50</v>
      </c>
      <c r="J117" s="580" t="s">
        <v>102</v>
      </c>
      <c r="K117" s="580" t="s">
        <v>102</v>
      </c>
      <c r="L117" s="571"/>
      <c r="M117" s="581">
        <f>0.5*(MAX(J117:L117)-MIN(J117:L117))</f>
        <v>0</v>
      </c>
      <c r="N117" s="580" t="s">
        <v>102</v>
      </c>
      <c r="O117" s="822"/>
      <c r="P117" s="575">
        <v>50</v>
      </c>
      <c r="Q117" s="580" t="s">
        <v>102</v>
      </c>
      <c r="R117" s="580" t="s">
        <v>102</v>
      </c>
      <c r="S117" s="571"/>
      <c r="T117" s="581">
        <f>0.5*(MAX(Q117:S117)-MIN(Q117:S117))</f>
        <v>0</v>
      </c>
      <c r="U117" s="580" t="s">
        <v>102</v>
      </c>
    </row>
    <row r="118" spans="1:21" x14ac:dyDescent="0.25">
      <c r="A118" s="820"/>
      <c r="B118" s="575">
        <v>100</v>
      </c>
      <c r="C118" s="580" t="s">
        <v>102</v>
      </c>
      <c r="D118" s="580" t="s">
        <v>102</v>
      </c>
      <c r="E118" s="571"/>
      <c r="F118" s="581">
        <f>0.5*(MAX(C118:E118)-MIN(C118:E118))</f>
        <v>0</v>
      </c>
      <c r="G118" s="580" t="s">
        <v>102</v>
      </c>
      <c r="H118" s="822"/>
      <c r="I118" s="575">
        <v>100</v>
      </c>
      <c r="J118" s="580" t="s">
        <v>102</v>
      </c>
      <c r="K118" s="580" t="s">
        <v>102</v>
      </c>
      <c r="L118" s="571"/>
      <c r="M118" s="581">
        <f>0.5*(MAX(J118:L118)-MIN(J118:L118))</f>
        <v>0</v>
      </c>
      <c r="N118" s="580" t="s">
        <v>102</v>
      </c>
      <c r="O118" s="822"/>
      <c r="P118" s="575">
        <v>100</v>
      </c>
      <c r="Q118" s="580" t="s">
        <v>102</v>
      </c>
      <c r="R118" s="580" t="s">
        <v>102</v>
      </c>
      <c r="S118" s="571"/>
      <c r="T118" s="581">
        <f>0.5*(MAX(Q118:S118)-MIN(Q118:S118))</f>
        <v>0</v>
      </c>
      <c r="U118" s="580" t="s">
        <v>102</v>
      </c>
    </row>
    <row r="119" spans="1:21" ht="13.15" customHeight="1" x14ac:dyDescent="0.25">
      <c r="A119" s="820"/>
      <c r="B119" s="816" t="s">
        <v>542</v>
      </c>
      <c r="C119" s="816"/>
      <c r="D119" s="816"/>
      <c r="E119" s="816"/>
      <c r="F119" s="817" t="s">
        <v>536</v>
      </c>
      <c r="G119" s="817" t="s">
        <v>537</v>
      </c>
      <c r="H119" s="822"/>
      <c r="I119" s="816" t="s">
        <v>542</v>
      </c>
      <c r="J119" s="816"/>
      <c r="K119" s="816"/>
      <c r="L119" s="816"/>
      <c r="M119" s="817" t="s">
        <v>536</v>
      </c>
      <c r="N119" s="817" t="s">
        <v>537</v>
      </c>
      <c r="O119" s="822"/>
      <c r="P119" s="816" t="str">
        <f>B119</f>
        <v>Resistance</v>
      </c>
      <c r="Q119" s="816"/>
      <c r="R119" s="816"/>
      <c r="S119" s="816"/>
      <c r="T119" s="817" t="s">
        <v>536</v>
      </c>
      <c r="U119" s="817" t="s">
        <v>537</v>
      </c>
    </row>
    <row r="120" spans="1:21" ht="14.5" x14ac:dyDescent="0.25">
      <c r="A120" s="820"/>
      <c r="B120" s="583" t="s">
        <v>684</v>
      </c>
      <c r="C120" s="736" t="str">
        <f>C98</f>
        <v>-</v>
      </c>
      <c r="D120" s="736" t="str">
        <f>D98</f>
        <v>-</v>
      </c>
      <c r="E120" s="736" t="str">
        <f>E98</f>
        <v>-</v>
      </c>
      <c r="F120" s="817"/>
      <c r="G120" s="817"/>
      <c r="H120" s="822"/>
      <c r="I120" s="583" t="s">
        <v>684</v>
      </c>
      <c r="J120" s="736" t="str">
        <f>J98</f>
        <v>-</v>
      </c>
      <c r="K120" s="736" t="str">
        <f>K98</f>
        <v>-</v>
      </c>
      <c r="L120" s="736" t="str">
        <f>L98</f>
        <v>-</v>
      </c>
      <c r="M120" s="817"/>
      <c r="N120" s="817"/>
      <c r="O120" s="822"/>
      <c r="P120" s="583" t="s">
        <v>684</v>
      </c>
      <c r="Q120" s="736" t="str">
        <f>Q98</f>
        <v>-</v>
      </c>
      <c r="R120" s="736" t="str">
        <f>R98</f>
        <v>-</v>
      </c>
      <c r="S120" s="736" t="str">
        <f>S98</f>
        <v>-</v>
      </c>
      <c r="T120" s="817"/>
      <c r="U120" s="817"/>
    </row>
    <row r="121" spans="1:21" x14ac:dyDescent="0.25">
      <c r="A121" s="820"/>
      <c r="B121" s="575">
        <v>0</v>
      </c>
      <c r="C121" s="580" t="s">
        <v>102</v>
      </c>
      <c r="D121" s="580" t="s">
        <v>102</v>
      </c>
      <c r="E121" s="571"/>
      <c r="F121" s="581">
        <f>0.5*(MAX(C121:E121)-MIN(C121:E121))</f>
        <v>0</v>
      </c>
      <c r="G121" s="580" t="s">
        <v>102</v>
      </c>
      <c r="H121" s="822"/>
      <c r="I121" s="575">
        <v>0.01</v>
      </c>
      <c r="J121" s="580" t="s">
        <v>102</v>
      </c>
      <c r="K121" s="580" t="s">
        <v>102</v>
      </c>
      <c r="L121" s="571"/>
      <c r="M121" s="581">
        <f>0.5*(MAX(J121:L121)-MIN(J121:L121))</f>
        <v>0</v>
      </c>
      <c r="N121" s="580" t="s">
        <v>102</v>
      </c>
      <c r="O121" s="822"/>
      <c r="P121" s="575">
        <v>0.01</v>
      </c>
      <c r="Q121" s="580" t="s">
        <v>102</v>
      </c>
      <c r="R121" s="580" t="s">
        <v>102</v>
      </c>
      <c r="S121" s="571"/>
      <c r="T121" s="581">
        <f>0.5*(MAX(Q121:S121)-MIN(Q121:S121))</f>
        <v>0</v>
      </c>
      <c r="U121" s="580" t="s">
        <v>102</v>
      </c>
    </row>
    <row r="122" spans="1:21" x14ac:dyDescent="0.25">
      <c r="A122" s="820"/>
      <c r="B122" s="575">
        <v>0.1</v>
      </c>
      <c r="C122" s="580" t="s">
        <v>102</v>
      </c>
      <c r="D122" s="580" t="s">
        <v>102</v>
      </c>
      <c r="E122" s="571"/>
      <c r="F122" s="581">
        <f>0.5*(MAX(C122:E122)-MIN(C122:E122))</f>
        <v>0</v>
      </c>
      <c r="G122" s="580" t="s">
        <v>102</v>
      </c>
      <c r="H122" s="822"/>
      <c r="I122" s="575">
        <v>0.1</v>
      </c>
      <c r="J122" s="580" t="s">
        <v>102</v>
      </c>
      <c r="K122" s="580" t="s">
        <v>102</v>
      </c>
      <c r="L122" s="571"/>
      <c r="M122" s="581">
        <f>0.5*(MAX(J122:L122)-MIN(J122:L122))</f>
        <v>0</v>
      </c>
      <c r="N122" s="580" t="s">
        <v>102</v>
      </c>
      <c r="O122" s="822"/>
      <c r="P122" s="575">
        <v>0.1</v>
      </c>
      <c r="Q122" s="580" t="s">
        <v>102</v>
      </c>
      <c r="R122" s="580" t="s">
        <v>102</v>
      </c>
      <c r="S122" s="571"/>
      <c r="T122" s="581">
        <f>0.5*(MAX(Q122:S122)-MIN(Q122:S122))</f>
        <v>0</v>
      </c>
      <c r="U122" s="580" t="s">
        <v>102</v>
      </c>
    </row>
    <row r="123" spans="1:21" x14ac:dyDescent="0.25">
      <c r="A123" s="820"/>
      <c r="B123" s="575">
        <v>1</v>
      </c>
      <c r="C123" s="580" t="s">
        <v>102</v>
      </c>
      <c r="D123" s="580" t="s">
        <v>102</v>
      </c>
      <c r="E123" s="571"/>
      <c r="F123" s="581">
        <f>0.5*(MAX(C123:E123)-MIN(C123:E123))</f>
        <v>0</v>
      </c>
      <c r="G123" s="580" t="s">
        <v>102</v>
      </c>
      <c r="H123" s="822"/>
      <c r="I123" s="575">
        <v>1</v>
      </c>
      <c r="J123" s="580" t="s">
        <v>102</v>
      </c>
      <c r="K123" s="580" t="s">
        <v>102</v>
      </c>
      <c r="L123" s="571"/>
      <c r="M123" s="581">
        <f>0.5*(MAX(J123:L123)-MIN(J123:L123))</f>
        <v>0</v>
      </c>
      <c r="N123" s="580" t="s">
        <v>102</v>
      </c>
      <c r="O123" s="822"/>
      <c r="P123" s="575">
        <v>1</v>
      </c>
      <c r="Q123" s="580" t="s">
        <v>102</v>
      </c>
      <c r="R123" s="580" t="s">
        <v>102</v>
      </c>
      <c r="S123" s="571"/>
      <c r="T123" s="581">
        <f>0.5*(MAX(Q123:S123)-MIN(Q123:S123))</f>
        <v>0</v>
      </c>
      <c r="U123" s="580" t="s">
        <v>102</v>
      </c>
    </row>
    <row r="124" spans="1:21" x14ac:dyDescent="0.25">
      <c r="A124" s="820"/>
      <c r="B124" s="575">
        <v>2</v>
      </c>
      <c r="C124" s="580" t="s">
        <v>102</v>
      </c>
      <c r="D124" s="580" t="s">
        <v>102</v>
      </c>
      <c r="E124" s="571"/>
      <c r="F124" s="581">
        <f>0.5*(MAX(C124:E124)-MIN(C124:E124))</f>
        <v>0</v>
      </c>
      <c r="G124" s="580" t="s">
        <v>102</v>
      </c>
      <c r="H124" s="822"/>
      <c r="I124" s="575">
        <v>2</v>
      </c>
      <c r="J124" s="580" t="s">
        <v>102</v>
      </c>
      <c r="K124" s="580" t="s">
        <v>102</v>
      </c>
      <c r="L124" s="571"/>
      <c r="M124" s="581">
        <f>0.5*(MAX(J124:L124)-MIN(J124:L124))</f>
        <v>0</v>
      </c>
      <c r="N124" s="580" t="s">
        <v>102</v>
      </c>
      <c r="O124" s="822"/>
      <c r="P124" s="575">
        <v>2</v>
      </c>
      <c r="Q124" s="580" t="s">
        <v>102</v>
      </c>
      <c r="R124" s="580" t="s">
        <v>102</v>
      </c>
      <c r="S124" s="571"/>
      <c r="T124" s="581">
        <f>0.5*(MAX(Q124:S124)-MIN(Q124:S124))</f>
        <v>0</v>
      </c>
      <c r="U124" s="580" t="s">
        <v>102</v>
      </c>
    </row>
    <row r="125" spans="1:21" ht="15.5" x14ac:dyDescent="0.25">
      <c r="A125" s="827"/>
      <c r="B125" s="828"/>
      <c r="C125" s="828"/>
      <c r="D125" s="828"/>
      <c r="E125" s="828"/>
      <c r="F125" s="828"/>
      <c r="G125" s="828"/>
      <c r="H125" s="828"/>
      <c r="I125" s="828"/>
      <c r="J125" s="828"/>
      <c r="K125" s="828"/>
      <c r="L125" s="828"/>
      <c r="M125" s="828"/>
      <c r="N125" s="828"/>
      <c r="O125" s="828"/>
      <c r="P125" s="828"/>
      <c r="Q125" s="828"/>
      <c r="R125" s="828"/>
      <c r="S125" s="828"/>
      <c r="T125" s="828"/>
      <c r="U125" s="828"/>
    </row>
    <row r="126" spans="1:21" ht="15.5" x14ac:dyDescent="0.25">
      <c r="A126" s="827"/>
      <c r="B126" s="828"/>
      <c r="C126" s="828"/>
      <c r="D126" s="828"/>
      <c r="E126" s="828"/>
      <c r="F126" s="828"/>
      <c r="G126" s="828"/>
      <c r="H126" s="828"/>
      <c r="I126" s="828"/>
      <c r="J126" s="828"/>
      <c r="K126" s="828"/>
      <c r="L126" s="828"/>
      <c r="M126" s="828"/>
      <c r="N126" s="828"/>
      <c r="O126" s="828"/>
      <c r="P126" s="828"/>
      <c r="Q126" s="828"/>
      <c r="R126" s="828"/>
      <c r="S126" s="828"/>
      <c r="T126" s="828"/>
      <c r="U126" s="828"/>
    </row>
    <row r="127" spans="1:21" x14ac:dyDescent="0.25">
      <c r="A127" s="563"/>
      <c r="B127" s="562"/>
      <c r="C127" s="562"/>
    </row>
    <row r="128" spans="1:21" ht="14" x14ac:dyDescent="0.3">
      <c r="A128" s="836" t="s">
        <v>687</v>
      </c>
      <c r="B128" s="829"/>
      <c r="C128" s="837" t="s">
        <v>534</v>
      </c>
      <c r="D128" s="837"/>
      <c r="E128" s="837"/>
      <c r="F128" s="837"/>
      <c r="G128" s="837"/>
      <c r="H128" s="837"/>
      <c r="J128" s="836" t="str">
        <f>A128</f>
        <v>No. Urut</v>
      </c>
      <c r="K128" s="829"/>
      <c r="L128" s="830" t="s">
        <v>534</v>
      </c>
      <c r="M128" s="831"/>
      <c r="N128" s="831"/>
      <c r="O128" s="832"/>
      <c r="P128" s="579"/>
      <c r="Q128" s="579"/>
    </row>
    <row r="129" spans="1:17" ht="13.15" customHeight="1" x14ac:dyDescent="0.25">
      <c r="A129" s="836"/>
      <c r="B129" s="829"/>
      <c r="C129" s="833" t="str">
        <f>B4</f>
        <v>Setting VAC</v>
      </c>
      <c r="D129" s="833"/>
      <c r="E129" s="833"/>
      <c r="F129" s="833"/>
      <c r="G129" s="573" t="s">
        <v>536</v>
      </c>
      <c r="H129" s="573" t="s">
        <v>537</v>
      </c>
      <c r="J129" s="836"/>
      <c r="K129" s="829"/>
      <c r="L129" s="834" t="str">
        <f>B12</f>
        <v>Current Leakage</v>
      </c>
      <c r="M129" s="834"/>
      <c r="N129" s="834"/>
      <c r="O129" s="834"/>
      <c r="P129" s="573" t="s">
        <v>536</v>
      </c>
      <c r="Q129" s="573" t="s">
        <v>537</v>
      </c>
    </row>
    <row r="130" spans="1:17" ht="14" x14ac:dyDescent="0.25">
      <c r="A130" s="836"/>
      <c r="B130" s="829"/>
      <c r="C130" s="574" t="s">
        <v>538</v>
      </c>
      <c r="D130" s="573"/>
      <c r="E130" s="573"/>
      <c r="F130" s="571"/>
      <c r="G130" s="573"/>
      <c r="H130" s="573"/>
      <c r="J130" s="836"/>
      <c r="K130" s="829"/>
      <c r="L130" s="574" t="s">
        <v>540</v>
      </c>
      <c r="M130" s="573"/>
      <c r="N130" s="573"/>
      <c r="O130" s="571"/>
      <c r="P130" s="573"/>
      <c r="Q130" s="573"/>
    </row>
    <row r="131" spans="1:17" ht="14" x14ac:dyDescent="0.25">
      <c r="A131" s="835" t="s">
        <v>63</v>
      </c>
      <c r="B131" s="569">
        <v>1</v>
      </c>
      <c r="C131" s="578">
        <f t="shared" ref="C131:H131" si="31">B6</f>
        <v>150</v>
      </c>
      <c r="D131" s="578">
        <f t="shared" si="31"/>
        <v>0.31</v>
      </c>
      <c r="E131" s="578">
        <f t="shared" si="31"/>
        <v>0.76</v>
      </c>
      <c r="F131" s="578" t="str">
        <f t="shared" si="31"/>
        <v>-</v>
      </c>
      <c r="G131" s="578">
        <f t="shared" si="31"/>
        <v>0.22500000000000001</v>
      </c>
      <c r="H131" s="578">
        <f t="shared" si="31"/>
        <v>1.8</v>
      </c>
      <c r="J131" s="835" t="s">
        <v>63</v>
      </c>
      <c r="K131" s="569">
        <v>1</v>
      </c>
      <c r="L131" s="578">
        <f t="shared" ref="L131:Q131" si="32">B14</f>
        <v>0</v>
      </c>
      <c r="M131" s="578">
        <f t="shared" si="32"/>
        <v>9.9999999999999995E-7</v>
      </c>
      <c r="N131" s="578">
        <f t="shared" si="32"/>
        <v>9.9999999999999995E-7</v>
      </c>
      <c r="O131" s="578" t="str">
        <f t="shared" si="32"/>
        <v>-</v>
      </c>
      <c r="P131" s="578">
        <f t="shared" si="32"/>
        <v>0</v>
      </c>
      <c r="Q131" s="578">
        <f t="shared" si="32"/>
        <v>0.3</v>
      </c>
    </row>
    <row r="132" spans="1:17" ht="14" x14ac:dyDescent="0.25">
      <c r="A132" s="835"/>
      <c r="B132" s="569">
        <v>2</v>
      </c>
      <c r="C132" s="578">
        <f t="shared" ref="C132:H132" si="33">I6</f>
        <v>150</v>
      </c>
      <c r="D132" s="578">
        <f t="shared" si="33"/>
        <v>0.15</v>
      </c>
      <c r="E132" s="578">
        <f t="shared" si="33"/>
        <v>0.23</v>
      </c>
      <c r="F132" s="578" t="str">
        <f t="shared" si="33"/>
        <v>-</v>
      </c>
      <c r="G132" s="578">
        <f t="shared" si="33"/>
        <v>4.0000000000000008E-2</v>
      </c>
      <c r="H132" s="578">
        <f t="shared" si="33"/>
        <v>1.8</v>
      </c>
      <c r="J132" s="835"/>
      <c r="K132" s="569">
        <v>2</v>
      </c>
      <c r="L132" s="578">
        <f t="shared" ref="L132:Q132" si="34">I14</f>
        <v>0</v>
      </c>
      <c r="M132" s="578">
        <f t="shared" si="34"/>
        <v>9.9999999999999995E-7</v>
      </c>
      <c r="N132" s="578">
        <f t="shared" si="34"/>
        <v>9.9999999999999995E-7</v>
      </c>
      <c r="O132" s="578" t="str">
        <f t="shared" si="34"/>
        <v>-</v>
      </c>
      <c r="P132" s="578">
        <f t="shared" si="34"/>
        <v>0</v>
      </c>
      <c r="Q132" s="578">
        <f t="shared" si="34"/>
        <v>0.3</v>
      </c>
    </row>
    <row r="133" spans="1:17" x14ac:dyDescent="0.25">
      <c r="A133" s="835"/>
      <c r="B133" s="566">
        <v>3</v>
      </c>
      <c r="C133" s="578">
        <f t="shared" ref="C133:H133" si="35">P6</f>
        <v>150</v>
      </c>
      <c r="D133" s="578">
        <f t="shared" si="35"/>
        <v>-1.43</v>
      </c>
      <c r="E133" s="578">
        <f t="shared" si="35"/>
        <v>-1.6</v>
      </c>
      <c r="F133" s="578">
        <f t="shared" si="35"/>
        <v>-7.0000000000000007E-2</v>
      </c>
      <c r="G133" s="578">
        <f t="shared" si="35"/>
        <v>0.76500000000000001</v>
      </c>
      <c r="H133" s="578">
        <f t="shared" si="35"/>
        <v>1.8</v>
      </c>
      <c r="J133" s="835"/>
      <c r="K133" s="566">
        <v>3</v>
      </c>
      <c r="L133" s="578">
        <f t="shared" ref="L133:Q133" si="36">P14</f>
        <v>9.9999999999999995E-7</v>
      </c>
      <c r="M133" s="578">
        <f t="shared" si="36"/>
        <v>9.9999999999999995E-7</v>
      </c>
      <c r="N133" s="578">
        <f t="shared" si="36"/>
        <v>9.9999999999999995E-7</v>
      </c>
      <c r="O133" s="578">
        <f t="shared" si="36"/>
        <v>9.9999999999999995E-7</v>
      </c>
      <c r="P133" s="578">
        <f t="shared" si="36"/>
        <v>0</v>
      </c>
      <c r="Q133" s="578">
        <f t="shared" si="36"/>
        <v>5.8999999999999999E-9</v>
      </c>
    </row>
    <row r="134" spans="1:17" x14ac:dyDescent="0.25">
      <c r="A134" s="835"/>
      <c r="B134" s="566">
        <v>4</v>
      </c>
      <c r="C134" s="578">
        <f t="shared" ref="C134:H134" si="37">B37</f>
        <v>150</v>
      </c>
      <c r="D134" s="578">
        <f t="shared" si="37"/>
        <v>-0.05</v>
      </c>
      <c r="E134" s="578">
        <f t="shared" si="37"/>
        <v>0.11</v>
      </c>
      <c r="F134" s="578">
        <f t="shared" si="37"/>
        <v>0</v>
      </c>
      <c r="G134" s="578">
        <f t="shared" si="37"/>
        <v>0.08</v>
      </c>
      <c r="H134" s="578">
        <f t="shared" si="37"/>
        <v>1.8</v>
      </c>
      <c r="J134" s="835"/>
      <c r="K134" s="566">
        <v>4</v>
      </c>
      <c r="L134" s="578">
        <f t="shared" ref="L134:Q134" si="38">B45</f>
        <v>0</v>
      </c>
      <c r="M134" s="578">
        <f t="shared" si="38"/>
        <v>9.9999999999999995E-7</v>
      </c>
      <c r="N134" s="578">
        <f t="shared" si="38"/>
        <v>9.9999999999999995E-7</v>
      </c>
      <c r="O134" s="578">
        <f t="shared" si="38"/>
        <v>0</v>
      </c>
      <c r="P134" s="578">
        <f t="shared" si="38"/>
        <v>0</v>
      </c>
      <c r="Q134" s="578">
        <f t="shared" si="38"/>
        <v>0.3</v>
      </c>
    </row>
    <row r="135" spans="1:17" x14ac:dyDescent="0.25">
      <c r="A135" s="835"/>
      <c r="B135" s="566">
        <v>5</v>
      </c>
      <c r="C135" s="578">
        <f t="shared" ref="C135:H135" si="39">I37</f>
        <v>150</v>
      </c>
      <c r="D135" s="578">
        <f t="shared" si="39"/>
        <v>0.25</v>
      </c>
      <c r="E135" s="578">
        <f t="shared" si="39"/>
        <v>0.02</v>
      </c>
      <c r="F135" s="578">
        <f t="shared" si="39"/>
        <v>0</v>
      </c>
      <c r="G135" s="578">
        <f t="shared" si="39"/>
        <v>0.115</v>
      </c>
      <c r="H135" s="578">
        <f t="shared" si="39"/>
        <v>1.8</v>
      </c>
      <c r="J135" s="835"/>
      <c r="K135" s="566">
        <v>5</v>
      </c>
      <c r="L135" s="578">
        <f t="shared" ref="L135:Q135" si="40">I45</f>
        <v>0</v>
      </c>
      <c r="M135" s="578">
        <f t="shared" si="40"/>
        <v>9.9999999999999995E-7</v>
      </c>
      <c r="N135" s="578">
        <f t="shared" si="40"/>
        <v>9.9999999999999995E-7</v>
      </c>
      <c r="O135" s="578">
        <f t="shared" si="40"/>
        <v>0</v>
      </c>
      <c r="P135" s="578">
        <f t="shared" si="40"/>
        <v>0</v>
      </c>
      <c r="Q135" s="578">
        <f t="shared" si="40"/>
        <v>0</v>
      </c>
    </row>
    <row r="136" spans="1:17" x14ac:dyDescent="0.25">
      <c r="A136" s="835"/>
      <c r="B136" s="566">
        <v>6</v>
      </c>
      <c r="C136" s="578">
        <f t="shared" ref="C136:H136" si="41">P37</f>
        <v>150</v>
      </c>
      <c r="D136" s="578">
        <f t="shared" si="41"/>
        <v>-0.15</v>
      </c>
      <c r="E136" s="578">
        <f t="shared" si="41"/>
        <v>0.03</v>
      </c>
      <c r="F136" s="578">
        <f t="shared" si="41"/>
        <v>0</v>
      </c>
      <c r="G136" s="578">
        <f t="shared" si="41"/>
        <v>0.09</v>
      </c>
      <c r="H136" s="578">
        <f t="shared" si="41"/>
        <v>1.8</v>
      </c>
      <c r="J136" s="835"/>
      <c r="K136" s="566">
        <v>6</v>
      </c>
      <c r="L136" s="578">
        <f t="shared" ref="L136:Q136" si="42">P45</f>
        <v>0</v>
      </c>
      <c r="M136" s="578">
        <f t="shared" si="42"/>
        <v>9.9999999999999995E-7</v>
      </c>
      <c r="N136" s="578">
        <f t="shared" si="42"/>
        <v>9.9999999999999995E-7</v>
      </c>
      <c r="O136" s="578">
        <f t="shared" si="42"/>
        <v>0</v>
      </c>
      <c r="P136" s="578">
        <f t="shared" si="42"/>
        <v>0</v>
      </c>
      <c r="Q136" s="578">
        <f t="shared" si="42"/>
        <v>0.28999999999999998</v>
      </c>
    </row>
    <row r="137" spans="1:17" x14ac:dyDescent="0.25">
      <c r="A137" s="835"/>
      <c r="B137" s="566">
        <v>7</v>
      </c>
      <c r="C137" s="578">
        <f t="shared" ref="C137:H137" si="43">B68</f>
        <v>150.21</v>
      </c>
      <c r="D137" s="578">
        <f t="shared" si="43"/>
        <v>0.21</v>
      </c>
      <c r="E137" s="578">
        <f t="shared" si="43"/>
        <v>0.27</v>
      </c>
      <c r="F137" s="578">
        <f t="shared" si="43"/>
        <v>0</v>
      </c>
      <c r="G137" s="578">
        <f t="shared" si="43"/>
        <v>3.0000000000000013E-2</v>
      </c>
      <c r="H137" s="578">
        <f t="shared" si="43"/>
        <v>1.8025200000000001</v>
      </c>
      <c r="J137" s="835"/>
      <c r="K137" s="566">
        <v>7</v>
      </c>
      <c r="L137" s="578">
        <f t="shared" ref="L137:Q137" si="44">B76</f>
        <v>0</v>
      </c>
      <c r="M137" s="578">
        <f t="shared" si="44"/>
        <v>9.9999999999999995E-7</v>
      </c>
      <c r="N137" s="578">
        <f t="shared" si="44"/>
        <v>9.9999999999999995E-7</v>
      </c>
      <c r="O137" s="578">
        <f t="shared" si="44"/>
        <v>0</v>
      </c>
      <c r="P137" s="578">
        <f t="shared" si="44"/>
        <v>0</v>
      </c>
      <c r="Q137" s="578">
        <f t="shared" si="44"/>
        <v>0.3</v>
      </c>
    </row>
    <row r="138" spans="1:17" x14ac:dyDescent="0.25">
      <c r="A138" s="835"/>
      <c r="B138" s="566">
        <v>8</v>
      </c>
      <c r="C138" s="578">
        <f t="shared" ref="C138:H138" si="45">I68</f>
        <v>150</v>
      </c>
      <c r="D138" s="578">
        <f t="shared" si="45"/>
        <v>-0.17</v>
      </c>
      <c r="E138" s="578">
        <f t="shared" si="45"/>
        <v>-0.24</v>
      </c>
      <c r="F138" s="578">
        <f t="shared" si="45"/>
        <v>0</v>
      </c>
      <c r="G138" s="578">
        <f t="shared" si="45"/>
        <v>3.4999999999999989E-2</v>
      </c>
      <c r="H138" s="578">
        <f t="shared" si="45"/>
        <v>1.8</v>
      </c>
      <c r="J138" s="835"/>
      <c r="K138" s="566">
        <v>8</v>
      </c>
      <c r="L138" s="578">
        <f t="shared" ref="L138:Q138" si="46">I76</f>
        <v>0</v>
      </c>
      <c r="M138" s="578">
        <f t="shared" si="46"/>
        <v>9.9999999999999995E-7</v>
      </c>
      <c r="N138" s="578">
        <f t="shared" si="46"/>
        <v>9.9999999999999995E-7</v>
      </c>
      <c r="O138" s="578">
        <f t="shared" si="46"/>
        <v>0</v>
      </c>
      <c r="P138" s="578">
        <f t="shared" si="46"/>
        <v>0</v>
      </c>
      <c r="Q138" s="578">
        <f t="shared" si="46"/>
        <v>0</v>
      </c>
    </row>
    <row r="139" spans="1:17" x14ac:dyDescent="0.25">
      <c r="A139" s="835"/>
      <c r="B139" s="566">
        <v>9</v>
      </c>
      <c r="C139" s="578">
        <f t="shared" ref="C139:H139" si="47">P68</f>
        <v>149.83000000000001</v>
      </c>
      <c r="D139" s="578">
        <f t="shared" si="47"/>
        <v>-0.17</v>
      </c>
      <c r="E139" s="578" t="str">
        <f t="shared" si="47"/>
        <v>-</v>
      </c>
      <c r="F139" s="578">
        <f t="shared" si="47"/>
        <v>0</v>
      </c>
      <c r="G139" s="578">
        <f t="shared" si="47"/>
        <v>0</v>
      </c>
      <c r="H139" s="578">
        <f t="shared" si="47"/>
        <v>1.7979600000000002</v>
      </c>
      <c r="J139" s="835"/>
      <c r="K139" s="566">
        <v>9</v>
      </c>
      <c r="L139" s="578">
        <f t="shared" ref="L139:Q139" si="48">P76</f>
        <v>0</v>
      </c>
      <c r="M139" s="578">
        <f t="shared" si="48"/>
        <v>9.9999999999999995E-7</v>
      </c>
      <c r="N139" s="578" t="str">
        <f t="shared" si="48"/>
        <v>-</v>
      </c>
      <c r="O139" s="578">
        <f t="shared" si="48"/>
        <v>0</v>
      </c>
      <c r="P139" s="578">
        <f t="shared" si="48"/>
        <v>0</v>
      </c>
      <c r="Q139" s="578">
        <f t="shared" si="48"/>
        <v>0.12</v>
      </c>
    </row>
    <row r="140" spans="1:17" x14ac:dyDescent="0.25">
      <c r="A140" s="835"/>
      <c r="B140" s="566">
        <v>10</v>
      </c>
      <c r="C140" s="578">
        <f t="shared" ref="C140:H140" si="49">B99</f>
        <v>150</v>
      </c>
      <c r="D140" s="578" t="str">
        <f t="shared" si="49"/>
        <v>-</v>
      </c>
      <c r="E140" s="578" t="str">
        <f t="shared" si="49"/>
        <v>-</v>
      </c>
      <c r="F140" s="578" t="str">
        <f t="shared" si="49"/>
        <v>-</v>
      </c>
      <c r="G140" s="578">
        <f t="shared" si="49"/>
        <v>0</v>
      </c>
      <c r="H140" s="578" t="str">
        <f t="shared" si="49"/>
        <v>-</v>
      </c>
      <c r="J140" s="835"/>
      <c r="K140" s="566">
        <v>10</v>
      </c>
      <c r="L140" s="578">
        <f t="shared" ref="L140:Q140" si="50">B107</f>
        <v>0</v>
      </c>
      <c r="M140" s="578" t="str">
        <f t="shared" si="50"/>
        <v>-</v>
      </c>
      <c r="N140" s="578" t="str">
        <f t="shared" si="50"/>
        <v>-</v>
      </c>
      <c r="O140" s="578">
        <f t="shared" si="50"/>
        <v>0</v>
      </c>
      <c r="P140" s="578">
        <f t="shared" si="50"/>
        <v>0</v>
      </c>
      <c r="Q140" s="578" t="str">
        <f t="shared" si="50"/>
        <v>-</v>
      </c>
    </row>
    <row r="141" spans="1:17" x14ac:dyDescent="0.25">
      <c r="A141" s="835"/>
      <c r="B141" s="566">
        <v>11</v>
      </c>
      <c r="C141" s="578">
        <f t="shared" ref="C141:H141" si="51">I99</f>
        <v>150</v>
      </c>
      <c r="D141" s="578" t="str">
        <f t="shared" si="51"/>
        <v>-</v>
      </c>
      <c r="E141" s="578" t="str">
        <f t="shared" si="51"/>
        <v>-</v>
      </c>
      <c r="F141" s="578">
        <f t="shared" si="51"/>
        <v>0</v>
      </c>
      <c r="G141" s="578">
        <f t="shared" si="51"/>
        <v>0</v>
      </c>
      <c r="H141" s="578" t="str">
        <f t="shared" si="51"/>
        <v>-</v>
      </c>
      <c r="J141" s="835"/>
      <c r="K141" s="566">
        <v>11</v>
      </c>
      <c r="L141" s="578">
        <f t="shared" ref="L141:Q141" si="52">I107</f>
        <v>0</v>
      </c>
      <c r="M141" s="578" t="str">
        <f t="shared" si="52"/>
        <v>-</v>
      </c>
      <c r="N141" s="578" t="str">
        <f t="shared" si="52"/>
        <v>-</v>
      </c>
      <c r="O141" s="578">
        <f t="shared" si="52"/>
        <v>0</v>
      </c>
      <c r="P141" s="578">
        <f t="shared" si="52"/>
        <v>0</v>
      </c>
      <c r="Q141" s="578" t="str">
        <f t="shared" si="52"/>
        <v>-</v>
      </c>
    </row>
    <row r="142" spans="1:17" x14ac:dyDescent="0.25">
      <c r="A142" s="835"/>
      <c r="B142" s="566">
        <v>12</v>
      </c>
      <c r="C142" s="578">
        <f t="shared" ref="C142:H142" si="53">P99</f>
        <v>150</v>
      </c>
      <c r="D142" s="578" t="str">
        <f t="shared" si="53"/>
        <v>-</v>
      </c>
      <c r="E142" s="578" t="str">
        <f t="shared" si="53"/>
        <v>-</v>
      </c>
      <c r="F142" s="578">
        <f t="shared" si="53"/>
        <v>0</v>
      </c>
      <c r="G142" s="578">
        <f t="shared" si="53"/>
        <v>0</v>
      </c>
      <c r="H142" s="578" t="str">
        <f t="shared" si="53"/>
        <v>-</v>
      </c>
      <c r="J142" s="835"/>
      <c r="K142" s="566">
        <v>12</v>
      </c>
      <c r="L142" s="578">
        <f t="shared" ref="L142:Q142" si="54">P107</f>
        <v>0</v>
      </c>
      <c r="M142" s="578" t="str">
        <f t="shared" si="54"/>
        <v>-</v>
      </c>
      <c r="N142" s="578" t="str">
        <f t="shared" si="54"/>
        <v>-</v>
      </c>
      <c r="O142" s="578">
        <f t="shared" si="54"/>
        <v>0</v>
      </c>
      <c r="P142" s="578">
        <f t="shared" si="54"/>
        <v>0</v>
      </c>
      <c r="Q142" s="578" t="str">
        <f t="shared" si="54"/>
        <v>-</v>
      </c>
    </row>
    <row r="143" spans="1:17" s="546" customFormat="1" ht="13" x14ac:dyDescent="0.25">
      <c r="A143" s="551"/>
      <c r="B143" s="551"/>
      <c r="C143" s="577"/>
      <c r="D143" s="577"/>
      <c r="E143" s="577"/>
      <c r="F143" s="567"/>
      <c r="G143" s="577"/>
      <c r="H143" s="577"/>
      <c r="J143" s="551"/>
      <c r="K143" s="551"/>
      <c r="L143" s="576"/>
      <c r="M143" s="576"/>
      <c r="N143" s="576"/>
      <c r="O143" s="567"/>
      <c r="P143" s="576"/>
      <c r="Q143" s="576"/>
    </row>
    <row r="144" spans="1:17" ht="14" x14ac:dyDescent="0.25">
      <c r="A144" s="835" t="s">
        <v>64</v>
      </c>
      <c r="B144" s="569">
        <v>1</v>
      </c>
      <c r="C144" s="569">
        <f t="shared" ref="C144:H144" si="55">B7</f>
        <v>180</v>
      </c>
      <c r="D144" s="569">
        <f t="shared" si="55"/>
        <v>0.1</v>
      </c>
      <c r="E144" s="569">
        <f t="shared" si="55"/>
        <v>-0.03</v>
      </c>
      <c r="F144" s="569" t="str">
        <f t="shared" si="55"/>
        <v>-</v>
      </c>
      <c r="G144" s="569">
        <f t="shared" si="55"/>
        <v>6.5000000000000002E-2</v>
      </c>
      <c r="H144" s="569">
        <f t="shared" si="55"/>
        <v>2.16</v>
      </c>
      <c r="J144" s="835" t="s">
        <v>64</v>
      </c>
      <c r="K144" s="569">
        <v>1</v>
      </c>
      <c r="L144" s="566">
        <f t="shared" ref="L144:Q144" si="56">B15</f>
        <v>50</v>
      </c>
      <c r="M144" s="566">
        <f t="shared" si="56"/>
        <v>0.1</v>
      </c>
      <c r="N144" s="566">
        <f t="shared" si="56"/>
        <v>-0.06</v>
      </c>
      <c r="O144" s="566" t="str">
        <f t="shared" si="56"/>
        <v>-</v>
      </c>
      <c r="P144" s="566">
        <f t="shared" si="56"/>
        <v>0.08</v>
      </c>
      <c r="Q144" s="566">
        <f t="shared" si="56"/>
        <v>0.29499999999999998</v>
      </c>
    </row>
    <row r="145" spans="1:17" ht="14" x14ac:dyDescent="0.25">
      <c r="A145" s="835"/>
      <c r="B145" s="569">
        <v>2</v>
      </c>
      <c r="C145" s="569">
        <f t="shared" ref="C145:H145" si="57">I7</f>
        <v>180</v>
      </c>
      <c r="D145" s="569">
        <f t="shared" si="57"/>
        <v>0.12</v>
      </c>
      <c r="E145" s="569">
        <f t="shared" si="57"/>
        <v>-0.06</v>
      </c>
      <c r="F145" s="569" t="str">
        <f t="shared" si="57"/>
        <v>-</v>
      </c>
      <c r="G145" s="569">
        <f t="shared" si="57"/>
        <v>0.09</v>
      </c>
      <c r="H145" s="569">
        <f t="shared" si="57"/>
        <v>2.16</v>
      </c>
      <c r="J145" s="835"/>
      <c r="K145" s="569">
        <v>2</v>
      </c>
      <c r="L145" s="566">
        <f t="shared" ref="L145:Q145" si="58">I15</f>
        <v>50</v>
      </c>
      <c r="M145" s="566">
        <f t="shared" si="58"/>
        <v>-0.08</v>
      </c>
      <c r="N145" s="566">
        <f t="shared" si="58"/>
        <v>0.1</v>
      </c>
      <c r="O145" s="566" t="str">
        <f t="shared" si="58"/>
        <v>-</v>
      </c>
      <c r="P145" s="566">
        <f t="shared" si="58"/>
        <v>0.09</v>
      </c>
      <c r="Q145" s="566">
        <f t="shared" si="58"/>
        <v>0.29499999999999998</v>
      </c>
    </row>
    <row r="146" spans="1:17" ht="14" x14ac:dyDescent="0.25">
      <c r="A146" s="835"/>
      <c r="B146" s="569">
        <v>3</v>
      </c>
      <c r="C146" s="569">
        <f t="shared" ref="C146:H146" si="59">P7</f>
        <v>180</v>
      </c>
      <c r="D146" s="569">
        <f t="shared" si="59"/>
        <v>-1.81</v>
      </c>
      <c r="E146" s="569">
        <f t="shared" si="59"/>
        <v>-1.9</v>
      </c>
      <c r="F146" s="569">
        <f t="shared" si="59"/>
        <v>-0.13</v>
      </c>
      <c r="G146" s="569">
        <f t="shared" si="59"/>
        <v>0.88500000000000001</v>
      </c>
      <c r="H146" s="569">
        <f t="shared" si="59"/>
        <v>2.16</v>
      </c>
      <c r="J146" s="835"/>
      <c r="K146" s="566">
        <v>3</v>
      </c>
      <c r="L146" s="566">
        <f t="shared" ref="L146:Q146" si="60">P15</f>
        <v>50</v>
      </c>
      <c r="M146" s="566">
        <f t="shared" si="60"/>
        <v>9.1</v>
      </c>
      <c r="N146" s="566">
        <f t="shared" si="60"/>
        <v>-0.62</v>
      </c>
      <c r="O146" s="566">
        <f t="shared" si="60"/>
        <v>2</v>
      </c>
      <c r="P146" s="566">
        <f t="shared" si="60"/>
        <v>4.8599999999999994</v>
      </c>
      <c r="Q146" s="566">
        <f t="shared" si="60"/>
        <v>0.29499999999999998</v>
      </c>
    </row>
    <row r="147" spans="1:17" ht="14" x14ac:dyDescent="0.25">
      <c r="A147" s="835"/>
      <c r="B147" s="569">
        <v>4</v>
      </c>
      <c r="C147" s="569">
        <f t="shared" ref="C147:H147" si="61">B38</f>
        <v>180</v>
      </c>
      <c r="D147" s="569">
        <f t="shared" si="61"/>
        <v>-0.04</v>
      </c>
      <c r="E147" s="569">
        <f t="shared" si="61"/>
        <v>0.03</v>
      </c>
      <c r="F147" s="569">
        <f t="shared" si="61"/>
        <v>0</v>
      </c>
      <c r="G147" s="569">
        <f t="shared" si="61"/>
        <v>3.5000000000000003E-2</v>
      </c>
      <c r="H147" s="569">
        <f t="shared" si="61"/>
        <v>2.16</v>
      </c>
      <c r="J147" s="835"/>
      <c r="K147" s="566">
        <v>4</v>
      </c>
      <c r="L147" s="566">
        <f t="shared" ref="L147:Q147" si="62">B46</f>
        <v>50</v>
      </c>
      <c r="M147" s="566">
        <f t="shared" si="62"/>
        <v>-0.3</v>
      </c>
      <c r="N147" s="566">
        <f t="shared" si="62"/>
        <v>-0.28999999999999998</v>
      </c>
      <c r="O147" s="566">
        <f t="shared" si="62"/>
        <v>0</v>
      </c>
      <c r="P147" s="566">
        <f t="shared" si="62"/>
        <v>5.0000000000000044E-3</v>
      </c>
      <c r="Q147" s="566">
        <f t="shared" si="62"/>
        <v>0.29499999999999998</v>
      </c>
    </row>
    <row r="148" spans="1:17" ht="14" x14ac:dyDescent="0.25">
      <c r="A148" s="835"/>
      <c r="B148" s="569">
        <v>5</v>
      </c>
      <c r="C148" s="569">
        <f t="shared" ref="C148:H148" si="63">I38</f>
        <v>180</v>
      </c>
      <c r="D148" s="569">
        <f t="shared" si="63"/>
        <v>0.09</v>
      </c>
      <c r="E148" s="569">
        <f t="shared" si="63"/>
        <v>0.1</v>
      </c>
      <c r="F148" s="569">
        <f t="shared" si="63"/>
        <v>0</v>
      </c>
      <c r="G148" s="569">
        <f t="shared" si="63"/>
        <v>5.0000000000000044E-3</v>
      </c>
      <c r="H148" s="569">
        <f t="shared" si="63"/>
        <v>2.16</v>
      </c>
      <c r="J148" s="835"/>
      <c r="K148" s="566">
        <v>5</v>
      </c>
      <c r="L148" s="566">
        <f t="shared" ref="L148:Q148" si="64">I46</f>
        <v>50</v>
      </c>
      <c r="M148" s="566">
        <f t="shared" si="64"/>
        <v>0.3</v>
      </c>
      <c r="N148" s="566">
        <f t="shared" si="64"/>
        <v>-0.33</v>
      </c>
      <c r="O148" s="566">
        <f t="shared" si="64"/>
        <v>0</v>
      </c>
      <c r="P148" s="566">
        <f t="shared" si="64"/>
        <v>0.315</v>
      </c>
      <c r="Q148" s="566">
        <f t="shared" si="64"/>
        <v>0.28999999999999998</v>
      </c>
    </row>
    <row r="149" spans="1:17" ht="14" x14ac:dyDescent="0.25">
      <c r="A149" s="835"/>
      <c r="B149" s="569">
        <v>6</v>
      </c>
      <c r="C149" s="569">
        <f t="shared" ref="C149:H149" si="65">P38</f>
        <v>180</v>
      </c>
      <c r="D149" s="569">
        <f t="shared" si="65"/>
        <v>-0.11</v>
      </c>
      <c r="E149" s="569">
        <f t="shared" si="65"/>
        <v>9.9999999999999995E-7</v>
      </c>
      <c r="F149" s="569">
        <f t="shared" si="65"/>
        <v>0</v>
      </c>
      <c r="G149" s="569">
        <f t="shared" si="65"/>
        <v>5.5000500000000001E-2</v>
      </c>
      <c r="H149" s="569">
        <f t="shared" si="65"/>
        <v>2.16</v>
      </c>
      <c r="J149" s="835"/>
      <c r="K149" s="566">
        <v>6</v>
      </c>
      <c r="L149" s="566">
        <f t="shared" ref="L149:Q149" si="66">P46</f>
        <v>50</v>
      </c>
      <c r="M149" s="566">
        <f t="shared" si="66"/>
        <v>0.02</v>
      </c>
      <c r="N149" s="566">
        <f t="shared" si="66"/>
        <v>-0.1</v>
      </c>
      <c r="O149" s="566">
        <f t="shared" si="66"/>
        <v>0</v>
      </c>
      <c r="P149" s="566">
        <f t="shared" si="66"/>
        <v>6.0000000000000005E-2</v>
      </c>
      <c r="Q149" s="566">
        <f t="shared" si="66"/>
        <v>0.28999999999999998</v>
      </c>
    </row>
    <row r="150" spans="1:17" ht="14" x14ac:dyDescent="0.25">
      <c r="A150" s="835"/>
      <c r="B150" s="569">
        <v>7</v>
      </c>
      <c r="C150" s="569">
        <f t="shared" ref="C150:H150" si="67">B69</f>
        <v>180.33</v>
      </c>
      <c r="D150" s="569">
        <f t="shared" si="67"/>
        <v>0.33</v>
      </c>
      <c r="E150" s="569">
        <f t="shared" si="67"/>
        <v>0.37</v>
      </c>
      <c r="F150" s="569">
        <f t="shared" si="67"/>
        <v>0</v>
      </c>
      <c r="G150" s="569">
        <f t="shared" si="67"/>
        <v>1.999999999999999E-2</v>
      </c>
      <c r="H150" s="569">
        <f t="shared" si="67"/>
        <v>2.1639600000000003</v>
      </c>
      <c r="J150" s="835"/>
      <c r="K150" s="566">
        <v>7</v>
      </c>
      <c r="L150" s="566">
        <f t="shared" ref="L150:Q150" si="68">B77</f>
        <v>50</v>
      </c>
      <c r="M150" s="566">
        <f t="shared" si="68"/>
        <v>1.7</v>
      </c>
      <c r="N150" s="566">
        <f t="shared" si="68"/>
        <v>2.1</v>
      </c>
      <c r="O150" s="566">
        <f t="shared" si="68"/>
        <v>0</v>
      </c>
      <c r="P150" s="566">
        <f t="shared" si="68"/>
        <v>0.20000000000000007</v>
      </c>
      <c r="Q150" s="566">
        <f t="shared" si="68"/>
        <v>0.29499999999999998</v>
      </c>
    </row>
    <row r="151" spans="1:17" ht="14" x14ac:dyDescent="0.25">
      <c r="A151" s="835"/>
      <c r="B151" s="569">
        <v>8</v>
      </c>
      <c r="C151" s="569">
        <f t="shared" ref="C151:H151" si="69">I69</f>
        <v>180</v>
      </c>
      <c r="D151" s="569">
        <f t="shared" si="69"/>
        <v>-0.39</v>
      </c>
      <c r="E151" s="569">
        <f t="shared" si="69"/>
        <v>-0.14000000000000001</v>
      </c>
      <c r="F151" s="569">
        <f t="shared" si="69"/>
        <v>0</v>
      </c>
      <c r="G151" s="569">
        <f t="shared" si="69"/>
        <v>0.125</v>
      </c>
      <c r="H151" s="569">
        <f t="shared" si="69"/>
        <v>2.16</v>
      </c>
      <c r="J151" s="835"/>
      <c r="K151" s="566">
        <v>8</v>
      </c>
      <c r="L151" s="566">
        <f t="shared" ref="L151:Q151" si="70">I77</f>
        <v>20</v>
      </c>
      <c r="M151" s="566">
        <f t="shared" si="70"/>
        <v>6.6</v>
      </c>
      <c r="N151" s="566">
        <f t="shared" si="70"/>
        <v>0.9</v>
      </c>
      <c r="O151" s="566">
        <f t="shared" si="70"/>
        <v>0</v>
      </c>
      <c r="P151" s="566">
        <f t="shared" si="70"/>
        <v>2.8499999999999996</v>
      </c>
      <c r="Q151" s="566">
        <f t="shared" si="70"/>
        <v>0.11799999999999999</v>
      </c>
    </row>
    <row r="152" spans="1:17" ht="14" x14ac:dyDescent="0.25">
      <c r="A152" s="835"/>
      <c r="B152" s="569">
        <v>9</v>
      </c>
      <c r="C152" s="569">
        <f t="shared" ref="C152:H152" si="71">P69</f>
        <v>179.78</v>
      </c>
      <c r="D152" s="569">
        <f t="shared" si="71"/>
        <v>-0.22</v>
      </c>
      <c r="E152" s="569" t="str">
        <f t="shared" si="71"/>
        <v>-</v>
      </c>
      <c r="F152" s="569">
        <f t="shared" si="71"/>
        <v>0</v>
      </c>
      <c r="G152" s="569">
        <f t="shared" si="71"/>
        <v>0</v>
      </c>
      <c r="H152" s="569">
        <f t="shared" si="71"/>
        <v>2.1573600000000002</v>
      </c>
      <c r="J152" s="835"/>
      <c r="K152" s="566">
        <v>9</v>
      </c>
      <c r="L152" s="566">
        <f t="shared" ref="L152:Q152" si="72">P77</f>
        <v>20.8</v>
      </c>
      <c r="M152" s="566">
        <f t="shared" si="72"/>
        <v>0.8</v>
      </c>
      <c r="N152" s="566" t="str">
        <f t="shared" si="72"/>
        <v>-</v>
      </c>
      <c r="O152" s="566">
        <f t="shared" si="72"/>
        <v>0</v>
      </c>
      <c r="P152" s="566">
        <f t="shared" si="72"/>
        <v>0</v>
      </c>
      <c r="Q152" s="566">
        <f t="shared" si="72"/>
        <v>0.12272</v>
      </c>
    </row>
    <row r="153" spans="1:17" ht="14" x14ac:dyDescent="0.25">
      <c r="A153" s="835"/>
      <c r="B153" s="569">
        <v>10</v>
      </c>
      <c r="C153" s="569">
        <f t="shared" ref="C153:H153" si="73">B100</f>
        <v>180</v>
      </c>
      <c r="D153" s="569" t="str">
        <f t="shared" si="73"/>
        <v>-</v>
      </c>
      <c r="E153" s="569" t="str">
        <f t="shared" si="73"/>
        <v>-</v>
      </c>
      <c r="F153" s="569" t="str">
        <f t="shared" si="73"/>
        <v>-</v>
      </c>
      <c r="G153" s="569">
        <f t="shared" si="73"/>
        <v>0</v>
      </c>
      <c r="H153" s="569" t="str">
        <f t="shared" si="73"/>
        <v>-</v>
      </c>
      <c r="J153" s="835"/>
      <c r="K153" s="566">
        <v>10</v>
      </c>
      <c r="L153" s="566">
        <f t="shared" ref="L153:Q153" si="74">B108</f>
        <v>50</v>
      </c>
      <c r="M153" s="566" t="str">
        <f t="shared" si="74"/>
        <v>-</v>
      </c>
      <c r="N153" s="566" t="str">
        <f t="shared" si="74"/>
        <v>-</v>
      </c>
      <c r="O153" s="566">
        <f t="shared" si="74"/>
        <v>0</v>
      </c>
      <c r="P153" s="566">
        <f t="shared" si="74"/>
        <v>0</v>
      </c>
      <c r="Q153" s="566" t="str">
        <f t="shared" si="74"/>
        <v>-</v>
      </c>
    </row>
    <row r="154" spans="1:17" ht="14" x14ac:dyDescent="0.25">
      <c r="A154" s="835"/>
      <c r="B154" s="569">
        <v>11</v>
      </c>
      <c r="C154" s="569">
        <f t="shared" ref="C154:H154" si="75">I100</f>
        <v>180</v>
      </c>
      <c r="D154" s="569" t="str">
        <f t="shared" si="75"/>
        <v>-</v>
      </c>
      <c r="E154" s="569" t="str">
        <f t="shared" si="75"/>
        <v>-</v>
      </c>
      <c r="F154" s="569">
        <f t="shared" si="75"/>
        <v>0</v>
      </c>
      <c r="G154" s="569">
        <f t="shared" si="75"/>
        <v>0</v>
      </c>
      <c r="H154" s="569" t="str">
        <f t="shared" si="75"/>
        <v>-</v>
      </c>
      <c r="J154" s="835"/>
      <c r="K154" s="566">
        <v>11</v>
      </c>
      <c r="L154" s="566">
        <f t="shared" ref="L154:Q154" si="76">I108</f>
        <v>50</v>
      </c>
      <c r="M154" s="566" t="str">
        <f t="shared" si="76"/>
        <v>-</v>
      </c>
      <c r="N154" s="566" t="str">
        <f t="shared" si="76"/>
        <v>-</v>
      </c>
      <c r="O154" s="566">
        <f t="shared" si="76"/>
        <v>0</v>
      </c>
      <c r="P154" s="566">
        <f t="shared" si="76"/>
        <v>0</v>
      </c>
      <c r="Q154" s="566" t="str">
        <f t="shared" si="76"/>
        <v>-</v>
      </c>
    </row>
    <row r="155" spans="1:17" ht="14" x14ac:dyDescent="0.25">
      <c r="A155" s="835"/>
      <c r="B155" s="569">
        <v>12</v>
      </c>
      <c r="C155" s="569">
        <f t="shared" ref="C155:H155" si="77">P100</f>
        <v>180</v>
      </c>
      <c r="D155" s="569" t="str">
        <f t="shared" si="77"/>
        <v>-</v>
      </c>
      <c r="E155" s="569" t="str">
        <f t="shared" si="77"/>
        <v>-</v>
      </c>
      <c r="F155" s="569">
        <f t="shared" si="77"/>
        <v>0</v>
      </c>
      <c r="G155" s="569">
        <f t="shared" si="77"/>
        <v>0</v>
      </c>
      <c r="H155" s="569" t="str">
        <f t="shared" si="77"/>
        <v>-</v>
      </c>
      <c r="J155" s="835"/>
      <c r="K155" s="566">
        <v>12</v>
      </c>
      <c r="L155" s="566">
        <f t="shared" ref="L155:Q155" si="78">P108</f>
        <v>50</v>
      </c>
      <c r="M155" s="566" t="str">
        <f t="shared" si="78"/>
        <v>-</v>
      </c>
      <c r="N155" s="566" t="str">
        <f t="shared" si="78"/>
        <v>-</v>
      </c>
      <c r="O155" s="566">
        <f t="shared" si="78"/>
        <v>0</v>
      </c>
      <c r="P155" s="566">
        <f t="shared" si="78"/>
        <v>0</v>
      </c>
      <c r="Q155" s="566" t="str">
        <f t="shared" si="78"/>
        <v>-</v>
      </c>
    </row>
    <row r="156" spans="1:17" s="546" customFormat="1" x14ac:dyDescent="0.25">
      <c r="A156" s="551"/>
      <c r="B156" s="551"/>
      <c r="C156" s="551"/>
      <c r="D156" s="551"/>
      <c r="E156" s="551"/>
      <c r="F156" s="567"/>
      <c r="G156" s="551"/>
      <c r="H156" s="551"/>
      <c r="J156" s="551"/>
      <c r="K156" s="551"/>
      <c r="L156" s="551"/>
      <c r="M156" s="551"/>
      <c r="N156" s="551"/>
      <c r="O156" s="567"/>
      <c r="P156" s="551"/>
      <c r="Q156" s="551"/>
    </row>
    <row r="157" spans="1:17" ht="14" x14ac:dyDescent="0.25">
      <c r="A157" s="835" t="s">
        <v>65</v>
      </c>
      <c r="B157" s="569">
        <v>1</v>
      </c>
      <c r="C157" s="569">
        <f t="shared" ref="C157:H157" si="79">B8</f>
        <v>200</v>
      </c>
      <c r="D157" s="569">
        <f t="shared" si="79"/>
        <v>-0.04</v>
      </c>
      <c r="E157" s="569">
        <f t="shared" si="79"/>
        <v>-0.16</v>
      </c>
      <c r="F157" s="569" t="str">
        <f t="shared" si="79"/>
        <v>-</v>
      </c>
      <c r="G157" s="569">
        <f t="shared" si="79"/>
        <v>0.06</v>
      </c>
      <c r="H157" s="569">
        <f t="shared" si="79"/>
        <v>2.4</v>
      </c>
      <c r="J157" s="835" t="s">
        <v>65</v>
      </c>
      <c r="K157" s="569">
        <v>1</v>
      </c>
      <c r="L157" s="566">
        <f t="shared" ref="L157:Q157" si="80">B16</f>
        <v>100</v>
      </c>
      <c r="M157" s="566">
        <f t="shared" si="80"/>
        <v>0.2</v>
      </c>
      <c r="N157" s="566">
        <f t="shared" si="80"/>
        <v>-0.06</v>
      </c>
      <c r="O157" s="566" t="str">
        <f t="shared" si="80"/>
        <v>-</v>
      </c>
      <c r="P157" s="566">
        <f t="shared" si="80"/>
        <v>0.13</v>
      </c>
      <c r="Q157" s="566">
        <f t="shared" si="80"/>
        <v>0.59</v>
      </c>
    </row>
    <row r="158" spans="1:17" ht="14" x14ac:dyDescent="0.25">
      <c r="A158" s="835"/>
      <c r="B158" s="569">
        <v>2</v>
      </c>
      <c r="C158" s="569">
        <f t="shared" ref="C158:H158" si="81">I8</f>
        <v>200</v>
      </c>
      <c r="D158" s="569">
        <f t="shared" si="81"/>
        <v>0.06</v>
      </c>
      <c r="E158" s="569">
        <f t="shared" si="81"/>
        <v>-0.18</v>
      </c>
      <c r="F158" s="569" t="str">
        <f t="shared" si="81"/>
        <v>-</v>
      </c>
      <c r="G158" s="569">
        <f t="shared" si="81"/>
        <v>0.12</v>
      </c>
      <c r="H158" s="569">
        <f t="shared" si="81"/>
        <v>2.4</v>
      </c>
      <c r="J158" s="835"/>
      <c r="K158" s="569">
        <v>2</v>
      </c>
      <c r="L158" s="566">
        <f t="shared" ref="L158:Q158" si="82">I16</f>
        <v>100</v>
      </c>
      <c r="M158" s="566">
        <f t="shared" si="82"/>
        <v>-7.0000000000000007E-2</v>
      </c>
      <c r="N158" s="566">
        <f t="shared" si="82"/>
        <v>2.2000000000000002</v>
      </c>
      <c r="O158" s="566" t="str">
        <f t="shared" si="82"/>
        <v>-</v>
      </c>
      <c r="P158" s="566">
        <f t="shared" si="82"/>
        <v>1.135</v>
      </c>
      <c r="Q158" s="566">
        <f t="shared" si="82"/>
        <v>0.59</v>
      </c>
    </row>
    <row r="159" spans="1:17" x14ac:dyDescent="0.25">
      <c r="A159" s="835"/>
      <c r="B159" s="566">
        <v>3</v>
      </c>
      <c r="C159" s="566">
        <f t="shared" ref="C159:H159" si="83">P8</f>
        <v>200</v>
      </c>
      <c r="D159" s="566">
        <f t="shared" si="83"/>
        <v>-2.0499999999999998</v>
      </c>
      <c r="E159" s="566">
        <f t="shared" si="83"/>
        <v>-2.14</v>
      </c>
      <c r="F159" s="566">
        <f t="shared" si="83"/>
        <v>-0.26</v>
      </c>
      <c r="G159" s="566">
        <f t="shared" si="83"/>
        <v>0.94000000000000006</v>
      </c>
      <c r="H159" s="566">
        <f t="shared" si="83"/>
        <v>2.4</v>
      </c>
      <c r="J159" s="835"/>
      <c r="K159" s="566">
        <v>3</v>
      </c>
      <c r="L159" s="566">
        <f t="shared" ref="L159:Q159" si="84">P16</f>
        <v>100</v>
      </c>
      <c r="M159" s="566">
        <f t="shared" si="84"/>
        <v>6</v>
      </c>
      <c r="N159" s="566">
        <f t="shared" si="84"/>
        <v>-0.22</v>
      </c>
      <c r="O159" s="566">
        <f t="shared" si="84"/>
        <v>2</v>
      </c>
      <c r="P159" s="566">
        <f t="shared" si="84"/>
        <v>3.11</v>
      </c>
      <c r="Q159" s="566">
        <f t="shared" si="84"/>
        <v>0.59</v>
      </c>
    </row>
    <row r="160" spans="1:17" x14ac:dyDescent="0.25">
      <c r="A160" s="835"/>
      <c r="B160" s="566">
        <v>4</v>
      </c>
      <c r="C160" s="566">
        <f t="shared" ref="C160:H160" si="85">B39</f>
        <v>200</v>
      </c>
      <c r="D160" s="566">
        <f t="shared" si="85"/>
        <v>-0.67</v>
      </c>
      <c r="E160" s="566">
        <f t="shared" si="85"/>
        <v>0.05</v>
      </c>
      <c r="F160" s="566">
        <f t="shared" si="85"/>
        <v>0</v>
      </c>
      <c r="G160" s="566">
        <f t="shared" si="85"/>
        <v>0.36000000000000004</v>
      </c>
      <c r="H160" s="566">
        <f t="shared" si="85"/>
        <v>2.4</v>
      </c>
      <c r="J160" s="835"/>
      <c r="K160" s="566">
        <v>4</v>
      </c>
      <c r="L160" s="566">
        <f t="shared" ref="L160:Q160" si="86">B47</f>
        <v>100</v>
      </c>
      <c r="M160" s="566">
        <f t="shared" si="86"/>
        <v>-0.4</v>
      </c>
      <c r="N160" s="566">
        <f t="shared" si="86"/>
        <v>-0.35</v>
      </c>
      <c r="O160" s="566">
        <f t="shared" si="86"/>
        <v>0</v>
      </c>
      <c r="P160" s="566">
        <f t="shared" si="86"/>
        <v>2.5000000000000022E-2</v>
      </c>
      <c r="Q160" s="566">
        <f t="shared" si="86"/>
        <v>0.59</v>
      </c>
    </row>
    <row r="161" spans="1:17" x14ac:dyDescent="0.25">
      <c r="A161" s="835"/>
      <c r="B161" s="566">
        <v>5</v>
      </c>
      <c r="C161" s="566">
        <f t="shared" ref="C161:H161" si="87">I39</f>
        <v>200</v>
      </c>
      <c r="D161" s="566">
        <f t="shared" si="87"/>
        <v>0.18</v>
      </c>
      <c r="E161" s="566">
        <f t="shared" si="87"/>
        <v>-0.03</v>
      </c>
      <c r="F161" s="566">
        <f t="shared" si="87"/>
        <v>0</v>
      </c>
      <c r="G161" s="566">
        <f t="shared" si="87"/>
        <v>0.105</v>
      </c>
      <c r="H161" s="566">
        <f t="shared" si="87"/>
        <v>2.4</v>
      </c>
      <c r="J161" s="835"/>
      <c r="K161" s="566">
        <v>5</v>
      </c>
      <c r="L161" s="566">
        <f t="shared" ref="L161:Q161" si="88">I47</f>
        <v>100</v>
      </c>
      <c r="M161" s="566">
        <f t="shared" si="88"/>
        <v>-0.1</v>
      </c>
      <c r="N161" s="566">
        <f t="shared" si="88"/>
        <v>-0.42</v>
      </c>
      <c r="O161" s="566">
        <f t="shared" si="88"/>
        <v>0</v>
      </c>
      <c r="P161" s="566">
        <f t="shared" si="88"/>
        <v>0.15999999999999998</v>
      </c>
      <c r="Q161" s="566">
        <f t="shared" si="88"/>
        <v>0.57999999999999996</v>
      </c>
    </row>
    <row r="162" spans="1:17" x14ac:dyDescent="0.25">
      <c r="A162" s="835"/>
      <c r="B162" s="566">
        <v>6</v>
      </c>
      <c r="C162" s="566">
        <f t="shared" ref="C162:H162" si="89">P39</f>
        <v>200</v>
      </c>
      <c r="D162" s="566">
        <f t="shared" si="89"/>
        <v>-0.1</v>
      </c>
      <c r="E162" s="566">
        <f t="shared" si="89"/>
        <v>0.05</v>
      </c>
      <c r="F162" s="566">
        <f t="shared" si="89"/>
        <v>0</v>
      </c>
      <c r="G162" s="566">
        <f t="shared" si="89"/>
        <v>7.5000000000000011E-2</v>
      </c>
      <c r="H162" s="566">
        <f t="shared" si="89"/>
        <v>2.4</v>
      </c>
      <c r="J162" s="835"/>
      <c r="K162" s="566">
        <v>6</v>
      </c>
      <c r="L162" s="566">
        <f t="shared" ref="L162:Q162" si="90">P47</f>
        <v>100</v>
      </c>
      <c r="M162" s="566">
        <f t="shared" si="90"/>
        <v>0.22</v>
      </c>
      <c r="N162" s="566">
        <f t="shared" si="90"/>
        <v>-0.2</v>
      </c>
      <c r="O162" s="566">
        <f t="shared" si="90"/>
        <v>0</v>
      </c>
      <c r="P162" s="566">
        <f t="shared" si="90"/>
        <v>0.21000000000000002</v>
      </c>
      <c r="Q162" s="566">
        <f t="shared" si="90"/>
        <v>0.57999999999999996</v>
      </c>
    </row>
    <row r="163" spans="1:17" x14ac:dyDescent="0.25">
      <c r="A163" s="835"/>
      <c r="B163" s="566">
        <v>7</v>
      </c>
      <c r="C163" s="566">
        <f t="shared" ref="C163:H163" si="91">B70</f>
        <v>200.35</v>
      </c>
      <c r="D163" s="566">
        <f t="shared" si="91"/>
        <v>0.34</v>
      </c>
      <c r="E163" s="566">
        <f t="shared" si="91"/>
        <v>0.4</v>
      </c>
      <c r="F163" s="566">
        <f t="shared" si="91"/>
        <v>0</v>
      </c>
      <c r="G163" s="566">
        <f t="shared" si="91"/>
        <v>0.03</v>
      </c>
      <c r="H163" s="566">
        <f t="shared" si="91"/>
        <v>2.4041999999999999</v>
      </c>
      <c r="J163" s="835"/>
      <c r="K163" s="566">
        <v>7</v>
      </c>
      <c r="L163" s="566">
        <f t="shared" ref="L163:Q163" si="92">B78</f>
        <v>100</v>
      </c>
      <c r="M163" s="566">
        <f t="shared" si="92"/>
        <v>1.7</v>
      </c>
      <c r="N163" s="566">
        <f t="shared" si="92"/>
        <v>2.2000000000000002</v>
      </c>
      <c r="O163" s="566">
        <f t="shared" si="92"/>
        <v>0</v>
      </c>
      <c r="P163" s="566">
        <f t="shared" si="92"/>
        <v>0.25000000000000011</v>
      </c>
      <c r="Q163" s="566">
        <f t="shared" si="92"/>
        <v>0.59</v>
      </c>
    </row>
    <row r="164" spans="1:17" x14ac:dyDescent="0.25">
      <c r="A164" s="835"/>
      <c r="B164" s="566">
        <v>8</v>
      </c>
      <c r="C164" s="566">
        <f t="shared" ref="C164:H164" si="93">I70</f>
        <v>200</v>
      </c>
      <c r="D164" s="566">
        <f t="shared" si="93"/>
        <v>-0.23</v>
      </c>
      <c r="E164" s="566">
        <f t="shared" si="93"/>
        <v>-0.33</v>
      </c>
      <c r="F164" s="566">
        <f t="shared" si="93"/>
        <v>0</v>
      </c>
      <c r="G164" s="566">
        <f t="shared" si="93"/>
        <v>0.05</v>
      </c>
      <c r="H164" s="566">
        <f t="shared" si="93"/>
        <v>2.4</v>
      </c>
      <c r="J164" s="835"/>
      <c r="K164" s="566">
        <v>8</v>
      </c>
      <c r="L164" s="566">
        <f t="shared" ref="L164:Q164" si="94">I78</f>
        <v>50</v>
      </c>
      <c r="M164" s="566">
        <f t="shared" si="94"/>
        <v>5</v>
      </c>
      <c r="N164" s="566">
        <f t="shared" si="94"/>
        <v>2.1</v>
      </c>
      <c r="O164" s="566">
        <f t="shared" si="94"/>
        <v>0</v>
      </c>
      <c r="P164" s="566">
        <f t="shared" si="94"/>
        <v>1.45</v>
      </c>
      <c r="Q164" s="566">
        <f t="shared" si="94"/>
        <v>0.29499999999999998</v>
      </c>
    </row>
    <row r="165" spans="1:17" x14ac:dyDescent="0.25">
      <c r="A165" s="835"/>
      <c r="B165" s="566">
        <v>9</v>
      </c>
      <c r="C165" s="566">
        <f t="shared" ref="C165:H165" si="95">P70</f>
        <v>199.67</v>
      </c>
      <c r="D165" s="566">
        <f t="shared" si="95"/>
        <v>-0.33</v>
      </c>
      <c r="E165" s="566" t="str">
        <f t="shared" si="95"/>
        <v>-</v>
      </c>
      <c r="F165" s="566">
        <f t="shared" si="95"/>
        <v>0</v>
      </c>
      <c r="G165" s="566">
        <f t="shared" si="95"/>
        <v>0</v>
      </c>
      <c r="H165" s="566">
        <f t="shared" si="95"/>
        <v>2.3960399999999997</v>
      </c>
      <c r="J165" s="835"/>
      <c r="K165" s="566">
        <v>9</v>
      </c>
      <c r="L165" s="566">
        <f t="shared" ref="L165:Q165" si="96">P78</f>
        <v>51.7</v>
      </c>
      <c r="M165" s="566">
        <f t="shared" si="96"/>
        <v>1.7</v>
      </c>
      <c r="N165" s="566" t="str">
        <f t="shared" si="96"/>
        <v>-</v>
      </c>
      <c r="O165" s="566">
        <f t="shared" si="96"/>
        <v>0</v>
      </c>
      <c r="P165" s="566">
        <f t="shared" si="96"/>
        <v>0</v>
      </c>
      <c r="Q165" s="566">
        <f t="shared" si="96"/>
        <v>0.30503000000000002</v>
      </c>
    </row>
    <row r="166" spans="1:17" x14ac:dyDescent="0.25">
      <c r="A166" s="835"/>
      <c r="B166" s="566">
        <v>10</v>
      </c>
      <c r="C166" s="566">
        <f t="shared" ref="C166:H166" si="97">B101</f>
        <v>200</v>
      </c>
      <c r="D166" s="566" t="str">
        <f t="shared" si="97"/>
        <v>-</v>
      </c>
      <c r="E166" s="566" t="str">
        <f t="shared" si="97"/>
        <v>-</v>
      </c>
      <c r="F166" s="566" t="str">
        <f t="shared" si="97"/>
        <v>-</v>
      </c>
      <c r="G166" s="566">
        <f t="shared" si="97"/>
        <v>0</v>
      </c>
      <c r="H166" s="566" t="str">
        <f t="shared" si="97"/>
        <v>-</v>
      </c>
      <c r="J166" s="835"/>
      <c r="K166" s="566">
        <v>10</v>
      </c>
      <c r="L166" s="566">
        <f t="shared" ref="L166:Q166" si="98">B109</f>
        <v>100</v>
      </c>
      <c r="M166" s="566" t="str">
        <f t="shared" si="98"/>
        <v>-</v>
      </c>
      <c r="N166" s="566" t="str">
        <f t="shared" si="98"/>
        <v>-</v>
      </c>
      <c r="O166" s="566">
        <f t="shared" si="98"/>
        <v>0</v>
      </c>
      <c r="P166" s="566">
        <f t="shared" si="98"/>
        <v>0</v>
      </c>
      <c r="Q166" s="566" t="str">
        <f t="shared" si="98"/>
        <v>-</v>
      </c>
    </row>
    <row r="167" spans="1:17" x14ac:dyDescent="0.25">
      <c r="A167" s="835"/>
      <c r="B167" s="566">
        <v>11</v>
      </c>
      <c r="C167" s="566">
        <f t="shared" ref="C167:H167" si="99">I101</f>
        <v>200</v>
      </c>
      <c r="D167" s="566" t="str">
        <f t="shared" si="99"/>
        <v>-</v>
      </c>
      <c r="E167" s="566" t="str">
        <f t="shared" si="99"/>
        <v>-</v>
      </c>
      <c r="F167" s="566">
        <f t="shared" si="99"/>
        <v>0</v>
      </c>
      <c r="G167" s="566">
        <f t="shared" si="99"/>
        <v>0</v>
      </c>
      <c r="H167" s="566" t="str">
        <f t="shared" si="99"/>
        <v>-</v>
      </c>
      <c r="J167" s="835"/>
      <c r="K167" s="566">
        <v>11</v>
      </c>
      <c r="L167" s="566">
        <f t="shared" ref="L167:Q167" si="100">I109</f>
        <v>100</v>
      </c>
      <c r="M167" s="566" t="str">
        <f t="shared" si="100"/>
        <v>-</v>
      </c>
      <c r="N167" s="566" t="str">
        <f t="shared" si="100"/>
        <v>-</v>
      </c>
      <c r="O167" s="566">
        <f t="shared" si="100"/>
        <v>0</v>
      </c>
      <c r="P167" s="566">
        <f t="shared" si="100"/>
        <v>0</v>
      </c>
      <c r="Q167" s="566" t="str">
        <f t="shared" si="100"/>
        <v>-</v>
      </c>
    </row>
    <row r="168" spans="1:17" x14ac:dyDescent="0.25">
      <c r="A168" s="835"/>
      <c r="B168" s="566">
        <v>12</v>
      </c>
      <c r="C168" s="566">
        <f t="shared" ref="C168:H168" si="101">P101</f>
        <v>200</v>
      </c>
      <c r="D168" s="566" t="str">
        <f t="shared" si="101"/>
        <v>-</v>
      </c>
      <c r="E168" s="566" t="str">
        <f t="shared" si="101"/>
        <v>-</v>
      </c>
      <c r="F168" s="566">
        <f t="shared" si="101"/>
        <v>0</v>
      </c>
      <c r="G168" s="566">
        <f t="shared" si="101"/>
        <v>0</v>
      </c>
      <c r="H168" s="566" t="str">
        <f t="shared" si="101"/>
        <v>-</v>
      </c>
      <c r="J168" s="835"/>
      <c r="K168" s="566">
        <v>12</v>
      </c>
      <c r="L168" s="566">
        <f t="shared" ref="L168:Q168" si="102">P109</f>
        <v>100</v>
      </c>
      <c r="M168" s="566" t="str">
        <f t="shared" si="102"/>
        <v>-</v>
      </c>
      <c r="N168" s="566" t="str">
        <f t="shared" si="102"/>
        <v>-</v>
      </c>
      <c r="O168" s="566">
        <f t="shared" si="102"/>
        <v>0</v>
      </c>
      <c r="P168" s="566">
        <f t="shared" si="102"/>
        <v>0</v>
      </c>
      <c r="Q168" s="566" t="str">
        <f t="shared" si="102"/>
        <v>-</v>
      </c>
    </row>
    <row r="169" spans="1:17" s="546" customFormat="1" x14ac:dyDescent="0.25">
      <c r="A169" s="551"/>
      <c r="B169" s="551"/>
      <c r="C169" s="551"/>
      <c r="D169" s="551"/>
      <c r="E169" s="551"/>
      <c r="F169" s="567"/>
      <c r="G169" s="551"/>
      <c r="H169" s="551"/>
      <c r="J169" s="551"/>
      <c r="K169" s="551"/>
      <c r="L169" s="551"/>
      <c r="M169" s="551"/>
      <c r="N169" s="551"/>
      <c r="O169" s="567"/>
      <c r="P169" s="551"/>
      <c r="Q169" s="551"/>
    </row>
    <row r="170" spans="1:17" ht="14" x14ac:dyDescent="0.25">
      <c r="A170" s="835" t="s">
        <v>549</v>
      </c>
      <c r="B170" s="569">
        <v>1</v>
      </c>
      <c r="C170" s="569">
        <f t="shared" ref="C170:H170" si="103">B9</f>
        <v>220</v>
      </c>
      <c r="D170" s="569">
        <f t="shared" si="103"/>
        <v>-0.28000000000000003</v>
      </c>
      <c r="E170" s="569">
        <f t="shared" si="103"/>
        <v>-0.18</v>
      </c>
      <c r="F170" s="569" t="str">
        <f t="shared" si="103"/>
        <v>-</v>
      </c>
      <c r="G170" s="569">
        <f t="shared" si="103"/>
        <v>5.0000000000000017E-2</v>
      </c>
      <c r="H170" s="569">
        <f t="shared" si="103"/>
        <v>2.64</v>
      </c>
      <c r="J170" s="835" t="s">
        <v>549</v>
      </c>
      <c r="K170" s="569">
        <v>1</v>
      </c>
      <c r="L170" s="566">
        <f t="shared" ref="L170:Q170" si="104">B17</f>
        <v>200</v>
      </c>
      <c r="M170" s="566">
        <f t="shared" si="104"/>
        <v>0.4</v>
      </c>
      <c r="N170" s="566">
        <f t="shared" si="104"/>
        <v>9.9999999999999995E-7</v>
      </c>
      <c r="O170" s="566" t="str">
        <f t="shared" si="104"/>
        <v>-</v>
      </c>
      <c r="P170" s="566">
        <f t="shared" si="104"/>
        <v>0.19999950000000002</v>
      </c>
      <c r="Q170" s="566">
        <f t="shared" si="104"/>
        <v>1.18</v>
      </c>
    </row>
    <row r="171" spans="1:17" ht="14" x14ac:dyDescent="0.25">
      <c r="A171" s="835"/>
      <c r="B171" s="569">
        <v>2</v>
      </c>
      <c r="C171" s="566">
        <f t="shared" ref="C171:H171" si="105">I9</f>
        <v>220</v>
      </c>
      <c r="D171" s="566">
        <f t="shared" si="105"/>
        <v>0.05</v>
      </c>
      <c r="E171" s="566">
        <f t="shared" si="105"/>
        <v>-0.03</v>
      </c>
      <c r="F171" s="566" t="str">
        <f t="shared" si="105"/>
        <v>-</v>
      </c>
      <c r="G171" s="566">
        <f t="shared" si="105"/>
        <v>0.04</v>
      </c>
      <c r="H171" s="566">
        <f t="shared" si="105"/>
        <v>2.64</v>
      </c>
      <c r="J171" s="835"/>
      <c r="K171" s="569">
        <v>2</v>
      </c>
      <c r="L171" s="566">
        <f t="shared" ref="L171:Q171" si="106">I17</f>
        <v>200</v>
      </c>
      <c r="M171" s="566">
        <f t="shared" si="106"/>
        <v>-0.1</v>
      </c>
      <c r="N171" s="566">
        <f t="shared" si="106"/>
        <v>3.3</v>
      </c>
      <c r="O171" s="566" t="str">
        <f t="shared" si="106"/>
        <v>-</v>
      </c>
      <c r="P171" s="566">
        <f t="shared" si="106"/>
        <v>1.7</v>
      </c>
      <c r="Q171" s="566">
        <f t="shared" si="106"/>
        <v>1.18</v>
      </c>
    </row>
    <row r="172" spans="1:17" x14ac:dyDescent="0.25">
      <c r="A172" s="835"/>
      <c r="B172" s="566">
        <v>3</v>
      </c>
      <c r="C172" s="566">
        <f t="shared" ref="C172:H172" si="107">P9</f>
        <v>220</v>
      </c>
      <c r="D172" s="566">
        <f t="shared" si="107"/>
        <v>-2.29</v>
      </c>
      <c r="E172" s="566">
        <f t="shared" si="107"/>
        <v>-3.44</v>
      </c>
      <c r="F172" s="566">
        <f t="shared" si="107"/>
        <v>-0.28999999999999998</v>
      </c>
      <c r="G172" s="566">
        <f t="shared" si="107"/>
        <v>1.575</v>
      </c>
      <c r="H172" s="566">
        <f t="shared" si="107"/>
        <v>2.64</v>
      </c>
      <c r="J172" s="835"/>
      <c r="K172" s="566">
        <v>3</v>
      </c>
      <c r="L172" s="566">
        <f t="shared" ref="L172:Q172" si="108">P17</f>
        <v>200</v>
      </c>
      <c r="M172" s="566">
        <f t="shared" si="108"/>
        <v>-3.6</v>
      </c>
      <c r="N172" s="566">
        <f t="shared" si="108"/>
        <v>-0.1</v>
      </c>
      <c r="O172" s="566">
        <f t="shared" si="108"/>
        <v>3.6</v>
      </c>
      <c r="P172" s="566">
        <f t="shared" si="108"/>
        <v>3.6</v>
      </c>
      <c r="Q172" s="566">
        <f t="shared" si="108"/>
        <v>1.18</v>
      </c>
    </row>
    <row r="173" spans="1:17" x14ac:dyDescent="0.25">
      <c r="A173" s="835"/>
      <c r="B173" s="566">
        <v>4</v>
      </c>
      <c r="C173" s="566">
        <f t="shared" ref="C173:H173" si="109">B40</f>
        <v>220</v>
      </c>
      <c r="D173" s="566">
        <f t="shared" si="109"/>
        <v>9.9999999999999995E-7</v>
      </c>
      <c r="E173" s="566">
        <f t="shared" si="109"/>
        <v>0.1</v>
      </c>
      <c r="F173" s="566">
        <f t="shared" si="109"/>
        <v>0</v>
      </c>
      <c r="G173" s="566">
        <f t="shared" si="109"/>
        <v>4.9999500000000002E-2</v>
      </c>
      <c r="H173" s="566">
        <f t="shared" si="109"/>
        <v>2.64</v>
      </c>
      <c r="J173" s="835"/>
      <c r="K173" s="566">
        <v>4</v>
      </c>
      <c r="L173" s="566">
        <f t="shared" ref="L173:Q173" si="110">B48</f>
        <v>200</v>
      </c>
      <c r="M173" s="566">
        <f t="shared" si="110"/>
        <v>0.3</v>
      </c>
      <c r="N173" s="566">
        <f t="shared" si="110"/>
        <v>0.8</v>
      </c>
      <c r="O173" s="566">
        <f t="shared" si="110"/>
        <v>0</v>
      </c>
      <c r="P173" s="566">
        <f t="shared" si="110"/>
        <v>0.25</v>
      </c>
      <c r="Q173" s="566">
        <f t="shared" si="110"/>
        <v>1.18</v>
      </c>
    </row>
    <row r="174" spans="1:17" x14ac:dyDescent="0.25">
      <c r="A174" s="835"/>
      <c r="B174" s="566">
        <v>5</v>
      </c>
      <c r="C174" s="566">
        <f t="shared" ref="C174:H174" si="111">I40</f>
        <v>220</v>
      </c>
      <c r="D174" s="566">
        <f t="shared" si="111"/>
        <v>0.56000000000000005</v>
      </c>
      <c r="E174" s="566">
        <f t="shared" si="111"/>
        <v>0.38</v>
      </c>
      <c r="F174" s="566">
        <f t="shared" si="111"/>
        <v>0</v>
      </c>
      <c r="G174" s="566">
        <f t="shared" si="111"/>
        <v>9.0000000000000024E-2</v>
      </c>
      <c r="H174" s="566">
        <f t="shared" si="111"/>
        <v>2.64</v>
      </c>
      <c r="J174" s="835"/>
      <c r="K174" s="566">
        <v>5</v>
      </c>
      <c r="L174" s="566">
        <f t="shared" ref="L174:Q174" si="112">I48</f>
        <v>200</v>
      </c>
      <c r="M174" s="566">
        <f t="shared" si="112"/>
        <v>1.3</v>
      </c>
      <c r="N174" s="566">
        <f t="shared" si="112"/>
        <v>1.3</v>
      </c>
      <c r="O174" s="566">
        <f t="shared" si="112"/>
        <v>0</v>
      </c>
      <c r="P174" s="566">
        <f t="shared" si="112"/>
        <v>0</v>
      </c>
      <c r="Q174" s="566">
        <f t="shared" si="112"/>
        <v>1.1599999999999999</v>
      </c>
    </row>
    <row r="175" spans="1:17" x14ac:dyDescent="0.25">
      <c r="A175" s="835"/>
      <c r="B175" s="566">
        <v>6</v>
      </c>
      <c r="C175" s="566">
        <f t="shared" ref="C175:H175" si="113">P40</f>
        <v>220</v>
      </c>
      <c r="D175" s="566">
        <f t="shared" si="113"/>
        <v>-0.13</v>
      </c>
      <c r="E175" s="566">
        <f t="shared" si="113"/>
        <v>0.05</v>
      </c>
      <c r="F175" s="566">
        <f t="shared" si="113"/>
        <v>0</v>
      </c>
      <c r="G175" s="566">
        <f t="shared" si="113"/>
        <v>0.09</v>
      </c>
      <c r="H175" s="566">
        <f t="shared" si="113"/>
        <v>2.64</v>
      </c>
      <c r="J175" s="835"/>
      <c r="K175" s="566">
        <v>6</v>
      </c>
      <c r="L175" s="566">
        <f t="shared" ref="L175:Q175" si="114">P48</f>
        <v>200</v>
      </c>
      <c r="M175" s="566">
        <f t="shared" si="114"/>
        <v>0.8</v>
      </c>
      <c r="N175" s="566">
        <f t="shared" si="114"/>
        <v>0.8</v>
      </c>
      <c r="O175" s="566">
        <f t="shared" si="114"/>
        <v>0</v>
      </c>
      <c r="P175" s="566">
        <f t="shared" si="114"/>
        <v>0</v>
      </c>
      <c r="Q175" s="566">
        <f t="shared" si="114"/>
        <v>1.1599999999999999</v>
      </c>
    </row>
    <row r="176" spans="1:17" x14ac:dyDescent="0.25">
      <c r="A176" s="835"/>
      <c r="B176" s="566">
        <v>7</v>
      </c>
      <c r="C176" s="566">
        <f t="shared" ref="C176:H176" si="115">B71</f>
        <v>220.37</v>
      </c>
      <c r="D176" s="566">
        <f t="shared" si="115"/>
        <v>0.37</v>
      </c>
      <c r="E176" s="566">
        <f t="shared" si="115"/>
        <v>0.38</v>
      </c>
      <c r="F176" s="566">
        <f t="shared" si="115"/>
        <v>0</v>
      </c>
      <c r="G176" s="566">
        <f t="shared" si="115"/>
        <v>5.0000000000000044E-3</v>
      </c>
      <c r="H176" s="566">
        <f t="shared" si="115"/>
        <v>2.6444399999999999</v>
      </c>
      <c r="J176" s="835"/>
      <c r="K176" s="566">
        <v>7</v>
      </c>
      <c r="L176" s="566">
        <f t="shared" ref="L176:Q176" si="116">B79</f>
        <v>200.4</v>
      </c>
      <c r="M176" s="566">
        <f t="shared" si="116"/>
        <v>0.4</v>
      </c>
      <c r="N176" s="566">
        <f t="shared" si="116"/>
        <v>2.4</v>
      </c>
      <c r="O176" s="566">
        <f t="shared" si="116"/>
        <v>0</v>
      </c>
      <c r="P176" s="566">
        <f t="shared" si="116"/>
        <v>1</v>
      </c>
      <c r="Q176" s="566">
        <f t="shared" si="116"/>
        <v>1.1823600000000001</v>
      </c>
    </row>
    <row r="177" spans="1:17" x14ac:dyDescent="0.25">
      <c r="A177" s="835"/>
      <c r="B177" s="566">
        <v>8</v>
      </c>
      <c r="C177" s="566">
        <f t="shared" ref="C177:H177" si="117">I71</f>
        <v>220</v>
      </c>
      <c r="D177" s="566">
        <f t="shared" si="117"/>
        <v>-0.16</v>
      </c>
      <c r="E177" s="566">
        <f t="shared" si="117"/>
        <v>-0.45</v>
      </c>
      <c r="F177" s="566">
        <f t="shared" si="117"/>
        <v>0</v>
      </c>
      <c r="G177" s="566">
        <f t="shared" si="117"/>
        <v>0.14500000000000002</v>
      </c>
      <c r="H177" s="566">
        <f t="shared" si="117"/>
        <v>2.64</v>
      </c>
      <c r="J177" s="835"/>
      <c r="K177" s="566">
        <v>8</v>
      </c>
      <c r="L177" s="566">
        <f t="shared" ref="L177:Q177" si="118">I79</f>
        <v>200</v>
      </c>
      <c r="M177" s="566">
        <f t="shared" si="118"/>
        <v>-8.1999999999999993</v>
      </c>
      <c r="N177" s="566">
        <f t="shared" si="118"/>
        <v>3.7</v>
      </c>
      <c r="O177" s="566">
        <f t="shared" si="118"/>
        <v>0</v>
      </c>
      <c r="P177" s="566">
        <f t="shared" si="118"/>
        <v>5.9499999999999993</v>
      </c>
      <c r="Q177" s="566">
        <f t="shared" si="118"/>
        <v>1.18</v>
      </c>
    </row>
    <row r="178" spans="1:17" x14ac:dyDescent="0.25">
      <c r="A178" s="835"/>
      <c r="B178" s="566">
        <v>9</v>
      </c>
      <c r="C178" s="566">
        <f t="shared" ref="C178:H178" si="119">P71</f>
        <v>219.61</v>
      </c>
      <c r="D178" s="566">
        <f t="shared" si="119"/>
        <v>-0.39</v>
      </c>
      <c r="E178" s="566" t="str">
        <f t="shared" si="119"/>
        <v>-</v>
      </c>
      <c r="F178" s="566">
        <f t="shared" si="119"/>
        <v>0</v>
      </c>
      <c r="G178" s="566">
        <f t="shared" si="119"/>
        <v>0</v>
      </c>
      <c r="H178" s="566">
        <f t="shared" si="119"/>
        <v>2.6353200000000001</v>
      </c>
      <c r="J178" s="835"/>
      <c r="K178" s="566">
        <v>9</v>
      </c>
      <c r="L178" s="566">
        <f t="shared" ref="L178:Q178" si="120">P79</f>
        <v>103.4</v>
      </c>
      <c r="M178" s="566">
        <f t="shared" si="120"/>
        <v>3.4</v>
      </c>
      <c r="N178" s="566" t="str">
        <f t="shared" si="120"/>
        <v>-</v>
      </c>
      <c r="O178" s="566">
        <f t="shared" si="120"/>
        <v>0</v>
      </c>
      <c r="P178" s="566">
        <f t="shared" si="120"/>
        <v>0</v>
      </c>
      <c r="Q178" s="566">
        <f t="shared" si="120"/>
        <v>0.61006000000000005</v>
      </c>
    </row>
    <row r="179" spans="1:17" x14ac:dyDescent="0.25">
      <c r="A179" s="835"/>
      <c r="B179" s="566">
        <v>10</v>
      </c>
      <c r="C179" s="566">
        <f t="shared" ref="C179:H179" si="121">B102</f>
        <v>220</v>
      </c>
      <c r="D179" s="566" t="str">
        <f t="shared" si="121"/>
        <v>-</v>
      </c>
      <c r="E179" s="566" t="str">
        <f t="shared" si="121"/>
        <v>-</v>
      </c>
      <c r="F179" s="566" t="str">
        <f t="shared" si="121"/>
        <v>-</v>
      </c>
      <c r="G179" s="566">
        <f t="shared" si="121"/>
        <v>0</v>
      </c>
      <c r="H179" s="566" t="str">
        <f t="shared" si="121"/>
        <v>-</v>
      </c>
      <c r="J179" s="835"/>
      <c r="K179" s="566">
        <v>10</v>
      </c>
      <c r="L179" s="566">
        <f t="shared" ref="L179:Q179" si="122">B110</f>
        <v>200</v>
      </c>
      <c r="M179" s="566" t="str">
        <f t="shared" si="122"/>
        <v>-</v>
      </c>
      <c r="N179" s="566" t="str">
        <f t="shared" si="122"/>
        <v>-</v>
      </c>
      <c r="O179" s="566">
        <f t="shared" si="122"/>
        <v>0</v>
      </c>
      <c r="P179" s="566">
        <f t="shared" si="122"/>
        <v>0</v>
      </c>
      <c r="Q179" s="566" t="str">
        <f t="shared" si="122"/>
        <v>-</v>
      </c>
    </row>
    <row r="180" spans="1:17" x14ac:dyDescent="0.25">
      <c r="A180" s="835"/>
      <c r="B180" s="566">
        <v>11</v>
      </c>
      <c r="C180" s="566">
        <f t="shared" ref="C180:H180" si="123">I102</f>
        <v>220</v>
      </c>
      <c r="D180" s="566" t="str">
        <f t="shared" si="123"/>
        <v>-</v>
      </c>
      <c r="E180" s="566" t="str">
        <f t="shared" si="123"/>
        <v>-</v>
      </c>
      <c r="F180" s="566">
        <f t="shared" si="123"/>
        <v>0</v>
      </c>
      <c r="G180" s="566">
        <f t="shared" si="123"/>
        <v>0</v>
      </c>
      <c r="H180" s="566" t="str">
        <f t="shared" si="123"/>
        <v>-</v>
      </c>
      <c r="J180" s="835"/>
      <c r="K180" s="566">
        <v>11</v>
      </c>
      <c r="L180" s="566">
        <f t="shared" ref="L180:Q180" si="124">I110</f>
        <v>200</v>
      </c>
      <c r="M180" s="566" t="str">
        <f t="shared" si="124"/>
        <v>-</v>
      </c>
      <c r="N180" s="566" t="str">
        <f t="shared" si="124"/>
        <v>-</v>
      </c>
      <c r="O180" s="566">
        <f t="shared" si="124"/>
        <v>0</v>
      </c>
      <c r="P180" s="566">
        <f t="shared" si="124"/>
        <v>0</v>
      </c>
      <c r="Q180" s="566" t="str">
        <f t="shared" si="124"/>
        <v>-</v>
      </c>
    </row>
    <row r="181" spans="1:17" x14ac:dyDescent="0.25">
      <c r="A181" s="835"/>
      <c r="B181" s="566">
        <v>12</v>
      </c>
      <c r="C181" s="566">
        <f t="shared" ref="C181:H181" si="125">P102</f>
        <v>220</v>
      </c>
      <c r="D181" s="566" t="str">
        <f t="shared" si="125"/>
        <v>-</v>
      </c>
      <c r="E181" s="566" t="str">
        <f t="shared" si="125"/>
        <v>-</v>
      </c>
      <c r="F181" s="566">
        <f t="shared" si="125"/>
        <v>0</v>
      </c>
      <c r="G181" s="566">
        <f t="shared" si="125"/>
        <v>0</v>
      </c>
      <c r="H181" s="566" t="str">
        <f t="shared" si="125"/>
        <v>-</v>
      </c>
      <c r="J181" s="835"/>
      <c r="K181" s="566">
        <v>12</v>
      </c>
      <c r="L181" s="566">
        <f t="shared" ref="L181:Q181" si="126">P110</f>
        <v>200</v>
      </c>
      <c r="M181" s="566" t="str">
        <f t="shared" si="126"/>
        <v>-</v>
      </c>
      <c r="N181" s="566" t="str">
        <f t="shared" si="126"/>
        <v>-</v>
      </c>
      <c r="O181" s="566">
        <f t="shared" si="126"/>
        <v>0</v>
      </c>
      <c r="P181" s="566">
        <f t="shared" si="126"/>
        <v>0</v>
      </c>
      <c r="Q181" s="566" t="str">
        <f t="shared" si="126"/>
        <v>-</v>
      </c>
    </row>
    <row r="182" spans="1:17" s="546" customFormat="1" x14ac:dyDescent="0.25">
      <c r="A182" s="551"/>
      <c r="B182" s="551"/>
      <c r="C182" s="551"/>
      <c r="D182" s="551"/>
      <c r="E182" s="551"/>
      <c r="F182" s="567"/>
      <c r="G182" s="551"/>
      <c r="H182" s="551"/>
      <c r="J182" s="551"/>
      <c r="K182" s="551"/>
      <c r="L182" s="551"/>
      <c r="M182" s="551"/>
      <c r="N182" s="551"/>
      <c r="O182" s="567"/>
      <c r="P182" s="551"/>
      <c r="Q182" s="551"/>
    </row>
    <row r="183" spans="1:17" ht="14" x14ac:dyDescent="0.25">
      <c r="A183" s="835" t="s">
        <v>550</v>
      </c>
      <c r="B183" s="569">
        <v>1</v>
      </c>
      <c r="C183" s="569">
        <f t="shared" ref="C183:H183" si="127">B10</f>
        <v>230</v>
      </c>
      <c r="D183" s="569">
        <f t="shared" si="127"/>
        <v>-0.2</v>
      </c>
      <c r="E183" s="569">
        <f t="shared" si="127"/>
        <v>-0.26</v>
      </c>
      <c r="F183" s="569" t="str">
        <f t="shared" si="127"/>
        <v>-</v>
      </c>
      <c r="G183" s="569">
        <f t="shared" si="127"/>
        <v>0.03</v>
      </c>
      <c r="H183" s="569">
        <f t="shared" si="127"/>
        <v>2.7600000000000002</v>
      </c>
      <c r="J183" s="835" t="s">
        <v>550</v>
      </c>
      <c r="K183" s="569">
        <v>1</v>
      </c>
      <c r="L183" s="566">
        <f t="shared" ref="L183:Q183" si="128">B18</f>
        <v>500</v>
      </c>
      <c r="M183" s="566">
        <f t="shared" si="128"/>
        <v>3.8</v>
      </c>
      <c r="N183" s="566">
        <f t="shared" si="128"/>
        <v>-0.9</v>
      </c>
      <c r="O183" s="566" t="str">
        <f t="shared" si="128"/>
        <v>-</v>
      </c>
      <c r="P183" s="566">
        <f t="shared" si="128"/>
        <v>2.35</v>
      </c>
      <c r="Q183" s="566">
        <f t="shared" si="128"/>
        <v>2.9499999999999997</v>
      </c>
    </row>
    <row r="184" spans="1:17" ht="14" x14ac:dyDescent="0.25">
      <c r="A184" s="835"/>
      <c r="B184" s="569">
        <v>2</v>
      </c>
      <c r="C184" s="566">
        <f t="shared" ref="C184:H184" si="129">I10</f>
        <v>230</v>
      </c>
      <c r="D184" s="566">
        <f t="shared" si="129"/>
        <v>9.9999999999999995E-7</v>
      </c>
      <c r="E184" s="566">
        <f t="shared" si="129"/>
        <v>0.05</v>
      </c>
      <c r="F184" s="566" t="str">
        <f t="shared" si="129"/>
        <v>-</v>
      </c>
      <c r="G184" s="566">
        <f t="shared" si="129"/>
        <v>2.4999500000000001E-2</v>
      </c>
      <c r="H184" s="566">
        <f t="shared" si="129"/>
        <v>2.7600000000000002</v>
      </c>
      <c r="J184" s="835"/>
      <c r="K184" s="569">
        <v>2</v>
      </c>
      <c r="L184" s="566">
        <f t="shared" ref="L184:Q184" si="130">I18</f>
        <v>500</v>
      </c>
      <c r="M184" s="566">
        <f t="shared" si="130"/>
        <v>0.8</v>
      </c>
      <c r="N184" s="566">
        <f t="shared" si="130"/>
        <v>2</v>
      </c>
      <c r="O184" s="566" t="str">
        <f t="shared" si="130"/>
        <v>-</v>
      </c>
      <c r="P184" s="566">
        <f t="shared" si="130"/>
        <v>0.6</v>
      </c>
      <c r="Q184" s="566">
        <f t="shared" si="130"/>
        <v>2.9499999999999997</v>
      </c>
    </row>
    <row r="185" spans="1:17" x14ac:dyDescent="0.25">
      <c r="A185" s="835"/>
      <c r="B185" s="566">
        <v>3</v>
      </c>
      <c r="C185" s="566">
        <f t="shared" ref="C185:H185" si="131">P10</f>
        <v>230</v>
      </c>
      <c r="D185" s="566">
        <f t="shared" si="131"/>
        <v>-11.79</v>
      </c>
      <c r="E185" s="566">
        <f t="shared" si="131"/>
        <v>-2.52</v>
      </c>
      <c r="F185" s="566">
        <f t="shared" si="131"/>
        <v>-0.23</v>
      </c>
      <c r="G185" s="566">
        <f t="shared" si="131"/>
        <v>5.7799999999999994</v>
      </c>
      <c r="H185" s="566">
        <f t="shared" si="131"/>
        <v>2.7600000000000002</v>
      </c>
      <c r="J185" s="835"/>
      <c r="K185" s="566">
        <v>3</v>
      </c>
      <c r="L185" s="566">
        <f t="shared" ref="L185:Q185" si="132">P18</f>
        <v>500</v>
      </c>
      <c r="M185" s="566">
        <f t="shared" si="132"/>
        <v>-18.8</v>
      </c>
      <c r="N185" s="566">
        <f t="shared" si="132"/>
        <v>-1.1000000000000001</v>
      </c>
      <c r="O185" s="566">
        <f t="shared" si="132"/>
        <v>2.9</v>
      </c>
      <c r="P185" s="566">
        <f t="shared" si="132"/>
        <v>10.85</v>
      </c>
      <c r="Q185" s="566">
        <f t="shared" si="132"/>
        <v>2.9499999999999997</v>
      </c>
    </row>
    <row r="186" spans="1:17" x14ac:dyDescent="0.25">
      <c r="A186" s="835"/>
      <c r="B186" s="566">
        <v>4</v>
      </c>
      <c r="C186" s="566">
        <f t="shared" ref="C186:H186" si="133">B41</f>
        <v>230</v>
      </c>
      <c r="D186" s="566">
        <f t="shared" si="133"/>
        <v>-0.11</v>
      </c>
      <c r="E186" s="566">
        <f t="shared" si="133"/>
        <v>1.1100000000000001</v>
      </c>
      <c r="F186" s="566">
        <f t="shared" si="133"/>
        <v>0</v>
      </c>
      <c r="G186" s="566">
        <f t="shared" si="133"/>
        <v>0.6100000000000001</v>
      </c>
      <c r="H186" s="566">
        <f t="shared" si="133"/>
        <v>2.7600000000000002</v>
      </c>
      <c r="J186" s="835"/>
      <c r="K186" s="566">
        <v>4</v>
      </c>
      <c r="L186" s="566">
        <f t="shared" ref="L186:Q186" si="134">B49</f>
        <v>500</v>
      </c>
      <c r="M186" s="566">
        <f t="shared" si="134"/>
        <v>0.2</v>
      </c>
      <c r="N186" s="566">
        <f t="shared" si="134"/>
        <v>1.2</v>
      </c>
      <c r="O186" s="566">
        <f t="shared" si="134"/>
        <v>0</v>
      </c>
      <c r="P186" s="566">
        <f t="shared" si="134"/>
        <v>0.5</v>
      </c>
      <c r="Q186" s="566">
        <f t="shared" si="134"/>
        <v>2.9499999999999997</v>
      </c>
    </row>
    <row r="187" spans="1:17" x14ac:dyDescent="0.25">
      <c r="A187" s="835"/>
      <c r="B187" s="566">
        <v>5</v>
      </c>
      <c r="C187" s="566">
        <f t="shared" ref="C187:H187" si="135">I41</f>
        <v>230</v>
      </c>
      <c r="D187" s="566">
        <f t="shared" si="135"/>
        <v>0.73</v>
      </c>
      <c r="E187" s="566">
        <f t="shared" si="135"/>
        <v>-0.16</v>
      </c>
      <c r="F187" s="566">
        <f t="shared" si="135"/>
        <v>0</v>
      </c>
      <c r="G187" s="566">
        <f t="shared" si="135"/>
        <v>0.44500000000000001</v>
      </c>
      <c r="H187" s="566">
        <f t="shared" si="135"/>
        <v>2.7600000000000002</v>
      </c>
      <c r="J187" s="835"/>
      <c r="K187" s="566">
        <v>5</v>
      </c>
      <c r="L187" s="566">
        <f t="shared" ref="L187:Q187" si="136">I49</f>
        <v>500</v>
      </c>
      <c r="M187" s="566">
        <f t="shared" si="136"/>
        <v>0.7</v>
      </c>
      <c r="N187" s="566">
        <f t="shared" si="136"/>
        <v>0.7</v>
      </c>
      <c r="O187" s="566">
        <f t="shared" si="136"/>
        <v>0</v>
      </c>
      <c r="P187" s="566">
        <f t="shared" si="136"/>
        <v>0</v>
      </c>
      <c r="Q187" s="566">
        <f t="shared" si="136"/>
        <v>2.9</v>
      </c>
    </row>
    <row r="188" spans="1:17" x14ac:dyDescent="0.25">
      <c r="A188" s="835"/>
      <c r="B188" s="566">
        <v>6</v>
      </c>
      <c r="C188" s="566">
        <f t="shared" ref="C188:H188" si="137">P41</f>
        <v>230</v>
      </c>
      <c r="D188" s="566">
        <f t="shared" si="137"/>
        <v>-0.15</v>
      </c>
      <c r="E188" s="566">
        <f t="shared" si="137"/>
        <v>-0.05</v>
      </c>
      <c r="F188" s="566">
        <f t="shared" si="137"/>
        <v>0</v>
      </c>
      <c r="G188" s="566">
        <f t="shared" si="137"/>
        <v>4.9999999999999996E-2</v>
      </c>
      <c r="H188" s="566">
        <f t="shared" si="137"/>
        <v>2.7600000000000002</v>
      </c>
      <c r="J188" s="835"/>
      <c r="K188" s="566">
        <v>6</v>
      </c>
      <c r="L188" s="566">
        <f t="shared" ref="L188:Q188" si="138">P49</f>
        <v>500</v>
      </c>
      <c r="M188" s="566">
        <f t="shared" si="138"/>
        <v>1.1000000000000001</v>
      </c>
      <c r="N188" s="566">
        <f t="shared" si="138"/>
        <v>0.6</v>
      </c>
      <c r="O188" s="566">
        <f t="shared" si="138"/>
        <v>0</v>
      </c>
      <c r="P188" s="566">
        <f t="shared" si="138"/>
        <v>0.25000000000000006</v>
      </c>
      <c r="Q188" s="566">
        <f t="shared" si="138"/>
        <v>2.9</v>
      </c>
    </row>
    <row r="189" spans="1:17" x14ac:dyDescent="0.25">
      <c r="A189" s="835"/>
      <c r="B189" s="566">
        <v>7</v>
      </c>
      <c r="C189" s="566">
        <f t="shared" ref="C189:H189" si="139">B72</f>
        <v>230.47</v>
      </c>
      <c r="D189" s="566">
        <f t="shared" si="139"/>
        <v>0.47</v>
      </c>
      <c r="E189" s="566">
        <f t="shared" si="139"/>
        <v>0.4</v>
      </c>
      <c r="F189" s="566">
        <f t="shared" si="139"/>
        <v>0</v>
      </c>
      <c r="G189" s="566">
        <f t="shared" si="139"/>
        <v>3.4999999999999976E-2</v>
      </c>
      <c r="H189" s="566">
        <f t="shared" si="139"/>
        <v>2.7656399999999999</v>
      </c>
      <c r="J189" s="835"/>
      <c r="K189" s="566">
        <v>7</v>
      </c>
      <c r="L189" s="566">
        <f t="shared" ref="L189:Q189" si="140">B80</f>
        <v>500</v>
      </c>
      <c r="M189" s="566">
        <f t="shared" si="140"/>
        <v>3</v>
      </c>
      <c r="N189" s="566">
        <f t="shared" si="140"/>
        <v>3.3</v>
      </c>
      <c r="O189" s="566">
        <f t="shared" si="140"/>
        <v>0</v>
      </c>
      <c r="P189" s="566">
        <f t="shared" si="140"/>
        <v>0.14999999999999991</v>
      </c>
      <c r="Q189" s="566">
        <f t="shared" si="140"/>
        <v>2.9499999999999997</v>
      </c>
    </row>
    <row r="190" spans="1:17" x14ac:dyDescent="0.25">
      <c r="A190" s="835"/>
      <c r="B190" s="566">
        <v>8</v>
      </c>
      <c r="C190" s="566">
        <f t="shared" ref="C190:H190" si="141">I72</f>
        <v>230</v>
      </c>
      <c r="D190" s="566">
        <f t="shared" si="141"/>
        <v>-0.15</v>
      </c>
      <c r="E190" s="566">
        <f t="shared" si="141"/>
        <v>-0.54</v>
      </c>
      <c r="F190" s="566">
        <f t="shared" si="141"/>
        <v>0</v>
      </c>
      <c r="G190" s="566">
        <f t="shared" si="141"/>
        <v>0.19500000000000001</v>
      </c>
      <c r="H190" s="566">
        <f t="shared" si="141"/>
        <v>2.7600000000000002</v>
      </c>
      <c r="J190" s="835"/>
      <c r="K190" s="566">
        <v>8</v>
      </c>
      <c r="L190" s="566">
        <f t="shared" ref="L190:Q190" si="142">I80</f>
        <v>500</v>
      </c>
      <c r="M190" s="566">
        <f t="shared" si="142"/>
        <v>-31.8</v>
      </c>
      <c r="N190" s="566">
        <f t="shared" si="142"/>
        <v>8.3000000000000007</v>
      </c>
      <c r="O190" s="566">
        <f t="shared" si="142"/>
        <v>0</v>
      </c>
      <c r="P190" s="566">
        <f t="shared" si="142"/>
        <v>20.05</v>
      </c>
      <c r="Q190" s="566">
        <f t="shared" si="142"/>
        <v>2.9499999999999997</v>
      </c>
    </row>
    <row r="191" spans="1:17" x14ac:dyDescent="0.25">
      <c r="A191" s="835"/>
      <c r="B191" s="566">
        <v>9</v>
      </c>
      <c r="C191" s="566">
        <f t="shared" ref="C191:H191" si="143">P72</f>
        <v>229.61</v>
      </c>
      <c r="D191" s="566">
        <f t="shared" si="143"/>
        <v>-0.39</v>
      </c>
      <c r="E191" s="566" t="str">
        <f t="shared" si="143"/>
        <v>-</v>
      </c>
      <c r="F191" s="566">
        <f t="shared" si="143"/>
        <v>0</v>
      </c>
      <c r="G191" s="566">
        <f t="shared" si="143"/>
        <v>0</v>
      </c>
      <c r="H191" s="566">
        <f t="shared" si="143"/>
        <v>2.7553200000000002</v>
      </c>
      <c r="J191" s="835"/>
      <c r="K191" s="566">
        <v>9</v>
      </c>
      <c r="L191" s="566">
        <f t="shared" ref="L191:Q191" si="144">P80</f>
        <v>507.2</v>
      </c>
      <c r="M191" s="566">
        <f t="shared" si="144"/>
        <v>7.2</v>
      </c>
      <c r="N191" s="566" t="str">
        <f t="shared" si="144"/>
        <v>-</v>
      </c>
      <c r="O191" s="566">
        <f t="shared" si="144"/>
        <v>0</v>
      </c>
      <c r="P191" s="566">
        <f t="shared" si="144"/>
        <v>0</v>
      </c>
      <c r="Q191" s="566">
        <f t="shared" si="144"/>
        <v>2.99248</v>
      </c>
    </row>
    <row r="192" spans="1:17" x14ac:dyDescent="0.25">
      <c r="A192" s="835"/>
      <c r="B192" s="566">
        <v>10</v>
      </c>
      <c r="C192" s="566">
        <f t="shared" ref="C192:H192" si="145">B103</f>
        <v>230</v>
      </c>
      <c r="D192" s="566" t="str">
        <f t="shared" si="145"/>
        <v>-</v>
      </c>
      <c r="E192" s="566" t="str">
        <f t="shared" si="145"/>
        <v>-</v>
      </c>
      <c r="F192" s="566" t="str">
        <f t="shared" si="145"/>
        <v>-</v>
      </c>
      <c r="G192" s="566">
        <f t="shared" si="145"/>
        <v>0</v>
      </c>
      <c r="H192" s="566" t="str">
        <f t="shared" si="145"/>
        <v>-</v>
      </c>
      <c r="J192" s="835"/>
      <c r="K192" s="566">
        <v>10</v>
      </c>
      <c r="L192" s="566">
        <f t="shared" ref="L192:Q192" si="146">B111</f>
        <v>500</v>
      </c>
      <c r="M192" s="566" t="str">
        <f t="shared" si="146"/>
        <v>-</v>
      </c>
      <c r="N192" s="566" t="str">
        <f t="shared" si="146"/>
        <v>-</v>
      </c>
      <c r="O192" s="566">
        <f t="shared" si="146"/>
        <v>0</v>
      </c>
      <c r="P192" s="566">
        <f t="shared" si="146"/>
        <v>0</v>
      </c>
      <c r="Q192" s="566" t="str">
        <f t="shared" si="146"/>
        <v>-</v>
      </c>
    </row>
    <row r="193" spans="1:17" x14ac:dyDescent="0.25">
      <c r="A193" s="835"/>
      <c r="B193" s="566">
        <v>11</v>
      </c>
      <c r="C193" s="566">
        <f t="shared" ref="C193:H193" si="147">I103</f>
        <v>230</v>
      </c>
      <c r="D193" s="566" t="str">
        <f t="shared" si="147"/>
        <v>-</v>
      </c>
      <c r="E193" s="566" t="str">
        <f t="shared" si="147"/>
        <v>-</v>
      </c>
      <c r="F193" s="566">
        <f t="shared" si="147"/>
        <v>0</v>
      </c>
      <c r="G193" s="566">
        <f t="shared" si="147"/>
        <v>0</v>
      </c>
      <c r="H193" s="566" t="str">
        <f t="shared" si="147"/>
        <v>-</v>
      </c>
      <c r="J193" s="835"/>
      <c r="K193" s="566">
        <v>11</v>
      </c>
      <c r="L193" s="566">
        <f t="shared" ref="L193:Q193" si="148">I111</f>
        <v>500</v>
      </c>
      <c r="M193" s="566" t="str">
        <f t="shared" si="148"/>
        <v>-</v>
      </c>
      <c r="N193" s="566" t="str">
        <f t="shared" si="148"/>
        <v>-</v>
      </c>
      <c r="O193" s="566">
        <f t="shared" si="148"/>
        <v>0</v>
      </c>
      <c r="P193" s="566">
        <f t="shared" si="148"/>
        <v>0</v>
      </c>
      <c r="Q193" s="566" t="str">
        <f t="shared" si="148"/>
        <v>-</v>
      </c>
    </row>
    <row r="194" spans="1:17" x14ac:dyDescent="0.25">
      <c r="A194" s="835"/>
      <c r="B194" s="566">
        <v>12</v>
      </c>
      <c r="C194" s="566">
        <f t="shared" ref="C194:H194" si="149">P103</f>
        <v>230</v>
      </c>
      <c r="D194" s="566" t="str">
        <f t="shared" si="149"/>
        <v>-</v>
      </c>
      <c r="E194" s="566" t="str">
        <f t="shared" si="149"/>
        <v>-</v>
      </c>
      <c r="F194" s="566">
        <f t="shared" si="149"/>
        <v>0</v>
      </c>
      <c r="G194" s="566">
        <f t="shared" si="149"/>
        <v>0</v>
      </c>
      <c r="H194" s="566" t="str">
        <f t="shared" si="149"/>
        <v>-</v>
      </c>
      <c r="J194" s="835"/>
      <c r="K194" s="566">
        <v>12</v>
      </c>
      <c r="L194" s="566">
        <f t="shared" ref="L194:Q194" si="150">P111</f>
        <v>500</v>
      </c>
      <c r="M194" s="566" t="str">
        <f t="shared" si="150"/>
        <v>-</v>
      </c>
      <c r="N194" s="566" t="str">
        <f t="shared" si="150"/>
        <v>-</v>
      </c>
      <c r="O194" s="566">
        <f t="shared" si="150"/>
        <v>0</v>
      </c>
      <c r="P194" s="566">
        <f t="shared" si="150"/>
        <v>0</v>
      </c>
      <c r="Q194" s="566" t="str">
        <f t="shared" si="150"/>
        <v>-</v>
      </c>
    </row>
    <row r="195" spans="1:17" s="546" customFormat="1" x14ac:dyDescent="0.25">
      <c r="A195" s="551"/>
      <c r="B195" s="551"/>
      <c r="C195" s="551"/>
      <c r="D195" s="551"/>
      <c r="E195" s="551"/>
      <c r="F195" s="567"/>
      <c r="G195" s="551"/>
      <c r="H195" s="551"/>
      <c r="J195" s="551"/>
      <c r="K195" s="551"/>
      <c r="L195" s="551"/>
      <c r="M195" s="551"/>
      <c r="N195" s="551"/>
      <c r="O195" s="567"/>
      <c r="P195" s="551"/>
      <c r="Q195" s="551"/>
    </row>
    <row r="196" spans="1:17" ht="14" x14ac:dyDescent="0.25">
      <c r="A196" s="835" t="s">
        <v>551</v>
      </c>
      <c r="B196" s="569">
        <v>1</v>
      </c>
      <c r="C196" s="569">
        <f t="shared" ref="C196:H196" si="151">B11</f>
        <v>250</v>
      </c>
      <c r="D196" s="569">
        <f t="shared" si="151"/>
        <v>-0.32</v>
      </c>
      <c r="E196" s="569">
        <f t="shared" si="151"/>
        <v>9.9999999999999995E-7</v>
      </c>
      <c r="F196" s="569" t="str">
        <f t="shared" si="151"/>
        <v>-</v>
      </c>
      <c r="G196" s="569">
        <f t="shared" si="151"/>
        <v>0.16000049999999999</v>
      </c>
      <c r="H196" s="569">
        <f t="shared" si="151"/>
        <v>3</v>
      </c>
      <c r="J196" s="835" t="s">
        <v>551</v>
      </c>
      <c r="K196" s="569">
        <v>1</v>
      </c>
      <c r="L196" s="566">
        <f t="shared" ref="L196:Q196" si="152">B19</f>
        <v>1000</v>
      </c>
      <c r="M196" s="566">
        <f t="shared" si="152"/>
        <v>9.9999999999999995E-7</v>
      </c>
      <c r="N196" s="566">
        <f t="shared" si="152"/>
        <v>9.9999999999999995E-7</v>
      </c>
      <c r="O196" s="566" t="str">
        <f t="shared" si="152"/>
        <v>-</v>
      </c>
      <c r="P196" s="566">
        <f t="shared" si="152"/>
        <v>0</v>
      </c>
      <c r="Q196" s="566">
        <f t="shared" si="152"/>
        <v>2.95</v>
      </c>
    </row>
    <row r="197" spans="1:17" ht="14" x14ac:dyDescent="0.25">
      <c r="A197" s="835"/>
      <c r="B197" s="569">
        <v>2</v>
      </c>
      <c r="C197" s="566">
        <f t="shared" ref="C197:H197" si="153">I11</f>
        <v>250</v>
      </c>
      <c r="D197" s="566">
        <f t="shared" si="153"/>
        <v>9.9999999999999995E-7</v>
      </c>
      <c r="E197" s="566">
        <f t="shared" si="153"/>
        <v>9.9999999999999995E-7</v>
      </c>
      <c r="F197" s="566" t="str">
        <f t="shared" si="153"/>
        <v>-</v>
      </c>
      <c r="G197" s="566">
        <f t="shared" si="153"/>
        <v>0</v>
      </c>
      <c r="H197" s="566">
        <f t="shared" si="153"/>
        <v>2.76</v>
      </c>
      <c r="J197" s="835"/>
      <c r="K197" s="569">
        <v>2</v>
      </c>
      <c r="L197" s="566">
        <f t="shared" ref="L197:Q197" si="154">I19</f>
        <v>1000</v>
      </c>
      <c r="M197" s="566">
        <f t="shared" si="154"/>
        <v>9.9999999999999995E-7</v>
      </c>
      <c r="N197" s="566">
        <f t="shared" si="154"/>
        <v>9.9999999999999995E-7</v>
      </c>
      <c r="O197" s="566" t="str">
        <f t="shared" si="154"/>
        <v>-</v>
      </c>
      <c r="P197" s="566">
        <f t="shared" si="154"/>
        <v>0</v>
      </c>
      <c r="Q197" s="566">
        <f t="shared" si="154"/>
        <v>2.95</v>
      </c>
    </row>
    <row r="198" spans="1:17" x14ac:dyDescent="0.25">
      <c r="A198" s="835"/>
      <c r="B198" s="566">
        <v>3</v>
      </c>
      <c r="C198" s="566">
        <f t="shared" ref="C198:H198" si="155">P11</f>
        <v>250</v>
      </c>
      <c r="D198" s="566">
        <f t="shared" si="155"/>
        <v>9.9999999999999995E-7</v>
      </c>
      <c r="E198" s="566">
        <f t="shared" si="155"/>
        <v>9.9999999999999995E-7</v>
      </c>
      <c r="F198" s="566">
        <f t="shared" si="155"/>
        <v>9.9999999999999995E-7</v>
      </c>
      <c r="G198" s="566">
        <f t="shared" si="155"/>
        <v>0</v>
      </c>
      <c r="H198" s="566">
        <f t="shared" si="155"/>
        <v>3</v>
      </c>
      <c r="J198" s="835"/>
      <c r="K198" s="566">
        <v>3</v>
      </c>
      <c r="L198" s="566">
        <f t="shared" ref="L198:Q198" si="156">P19</f>
        <v>1000</v>
      </c>
      <c r="M198" s="566">
        <f t="shared" si="156"/>
        <v>-47</v>
      </c>
      <c r="N198" s="566">
        <f t="shared" si="156"/>
        <v>3</v>
      </c>
      <c r="O198" s="566">
        <f t="shared" si="156"/>
        <v>3</v>
      </c>
      <c r="P198" s="566">
        <f t="shared" si="156"/>
        <v>25</v>
      </c>
      <c r="Q198" s="566">
        <f t="shared" si="156"/>
        <v>5.8999999999999995</v>
      </c>
    </row>
    <row r="199" spans="1:17" x14ac:dyDescent="0.25">
      <c r="A199" s="835"/>
      <c r="B199" s="566">
        <v>4</v>
      </c>
      <c r="C199" s="566">
        <f t="shared" ref="C199:H199" si="157">B42</f>
        <v>250</v>
      </c>
      <c r="D199" s="566">
        <f t="shared" si="157"/>
        <v>9.9999999999999995E-7</v>
      </c>
      <c r="E199" s="566">
        <f t="shared" si="157"/>
        <v>9.9999999999999995E-7</v>
      </c>
      <c r="F199" s="566">
        <f t="shared" si="157"/>
        <v>0</v>
      </c>
      <c r="G199" s="566">
        <f t="shared" si="157"/>
        <v>0</v>
      </c>
      <c r="H199" s="566">
        <f t="shared" si="157"/>
        <v>2.76</v>
      </c>
      <c r="J199" s="835"/>
      <c r="K199" s="566">
        <v>4</v>
      </c>
      <c r="L199" s="566">
        <f t="shared" ref="L199:Q199" si="158">B50</f>
        <v>1000</v>
      </c>
      <c r="M199" s="566">
        <f t="shared" si="158"/>
        <v>2</v>
      </c>
      <c r="N199" s="566">
        <f t="shared" si="158"/>
        <v>2</v>
      </c>
      <c r="O199" s="566">
        <f t="shared" si="158"/>
        <v>0</v>
      </c>
      <c r="P199" s="566">
        <f t="shared" si="158"/>
        <v>0</v>
      </c>
      <c r="Q199" s="566">
        <f t="shared" si="158"/>
        <v>0</v>
      </c>
    </row>
    <row r="200" spans="1:17" x14ac:dyDescent="0.25">
      <c r="A200" s="835"/>
      <c r="B200" s="566">
        <v>5</v>
      </c>
      <c r="C200" s="566">
        <f t="shared" ref="C200:H200" si="159">I42</f>
        <v>250</v>
      </c>
      <c r="D200" s="566">
        <f t="shared" si="159"/>
        <v>9.9999999999999995E-7</v>
      </c>
      <c r="E200" s="566">
        <f t="shared" si="159"/>
        <v>9.9999999999999995E-7</v>
      </c>
      <c r="F200" s="566">
        <f t="shared" si="159"/>
        <v>0</v>
      </c>
      <c r="G200" s="566">
        <f t="shared" si="159"/>
        <v>0</v>
      </c>
      <c r="H200" s="566">
        <f t="shared" si="159"/>
        <v>2.76</v>
      </c>
      <c r="J200" s="835"/>
      <c r="K200" s="566">
        <v>5</v>
      </c>
      <c r="L200" s="566">
        <f t="shared" ref="L200:Q200" si="160">I50</f>
        <v>850</v>
      </c>
      <c r="M200" s="566">
        <f t="shared" si="160"/>
        <v>9.9999999999999995E-7</v>
      </c>
      <c r="N200" s="566">
        <f t="shared" si="160"/>
        <v>9.9999999999999995E-7</v>
      </c>
      <c r="O200" s="566">
        <f t="shared" si="160"/>
        <v>0</v>
      </c>
      <c r="P200" s="566">
        <f t="shared" si="160"/>
        <v>0</v>
      </c>
      <c r="Q200" s="566">
        <f t="shared" si="160"/>
        <v>2.9</v>
      </c>
    </row>
    <row r="201" spans="1:17" x14ac:dyDescent="0.25">
      <c r="A201" s="835"/>
      <c r="B201" s="566">
        <v>6</v>
      </c>
      <c r="C201" s="566">
        <f t="shared" ref="C201:H201" si="161">P42</f>
        <v>250</v>
      </c>
      <c r="D201" s="566">
        <f t="shared" si="161"/>
        <v>9.9999999999999995E-7</v>
      </c>
      <c r="E201" s="566">
        <f t="shared" si="161"/>
        <v>9.9999999999999995E-7</v>
      </c>
      <c r="F201" s="566">
        <f t="shared" si="161"/>
        <v>0</v>
      </c>
      <c r="G201" s="566">
        <f t="shared" si="161"/>
        <v>0</v>
      </c>
      <c r="H201" s="566">
        <f t="shared" si="161"/>
        <v>0</v>
      </c>
      <c r="J201" s="835"/>
      <c r="K201" s="566">
        <v>6</v>
      </c>
      <c r="L201" s="566">
        <f t="shared" ref="L201:Q201" si="162">P50</f>
        <v>1000</v>
      </c>
      <c r="M201" s="566">
        <f t="shared" si="162"/>
        <v>9.9999999999999995E-7</v>
      </c>
      <c r="N201" s="566">
        <f t="shared" si="162"/>
        <v>9.9999999999999995E-7</v>
      </c>
      <c r="O201" s="566">
        <f t="shared" si="162"/>
        <v>0</v>
      </c>
      <c r="P201" s="566">
        <f t="shared" si="162"/>
        <v>0</v>
      </c>
      <c r="Q201" s="566">
        <f t="shared" si="162"/>
        <v>2.9</v>
      </c>
    </row>
    <row r="202" spans="1:17" x14ac:dyDescent="0.25">
      <c r="A202" s="835"/>
      <c r="B202" s="566">
        <v>7</v>
      </c>
      <c r="C202" s="566">
        <f t="shared" ref="C202:H202" si="163">B73</f>
        <v>240.38</v>
      </c>
      <c r="D202" s="566">
        <f t="shared" si="163"/>
        <v>0.38</v>
      </c>
      <c r="E202" s="566">
        <f t="shared" si="163"/>
        <v>9.9999999999999995E-7</v>
      </c>
      <c r="F202" s="566">
        <f t="shared" si="163"/>
        <v>0</v>
      </c>
      <c r="G202" s="566">
        <f t="shared" si="163"/>
        <v>0.18999950000000002</v>
      </c>
      <c r="H202" s="566">
        <f t="shared" si="163"/>
        <v>2.88456</v>
      </c>
      <c r="J202" s="835"/>
      <c r="K202" s="566">
        <v>7</v>
      </c>
      <c r="L202" s="566">
        <f t="shared" ref="L202:Q202" si="164">B81</f>
        <v>1000</v>
      </c>
      <c r="M202" s="566">
        <f t="shared" si="164"/>
        <v>9.9999999999999995E-7</v>
      </c>
      <c r="N202" s="566">
        <f t="shared" si="164"/>
        <v>9.9999999999999995E-7</v>
      </c>
      <c r="O202" s="566">
        <f t="shared" si="164"/>
        <v>0</v>
      </c>
      <c r="P202" s="566">
        <f t="shared" si="164"/>
        <v>0</v>
      </c>
      <c r="Q202" s="566">
        <f t="shared" si="164"/>
        <v>2.95</v>
      </c>
    </row>
    <row r="203" spans="1:17" x14ac:dyDescent="0.25">
      <c r="A203" s="835"/>
      <c r="B203" s="566">
        <v>8</v>
      </c>
      <c r="C203" s="566">
        <f t="shared" ref="C203:H203" si="165">I73</f>
        <v>250</v>
      </c>
      <c r="D203" s="566">
        <f t="shared" si="165"/>
        <v>9.9999999999999995E-7</v>
      </c>
      <c r="E203" s="566">
        <f t="shared" si="165"/>
        <v>-0.49</v>
      </c>
      <c r="F203" s="566">
        <f t="shared" si="165"/>
        <v>0</v>
      </c>
      <c r="G203" s="566">
        <f t="shared" si="165"/>
        <v>0.24500049999999998</v>
      </c>
      <c r="H203" s="566">
        <f t="shared" si="165"/>
        <v>3</v>
      </c>
      <c r="J203" s="835"/>
      <c r="K203" s="566">
        <v>8</v>
      </c>
      <c r="L203" s="566">
        <f t="shared" ref="L203:Q203" si="166">I81</f>
        <v>1000</v>
      </c>
      <c r="M203" s="566">
        <f t="shared" si="166"/>
        <v>-74</v>
      </c>
      <c r="N203" s="566">
        <f t="shared" si="166"/>
        <v>9.9999999999999995E-7</v>
      </c>
      <c r="O203" s="566">
        <f t="shared" si="166"/>
        <v>0</v>
      </c>
      <c r="P203" s="566">
        <f t="shared" si="166"/>
        <v>37.000000499999999</v>
      </c>
      <c r="Q203" s="566">
        <f t="shared" si="166"/>
        <v>5.8999999999999995</v>
      </c>
    </row>
    <row r="204" spans="1:17" x14ac:dyDescent="0.25">
      <c r="A204" s="835"/>
      <c r="B204" s="566">
        <v>9</v>
      </c>
      <c r="C204" s="566">
        <f t="shared" ref="C204:H204" si="167">P73</f>
        <v>239.61</v>
      </c>
      <c r="D204" s="566">
        <f t="shared" si="167"/>
        <v>-0.39</v>
      </c>
      <c r="E204" s="566" t="str">
        <f t="shared" si="167"/>
        <v>-</v>
      </c>
      <c r="F204" s="566">
        <f t="shared" si="167"/>
        <v>0</v>
      </c>
      <c r="G204" s="566">
        <f t="shared" si="167"/>
        <v>0</v>
      </c>
      <c r="H204" s="566">
        <f t="shared" si="167"/>
        <v>2.8753200000000003</v>
      </c>
      <c r="J204" s="835"/>
      <c r="K204" s="566">
        <v>9</v>
      </c>
      <c r="L204" s="566">
        <f t="shared" ref="L204:Q204" si="168">P81</f>
        <v>920</v>
      </c>
      <c r="M204" s="566">
        <f t="shared" si="168"/>
        <v>9.9999999999999995E-7</v>
      </c>
      <c r="N204" s="566" t="str">
        <f t="shared" si="168"/>
        <v>-</v>
      </c>
      <c r="O204" s="566">
        <f t="shared" si="168"/>
        <v>0</v>
      </c>
      <c r="P204" s="566">
        <f t="shared" si="168"/>
        <v>0</v>
      </c>
      <c r="Q204" s="566">
        <f t="shared" si="168"/>
        <v>2.99</v>
      </c>
    </row>
    <row r="205" spans="1:17" x14ac:dyDescent="0.25">
      <c r="A205" s="835"/>
      <c r="B205" s="566">
        <v>10</v>
      </c>
      <c r="C205" s="566">
        <f t="shared" ref="C205:H205" si="169">B104</f>
        <v>250</v>
      </c>
      <c r="D205" s="566" t="str">
        <f t="shared" si="169"/>
        <v>-</v>
      </c>
      <c r="E205" s="566" t="str">
        <f t="shared" si="169"/>
        <v>-</v>
      </c>
      <c r="F205" s="566" t="str">
        <f t="shared" si="169"/>
        <v>-</v>
      </c>
      <c r="G205" s="566">
        <f t="shared" si="169"/>
        <v>0</v>
      </c>
      <c r="H205" s="566" t="str">
        <f t="shared" si="169"/>
        <v>-</v>
      </c>
      <c r="J205" s="835"/>
      <c r="K205" s="566">
        <v>10</v>
      </c>
      <c r="L205" s="566">
        <f t="shared" ref="L205:Q205" si="170">B112</f>
        <v>1000</v>
      </c>
      <c r="M205" s="566" t="str">
        <f t="shared" si="170"/>
        <v>-</v>
      </c>
      <c r="N205" s="566" t="str">
        <f t="shared" si="170"/>
        <v>-</v>
      </c>
      <c r="O205" s="566">
        <f t="shared" si="170"/>
        <v>0</v>
      </c>
      <c r="P205" s="566">
        <f t="shared" si="170"/>
        <v>0</v>
      </c>
      <c r="Q205" s="566" t="str">
        <f t="shared" si="170"/>
        <v>-</v>
      </c>
    </row>
    <row r="206" spans="1:17" x14ac:dyDescent="0.25">
      <c r="A206" s="835"/>
      <c r="B206" s="566">
        <v>11</v>
      </c>
      <c r="C206" s="566">
        <f t="shared" ref="C206:H206" si="171">I104</f>
        <v>250</v>
      </c>
      <c r="D206" s="566" t="str">
        <f t="shared" si="171"/>
        <v>-</v>
      </c>
      <c r="E206" s="566" t="str">
        <f t="shared" si="171"/>
        <v>-</v>
      </c>
      <c r="F206" s="566">
        <f t="shared" si="171"/>
        <v>0</v>
      </c>
      <c r="G206" s="566">
        <f t="shared" si="171"/>
        <v>0</v>
      </c>
      <c r="H206" s="566" t="str">
        <f t="shared" si="171"/>
        <v>-</v>
      </c>
      <c r="J206" s="835"/>
      <c r="K206" s="566">
        <v>11</v>
      </c>
      <c r="L206" s="566">
        <f t="shared" ref="L206:Q206" si="172">I112</f>
        <v>1000</v>
      </c>
      <c r="M206" s="566" t="str">
        <f t="shared" si="172"/>
        <v>-</v>
      </c>
      <c r="N206" s="566" t="str">
        <f t="shared" si="172"/>
        <v>-</v>
      </c>
      <c r="O206" s="566">
        <f t="shared" si="172"/>
        <v>0</v>
      </c>
      <c r="P206" s="566">
        <f t="shared" si="172"/>
        <v>0</v>
      </c>
      <c r="Q206" s="566" t="str">
        <f t="shared" si="172"/>
        <v>-</v>
      </c>
    </row>
    <row r="207" spans="1:17" x14ac:dyDescent="0.25">
      <c r="A207" s="835"/>
      <c r="B207" s="566">
        <v>12</v>
      </c>
      <c r="C207" s="566">
        <f t="shared" ref="C207:H207" si="173">P104</f>
        <v>250</v>
      </c>
      <c r="D207" s="566" t="str">
        <f t="shared" si="173"/>
        <v>-</v>
      </c>
      <c r="E207" s="566" t="str">
        <f t="shared" si="173"/>
        <v>-</v>
      </c>
      <c r="F207" s="566">
        <f t="shared" si="173"/>
        <v>0</v>
      </c>
      <c r="G207" s="566">
        <f t="shared" si="173"/>
        <v>0</v>
      </c>
      <c r="H207" s="566" t="str">
        <f t="shared" si="173"/>
        <v>-</v>
      </c>
      <c r="J207" s="835"/>
      <c r="K207" s="566">
        <v>12</v>
      </c>
      <c r="L207" s="566">
        <f t="shared" ref="L207:Q207" si="174">P112</f>
        <v>1000</v>
      </c>
      <c r="M207" s="566" t="str">
        <f t="shared" si="174"/>
        <v>-</v>
      </c>
      <c r="N207" s="566" t="str">
        <f t="shared" si="174"/>
        <v>-</v>
      </c>
      <c r="O207" s="566">
        <f t="shared" si="174"/>
        <v>0</v>
      </c>
      <c r="P207" s="566">
        <f t="shared" si="174"/>
        <v>0</v>
      </c>
      <c r="Q207" s="566" t="str">
        <f t="shared" si="174"/>
        <v>-</v>
      </c>
    </row>
    <row r="208" spans="1:17" x14ac:dyDescent="0.25">
      <c r="A208" s="571"/>
      <c r="B208" s="575"/>
      <c r="C208" s="575"/>
      <c r="D208" s="571"/>
      <c r="E208" s="571"/>
      <c r="F208" s="571"/>
      <c r="G208" s="571"/>
      <c r="H208" s="571"/>
      <c r="J208" s="571"/>
      <c r="K208" s="571"/>
      <c r="L208" s="571"/>
      <c r="M208" s="571"/>
      <c r="N208" s="571"/>
      <c r="O208" s="571"/>
      <c r="P208" s="571"/>
      <c r="Q208" s="571"/>
    </row>
    <row r="209" spans="1:17" ht="14" x14ac:dyDescent="0.3">
      <c r="A209" s="836" t="s">
        <v>687</v>
      </c>
      <c r="B209" s="829"/>
      <c r="C209" s="837" t="s">
        <v>534</v>
      </c>
      <c r="D209" s="837"/>
      <c r="E209" s="837"/>
      <c r="F209" s="837"/>
      <c r="G209" s="837"/>
      <c r="H209" s="837"/>
      <c r="J209" s="836" t="s">
        <v>687</v>
      </c>
      <c r="K209" s="829"/>
      <c r="L209" s="838" t="s">
        <v>534</v>
      </c>
      <c r="M209" s="838"/>
      <c r="N209" s="838"/>
      <c r="O209" s="838"/>
      <c r="P209" s="838"/>
      <c r="Q209" s="838"/>
    </row>
    <row r="210" spans="1:17" ht="13.15" customHeight="1" x14ac:dyDescent="0.25">
      <c r="A210" s="836"/>
      <c r="B210" s="829"/>
      <c r="C210" s="839" t="str">
        <f>B20</f>
        <v>Main-PE</v>
      </c>
      <c r="D210" s="839"/>
      <c r="E210" s="839"/>
      <c r="F210" s="839"/>
      <c r="G210" s="570" t="s">
        <v>536</v>
      </c>
      <c r="H210" s="570" t="s">
        <v>537</v>
      </c>
      <c r="J210" s="836"/>
      <c r="K210" s="829"/>
      <c r="L210" s="839" t="str">
        <f>B26</f>
        <v>Resistance</v>
      </c>
      <c r="M210" s="839"/>
      <c r="N210" s="839"/>
      <c r="O210" s="839"/>
      <c r="P210" s="570" t="s">
        <v>536</v>
      </c>
      <c r="Q210" s="570" t="s">
        <v>537</v>
      </c>
    </row>
    <row r="211" spans="1:17" ht="14.5" x14ac:dyDescent="0.25">
      <c r="A211" s="836"/>
      <c r="B211" s="829"/>
      <c r="C211" s="572" t="s">
        <v>685</v>
      </c>
      <c r="D211" s="570"/>
      <c r="E211" s="570"/>
      <c r="F211" s="571"/>
      <c r="G211" s="570"/>
      <c r="H211" s="570"/>
      <c r="J211" s="836"/>
      <c r="K211" s="829"/>
      <c r="L211" s="572" t="s">
        <v>684</v>
      </c>
      <c r="M211" s="570"/>
      <c r="N211" s="570"/>
      <c r="O211" s="571"/>
      <c r="P211" s="570"/>
      <c r="Q211" s="570"/>
    </row>
    <row r="212" spans="1:17" ht="14" x14ac:dyDescent="0.25">
      <c r="A212" s="840" t="s">
        <v>63</v>
      </c>
      <c r="B212" s="566">
        <v>1</v>
      </c>
      <c r="C212" s="566">
        <f t="shared" ref="C212:H212" si="175">B22</f>
        <v>10</v>
      </c>
      <c r="D212" s="566">
        <f t="shared" si="175"/>
        <v>-1E-3</v>
      </c>
      <c r="E212" s="566">
        <f t="shared" si="175"/>
        <v>9.9999999999999995E-7</v>
      </c>
      <c r="F212" s="566" t="str">
        <f t="shared" si="175"/>
        <v>-</v>
      </c>
      <c r="G212" s="566">
        <f t="shared" si="175"/>
        <v>5.0049999999999997E-4</v>
      </c>
      <c r="H212" s="566">
        <f t="shared" si="175"/>
        <v>0</v>
      </c>
      <c r="J212" s="840" t="s">
        <v>63</v>
      </c>
      <c r="K212" s="566">
        <v>1</v>
      </c>
      <c r="L212" s="569">
        <f t="shared" ref="L212:Q212" si="176">B28</f>
        <v>0</v>
      </c>
      <c r="M212" s="569">
        <f t="shared" si="176"/>
        <v>9.9999999999999995E-7</v>
      </c>
      <c r="N212" s="569">
        <f t="shared" si="176"/>
        <v>9.9999999999999995E-7</v>
      </c>
      <c r="O212" s="569" t="str">
        <f t="shared" si="176"/>
        <v>-</v>
      </c>
      <c r="P212" s="569">
        <f t="shared" si="176"/>
        <v>0</v>
      </c>
      <c r="Q212" s="569">
        <f t="shared" si="176"/>
        <v>0</v>
      </c>
    </row>
    <row r="213" spans="1:17" x14ac:dyDescent="0.25">
      <c r="A213" s="840"/>
      <c r="B213" s="566">
        <v>2</v>
      </c>
      <c r="C213" s="566">
        <f t="shared" ref="C213:H213" si="177">I22</f>
        <v>10</v>
      </c>
      <c r="D213" s="566">
        <f t="shared" si="177"/>
        <v>0.1</v>
      </c>
      <c r="E213" s="566">
        <f t="shared" si="177"/>
        <v>9.9999999999999995E-7</v>
      </c>
      <c r="F213" s="566" t="str">
        <f t="shared" si="177"/>
        <v>-</v>
      </c>
      <c r="G213" s="566">
        <f t="shared" si="177"/>
        <v>4.9999500000000002E-2</v>
      </c>
      <c r="H213" s="566">
        <f t="shared" si="177"/>
        <v>5.8999999999999997E-2</v>
      </c>
      <c r="J213" s="840"/>
      <c r="K213" s="566">
        <v>2</v>
      </c>
      <c r="L213" s="566">
        <f t="shared" ref="L213:Q213" si="178">I28</f>
        <v>0.01</v>
      </c>
      <c r="M213" s="566">
        <f t="shared" si="178"/>
        <v>9.9999999999999995E-7</v>
      </c>
      <c r="N213" s="566">
        <f t="shared" si="178"/>
        <v>9.9999999999999995E-7</v>
      </c>
      <c r="O213" s="566" t="str">
        <f t="shared" si="178"/>
        <v>-</v>
      </c>
      <c r="P213" s="566">
        <f t="shared" si="178"/>
        <v>0</v>
      </c>
      <c r="Q213" s="566">
        <f t="shared" si="178"/>
        <v>1.2E-4</v>
      </c>
    </row>
    <row r="214" spans="1:17" x14ac:dyDescent="0.25">
      <c r="A214" s="840"/>
      <c r="B214" s="566">
        <v>3</v>
      </c>
      <c r="C214" s="566">
        <f t="shared" ref="C214:H214" si="179">P22</f>
        <v>5</v>
      </c>
      <c r="D214" s="566">
        <f t="shared" si="179"/>
        <v>9.9999999999999995E-7</v>
      </c>
      <c r="E214" s="566">
        <f t="shared" si="179"/>
        <v>9.9999999999999995E-7</v>
      </c>
      <c r="F214" s="566">
        <f t="shared" si="179"/>
        <v>9.9999999999999995E-7</v>
      </c>
      <c r="G214" s="566">
        <f t="shared" si="179"/>
        <v>0</v>
      </c>
      <c r="H214" s="566">
        <f t="shared" si="179"/>
        <v>8.5000000000000006E-2</v>
      </c>
      <c r="J214" s="840"/>
      <c r="K214" s="566">
        <v>3</v>
      </c>
      <c r="L214" s="566">
        <f t="shared" ref="L214:Q214" si="180">P28</f>
        <v>9.9999999999999995E-7</v>
      </c>
      <c r="M214" s="566">
        <f t="shared" si="180"/>
        <v>-1E-3</v>
      </c>
      <c r="N214" s="566">
        <f t="shared" si="180"/>
        <v>9.9999999999999995E-7</v>
      </c>
      <c r="O214" s="566">
        <f t="shared" si="180"/>
        <v>9.9999999999999995E-7</v>
      </c>
      <c r="P214" s="566">
        <f t="shared" si="180"/>
        <v>5.0049999999999997E-4</v>
      </c>
      <c r="Q214" s="566">
        <f t="shared" si="180"/>
        <v>1.2E-8</v>
      </c>
    </row>
    <row r="215" spans="1:17" x14ac:dyDescent="0.25">
      <c r="A215" s="840"/>
      <c r="B215" s="566">
        <v>4</v>
      </c>
      <c r="C215" s="566">
        <f t="shared" ref="C215:H215" si="181">B53</f>
        <v>10</v>
      </c>
      <c r="D215" s="566">
        <f t="shared" si="181"/>
        <v>9.9999999999999995E-7</v>
      </c>
      <c r="E215" s="566">
        <f t="shared" si="181"/>
        <v>0.1</v>
      </c>
      <c r="F215" s="566">
        <f t="shared" si="181"/>
        <v>0</v>
      </c>
      <c r="G215" s="566">
        <f t="shared" si="181"/>
        <v>4.9999500000000002E-2</v>
      </c>
      <c r="H215" s="566">
        <f t="shared" si="181"/>
        <v>0.17</v>
      </c>
      <c r="J215" s="840"/>
      <c r="K215" s="566">
        <v>4</v>
      </c>
      <c r="L215" s="566">
        <f t="shared" ref="L215:Q215" si="182">B59</f>
        <v>0.01</v>
      </c>
      <c r="M215" s="566">
        <f t="shared" si="182"/>
        <v>9.9999999999999995E-7</v>
      </c>
      <c r="N215" s="566">
        <f t="shared" si="182"/>
        <v>9.9999999999999995E-7</v>
      </c>
      <c r="O215" s="566">
        <f t="shared" si="182"/>
        <v>0</v>
      </c>
      <c r="P215" s="566">
        <f t="shared" si="182"/>
        <v>0</v>
      </c>
      <c r="Q215" s="566">
        <f t="shared" si="182"/>
        <v>0</v>
      </c>
    </row>
    <row r="216" spans="1:17" x14ac:dyDescent="0.25">
      <c r="A216" s="840"/>
      <c r="B216" s="566">
        <v>5</v>
      </c>
      <c r="C216" s="566">
        <f t="shared" ref="C216:H216" si="183">I53</f>
        <v>10</v>
      </c>
      <c r="D216" s="566">
        <f t="shared" si="183"/>
        <v>9.9999999999999995E-7</v>
      </c>
      <c r="E216" s="566">
        <f t="shared" si="183"/>
        <v>0.1</v>
      </c>
      <c r="F216" s="566">
        <f t="shared" si="183"/>
        <v>0</v>
      </c>
      <c r="G216" s="566">
        <f t="shared" si="183"/>
        <v>4.9999500000000002E-2</v>
      </c>
      <c r="H216" s="566">
        <f t="shared" si="183"/>
        <v>0.17</v>
      </c>
      <c r="J216" s="840"/>
      <c r="K216" s="566">
        <v>5</v>
      </c>
      <c r="L216" s="566">
        <f t="shared" ref="L216:Q216" si="184">I59</f>
        <v>0.01</v>
      </c>
      <c r="M216" s="566">
        <f t="shared" si="184"/>
        <v>9.9999999999999995E-7</v>
      </c>
      <c r="N216" s="566">
        <f t="shared" si="184"/>
        <v>9.9999999999999995E-7</v>
      </c>
      <c r="O216" s="566">
        <f t="shared" si="184"/>
        <v>0</v>
      </c>
      <c r="P216" s="566">
        <f t="shared" si="184"/>
        <v>0</v>
      </c>
      <c r="Q216" s="566">
        <f t="shared" si="184"/>
        <v>1.2E-4</v>
      </c>
    </row>
    <row r="217" spans="1:17" x14ac:dyDescent="0.25">
      <c r="A217" s="840"/>
      <c r="B217" s="566">
        <v>6</v>
      </c>
      <c r="C217" s="566">
        <f t="shared" ref="C217:H217" si="185">P53</f>
        <v>10</v>
      </c>
      <c r="D217" s="566">
        <f t="shared" si="185"/>
        <v>0.1</v>
      </c>
      <c r="E217" s="566">
        <f t="shared" si="185"/>
        <v>9.9999999999999995E-7</v>
      </c>
      <c r="F217" s="566">
        <f t="shared" si="185"/>
        <v>0</v>
      </c>
      <c r="G217" s="566">
        <f t="shared" si="185"/>
        <v>4.9999500000000002E-2</v>
      </c>
      <c r="H217" s="566">
        <f t="shared" si="185"/>
        <v>0.17</v>
      </c>
      <c r="J217" s="840"/>
      <c r="K217" s="566">
        <v>6</v>
      </c>
      <c r="L217" s="566">
        <f t="shared" ref="L217:Q217" si="186">P59</f>
        <v>0.01</v>
      </c>
      <c r="M217" s="566">
        <f t="shared" si="186"/>
        <v>9.9999999999999995E-7</v>
      </c>
      <c r="N217" s="566">
        <f t="shared" si="186"/>
        <v>9.9999999999999995E-7</v>
      </c>
      <c r="O217" s="566">
        <f t="shared" si="186"/>
        <v>0</v>
      </c>
      <c r="P217" s="566">
        <f t="shared" si="186"/>
        <v>0</v>
      </c>
      <c r="Q217" s="566">
        <f t="shared" si="186"/>
        <v>1.2E-4</v>
      </c>
    </row>
    <row r="218" spans="1:17" x14ac:dyDescent="0.25">
      <c r="A218" s="840"/>
      <c r="B218" s="566">
        <v>7</v>
      </c>
      <c r="C218" s="566">
        <f t="shared" ref="C218:H218" si="187">B84</f>
        <v>10</v>
      </c>
      <c r="D218" s="566">
        <f t="shared" si="187"/>
        <v>9.9999999999999995E-7</v>
      </c>
      <c r="E218" s="566">
        <f t="shared" si="187"/>
        <v>9.9999999999999995E-7</v>
      </c>
      <c r="F218" s="566">
        <f t="shared" si="187"/>
        <v>0</v>
      </c>
      <c r="G218" s="566">
        <f t="shared" si="187"/>
        <v>0</v>
      </c>
      <c r="H218" s="566">
        <f t="shared" si="187"/>
        <v>0.17</v>
      </c>
      <c r="J218" s="840"/>
      <c r="K218" s="566">
        <v>7</v>
      </c>
      <c r="L218" s="566">
        <f t="shared" ref="L218:Q218" si="188">B90</f>
        <v>0.01</v>
      </c>
      <c r="M218" s="566">
        <f t="shared" si="188"/>
        <v>9.9999999999999995E-7</v>
      </c>
      <c r="N218" s="566">
        <f t="shared" si="188"/>
        <v>9.9999999999999995E-7</v>
      </c>
      <c r="O218" s="566">
        <f t="shared" si="188"/>
        <v>0</v>
      </c>
      <c r="P218" s="566">
        <f t="shared" si="188"/>
        <v>0</v>
      </c>
      <c r="Q218" s="566">
        <f t="shared" si="188"/>
        <v>0.01</v>
      </c>
    </row>
    <row r="219" spans="1:17" x14ac:dyDescent="0.25">
      <c r="A219" s="840"/>
      <c r="B219" s="566">
        <v>8</v>
      </c>
      <c r="C219" s="566">
        <f t="shared" ref="C219:H219" si="189">I84</f>
        <v>10</v>
      </c>
      <c r="D219" s="566">
        <f t="shared" si="189"/>
        <v>9.9999999999999995E-7</v>
      </c>
      <c r="E219" s="566">
        <f t="shared" si="189"/>
        <v>9.9999999999999995E-7</v>
      </c>
      <c r="F219" s="566">
        <f t="shared" si="189"/>
        <v>0</v>
      </c>
      <c r="G219" s="566">
        <f t="shared" si="189"/>
        <v>0</v>
      </c>
      <c r="H219" s="566">
        <f t="shared" si="189"/>
        <v>0.17</v>
      </c>
      <c r="J219" s="840"/>
      <c r="K219" s="566">
        <v>8</v>
      </c>
      <c r="L219" s="566">
        <f t="shared" ref="L219:Q219" si="190">I90</f>
        <v>0.1</v>
      </c>
      <c r="M219" s="566">
        <f t="shared" si="190"/>
        <v>-1E-3</v>
      </c>
      <c r="N219" s="566">
        <f t="shared" si="190"/>
        <v>-1E-3</v>
      </c>
      <c r="O219" s="566">
        <f t="shared" si="190"/>
        <v>0</v>
      </c>
      <c r="P219" s="566">
        <f t="shared" si="190"/>
        <v>0</v>
      </c>
      <c r="Q219" s="566">
        <f t="shared" si="190"/>
        <v>1.2000000000000001E-3</v>
      </c>
    </row>
    <row r="220" spans="1:17" x14ac:dyDescent="0.25">
      <c r="A220" s="840"/>
      <c r="B220" s="566">
        <v>9</v>
      </c>
      <c r="C220" s="566">
        <f t="shared" ref="C220:H220" si="191">P84</f>
        <v>10</v>
      </c>
      <c r="D220" s="566">
        <f t="shared" si="191"/>
        <v>9.9999999999999995E-7</v>
      </c>
      <c r="E220" s="566" t="str">
        <f t="shared" si="191"/>
        <v>-</v>
      </c>
      <c r="F220" s="566">
        <f t="shared" si="191"/>
        <v>0</v>
      </c>
      <c r="G220" s="566">
        <f t="shared" si="191"/>
        <v>0</v>
      </c>
      <c r="H220" s="566">
        <f t="shared" si="191"/>
        <v>0</v>
      </c>
      <c r="J220" s="840"/>
      <c r="K220" s="566">
        <v>9</v>
      </c>
      <c r="L220" s="566">
        <f t="shared" ref="L220:Q220" si="192">P90</f>
        <v>1E-3</v>
      </c>
      <c r="M220" s="566">
        <f t="shared" si="192"/>
        <v>-1E-3</v>
      </c>
      <c r="N220" s="566" t="str">
        <f t="shared" si="192"/>
        <v>-</v>
      </c>
      <c r="O220" s="566">
        <f t="shared" si="192"/>
        <v>0</v>
      </c>
      <c r="P220" s="566">
        <f t="shared" si="192"/>
        <v>0</v>
      </c>
      <c r="Q220" s="566">
        <f t="shared" si="192"/>
        <v>1.2E-5</v>
      </c>
    </row>
    <row r="221" spans="1:17" x14ac:dyDescent="0.25">
      <c r="A221" s="840"/>
      <c r="B221" s="566">
        <v>10</v>
      </c>
      <c r="C221" s="566">
        <f t="shared" ref="C221:H221" si="193">B115</f>
        <v>10</v>
      </c>
      <c r="D221" s="566" t="str">
        <f t="shared" si="193"/>
        <v>-</v>
      </c>
      <c r="E221" s="566" t="str">
        <f t="shared" si="193"/>
        <v>-</v>
      </c>
      <c r="F221" s="566">
        <f t="shared" si="193"/>
        <v>0</v>
      </c>
      <c r="G221" s="566">
        <f t="shared" si="193"/>
        <v>0</v>
      </c>
      <c r="H221" s="566" t="str">
        <f t="shared" si="193"/>
        <v>-</v>
      </c>
      <c r="J221" s="840"/>
      <c r="K221" s="566">
        <v>10</v>
      </c>
      <c r="L221" s="566">
        <f t="shared" ref="L221:Q221" si="194">B121</f>
        <v>0</v>
      </c>
      <c r="M221" s="566" t="str">
        <f t="shared" si="194"/>
        <v>-</v>
      </c>
      <c r="N221" s="566" t="str">
        <f t="shared" si="194"/>
        <v>-</v>
      </c>
      <c r="O221" s="566">
        <f t="shared" si="194"/>
        <v>0</v>
      </c>
      <c r="P221" s="566">
        <f t="shared" si="194"/>
        <v>0</v>
      </c>
      <c r="Q221" s="566" t="str">
        <f t="shared" si="194"/>
        <v>-</v>
      </c>
    </row>
    <row r="222" spans="1:17" x14ac:dyDescent="0.25">
      <c r="A222" s="840"/>
      <c r="B222" s="566">
        <v>11</v>
      </c>
      <c r="C222" s="566">
        <f t="shared" ref="C222:H222" si="195">I115</f>
        <v>10</v>
      </c>
      <c r="D222" s="566" t="str">
        <f t="shared" si="195"/>
        <v>-</v>
      </c>
      <c r="E222" s="566" t="str">
        <f t="shared" si="195"/>
        <v>-</v>
      </c>
      <c r="F222" s="566">
        <f t="shared" si="195"/>
        <v>0</v>
      </c>
      <c r="G222" s="566">
        <f t="shared" si="195"/>
        <v>0</v>
      </c>
      <c r="H222" s="566" t="str">
        <f t="shared" si="195"/>
        <v>-</v>
      </c>
      <c r="J222" s="840"/>
      <c r="K222" s="566">
        <v>11</v>
      </c>
      <c r="L222" s="566">
        <f t="shared" ref="L222:Q222" si="196">I121</f>
        <v>0.01</v>
      </c>
      <c r="M222" s="566" t="str">
        <f t="shared" si="196"/>
        <v>-</v>
      </c>
      <c r="N222" s="566" t="str">
        <f t="shared" si="196"/>
        <v>-</v>
      </c>
      <c r="O222" s="566">
        <f t="shared" si="196"/>
        <v>0</v>
      </c>
      <c r="P222" s="566">
        <f t="shared" si="196"/>
        <v>0</v>
      </c>
      <c r="Q222" s="566" t="str">
        <f t="shared" si="196"/>
        <v>-</v>
      </c>
    </row>
    <row r="223" spans="1:17" x14ac:dyDescent="0.25">
      <c r="A223" s="840"/>
      <c r="B223" s="566">
        <v>12</v>
      </c>
      <c r="C223" s="566">
        <f t="shared" ref="C223:H223" si="197">P115</f>
        <v>10</v>
      </c>
      <c r="D223" s="566" t="str">
        <f t="shared" si="197"/>
        <v>-</v>
      </c>
      <c r="E223" s="566" t="str">
        <f t="shared" si="197"/>
        <v>-</v>
      </c>
      <c r="F223" s="566">
        <f t="shared" si="197"/>
        <v>0</v>
      </c>
      <c r="G223" s="566">
        <f t="shared" si="197"/>
        <v>0</v>
      </c>
      <c r="H223" s="566" t="str">
        <f t="shared" si="197"/>
        <v>-</v>
      </c>
      <c r="J223" s="840"/>
      <c r="K223" s="566">
        <v>12</v>
      </c>
      <c r="L223" s="566">
        <f t="shared" ref="L223:Q223" si="198">P121</f>
        <v>0.01</v>
      </c>
      <c r="M223" s="566" t="str">
        <f t="shared" si="198"/>
        <v>-</v>
      </c>
      <c r="N223" s="566" t="str">
        <f t="shared" si="198"/>
        <v>-</v>
      </c>
      <c r="O223" s="566">
        <f t="shared" si="198"/>
        <v>0</v>
      </c>
      <c r="P223" s="566">
        <f t="shared" si="198"/>
        <v>0</v>
      </c>
      <c r="Q223" s="566" t="str">
        <f t="shared" si="198"/>
        <v>-</v>
      </c>
    </row>
    <row r="224" spans="1:17" s="546" customFormat="1" x14ac:dyDescent="0.25">
      <c r="A224" s="568"/>
      <c r="B224" s="551"/>
      <c r="C224" s="551"/>
      <c r="D224" s="551"/>
      <c r="E224" s="551"/>
      <c r="F224" s="567"/>
      <c r="G224" s="551"/>
      <c r="H224" s="551"/>
      <c r="J224" s="568"/>
      <c r="K224" s="551"/>
      <c r="L224" s="551"/>
      <c r="M224" s="551"/>
      <c r="N224" s="551"/>
      <c r="O224" s="567"/>
      <c r="P224" s="551"/>
      <c r="Q224" s="551"/>
    </row>
    <row r="225" spans="1:17" x14ac:dyDescent="0.25">
      <c r="A225" s="840" t="s">
        <v>64</v>
      </c>
      <c r="B225" s="566">
        <v>1</v>
      </c>
      <c r="C225" s="566">
        <f t="shared" ref="C225:H225" si="199">B23</f>
        <v>20</v>
      </c>
      <c r="D225" s="566">
        <f t="shared" si="199"/>
        <v>9.9999999999999995E-7</v>
      </c>
      <c r="E225" s="566">
        <f t="shared" si="199"/>
        <v>9.9999999999999995E-7</v>
      </c>
      <c r="F225" s="566" t="str">
        <f t="shared" si="199"/>
        <v>-</v>
      </c>
      <c r="G225" s="566">
        <f t="shared" si="199"/>
        <v>0</v>
      </c>
      <c r="H225" s="566">
        <f t="shared" si="199"/>
        <v>0</v>
      </c>
      <c r="J225" s="840" t="s">
        <v>64</v>
      </c>
      <c r="K225" s="566">
        <v>1</v>
      </c>
      <c r="L225" s="566">
        <f t="shared" ref="L225:Q225" si="200">B29</f>
        <v>0.1</v>
      </c>
      <c r="M225" s="566">
        <f t="shared" si="200"/>
        <v>-1E-3</v>
      </c>
      <c r="N225" s="566">
        <f t="shared" si="200"/>
        <v>2E-3</v>
      </c>
      <c r="O225" s="566" t="str">
        <f t="shared" si="200"/>
        <v>-</v>
      </c>
      <c r="P225" s="566">
        <f t="shared" si="200"/>
        <v>1.5E-3</v>
      </c>
      <c r="Q225" s="566">
        <f t="shared" si="200"/>
        <v>1.2000000000000001E-3</v>
      </c>
    </row>
    <row r="226" spans="1:17" x14ac:dyDescent="0.25">
      <c r="A226" s="840"/>
      <c r="B226" s="566">
        <v>2</v>
      </c>
      <c r="C226" s="566">
        <f t="shared" ref="C226:H226" si="201">I23</f>
        <v>20</v>
      </c>
      <c r="D226" s="566">
        <f t="shared" si="201"/>
        <v>0.2</v>
      </c>
      <c r="E226" s="566">
        <f t="shared" si="201"/>
        <v>0.1</v>
      </c>
      <c r="F226" s="566" t="str">
        <f t="shared" si="201"/>
        <v>-</v>
      </c>
      <c r="G226" s="566">
        <f t="shared" si="201"/>
        <v>0.05</v>
      </c>
      <c r="H226" s="566">
        <f t="shared" si="201"/>
        <v>0.11799999999999999</v>
      </c>
      <c r="J226" s="840"/>
      <c r="K226" s="566">
        <v>2</v>
      </c>
      <c r="L226" s="566">
        <f t="shared" ref="L226:Q226" si="202">I29</f>
        <v>0.1</v>
      </c>
      <c r="M226" s="566">
        <f t="shared" si="202"/>
        <v>6.0000000000000001E-3</v>
      </c>
      <c r="N226" s="566">
        <f t="shared" si="202"/>
        <v>5.0000000000000001E-3</v>
      </c>
      <c r="O226" s="566" t="str">
        <f t="shared" si="202"/>
        <v>-</v>
      </c>
      <c r="P226" s="566">
        <f t="shared" si="202"/>
        <v>5.0000000000000001E-4</v>
      </c>
      <c r="Q226" s="566">
        <f t="shared" si="202"/>
        <v>1.2000000000000001E-3</v>
      </c>
    </row>
    <row r="227" spans="1:17" x14ac:dyDescent="0.25">
      <c r="A227" s="840"/>
      <c r="B227" s="566">
        <v>3</v>
      </c>
      <c r="C227" s="566">
        <f t="shared" ref="C227:H227" si="203">P23</f>
        <v>10</v>
      </c>
      <c r="D227" s="566">
        <f t="shared" si="203"/>
        <v>9.9999999999999995E-7</v>
      </c>
      <c r="E227" s="566">
        <f t="shared" si="203"/>
        <v>9.9999999999999995E-7</v>
      </c>
      <c r="F227" s="566">
        <f t="shared" si="203"/>
        <v>9.9999999999999995E-7</v>
      </c>
      <c r="G227" s="566">
        <f t="shared" si="203"/>
        <v>0</v>
      </c>
      <c r="H227" s="566">
        <f t="shared" si="203"/>
        <v>0.17</v>
      </c>
      <c r="J227" s="840"/>
      <c r="K227" s="566">
        <v>3</v>
      </c>
      <c r="L227" s="566">
        <f t="shared" ref="L227:Q227" si="204">P29</f>
        <v>0.5</v>
      </c>
      <c r="M227" s="566">
        <f t="shared" si="204"/>
        <v>-2E-3</v>
      </c>
      <c r="N227" s="566">
        <f t="shared" si="204"/>
        <v>-1E-3</v>
      </c>
      <c r="O227" s="566">
        <f t="shared" si="204"/>
        <v>9.9999999999999995E-7</v>
      </c>
      <c r="P227" s="566">
        <f t="shared" si="204"/>
        <v>1.0005000000000001E-3</v>
      </c>
      <c r="Q227" s="566">
        <f t="shared" si="204"/>
        <v>6.0000000000000001E-3</v>
      </c>
    </row>
    <row r="228" spans="1:17" x14ac:dyDescent="0.25">
      <c r="A228" s="840"/>
      <c r="B228" s="566">
        <v>4</v>
      </c>
      <c r="C228" s="566">
        <f t="shared" ref="C228:H228" si="205">B54</f>
        <v>20</v>
      </c>
      <c r="D228" s="566">
        <f t="shared" si="205"/>
        <v>0.1</v>
      </c>
      <c r="E228" s="566">
        <f t="shared" si="205"/>
        <v>0.2</v>
      </c>
      <c r="F228" s="566">
        <f t="shared" si="205"/>
        <v>0</v>
      </c>
      <c r="G228" s="566">
        <f t="shared" si="205"/>
        <v>0.05</v>
      </c>
      <c r="H228" s="566">
        <f t="shared" si="205"/>
        <v>0.34</v>
      </c>
      <c r="J228" s="840"/>
      <c r="K228" s="566">
        <v>4</v>
      </c>
      <c r="L228" s="566">
        <f t="shared" ref="L228:Q228" si="206">B60</f>
        <v>0.1</v>
      </c>
      <c r="M228" s="566">
        <f t="shared" si="206"/>
        <v>-2E-3</v>
      </c>
      <c r="N228" s="566">
        <f t="shared" si="206"/>
        <v>9.9999999999999995E-7</v>
      </c>
      <c r="O228" s="566">
        <f t="shared" si="206"/>
        <v>0</v>
      </c>
      <c r="P228" s="566">
        <f t="shared" si="206"/>
        <v>1.0005000000000001E-3</v>
      </c>
      <c r="Q228" s="566">
        <f t="shared" si="206"/>
        <v>1.2000000000000001E-3</v>
      </c>
    </row>
    <row r="229" spans="1:17" x14ac:dyDescent="0.25">
      <c r="A229" s="840"/>
      <c r="B229" s="566">
        <v>5</v>
      </c>
      <c r="C229" s="566">
        <f t="shared" ref="C229:H229" si="207">I54</f>
        <v>20</v>
      </c>
      <c r="D229" s="566">
        <f t="shared" si="207"/>
        <v>0.1</v>
      </c>
      <c r="E229" s="566">
        <f t="shared" si="207"/>
        <v>0.1</v>
      </c>
      <c r="F229" s="566">
        <f t="shared" si="207"/>
        <v>0</v>
      </c>
      <c r="G229" s="566">
        <f t="shared" si="207"/>
        <v>0</v>
      </c>
      <c r="H229" s="566">
        <f t="shared" si="207"/>
        <v>0.34</v>
      </c>
      <c r="J229" s="840"/>
      <c r="K229" s="566">
        <v>5</v>
      </c>
      <c r="L229" s="566">
        <f t="shared" ref="L229:Q229" si="208">I60</f>
        <v>0.1</v>
      </c>
      <c r="M229" s="566">
        <f t="shared" si="208"/>
        <v>5.0000000000000001E-3</v>
      </c>
      <c r="N229" s="566">
        <f t="shared" si="208"/>
        <v>2E-3</v>
      </c>
      <c r="O229" s="566">
        <f t="shared" si="208"/>
        <v>0</v>
      </c>
      <c r="P229" s="566">
        <f t="shared" si="208"/>
        <v>1.5E-3</v>
      </c>
      <c r="Q229" s="566">
        <f t="shared" si="208"/>
        <v>1.2000000000000001E-3</v>
      </c>
    </row>
    <row r="230" spans="1:17" x14ac:dyDescent="0.25">
      <c r="A230" s="840"/>
      <c r="B230" s="566">
        <v>6</v>
      </c>
      <c r="C230" s="566">
        <f t="shared" ref="C230:H230" si="209">P54</f>
        <v>20</v>
      </c>
      <c r="D230" s="566">
        <f t="shared" si="209"/>
        <v>0.1</v>
      </c>
      <c r="E230" s="566">
        <f t="shared" si="209"/>
        <v>9.9999999999999995E-7</v>
      </c>
      <c r="F230" s="566">
        <f t="shared" si="209"/>
        <v>0</v>
      </c>
      <c r="G230" s="566">
        <f t="shared" si="209"/>
        <v>4.9999500000000002E-2</v>
      </c>
      <c r="H230" s="566">
        <f t="shared" si="209"/>
        <v>0.34</v>
      </c>
      <c r="J230" s="840"/>
      <c r="K230" s="566">
        <v>6</v>
      </c>
      <c r="L230" s="566">
        <f t="shared" ref="L230:Q230" si="210">P60</f>
        <v>0.1</v>
      </c>
      <c r="M230" s="566">
        <f t="shared" si="210"/>
        <v>-2E-3</v>
      </c>
      <c r="N230" s="566">
        <f t="shared" si="210"/>
        <v>6.0000000000000001E-3</v>
      </c>
      <c r="O230" s="566">
        <f t="shared" si="210"/>
        <v>0</v>
      </c>
      <c r="P230" s="566">
        <f t="shared" si="210"/>
        <v>4.0000000000000001E-3</v>
      </c>
      <c r="Q230" s="566">
        <f t="shared" si="210"/>
        <v>1.2000000000000001E-3</v>
      </c>
    </row>
    <row r="231" spans="1:17" x14ac:dyDescent="0.25">
      <c r="A231" s="840"/>
      <c r="B231" s="566">
        <v>7</v>
      </c>
      <c r="C231" s="566">
        <f t="shared" ref="C231:H231" si="211">B85</f>
        <v>20</v>
      </c>
      <c r="D231" s="566">
        <f t="shared" si="211"/>
        <v>9.9999999999999995E-7</v>
      </c>
      <c r="E231" s="566">
        <f t="shared" si="211"/>
        <v>0.1</v>
      </c>
      <c r="F231" s="566">
        <f t="shared" si="211"/>
        <v>0</v>
      </c>
      <c r="G231" s="566">
        <f t="shared" si="211"/>
        <v>4.9999500000000002E-2</v>
      </c>
      <c r="H231" s="566">
        <f t="shared" si="211"/>
        <v>0.34</v>
      </c>
      <c r="J231" s="840"/>
      <c r="K231" s="566">
        <v>7</v>
      </c>
      <c r="L231" s="566">
        <f t="shared" ref="L231:Q231" si="212">B91</f>
        <v>0.5</v>
      </c>
      <c r="M231" s="566">
        <f t="shared" si="212"/>
        <v>9.9999999999999995E-7</v>
      </c>
      <c r="N231" s="566">
        <f t="shared" si="212"/>
        <v>1E-3</v>
      </c>
      <c r="O231" s="566">
        <f t="shared" si="212"/>
        <v>0</v>
      </c>
      <c r="P231" s="566">
        <f t="shared" si="212"/>
        <v>4.9950000000000005E-4</v>
      </c>
      <c r="Q231" s="566">
        <f t="shared" si="212"/>
        <v>6.0000000000000001E-3</v>
      </c>
    </row>
    <row r="232" spans="1:17" x14ac:dyDescent="0.25">
      <c r="A232" s="840"/>
      <c r="B232" s="566">
        <v>8</v>
      </c>
      <c r="C232" s="566">
        <f t="shared" ref="C232:H232" si="213">I85</f>
        <v>20</v>
      </c>
      <c r="D232" s="566">
        <f t="shared" si="213"/>
        <v>9.9999999999999995E-7</v>
      </c>
      <c r="E232" s="566">
        <f t="shared" si="213"/>
        <v>9.9999999999999995E-7</v>
      </c>
      <c r="F232" s="566">
        <f t="shared" si="213"/>
        <v>0</v>
      </c>
      <c r="G232" s="566">
        <f t="shared" si="213"/>
        <v>0</v>
      </c>
      <c r="H232" s="566">
        <f t="shared" si="213"/>
        <v>0.34</v>
      </c>
      <c r="J232" s="840"/>
      <c r="K232" s="566">
        <v>8</v>
      </c>
      <c r="L232" s="566">
        <f t="shared" ref="L232:Q232" si="214">I91</f>
        <v>0.5</v>
      </c>
      <c r="M232" s="566">
        <f t="shared" si="214"/>
        <v>4.0000000000000001E-3</v>
      </c>
      <c r="N232" s="566">
        <f t="shared" si="214"/>
        <v>-3.0000000000000001E-3</v>
      </c>
      <c r="O232" s="566">
        <f t="shared" si="214"/>
        <v>0</v>
      </c>
      <c r="P232" s="566">
        <f t="shared" si="214"/>
        <v>3.5000000000000001E-3</v>
      </c>
      <c r="Q232" s="566">
        <f t="shared" si="214"/>
        <v>6.0000000000000001E-3</v>
      </c>
    </row>
    <row r="233" spans="1:17" x14ac:dyDescent="0.25">
      <c r="A233" s="840"/>
      <c r="B233" s="566">
        <v>9</v>
      </c>
      <c r="C233" s="566">
        <f t="shared" ref="C233:H233" si="215">P85</f>
        <v>20</v>
      </c>
      <c r="D233" s="566">
        <f t="shared" si="215"/>
        <v>9.9999999999999995E-7</v>
      </c>
      <c r="E233" s="566" t="str">
        <f t="shared" si="215"/>
        <v>-</v>
      </c>
      <c r="F233" s="566">
        <f t="shared" si="215"/>
        <v>0</v>
      </c>
      <c r="G233" s="566">
        <f t="shared" si="215"/>
        <v>0</v>
      </c>
      <c r="H233" s="566">
        <f t="shared" si="215"/>
        <v>0</v>
      </c>
      <c r="J233" s="840"/>
      <c r="K233" s="566">
        <v>9</v>
      </c>
      <c r="L233" s="566">
        <f t="shared" ref="L233:Q233" si="216">P91</f>
        <v>0.10199999999999999</v>
      </c>
      <c r="M233" s="566">
        <f t="shared" si="216"/>
        <v>-2E-3</v>
      </c>
      <c r="N233" s="566" t="str">
        <f t="shared" si="216"/>
        <v>-</v>
      </c>
      <c r="O233" s="566">
        <f t="shared" si="216"/>
        <v>0</v>
      </c>
      <c r="P233" s="566">
        <f t="shared" si="216"/>
        <v>0</v>
      </c>
      <c r="Q233" s="566">
        <f t="shared" si="216"/>
        <v>1.224E-3</v>
      </c>
    </row>
    <row r="234" spans="1:17" x14ac:dyDescent="0.25">
      <c r="A234" s="840"/>
      <c r="B234" s="566">
        <v>10</v>
      </c>
      <c r="C234" s="566">
        <f t="shared" ref="C234:H234" si="217">B116</f>
        <v>20</v>
      </c>
      <c r="D234" s="566" t="str">
        <f t="shared" si="217"/>
        <v>-</v>
      </c>
      <c r="E234" s="566" t="str">
        <f t="shared" si="217"/>
        <v>-</v>
      </c>
      <c r="F234" s="566">
        <f t="shared" si="217"/>
        <v>0</v>
      </c>
      <c r="G234" s="566">
        <f t="shared" si="217"/>
        <v>0</v>
      </c>
      <c r="H234" s="566" t="str">
        <f t="shared" si="217"/>
        <v>-</v>
      </c>
      <c r="J234" s="840"/>
      <c r="K234" s="566">
        <v>10</v>
      </c>
      <c r="L234" s="566">
        <f t="shared" ref="L234:Q234" si="218">B122</f>
        <v>0.1</v>
      </c>
      <c r="M234" s="566" t="str">
        <f t="shared" si="218"/>
        <v>-</v>
      </c>
      <c r="N234" s="566" t="str">
        <f t="shared" si="218"/>
        <v>-</v>
      </c>
      <c r="O234" s="566">
        <f t="shared" si="218"/>
        <v>0</v>
      </c>
      <c r="P234" s="566">
        <f t="shared" si="218"/>
        <v>0</v>
      </c>
      <c r="Q234" s="566" t="str">
        <f t="shared" si="218"/>
        <v>-</v>
      </c>
    </row>
    <row r="235" spans="1:17" x14ac:dyDescent="0.25">
      <c r="A235" s="840"/>
      <c r="B235" s="566">
        <v>11</v>
      </c>
      <c r="C235" s="566">
        <f t="shared" ref="C235:H235" si="219">I116</f>
        <v>20</v>
      </c>
      <c r="D235" s="566" t="str">
        <f t="shared" si="219"/>
        <v>-</v>
      </c>
      <c r="E235" s="566" t="str">
        <f t="shared" si="219"/>
        <v>-</v>
      </c>
      <c r="F235" s="566">
        <f t="shared" si="219"/>
        <v>0</v>
      </c>
      <c r="G235" s="566">
        <f t="shared" si="219"/>
        <v>0</v>
      </c>
      <c r="H235" s="566" t="str">
        <f t="shared" si="219"/>
        <v>-</v>
      </c>
      <c r="J235" s="840"/>
      <c r="K235" s="566">
        <v>11</v>
      </c>
      <c r="L235" s="566">
        <f t="shared" ref="L235:Q235" si="220">I122</f>
        <v>0.1</v>
      </c>
      <c r="M235" s="566" t="str">
        <f t="shared" si="220"/>
        <v>-</v>
      </c>
      <c r="N235" s="566" t="str">
        <f t="shared" si="220"/>
        <v>-</v>
      </c>
      <c r="O235" s="566">
        <f t="shared" si="220"/>
        <v>0</v>
      </c>
      <c r="P235" s="566">
        <f t="shared" si="220"/>
        <v>0</v>
      </c>
      <c r="Q235" s="566" t="str">
        <f t="shared" si="220"/>
        <v>-</v>
      </c>
    </row>
    <row r="236" spans="1:17" x14ac:dyDescent="0.25">
      <c r="A236" s="840"/>
      <c r="B236" s="566">
        <v>12</v>
      </c>
      <c r="C236" s="566">
        <f t="shared" ref="C236:H236" si="221">P116</f>
        <v>20</v>
      </c>
      <c r="D236" s="566" t="str">
        <f t="shared" si="221"/>
        <v>-</v>
      </c>
      <c r="E236" s="566" t="str">
        <f t="shared" si="221"/>
        <v>-</v>
      </c>
      <c r="F236" s="566">
        <f t="shared" si="221"/>
        <v>0</v>
      </c>
      <c r="G236" s="566">
        <f t="shared" si="221"/>
        <v>0</v>
      </c>
      <c r="H236" s="566" t="str">
        <f t="shared" si="221"/>
        <v>-</v>
      </c>
      <c r="J236" s="840"/>
      <c r="K236" s="566">
        <v>12</v>
      </c>
      <c r="L236" s="566">
        <f t="shared" ref="L236:Q236" si="222">P122</f>
        <v>0.1</v>
      </c>
      <c r="M236" s="566" t="str">
        <f t="shared" si="222"/>
        <v>-</v>
      </c>
      <c r="N236" s="566" t="str">
        <f t="shared" si="222"/>
        <v>-</v>
      </c>
      <c r="O236" s="566">
        <f t="shared" si="222"/>
        <v>0</v>
      </c>
      <c r="P236" s="566">
        <f t="shared" si="222"/>
        <v>0</v>
      </c>
      <c r="Q236" s="566" t="str">
        <f t="shared" si="222"/>
        <v>-</v>
      </c>
    </row>
    <row r="237" spans="1:17" s="546" customFormat="1" x14ac:dyDescent="0.25">
      <c r="A237" s="568"/>
      <c r="B237" s="551"/>
      <c r="C237" s="551"/>
      <c r="D237" s="551"/>
      <c r="E237" s="551"/>
      <c r="F237" s="567"/>
      <c r="G237" s="551"/>
      <c r="H237" s="551"/>
      <c r="J237" s="568"/>
      <c r="K237" s="551"/>
      <c r="L237" s="551"/>
      <c r="M237" s="551"/>
      <c r="N237" s="551"/>
      <c r="O237" s="567"/>
      <c r="P237" s="551"/>
      <c r="Q237" s="551"/>
    </row>
    <row r="238" spans="1:17" x14ac:dyDescent="0.25">
      <c r="A238" s="840" t="s">
        <v>65</v>
      </c>
      <c r="B238" s="566">
        <v>1</v>
      </c>
      <c r="C238" s="566">
        <f t="shared" ref="C238:H238" si="223">B24</f>
        <v>50</v>
      </c>
      <c r="D238" s="566">
        <f t="shared" si="223"/>
        <v>9.9999999999999995E-7</v>
      </c>
      <c r="E238" s="566">
        <f t="shared" si="223"/>
        <v>9.9999999999999995E-7</v>
      </c>
      <c r="F238" s="566" t="str">
        <f t="shared" si="223"/>
        <v>-</v>
      </c>
      <c r="G238" s="566">
        <f t="shared" si="223"/>
        <v>0</v>
      </c>
      <c r="H238" s="566">
        <f t="shared" si="223"/>
        <v>0</v>
      </c>
      <c r="J238" s="840" t="s">
        <v>65</v>
      </c>
      <c r="K238" s="566">
        <v>1</v>
      </c>
      <c r="L238" s="566">
        <f t="shared" ref="L238:Q238" si="224">B30</f>
        <v>1</v>
      </c>
      <c r="M238" s="566">
        <f t="shared" si="224"/>
        <v>4.0000000000000001E-3</v>
      </c>
      <c r="N238" s="566">
        <f t="shared" si="224"/>
        <v>1.2E-2</v>
      </c>
      <c r="O238" s="566" t="str">
        <f t="shared" si="224"/>
        <v>-</v>
      </c>
      <c r="P238" s="566">
        <f t="shared" si="224"/>
        <v>4.0000000000000001E-3</v>
      </c>
      <c r="Q238" s="566">
        <f t="shared" si="224"/>
        <v>1.2E-2</v>
      </c>
    </row>
    <row r="239" spans="1:17" x14ac:dyDescent="0.25">
      <c r="A239" s="840"/>
      <c r="B239" s="566">
        <v>2</v>
      </c>
      <c r="C239" s="566">
        <f t="shared" ref="C239:H239" si="225">I24</f>
        <v>50</v>
      </c>
      <c r="D239" s="566">
        <f t="shared" si="225"/>
        <v>0.3</v>
      </c>
      <c r="E239" s="566">
        <f t="shared" si="225"/>
        <v>0.1</v>
      </c>
      <c r="F239" s="566" t="str">
        <f t="shared" si="225"/>
        <v>-</v>
      </c>
      <c r="G239" s="566">
        <f t="shared" si="225"/>
        <v>9.9999999999999992E-2</v>
      </c>
      <c r="H239" s="566">
        <f t="shared" si="225"/>
        <v>0.29499999999999998</v>
      </c>
      <c r="J239" s="840"/>
      <c r="K239" s="566">
        <v>2</v>
      </c>
      <c r="L239" s="566">
        <f t="shared" ref="L239:Q239" si="226">I30</f>
        <v>1</v>
      </c>
      <c r="M239" s="566">
        <f t="shared" si="226"/>
        <v>4.4999999999999998E-2</v>
      </c>
      <c r="N239" s="566">
        <f t="shared" si="226"/>
        <v>5.5E-2</v>
      </c>
      <c r="O239" s="566" t="str">
        <f t="shared" si="226"/>
        <v>-</v>
      </c>
      <c r="P239" s="566">
        <f t="shared" si="226"/>
        <v>5.000000000000001E-3</v>
      </c>
      <c r="Q239" s="566">
        <f t="shared" si="226"/>
        <v>1.2E-2</v>
      </c>
    </row>
    <row r="240" spans="1:17" x14ac:dyDescent="0.25">
      <c r="A240" s="840"/>
      <c r="B240" s="566">
        <v>3</v>
      </c>
      <c r="C240" s="566">
        <f t="shared" ref="C240:H240" si="227">P24</f>
        <v>20</v>
      </c>
      <c r="D240" s="566">
        <f t="shared" si="227"/>
        <v>9.9999999999999995E-7</v>
      </c>
      <c r="E240" s="566">
        <f t="shared" si="227"/>
        <v>0.4</v>
      </c>
      <c r="F240" s="566">
        <f t="shared" si="227"/>
        <v>0.3</v>
      </c>
      <c r="G240" s="566">
        <f t="shared" si="227"/>
        <v>0.19999950000000002</v>
      </c>
      <c r="H240" s="566">
        <f t="shared" si="227"/>
        <v>0.34</v>
      </c>
      <c r="J240" s="840"/>
      <c r="K240" s="566">
        <v>3</v>
      </c>
      <c r="L240" s="566">
        <f t="shared" ref="L240:Q240" si="228">P30</f>
        <v>1</v>
      </c>
      <c r="M240" s="566">
        <f t="shared" si="228"/>
        <v>-1.2E-2</v>
      </c>
      <c r="N240" s="566">
        <f t="shared" si="228"/>
        <v>5.0000000000000001E-3</v>
      </c>
      <c r="O240" s="566">
        <f t="shared" si="228"/>
        <v>9.9999999999999995E-7</v>
      </c>
      <c r="P240" s="566">
        <f t="shared" si="228"/>
        <v>8.5000000000000006E-3</v>
      </c>
      <c r="Q240" s="566">
        <f t="shared" si="228"/>
        <v>1.2E-2</v>
      </c>
    </row>
    <row r="241" spans="1:17" x14ac:dyDescent="0.25">
      <c r="A241" s="840"/>
      <c r="B241" s="566">
        <v>4</v>
      </c>
      <c r="C241" s="566">
        <f t="shared" ref="C241:H241" si="229">B55</f>
        <v>50</v>
      </c>
      <c r="D241" s="566">
        <f t="shared" si="229"/>
        <v>0.4</v>
      </c>
      <c r="E241" s="566">
        <f t="shared" si="229"/>
        <v>0.5</v>
      </c>
      <c r="F241" s="566">
        <f t="shared" si="229"/>
        <v>0</v>
      </c>
      <c r="G241" s="566">
        <f t="shared" si="229"/>
        <v>4.9999999999999989E-2</v>
      </c>
      <c r="H241" s="566">
        <f t="shared" si="229"/>
        <v>0.85000000000000009</v>
      </c>
      <c r="J241" s="840"/>
      <c r="K241" s="566">
        <v>4</v>
      </c>
      <c r="L241" s="566">
        <f t="shared" ref="L241:Q241" si="230">B61</f>
        <v>1</v>
      </c>
      <c r="M241" s="566">
        <f t="shared" si="230"/>
        <v>-8.0000000000000002E-3</v>
      </c>
      <c r="N241" s="566">
        <f t="shared" si="230"/>
        <v>-1E-3</v>
      </c>
      <c r="O241" s="566">
        <f t="shared" si="230"/>
        <v>0</v>
      </c>
      <c r="P241" s="566">
        <f t="shared" si="230"/>
        <v>3.5000000000000001E-3</v>
      </c>
      <c r="Q241" s="566">
        <f t="shared" si="230"/>
        <v>1.2E-2</v>
      </c>
    </row>
    <row r="242" spans="1:17" x14ac:dyDescent="0.25">
      <c r="A242" s="840"/>
      <c r="B242" s="566">
        <v>5</v>
      </c>
      <c r="C242" s="566">
        <f t="shared" ref="C242:H242" si="231">I55</f>
        <v>50</v>
      </c>
      <c r="D242" s="566">
        <f t="shared" si="231"/>
        <v>0.6</v>
      </c>
      <c r="E242" s="566">
        <f t="shared" si="231"/>
        <v>0.4</v>
      </c>
      <c r="F242" s="566">
        <f t="shared" si="231"/>
        <v>0</v>
      </c>
      <c r="G242" s="566">
        <f t="shared" si="231"/>
        <v>9.9999999999999978E-2</v>
      </c>
      <c r="H242" s="566">
        <f t="shared" si="231"/>
        <v>0.85000000000000009</v>
      </c>
      <c r="J242" s="840"/>
      <c r="K242" s="566">
        <v>5</v>
      </c>
      <c r="L242" s="566">
        <f t="shared" ref="L242:Q242" si="232">I61</f>
        <v>1</v>
      </c>
      <c r="M242" s="566">
        <f t="shared" si="232"/>
        <v>1.7999999999999999E-2</v>
      </c>
      <c r="N242" s="566">
        <f t="shared" si="232"/>
        <v>1.2E-2</v>
      </c>
      <c r="O242" s="566">
        <f t="shared" si="232"/>
        <v>0</v>
      </c>
      <c r="P242" s="566">
        <f t="shared" si="232"/>
        <v>2.9999999999999992E-3</v>
      </c>
      <c r="Q242" s="566">
        <f t="shared" si="232"/>
        <v>1.2E-2</v>
      </c>
    </row>
    <row r="243" spans="1:17" x14ac:dyDescent="0.25">
      <c r="A243" s="840"/>
      <c r="B243" s="566">
        <v>6</v>
      </c>
      <c r="C243" s="566">
        <f t="shared" ref="C243:H243" si="233">P55</f>
        <v>50</v>
      </c>
      <c r="D243" s="566">
        <f t="shared" si="233"/>
        <v>0.3</v>
      </c>
      <c r="E243" s="566">
        <f t="shared" si="233"/>
        <v>0.2</v>
      </c>
      <c r="F243" s="566">
        <f t="shared" si="233"/>
        <v>0</v>
      </c>
      <c r="G243" s="566">
        <f t="shared" si="233"/>
        <v>4.9999999999999989E-2</v>
      </c>
      <c r="H243" s="566">
        <f t="shared" si="233"/>
        <v>0.85000000000000009</v>
      </c>
      <c r="J243" s="840"/>
      <c r="K243" s="566">
        <v>6</v>
      </c>
      <c r="L243" s="566">
        <f t="shared" ref="L243:Q243" si="234">P61</f>
        <v>1</v>
      </c>
      <c r="M243" s="566">
        <f t="shared" si="234"/>
        <v>-1E-3</v>
      </c>
      <c r="N243" s="566">
        <f t="shared" si="234"/>
        <v>8.0000000000000002E-3</v>
      </c>
      <c r="O243" s="566">
        <f t="shared" si="234"/>
        <v>0</v>
      </c>
      <c r="P243" s="566">
        <f t="shared" si="234"/>
        <v>4.5000000000000005E-3</v>
      </c>
      <c r="Q243" s="566">
        <f t="shared" si="234"/>
        <v>1.2E-2</v>
      </c>
    </row>
    <row r="244" spans="1:17" x14ac:dyDescent="0.25">
      <c r="A244" s="840"/>
      <c r="B244" s="566">
        <v>7</v>
      </c>
      <c r="C244" s="566">
        <f t="shared" ref="C244:H244" si="235">B86</f>
        <v>50</v>
      </c>
      <c r="D244" s="566">
        <f t="shared" si="235"/>
        <v>9.9999999999999995E-7</v>
      </c>
      <c r="E244" s="566">
        <f t="shared" si="235"/>
        <v>0.4</v>
      </c>
      <c r="F244" s="566">
        <f t="shared" si="235"/>
        <v>0</v>
      </c>
      <c r="G244" s="566">
        <f t="shared" si="235"/>
        <v>0.19999950000000002</v>
      </c>
      <c r="H244" s="566">
        <f t="shared" si="235"/>
        <v>0.85000000000000009</v>
      </c>
      <c r="J244" s="840"/>
      <c r="K244" s="566">
        <v>7</v>
      </c>
      <c r="L244" s="566">
        <f t="shared" ref="L244:Q244" si="236">B92</f>
        <v>1</v>
      </c>
      <c r="M244" s="566">
        <f t="shared" si="236"/>
        <v>-2E-3</v>
      </c>
      <c r="N244" s="566">
        <f t="shared" si="236"/>
        <v>1E-3</v>
      </c>
      <c r="O244" s="566">
        <f t="shared" si="236"/>
        <v>0</v>
      </c>
      <c r="P244" s="566">
        <f t="shared" si="236"/>
        <v>1.5E-3</v>
      </c>
      <c r="Q244" s="566">
        <f t="shared" si="236"/>
        <v>1.2E-2</v>
      </c>
    </row>
    <row r="245" spans="1:17" x14ac:dyDescent="0.25">
      <c r="A245" s="840"/>
      <c r="B245" s="566">
        <v>8</v>
      </c>
      <c r="C245" s="566">
        <f t="shared" ref="C245:H245" si="237">I86</f>
        <v>50</v>
      </c>
      <c r="D245" s="566">
        <f t="shared" si="237"/>
        <v>0.2</v>
      </c>
      <c r="E245" s="566">
        <f t="shared" si="237"/>
        <v>9.9999999999999995E-7</v>
      </c>
      <c r="F245" s="566">
        <f t="shared" si="237"/>
        <v>0</v>
      </c>
      <c r="G245" s="566">
        <f t="shared" si="237"/>
        <v>9.9999500000000005E-2</v>
      </c>
      <c r="H245" s="566">
        <f t="shared" si="237"/>
        <v>0.85000000000000009</v>
      </c>
      <c r="J245" s="840"/>
      <c r="K245" s="566">
        <v>8</v>
      </c>
      <c r="L245" s="566">
        <f t="shared" ref="L245:Q245" si="238">I92</f>
        <v>1</v>
      </c>
      <c r="M245" s="566">
        <f t="shared" si="238"/>
        <v>5.0000000000000001E-3</v>
      </c>
      <c r="N245" s="566">
        <f t="shared" si="238"/>
        <v>1E-3</v>
      </c>
      <c r="O245" s="566">
        <f t="shared" si="238"/>
        <v>0</v>
      </c>
      <c r="P245" s="566">
        <f t="shared" si="238"/>
        <v>2E-3</v>
      </c>
      <c r="Q245" s="566">
        <f t="shared" si="238"/>
        <v>1.2E-2</v>
      </c>
    </row>
    <row r="246" spans="1:17" x14ac:dyDescent="0.25">
      <c r="A246" s="840"/>
      <c r="B246" s="566">
        <v>9</v>
      </c>
      <c r="C246" s="566">
        <f t="shared" ref="C246:H246" si="239">P86</f>
        <v>50</v>
      </c>
      <c r="D246" s="566">
        <f t="shared" si="239"/>
        <v>9.9999999999999995E-7</v>
      </c>
      <c r="E246" s="566" t="str">
        <f t="shared" si="239"/>
        <v>-</v>
      </c>
      <c r="F246" s="566">
        <f t="shared" si="239"/>
        <v>0</v>
      </c>
      <c r="G246" s="566">
        <f t="shared" si="239"/>
        <v>0</v>
      </c>
      <c r="H246" s="566">
        <f t="shared" si="239"/>
        <v>0</v>
      </c>
      <c r="J246" s="840"/>
      <c r="K246" s="566">
        <v>9</v>
      </c>
      <c r="L246" s="566">
        <f t="shared" ref="L246:Q246" si="240">P92</f>
        <v>0.5</v>
      </c>
      <c r="M246" s="566">
        <f t="shared" si="240"/>
        <v>9.9999999999999995E-7</v>
      </c>
      <c r="N246" s="566" t="str">
        <f t="shared" si="240"/>
        <v>-</v>
      </c>
      <c r="O246" s="566">
        <f t="shared" si="240"/>
        <v>0</v>
      </c>
      <c r="P246" s="566">
        <f t="shared" si="240"/>
        <v>0</v>
      </c>
      <c r="Q246" s="566">
        <f t="shared" si="240"/>
        <v>6.0000000000000001E-3</v>
      </c>
    </row>
    <row r="247" spans="1:17" x14ac:dyDescent="0.25">
      <c r="A247" s="840"/>
      <c r="B247" s="566">
        <v>10</v>
      </c>
      <c r="C247" s="566">
        <f t="shared" ref="C247:H247" si="241">B117</f>
        <v>50</v>
      </c>
      <c r="D247" s="566" t="str">
        <f t="shared" si="241"/>
        <v>-</v>
      </c>
      <c r="E247" s="566" t="str">
        <f t="shared" si="241"/>
        <v>-</v>
      </c>
      <c r="F247" s="566">
        <f t="shared" si="241"/>
        <v>0</v>
      </c>
      <c r="G247" s="566">
        <f t="shared" si="241"/>
        <v>0</v>
      </c>
      <c r="H247" s="566" t="str">
        <f t="shared" si="241"/>
        <v>-</v>
      </c>
      <c r="J247" s="840"/>
      <c r="K247" s="566">
        <v>10</v>
      </c>
      <c r="L247" s="566">
        <f t="shared" ref="L247:Q247" si="242">B123</f>
        <v>1</v>
      </c>
      <c r="M247" s="566" t="str">
        <f t="shared" si="242"/>
        <v>-</v>
      </c>
      <c r="N247" s="566" t="str">
        <f t="shared" si="242"/>
        <v>-</v>
      </c>
      <c r="O247" s="566">
        <f t="shared" si="242"/>
        <v>0</v>
      </c>
      <c r="P247" s="566">
        <f t="shared" si="242"/>
        <v>0</v>
      </c>
      <c r="Q247" s="566" t="str">
        <f t="shared" si="242"/>
        <v>-</v>
      </c>
    </row>
    <row r="248" spans="1:17" x14ac:dyDescent="0.25">
      <c r="A248" s="840"/>
      <c r="B248" s="566">
        <v>11</v>
      </c>
      <c r="C248" s="566">
        <f t="shared" ref="C248:H248" si="243">I117</f>
        <v>50</v>
      </c>
      <c r="D248" s="566" t="str">
        <f t="shared" si="243"/>
        <v>-</v>
      </c>
      <c r="E248" s="566" t="str">
        <f t="shared" si="243"/>
        <v>-</v>
      </c>
      <c r="F248" s="566">
        <f t="shared" si="243"/>
        <v>0</v>
      </c>
      <c r="G248" s="566">
        <f t="shared" si="243"/>
        <v>0</v>
      </c>
      <c r="H248" s="566" t="str">
        <f t="shared" si="243"/>
        <v>-</v>
      </c>
      <c r="J248" s="840"/>
      <c r="K248" s="566">
        <v>11</v>
      </c>
      <c r="L248" s="566">
        <f t="shared" ref="L248:Q248" si="244">I123</f>
        <v>1</v>
      </c>
      <c r="M248" s="566" t="str">
        <f t="shared" si="244"/>
        <v>-</v>
      </c>
      <c r="N248" s="566" t="str">
        <f t="shared" si="244"/>
        <v>-</v>
      </c>
      <c r="O248" s="566">
        <f t="shared" si="244"/>
        <v>0</v>
      </c>
      <c r="P248" s="566">
        <f t="shared" si="244"/>
        <v>0</v>
      </c>
      <c r="Q248" s="566" t="str">
        <f t="shared" si="244"/>
        <v>-</v>
      </c>
    </row>
    <row r="249" spans="1:17" x14ac:dyDescent="0.25">
      <c r="A249" s="840"/>
      <c r="B249" s="566">
        <v>12</v>
      </c>
      <c r="C249" s="566">
        <f t="shared" ref="C249:H249" si="245">P117</f>
        <v>50</v>
      </c>
      <c r="D249" s="566" t="str">
        <f t="shared" si="245"/>
        <v>-</v>
      </c>
      <c r="E249" s="566" t="str">
        <f t="shared" si="245"/>
        <v>-</v>
      </c>
      <c r="F249" s="566">
        <f t="shared" si="245"/>
        <v>0</v>
      </c>
      <c r="G249" s="566">
        <f t="shared" si="245"/>
        <v>0</v>
      </c>
      <c r="H249" s="566" t="str">
        <f t="shared" si="245"/>
        <v>-</v>
      </c>
      <c r="J249" s="840"/>
      <c r="K249" s="566">
        <v>12</v>
      </c>
      <c r="L249" s="566">
        <f t="shared" ref="L249:Q249" si="246">P123</f>
        <v>1</v>
      </c>
      <c r="M249" s="566" t="str">
        <f t="shared" si="246"/>
        <v>-</v>
      </c>
      <c r="N249" s="566" t="str">
        <f t="shared" si="246"/>
        <v>-</v>
      </c>
      <c r="O249" s="566">
        <f t="shared" si="246"/>
        <v>0</v>
      </c>
      <c r="P249" s="566">
        <f t="shared" si="246"/>
        <v>0</v>
      </c>
      <c r="Q249" s="566" t="str">
        <f t="shared" si="246"/>
        <v>-</v>
      </c>
    </row>
    <row r="250" spans="1:17" s="546" customFormat="1" x14ac:dyDescent="0.25">
      <c r="A250" s="568"/>
      <c r="B250" s="551"/>
      <c r="C250" s="551"/>
      <c r="D250" s="551"/>
      <c r="E250" s="551"/>
      <c r="F250" s="567"/>
      <c r="G250" s="551"/>
      <c r="H250" s="551"/>
      <c r="J250" s="568"/>
      <c r="K250" s="551"/>
      <c r="L250" s="551"/>
      <c r="M250" s="551"/>
      <c r="N250" s="551"/>
      <c r="O250" s="567"/>
      <c r="P250" s="551"/>
      <c r="Q250" s="551"/>
    </row>
    <row r="251" spans="1:17" x14ac:dyDescent="0.25">
      <c r="A251" s="840" t="s">
        <v>549</v>
      </c>
      <c r="B251" s="566">
        <v>1</v>
      </c>
      <c r="C251" s="566">
        <f t="shared" ref="C251:H251" si="247">B25</f>
        <v>100</v>
      </c>
      <c r="D251" s="566">
        <f t="shared" si="247"/>
        <v>9.9999999999999995E-7</v>
      </c>
      <c r="E251" s="566">
        <f t="shared" si="247"/>
        <v>9.9999999999999995E-7</v>
      </c>
      <c r="F251" s="566" t="str">
        <f t="shared" si="247"/>
        <v>-</v>
      </c>
      <c r="G251" s="566">
        <f t="shared" si="247"/>
        <v>0</v>
      </c>
      <c r="H251" s="566">
        <f t="shared" si="247"/>
        <v>0</v>
      </c>
      <c r="J251" s="840" t="s">
        <v>549</v>
      </c>
      <c r="K251" s="566">
        <v>1</v>
      </c>
      <c r="L251" s="566">
        <f t="shared" ref="L251:Q251" si="248">B31</f>
        <v>2</v>
      </c>
      <c r="M251" s="566">
        <f t="shared" si="248"/>
        <v>7.0000000000000001E-3</v>
      </c>
      <c r="N251" s="566">
        <f t="shared" si="248"/>
        <v>9.9999999999999995E-7</v>
      </c>
      <c r="O251" s="566" t="str">
        <f t="shared" si="248"/>
        <v>-</v>
      </c>
      <c r="P251" s="566">
        <f t="shared" si="248"/>
        <v>3.4995E-3</v>
      </c>
      <c r="Q251" s="566">
        <f t="shared" si="248"/>
        <v>2.4E-2</v>
      </c>
    </row>
    <row r="252" spans="1:17" x14ac:dyDescent="0.25">
      <c r="A252" s="840"/>
      <c r="B252" s="566">
        <v>2</v>
      </c>
      <c r="C252" s="566">
        <f t="shared" ref="C252:H252" si="249">I25</f>
        <v>100</v>
      </c>
      <c r="D252" s="566">
        <f t="shared" si="249"/>
        <v>0.3</v>
      </c>
      <c r="E252" s="566">
        <f t="shared" si="249"/>
        <v>9.9999999999999995E-7</v>
      </c>
      <c r="F252" s="566" t="str">
        <f t="shared" si="249"/>
        <v>-</v>
      </c>
      <c r="G252" s="566">
        <f t="shared" si="249"/>
        <v>0.14999950000000001</v>
      </c>
      <c r="H252" s="566">
        <f t="shared" si="249"/>
        <v>0.59</v>
      </c>
      <c r="J252" s="840"/>
      <c r="K252" s="566">
        <v>2</v>
      </c>
      <c r="L252" s="566">
        <f t="shared" ref="L252:Q252" si="250">I31</f>
        <v>2</v>
      </c>
      <c r="M252" s="566">
        <f t="shared" si="250"/>
        <v>9.9999999999999995E-7</v>
      </c>
      <c r="N252" s="566">
        <f t="shared" si="250"/>
        <v>9.9999999999999995E-7</v>
      </c>
      <c r="O252" s="566" t="str">
        <f t="shared" si="250"/>
        <v>-</v>
      </c>
      <c r="P252" s="566">
        <f t="shared" si="250"/>
        <v>0</v>
      </c>
      <c r="Q252" s="566">
        <f t="shared" si="250"/>
        <v>0</v>
      </c>
    </row>
    <row r="253" spans="1:17" x14ac:dyDescent="0.25">
      <c r="A253" s="840"/>
      <c r="B253" s="566">
        <v>3</v>
      </c>
      <c r="C253" s="566">
        <f t="shared" ref="C253:H253" si="251">P25</f>
        <v>50</v>
      </c>
      <c r="D253" s="566">
        <f t="shared" si="251"/>
        <v>0.1</v>
      </c>
      <c r="E253" s="566">
        <f t="shared" si="251"/>
        <v>1.1000000000000001</v>
      </c>
      <c r="F253" s="566">
        <f t="shared" si="251"/>
        <v>0.6</v>
      </c>
      <c r="G253" s="566">
        <f t="shared" si="251"/>
        <v>0.5</v>
      </c>
      <c r="H253" s="566">
        <f t="shared" si="251"/>
        <v>0.85000000000000009</v>
      </c>
      <c r="J253" s="840"/>
      <c r="K253" s="566">
        <v>3</v>
      </c>
      <c r="L253" s="566">
        <f t="shared" ref="L253:Q253" si="252">P31</f>
        <v>2</v>
      </c>
      <c r="M253" s="566">
        <f t="shared" si="252"/>
        <v>-8.0000000000000002E-3</v>
      </c>
      <c r="N253" s="566">
        <f t="shared" si="252"/>
        <v>1.4E-2</v>
      </c>
      <c r="O253" s="566">
        <f t="shared" si="252"/>
        <v>9.9999999999999995E-7</v>
      </c>
      <c r="P253" s="566">
        <f t="shared" si="252"/>
        <v>1.0999999999999999E-2</v>
      </c>
      <c r="Q253" s="566">
        <f t="shared" si="252"/>
        <v>2.4E-2</v>
      </c>
    </row>
    <row r="254" spans="1:17" x14ac:dyDescent="0.25">
      <c r="A254" s="840"/>
      <c r="B254" s="566">
        <v>4</v>
      </c>
      <c r="C254" s="566">
        <f t="shared" ref="C254:H254" si="253">B56</f>
        <v>100</v>
      </c>
      <c r="D254" s="566">
        <f t="shared" si="253"/>
        <v>1.4</v>
      </c>
      <c r="E254" s="566">
        <f t="shared" si="253"/>
        <v>1</v>
      </c>
      <c r="F254" s="566">
        <f t="shared" si="253"/>
        <v>0</v>
      </c>
      <c r="G254" s="566">
        <f t="shared" si="253"/>
        <v>0.19999999999999996</v>
      </c>
      <c r="H254" s="566">
        <f t="shared" si="253"/>
        <v>1.7000000000000002</v>
      </c>
      <c r="J254" s="840"/>
      <c r="K254" s="566">
        <v>4</v>
      </c>
      <c r="L254" s="566">
        <f t="shared" ref="L254:Q254" si="254">B62</f>
        <v>2</v>
      </c>
      <c r="M254" s="566">
        <f t="shared" si="254"/>
        <v>-7.0000000000000001E-3</v>
      </c>
      <c r="N254" s="566">
        <f t="shared" si="254"/>
        <v>9.9999999999999995E-7</v>
      </c>
      <c r="O254" s="566">
        <f t="shared" si="254"/>
        <v>0</v>
      </c>
      <c r="P254" s="566">
        <f t="shared" si="254"/>
        <v>3.5005000000000001E-3</v>
      </c>
      <c r="Q254" s="566">
        <f t="shared" si="254"/>
        <v>2.4E-2</v>
      </c>
    </row>
    <row r="255" spans="1:17" x14ac:dyDescent="0.25">
      <c r="A255" s="840"/>
      <c r="B255" s="566">
        <v>5</v>
      </c>
      <c r="C255" s="566">
        <f t="shared" ref="C255:H255" si="255">I56</f>
        <v>100</v>
      </c>
      <c r="D255" s="566">
        <f t="shared" si="255"/>
        <v>1.5</v>
      </c>
      <c r="E255" s="566">
        <f t="shared" si="255"/>
        <v>0.8</v>
      </c>
      <c r="F255" s="566">
        <f t="shared" si="255"/>
        <v>0</v>
      </c>
      <c r="G255" s="566">
        <f t="shared" si="255"/>
        <v>0.35</v>
      </c>
      <c r="H255" s="566">
        <f t="shared" si="255"/>
        <v>1.7000000000000002</v>
      </c>
      <c r="J255" s="840"/>
      <c r="K255" s="566">
        <v>5</v>
      </c>
      <c r="L255" s="566">
        <f t="shared" ref="L255:Q255" si="256">I62</f>
        <v>2</v>
      </c>
      <c r="M255" s="566">
        <f t="shared" si="256"/>
        <v>0.113</v>
      </c>
      <c r="N255" s="566">
        <f t="shared" si="256"/>
        <v>9.9999999999999995E-7</v>
      </c>
      <c r="O255" s="566">
        <f t="shared" si="256"/>
        <v>0</v>
      </c>
      <c r="P255" s="566">
        <f t="shared" si="256"/>
        <v>5.6499500000000001E-2</v>
      </c>
      <c r="Q255" s="566">
        <f t="shared" si="256"/>
        <v>2.4E-2</v>
      </c>
    </row>
    <row r="256" spans="1:17" x14ac:dyDescent="0.25">
      <c r="A256" s="840"/>
      <c r="B256" s="566">
        <v>6</v>
      </c>
      <c r="C256" s="566">
        <f t="shared" ref="C256:H256" si="257">P56</f>
        <v>100</v>
      </c>
      <c r="D256" s="566">
        <f t="shared" si="257"/>
        <v>0.6</v>
      </c>
      <c r="E256" s="566">
        <f t="shared" si="257"/>
        <v>0.7</v>
      </c>
      <c r="F256" s="566">
        <f t="shared" si="257"/>
        <v>0</v>
      </c>
      <c r="G256" s="566">
        <f t="shared" si="257"/>
        <v>4.9999999999999989E-2</v>
      </c>
      <c r="H256" s="566">
        <f t="shared" si="257"/>
        <v>1.7000000000000002</v>
      </c>
      <c r="J256" s="840"/>
      <c r="K256" s="566">
        <v>6</v>
      </c>
      <c r="L256" s="566">
        <f t="shared" ref="L256:Q256" si="258">P62</f>
        <v>2</v>
      </c>
      <c r="M256" s="566">
        <f t="shared" si="258"/>
        <v>9.9999999999999995E-7</v>
      </c>
      <c r="N256" s="566">
        <f t="shared" si="258"/>
        <v>9.9999999999999995E-7</v>
      </c>
      <c r="O256" s="566">
        <f t="shared" si="258"/>
        <v>0</v>
      </c>
      <c r="P256" s="566">
        <f t="shared" si="258"/>
        <v>0</v>
      </c>
      <c r="Q256" s="566">
        <f t="shared" si="258"/>
        <v>0</v>
      </c>
    </row>
    <row r="257" spans="1:20" x14ac:dyDescent="0.25">
      <c r="A257" s="840"/>
      <c r="B257" s="566">
        <v>7</v>
      </c>
      <c r="C257" s="566">
        <f t="shared" ref="C257:H257" si="259">B87</f>
        <v>100</v>
      </c>
      <c r="D257" s="566">
        <f t="shared" si="259"/>
        <v>9.9999999999999995E-7</v>
      </c>
      <c r="E257" s="566">
        <f t="shared" si="259"/>
        <v>1.4</v>
      </c>
      <c r="F257" s="566">
        <f t="shared" si="259"/>
        <v>0</v>
      </c>
      <c r="G257" s="566">
        <f t="shared" si="259"/>
        <v>0.6999995</v>
      </c>
      <c r="H257" s="566">
        <f t="shared" si="259"/>
        <v>1.7000000000000002</v>
      </c>
      <c r="J257" s="840"/>
      <c r="K257" s="566">
        <v>7</v>
      </c>
      <c r="L257" s="566">
        <f t="shared" ref="L257:Q257" si="260">B93</f>
        <v>2</v>
      </c>
      <c r="M257" s="566">
        <f t="shared" si="260"/>
        <v>9.9999999999999995E-7</v>
      </c>
      <c r="N257" s="566">
        <f t="shared" si="260"/>
        <v>9.9999999999999995E-7</v>
      </c>
      <c r="O257" s="566">
        <f t="shared" si="260"/>
        <v>0</v>
      </c>
      <c r="P257" s="566">
        <f t="shared" si="260"/>
        <v>0</v>
      </c>
      <c r="Q257" s="566">
        <f t="shared" si="260"/>
        <v>2.4E-2</v>
      </c>
    </row>
    <row r="258" spans="1:20" x14ac:dyDescent="0.25">
      <c r="A258" s="840"/>
      <c r="B258" s="566">
        <v>8</v>
      </c>
      <c r="C258" s="566">
        <f t="shared" ref="C258:H258" si="261">I87</f>
        <v>100</v>
      </c>
      <c r="D258" s="566">
        <f t="shared" si="261"/>
        <v>0.4</v>
      </c>
      <c r="E258" s="566">
        <f t="shared" si="261"/>
        <v>9.9999999999999995E-7</v>
      </c>
      <c r="F258" s="566">
        <f t="shared" si="261"/>
        <v>0</v>
      </c>
      <c r="G258" s="566">
        <f t="shared" si="261"/>
        <v>0.19999950000000002</v>
      </c>
      <c r="H258" s="566">
        <f t="shared" si="261"/>
        <v>1.7000000000000002</v>
      </c>
      <c r="J258" s="840"/>
      <c r="K258" s="566">
        <v>8</v>
      </c>
      <c r="L258" s="566">
        <f t="shared" ref="L258:Q258" si="262">I93</f>
        <v>2</v>
      </c>
      <c r="M258" s="566">
        <f t="shared" si="262"/>
        <v>5.0000000000000001E-3</v>
      </c>
      <c r="N258" s="566">
        <f t="shared" si="262"/>
        <v>-1E-3</v>
      </c>
      <c r="O258" s="566">
        <f t="shared" si="262"/>
        <v>0</v>
      </c>
      <c r="P258" s="566">
        <f t="shared" si="262"/>
        <v>3.0000000000000001E-3</v>
      </c>
      <c r="Q258" s="566">
        <f t="shared" si="262"/>
        <v>2.4E-2</v>
      </c>
    </row>
    <row r="259" spans="1:20" x14ac:dyDescent="0.25">
      <c r="A259" s="840"/>
      <c r="B259" s="566">
        <v>9</v>
      </c>
      <c r="C259" s="566">
        <f t="shared" ref="C259:H259" si="263">P87</f>
        <v>100</v>
      </c>
      <c r="D259" s="566">
        <f t="shared" si="263"/>
        <v>9.9999999999999995E-7</v>
      </c>
      <c r="E259" s="566" t="str">
        <f t="shared" si="263"/>
        <v>-</v>
      </c>
      <c r="F259" s="566">
        <f t="shared" si="263"/>
        <v>0</v>
      </c>
      <c r="G259" s="566">
        <f t="shared" si="263"/>
        <v>0</v>
      </c>
      <c r="H259" s="566">
        <f t="shared" si="263"/>
        <v>0</v>
      </c>
      <c r="J259" s="840"/>
      <c r="K259" s="566">
        <v>9</v>
      </c>
      <c r="L259" s="566">
        <f t="shared" ref="L259:Q259" si="264">P93</f>
        <v>1</v>
      </c>
      <c r="M259" s="566">
        <f t="shared" si="264"/>
        <v>-1E-3</v>
      </c>
      <c r="N259" s="566" t="str">
        <f t="shared" si="264"/>
        <v>-</v>
      </c>
      <c r="O259" s="566">
        <f t="shared" si="264"/>
        <v>0</v>
      </c>
      <c r="P259" s="566">
        <f t="shared" si="264"/>
        <v>0</v>
      </c>
      <c r="Q259" s="566">
        <f t="shared" si="264"/>
        <v>1.2E-2</v>
      </c>
    </row>
    <row r="260" spans="1:20" x14ac:dyDescent="0.25">
      <c r="A260" s="840"/>
      <c r="B260" s="566">
        <v>10</v>
      </c>
      <c r="C260" s="566">
        <f t="shared" ref="C260:H260" si="265">B118</f>
        <v>100</v>
      </c>
      <c r="D260" s="566" t="str">
        <f t="shared" si="265"/>
        <v>-</v>
      </c>
      <c r="E260" s="566" t="str">
        <f t="shared" si="265"/>
        <v>-</v>
      </c>
      <c r="F260" s="566">
        <f t="shared" si="265"/>
        <v>0</v>
      </c>
      <c r="G260" s="566">
        <f t="shared" si="265"/>
        <v>0</v>
      </c>
      <c r="H260" s="566" t="str">
        <f t="shared" si="265"/>
        <v>-</v>
      </c>
      <c r="J260" s="840"/>
      <c r="K260" s="566">
        <v>10</v>
      </c>
      <c r="L260" s="566">
        <f t="shared" ref="L260:Q260" si="266">B124</f>
        <v>2</v>
      </c>
      <c r="M260" s="566" t="str">
        <f t="shared" si="266"/>
        <v>-</v>
      </c>
      <c r="N260" s="566" t="str">
        <f t="shared" si="266"/>
        <v>-</v>
      </c>
      <c r="O260" s="566">
        <f t="shared" si="266"/>
        <v>0</v>
      </c>
      <c r="P260" s="566">
        <f t="shared" si="266"/>
        <v>0</v>
      </c>
      <c r="Q260" s="566" t="str">
        <f t="shared" si="266"/>
        <v>-</v>
      </c>
    </row>
    <row r="261" spans="1:20" x14ac:dyDescent="0.25">
      <c r="A261" s="840"/>
      <c r="B261" s="566">
        <v>11</v>
      </c>
      <c r="C261" s="566">
        <f t="shared" ref="C261:H261" si="267">I118</f>
        <v>100</v>
      </c>
      <c r="D261" s="566" t="str">
        <f t="shared" si="267"/>
        <v>-</v>
      </c>
      <c r="E261" s="566" t="str">
        <f t="shared" si="267"/>
        <v>-</v>
      </c>
      <c r="F261" s="566">
        <f t="shared" si="267"/>
        <v>0</v>
      </c>
      <c r="G261" s="566">
        <f t="shared" si="267"/>
        <v>0</v>
      </c>
      <c r="H261" s="566" t="str">
        <f t="shared" si="267"/>
        <v>-</v>
      </c>
      <c r="J261" s="840"/>
      <c r="K261" s="566">
        <v>11</v>
      </c>
      <c r="L261" s="566">
        <f t="shared" ref="L261:Q261" si="268">I124</f>
        <v>2</v>
      </c>
      <c r="M261" s="566" t="str">
        <f t="shared" si="268"/>
        <v>-</v>
      </c>
      <c r="N261" s="566" t="str">
        <f t="shared" si="268"/>
        <v>-</v>
      </c>
      <c r="O261" s="566">
        <f t="shared" si="268"/>
        <v>0</v>
      </c>
      <c r="P261" s="566">
        <f t="shared" si="268"/>
        <v>0</v>
      </c>
      <c r="Q261" s="566" t="str">
        <f t="shared" si="268"/>
        <v>-</v>
      </c>
    </row>
    <row r="262" spans="1:20" x14ac:dyDescent="0.25">
      <c r="A262" s="840"/>
      <c r="B262" s="566">
        <v>12</v>
      </c>
      <c r="C262" s="566">
        <f t="shared" ref="C262:H262" si="269">P118</f>
        <v>100</v>
      </c>
      <c r="D262" s="566" t="str">
        <f t="shared" si="269"/>
        <v>-</v>
      </c>
      <c r="E262" s="566" t="str">
        <f t="shared" si="269"/>
        <v>-</v>
      </c>
      <c r="F262" s="566">
        <f t="shared" si="269"/>
        <v>0</v>
      </c>
      <c r="G262" s="566">
        <f t="shared" si="269"/>
        <v>0</v>
      </c>
      <c r="H262" s="566" t="str">
        <f t="shared" si="269"/>
        <v>-</v>
      </c>
      <c r="J262" s="840"/>
      <c r="K262" s="566">
        <v>12</v>
      </c>
      <c r="L262" s="566">
        <f t="shared" ref="L262:Q262" si="270">P124</f>
        <v>2</v>
      </c>
      <c r="M262" s="566" t="str">
        <f t="shared" si="270"/>
        <v>-</v>
      </c>
      <c r="N262" s="566" t="str">
        <f t="shared" si="270"/>
        <v>-</v>
      </c>
      <c r="O262" s="566">
        <f t="shared" si="270"/>
        <v>0</v>
      </c>
      <c r="P262" s="566">
        <f t="shared" si="270"/>
        <v>0</v>
      </c>
      <c r="Q262" s="566" t="str">
        <f t="shared" si="270"/>
        <v>-</v>
      </c>
    </row>
    <row r="263" spans="1:20" s="546" customFormat="1" x14ac:dyDescent="0.25">
      <c r="A263" s="565"/>
      <c r="B263" s="564"/>
      <c r="C263" s="564"/>
      <c r="D263" s="564"/>
      <c r="E263" s="564"/>
      <c r="F263" s="564"/>
      <c r="G263" s="564"/>
      <c r="I263" s="565"/>
      <c r="J263" s="564"/>
      <c r="K263" s="564"/>
      <c r="L263" s="564"/>
      <c r="M263" s="564"/>
      <c r="N263" s="564"/>
      <c r="O263" s="564"/>
    </row>
    <row r="264" spans="1:20" x14ac:dyDescent="0.25">
      <c r="A264" s="563"/>
      <c r="B264" s="562"/>
      <c r="C264" s="562"/>
    </row>
    <row r="265" spans="1:20" ht="43.5" customHeight="1" x14ac:dyDescent="0.25">
      <c r="A265" s="561">
        <f>A311</f>
        <v>8</v>
      </c>
      <c r="B265" s="841" t="str">
        <f>A298</f>
        <v>Electrical Safety Analyzer, Merek : Fluke, Model : ESA 615, SN : 4669058</v>
      </c>
      <c r="C265" s="841"/>
      <c r="D265" s="841"/>
      <c r="E265" s="841"/>
      <c r="F265" s="841"/>
      <c r="H265" s="842" t="s">
        <v>581</v>
      </c>
      <c r="I265" s="842"/>
      <c r="J265" s="842"/>
      <c r="K265" s="555"/>
      <c r="L265" s="546"/>
      <c r="M265" s="843" t="s">
        <v>552</v>
      </c>
      <c r="N265" s="843" t="s">
        <v>553</v>
      </c>
      <c r="O265" s="834" t="s">
        <v>554</v>
      </c>
      <c r="Q265" s="553"/>
      <c r="R265" s="553"/>
      <c r="S265" s="553"/>
      <c r="T265" s="553"/>
    </row>
    <row r="266" spans="1:20" ht="14.65" customHeight="1" x14ac:dyDescent="0.25">
      <c r="A266" s="845" t="s">
        <v>534</v>
      </c>
      <c r="B266" s="845"/>
      <c r="C266" s="845"/>
      <c r="D266" s="845"/>
      <c r="E266" s="845"/>
      <c r="F266" s="845"/>
      <c r="H266" s="547" t="str">
        <f>TEXT(O268,"0.0")</f>
        <v>225.6</v>
      </c>
      <c r="I266" s="547" t="str">
        <f>TEXT(J293,"0.0")</f>
        <v>2.7</v>
      </c>
      <c r="J266" s="735" t="s">
        <v>686</v>
      </c>
      <c r="K266" s="734"/>
      <c r="L266" s="546"/>
      <c r="M266" s="843"/>
      <c r="N266" s="843"/>
      <c r="O266" s="834"/>
      <c r="Q266" s="553"/>
      <c r="R266" s="553"/>
      <c r="S266" s="553"/>
      <c r="T266" s="553"/>
    </row>
    <row r="267" spans="1:20" ht="15.5" x14ac:dyDescent="0.3">
      <c r="A267" s="846" t="str">
        <f>B4</f>
        <v>Setting VAC</v>
      </c>
      <c r="B267" s="846"/>
      <c r="C267" s="846"/>
      <c r="D267" s="846"/>
      <c r="E267" s="846" t="s">
        <v>536</v>
      </c>
      <c r="F267" s="846" t="s">
        <v>537</v>
      </c>
      <c r="H267" s="733" t="s">
        <v>584</v>
      </c>
      <c r="I267" s="732" t="s">
        <v>585</v>
      </c>
      <c r="J267" s="732" t="s">
        <v>586</v>
      </c>
      <c r="K267" s="553"/>
      <c r="L267" s="546"/>
      <c r="M267" s="843"/>
      <c r="N267" s="843"/>
      <c r="O267" s="834"/>
      <c r="Q267" s="553"/>
      <c r="R267" s="553"/>
      <c r="S267" s="553"/>
      <c r="T267" s="553"/>
    </row>
    <row r="268" spans="1:20" ht="17.5" x14ac:dyDescent="0.25">
      <c r="A268" s="550" t="s">
        <v>538</v>
      </c>
      <c r="B268" s="549">
        <f>VLOOKUP(B265,A299:L310,9,FALSE)</f>
        <v>2022</v>
      </c>
      <c r="C268" s="549">
        <f>VLOOKUP(B265,A299:L310,10,FALSE)</f>
        <v>2020</v>
      </c>
      <c r="D268" s="549" t="str">
        <f>VLOOKUP(B265,A299:L310,11,FALSE)</f>
        <v>-</v>
      </c>
      <c r="E268" s="846"/>
      <c r="F268" s="846"/>
      <c r="H268" s="847" t="str">
        <f>H267&amp;H266&amp;I267&amp;I266&amp;J267&amp;J266</f>
        <v>( 225.6 ± 2.7 ) Volt</v>
      </c>
      <c r="I268" s="847"/>
      <c r="J268" s="847"/>
      <c r="K268" s="553"/>
      <c r="L268" s="546"/>
      <c r="M268" s="731">
        <f>ID!E17</f>
        <v>225.8</v>
      </c>
      <c r="N268" s="730">
        <f>M268+J273</f>
        <v>225.64580000000001</v>
      </c>
      <c r="O268" s="729">
        <f>IF(M268="-","-",N268)</f>
        <v>225.64580000000001</v>
      </c>
      <c r="Q268" s="553"/>
      <c r="R268" s="553"/>
      <c r="S268" s="553"/>
      <c r="T268" s="553"/>
    </row>
    <row r="269" spans="1:20" ht="15.5" x14ac:dyDescent="0.25">
      <c r="A269" s="547">
        <f>VLOOKUP($A265,$B131:$H142,2,(FALSE))</f>
        <v>150</v>
      </c>
      <c r="B269" s="716">
        <f>VLOOKUP($A$265,$B$131:$H$142,3,(FALSE))</f>
        <v>-0.17</v>
      </c>
      <c r="C269" s="716">
        <f>VLOOKUP($A$265,$B$131:$H$142,4,(FALSE))</f>
        <v>-0.24</v>
      </c>
      <c r="D269" s="716">
        <f>VLOOKUP($A$265,$B$131:$H$142,5,(FALSE))</f>
        <v>0</v>
      </c>
      <c r="E269" s="716">
        <f>VLOOKUP($A$265,$B$131:$H$142,6,(FALSE))</f>
        <v>3.4999999999999989E-2</v>
      </c>
      <c r="F269" s="547">
        <f>VLOOKUP($A$265,$B$131:$H$142,7,(FALSE))</f>
        <v>1.8</v>
      </c>
      <c r="H269" s="720"/>
      <c r="J269" s="555"/>
      <c r="K269" s="555"/>
      <c r="L269" s="546"/>
      <c r="M269" s="731" t="str">
        <f>ID!J25</f>
        <v>OL</v>
      </c>
      <c r="N269" s="730" t="e">
        <f>M269+J$277</f>
        <v>#VALUE!</v>
      </c>
      <c r="O269" s="729" t="str">
        <f>IF(M269="OR","OR",IF(M269="OL","OL",IF(M269="NC","NC",IFERROR(N269,"-"))))</f>
        <v>OL</v>
      </c>
      <c r="R269" s="560"/>
    </row>
    <row r="270" spans="1:20" ht="13" x14ac:dyDescent="0.25">
      <c r="A270" s="551">
        <f>VLOOKUP($A$265,$B$144:$H$155,2,(FALSE))</f>
        <v>180</v>
      </c>
      <c r="B270" s="718">
        <f>VLOOKUP($A$265,$B$144:$H$155,3,(FALSE))</f>
        <v>-0.39</v>
      </c>
      <c r="C270" s="718">
        <f>VLOOKUP($A$265,$B$144:$H$155,4,(FALSE))</f>
        <v>-0.14000000000000001</v>
      </c>
      <c r="D270" s="718">
        <f>VLOOKUP($A$265,$B$144:$H$155,5,(FALSE))</f>
        <v>0</v>
      </c>
      <c r="E270" s="718">
        <f>VLOOKUP($A$265,$B$144:$H$155,6,(FALSE))</f>
        <v>0.125</v>
      </c>
      <c r="F270" s="551">
        <f>VLOOKUP($A$265,$B$144:$H$155,7,(FALSE))</f>
        <v>2.16</v>
      </c>
      <c r="H270" s="553"/>
      <c r="I270" s="553"/>
      <c r="J270" s="553"/>
      <c r="K270" s="553"/>
      <c r="L270" s="546"/>
      <c r="M270" s="731" t="str">
        <f>ID!J26</f>
        <v>-</v>
      </c>
      <c r="N270" s="730" t="e">
        <f>M270+J$281</f>
        <v>#VALUE!</v>
      </c>
      <c r="O270" s="729" t="str">
        <f>IF(M270="NC","NC",IF(M270="OL","OL",IF(M270="OR","OR",IFERROR(N270,"-"))))</f>
        <v>-</v>
      </c>
    </row>
    <row r="271" spans="1:20" ht="13" x14ac:dyDescent="0.25">
      <c r="A271" s="551">
        <f>VLOOKUP($A$265,$B$157:$H$168,2,(FALSE))</f>
        <v>200</v>
      </c>
      <c r="B271" s="718">
        <f>VLOOKUP($A$265,$B$157:$H$168,3,(FALSE))</f>
        <v>-0.23</v>
      </c>
      <c r="C271" s="718">
        <f>VLOOKUP($A$265,$B$157:$H$168,4,(FALSE))</f>
        <v>-0.33</v>
      </c>
      <c r="D271" s="718">
        <f>VLOOKUP($A$265,$B$157:$H$168,5,(FALSE))</f>
        <v>0</v>
      </c>
      <c r="E271" s="718">
        <f>VLOOKUP($A$265,$B$157:$H$168,6,(FALSE))</f>
        <v>0.05</v>
      </c>
      <c r="F271" s="551">
        <f>VLOOKUP($A$265,$B$157:$H$168,7,(FALSE))</f>
        <v>2.4</v>
      </c>
      <c r="H271" s="848" t="s">
        <v>720</v>
      </c>
      <c r="I271" s="848"/>
      <c r="J271" s="848"/>
      <c r="K271" s="848"/>
      <c r="L271" s="558" t="s">
        <v>555</v>
      </c>
      <c r="M271" s="731">
        <f>ID!J27</f>
        <v>65.599999999999994</v>
      </c>
      <c r="N271" s="730">
        <f>M271+J$285</f>
        <v>69.227199999999996</v>
      </c>
      <c r="O271" s="729">
        <f>IFERROR(N271,"-")</f>
        <v>69.227199999999996</v>
      </c>
    </row>
    <row r="272" spans="1:20" ht="13" x14ac:dyDescent="0.25">
      <c r="A272" s="551">
        <f>VLOOKUP($A$265,$B$170:$H$181,2,(FALSE))</f>
        <v>220</v>
      </c>
      <c r="B272" s="718">
        <f>VLOOKUP($A$265,$B$170:$H$181,3,(FALSE))</f>
        <v>-0.16</v>
      </c>
      <c r="C272" s="718">
        <f>VLOOKUP($A$265,$B$170:$H$181,4,(FALSE))</f>
        <v>-0.45</v>
      </c>
      <c r="D272" s="718">
        <f>VLOOKUP($A$265,$B$170:$H$181,5,(FALSE))</f>
        <v>0</v>
      </c>
      <c r="E272" s="718">
        <f>VLOOKUP($A$265,$B$170:$H$181,6,(FALSE))</f>
        <v>0.14500000000000002</v>
      </c>
      <c r="F272" s="551">
        <f>VLOOKUP($A$265,$B$170:$H$181,7,(FALSE))</f>
        <v>2.64</v>
      </c>
      <c r="H272" s="715"/>
      <c r="I272" s="713">
        <f>IF($H$273&lt;=$A$270,A269,IF($H$273&lt;=$A$271,A270,IF($H$273&lt;=$A$272,A271,IF($H$273&lt;=$A$273,A272,IF($H$273&lt;=$A$274,A273,A274)))))</f>
        <v>220</v>
      </c>
      <c r="J272" s="713"/>
      <c r="K272" s="713">
        <f>IF($H$273&lt;=$A$270,B269,IF($H$273&lt;=$A$271,B270,IF($H$273&lt;=$A$272,B271,IF($H$273&lt;=$A$273,B272,IF($H$273&lt;=$A$274,B273,B274)))))</f>
        <v>-0.16</v>
      </c>
      <c r="L272" s="558" t="s">
        <v>556</v>
      </c>
      <c r="M272" s="728">
        <f>ID!O28</f>
        <v>120</v>
      </c>
      <c r="N272" s="727">
        <f>M272+J$289</f>
        <v>118.84</v>
      </c>
      <c r="O272" s="726">
        <f>IFERROR(N272,"-")</f>
        <v>118.84</v>
      </c>
    </row>
    <row r="273" spans="1:16" ht="15.75" customHeight="1" x14ac:dyDescent="0.25">
      <c r="A273" s="551">
        <f>VLOOKUP($A$265,$B$183:$H$194,2,(FALSE))</f>
        <v>230</v>
      </c>
      <c r="B273" s="718">
        <f>VLOOKUP($A$265,$B$183:$H$194,3,(FALSE))</f>
        <v>-0.15</v>
      </c>
      <c r="C273" s="718">
        <f>VLOOKUP($A$265,$B$183:$H$194,4,(FALSE))</f>
        <v>-0.54</v>
      </c>
      <c r="D273" s="718">
        <f>VLOOKUP($A$265,$B$183:$H$194,5,(FALSE))</f>
        <v>0</v>
      </c>
      <c r="E273" s="718">
        <f>VLOOKUP($A$265,$B$183:$H$194,6,(FALSE))</f>
        <v>0.19500000000000001</v>
      </c>
      <c r="F273" s="551">
        <f>VLOOKUP($A$265,$B$183:$H$194,7,(FALSE))</f>
        <v>2.7600000000000002</v>
      </c>
      <c r="H273" s="717">
        <f>M268</f>
        <v>225.8</v>
      </c>
      <c r="I273" s="713"/>
      <c r="J273" s="713">
        <f>((H273-I272)/(I274-I272)*(K274-K272)+K272)</f>
        <v>-0.15419999999999998</v>
      </c>
      <c r="K273" s="713"/>
      <c r="L273" s="546"/>
      <c r="M273" s="557"/>
      <c r="N273" s="556"/>
      <c r="O273" s="725"/>
    </row>
    <row r="274" spans="1:16" x14ac:dyDescent="0.25">
      <c r="A274" s="551">
        <f>VLOOKUP($A$265,$B$196:$H$207,2,(FALSE))</f>
        <v>250</v>
      </c>
      <c r="B274" s="718">
        <f>VLOOKUP($A$265,$B$196:$H$207,3,(FALSE))</f>
        <v>9.9999999999999995E-7</v>
      </c>
      <c r="C274" s="718">
        <f>VLOOKUP($A$265,$B$196:$H$207,4,(FALSE))</f>
        <v>-0.49</v>
      </c>
      <c r="D274" s="718">
        <f>VLOOKUP($A$265,$B$196:$H$207,5,(FALSE))</f>
        <v>0</v>
      </c>
      <c r="E274" s="718">
        <f>VLOOKUP($A$265,$B$196:$H$207,6,(FALSE))</f>
        <v>0.24500049999999998</v>
      </c>
      <c r="F274" s="551">
        <f>VLOOKUP($A$265,$B$196:$H$207,7,(FALSE))</f>
        <v>3</v>
      </c>
      <c r="H274" s="715"/>
      <c r="I274" s="713">
        <f>IF($H$273&lt;=$A$270,A270,IF($H$273&lt;=$A$271,A271,IF($H$273&lt;=$A$272,A272,IF($H$273&lt;=$A$273,A273,IF($H$273&lt;=$A$274,A274,250)))))</f>
        <v>230</v>
      </c>
      <c r="J274" s="713"/>
      <c r="K274" s="713">
        <f>IF($H$273&lt;=$A$270,B270,IF($H$273&lt;=$A$271,B271,IF($H$273&lt;=$A$272,B272,IF($H$273&lt;=$A$273,B273,IF($H$273&lt;=$A$274,B274,250)))))</f>
        <v>-0.15</v>
      </c>
      <c r="L274" s="546"/>
      <c r="M274" s="557"/>
      <c r="O274" s="724"/>
    </row>
    <row r="275" spans="1:16" ht="13.15" customHeight="1" x14ac:dyDescent="0.25">
      <c r="A275" s="839" t="str">
        <f>B12</f>
        <v>Current Leakage</v>
      </c>
      <c r="B275" s="839"/>
      <c r="C275" s="839"/>
      <c r="D275" s="839"/>
      <c r="E275" s="548" t="s">
        <v>536</v>
      </c>
      <c r="F275" s="548" t="s">
        <v>537</v>
      </c>
      <c r="H275" s="844" t="s">
        <v>719</v>
      </c>
      <c r="I275" s="844"/>
      <c r="J275" s="844"/>
      <c r="K275" s="844"/>
      <c r="L275" s="546"/>
      <c r="M275" s="557"/>
      <c r="O275" s="724"/>
    </row>
    <row r="276" spans="1:16" ht="14" x14ac:dyDescent="0.25">
      <c r="A276" s="550" t="s">
        <v>540</v>
      </c>
      <c r="B276" s="549">
        <f>B268</f>
        <v>2022</v>
      </c>
      <c r="C276" s="549">
        <f>C268</f>
        <v>2020</v>
      </c>
      <c r="D276" s="549" t="str">
        <f>D268</f>
        <v>-</v>
      </c>
      <c r="E276" s="548"/>
      <c r="F276" s="548"/>
      <c r="H276" s="715"/>
      <c r="I276" s="719">
        <f>IF($H$277&lt;=$A$285,0,IF($H$277&lt;=$A$286,$A$285,IF($H$277&lt;=$A$287,$A$286,$A$287)))</f>
        <v>50</v>
      </c>
      <c r="J276" s="713"/>
      <c r="K276" s="719">
        <f>IF($H$277&lt;=$A$285,0,IF($H$277&lt;=$A$286,$B$285,IF($H$277&lt;=$A$287,$B$286,$B$287)))</f>
        <v>0.2</v>
      </c>
      <c r="L276" s="546"/>
      <c r="M276" s="557"/>
      <c r="N276" s="556"/>
      <c r="O276" s="724"/>
    </row>
    <row r="277" spans="1:16" ht="15.75" customHeight="1" x14ac:dyDescent="0.25">
      <c r="A277" s="551">
        <f>VLOOKUP($A$265,$K$131:$Q$142,2,(FALSE))</f>
        <v>0</v>
      </c>
      <c r="B277" s="718">
        <f>VLOOKUP($A$265,$K$131:$Q$142,3,(FALSE))</f>
        <v>9.9999999999999995E-7</v>
      </c>
      <c r="C277" s="718">
        <f>VLOOKUP($A$265,$K$131:$Q$142,4,(FALSE))</f>
        <v>9.9999999999999995E-7</v>
      </c>
      <c r="D277" s="718">
        <f>VLOOKUP($A$265,$K$131:$Q$142,5,(FALSE))</f>
        <v>0</v>
      </c>
      <c r="E277" s="718">
        <f>VLOOKUP($A$265,$K$131:$Q$142,6,(FALSE))</f>
        <v>0</v>
      </c>
      <c r="F277" s="718">
        <f>VLOOKUP($A$265,$K$131:$Q$142,7,(FALSE))</f>
        <v>0</v>
      </c>
      <c r="H277" s="717" t="str">
        <f>M269</f>
        <v>OL</v>
      </c>
      <c r="I277" s="713"/>
      <c r="J277" s="713" t="e">
        <f>((H277-I276)/(I278-I276)*(K278-K276)+K276)</f>
        <v>#VALUE!</v>
      </c>
      <c r="K277" s="713"/>
      <c r="L277" s="723"/>
      <c r="M277" s="720"/>
      <c r="N277" s="720"/>
      <c r="O277" s="720"/>
    </row>
    <row r="278" spans="1:16" x14ac:dyDescent="0.25">
      <c r="A278" s="551">
        <f>VLOOKUP($A$265,$K$144:$Q$155,2,(FALSE))</f>
        <v>20</v>
      </c>
      <c r="B278" s="718">
        <f>VLOOKUP($A$265,$K$144:$Q$155,3,(FALSE))</f>
        <v>6.6</v>
      </c>
      <c r="C278" s="718">
        <f>VLOOKUP($A$265,$K$144:$Q$155,4,(FALSE))</f>
        <v>0.9</v>
      </c>
      <c r="D278" s="718">
        <f>VLOOKUP($A$265,$K$144:$Q$155,5,(FALSE))</f>
        <v>0</v>
      </c>
      <c r="E278" s="718">
        <f>VLOOKUP($A$265,$K$144:$Q$155,6,(FALSE))</f>
        <v>2.8499999999999996</v>
      </c>
      <c r="F278" s="718">
        <f>VLOOKUP($A$265,$K$144:$Q$155,7,(FALSE))</f>
        <v>0.11799999999999999</v>
      </c>
      <c r="H278" s="715"/>
      <c r="I278" s="719">
        <f>IF($H$277&lt;=$A$285,$A$285,IF($H$277&lt;=$A$286,$A$286,IF($H$277&lt;=$A$287,$A$287,$A$288)))</f>
        <v>100</v>
      </c>
      <c r="J278" s="713"/>
      <c r="K278" s="719">
        <f>IF($H$277&lt;=$A$285,$B$285,IF($H$277&lt;=$A$286,$B$286,IF($H$277&lt;=$A$287,$B$287,$B$288)))</f>
        <v>0.4</v>
      </c>
      <c r="M278" s="722">
        <f>O268</f>
        <v>225.64580000000001</v>
      </c>
      <c r="N278" s="562" t="str">
        <f>I267</f>
        <v xml:space="preserve"> ± </v>
      </c>
      <c r="O278" s="722">
        <f>J293</f>
        <v>2.7077496000000001</v>
      </c>
      <c r="P278" s="562" t="str">
        <f>J266</f>
        <v xml:space="preserve"> Volt</v>
      </c>
    </row>
    <row r="279" spans="1:16" x14ac:dyDescent="0.25">
      <c r="A279" s="551">
        <f>VLOOKUP($A$265,$K$157:$Q$168,2,(FALSE))</f>
        <v>50</v>
      </c>
      <c r="B279" s="718">
        <f>VLOOKUP($A$265,$K$157:$Q$168,3,(FALSE))</f>
        <v>5</v>
      </c>
      <c r="C279" s="718">
        <f>VLOOKUP($A$265,$K$157:$Q$168,4,(FALSE))</f>
        <v>2.1</v>
      </c>
      <c r="D279" s="718">
        <f>VLOOKUP($A$265,$K$157:$Q$168,5,(FALSE))</f>
        <v>0</v>
      </c>
      <c r="E279" s="718">
        <f>VLOOKUP($A$265,$K$157:$Q$168,6,(FALSE))</f>
        <v>1.45</v>
      </c>
      <c r="F279" s="718">
        <f>VLOOKUP($A$265,$K$157:$Q$168,7,(FALSE))</f>
        <v>0.29499999999999998</v>
      </c>
      <c r="H279" s="844" t="s">
        <v>37</v>
      </c>
      <c r="I279" s="844"/>
      <c r="J279" s="844"/>
      <c r="K279" s="844"/>
      <c r="M279" s="720"/>
      <c r="N279" s="720"/>
      <c r="O279" s="720"/>
    </row>
    <row r="280" spans="1:16" x14ac:dyDescent="0.25">
      <c r="A280" s="551">
        <f>VLOOKUP($A$265,$K$170:$Q$181,2,(FALSE))</f>
        <v>200</v>
      </c>
      <c r="B280" s="718">
        <f>VLOOKUP($A$265,$K$170:$Q$181,3,(FALSE))</f>
        <v>-8.1999999999999993</v>
      </c>
      <c r="C280" s="718">
        <f>VLOOKUP($A$265,$K$170:$Q$181,4,(FALSE))</f>
        <v>3.7</v>
      </c>
      <c r="D280" s="718">
        <f>VLOOKUP($A$265,$K$170:$Q$181,5,(FALSE))</f>
        <v>0</v>
      </c>
      <c r="E280" s="718">
        <f>VLOOKUP($A$265,$K$170:$Q$181,6,(FALSE))</f>
        <v>5.9499999999999993</v>
      </c>
      <c r="F280" s="718">
        <f>VLOOKUP($A$265,$K$170:$Q$181,7,(FALSE))</f>
        <v>1.18</v>
      </c>
      <c r="H280" s="715"/>
      <c r="I280" s="713">
        <f>IF($H$281&lt;=$A$291,0,IF($H$281&lt;=$A$292,$A$291,IF($H$281&lt;=$A$293,$A$292,$A$293)))</f>
        <v>1</v>
      </c>
      <c r="J280" s="713"/>
      <c r="K280" s="713">
        <f>IF($H$281&lt;=$A$291,0,IF($H$281&lt;=$A$292,$B$291,IF($H$281&lt;=$A$293,$B$292,$B$293)))</f>
        <v>5.0000000000000001E-3</v>
      </c>
      <c r="M280" s="720"/>
      <c r="N280" s="720"/>
      <c r="O280" s="720"/>
    </row>
    <row r="281" spans="1:16" ht="16.5" customHeight="1" x14ac:dyDescent="0.3">
      <c r="A281" s="551">
        <f>VLOOKUP($A$265,$K$183:$Q$194,2,(FALSE))</f>
        <v>500</v>
      </c>
      <c r="B281" s="718">
        <f>VLOOKUP($A$265,$K$183:$Q$194,3,(FALSE))</f>
        <v>-31.8</v>
      </c>
      <c r="C281" s="718">
        <f>VLOOKUP($A$265,$K$183:$Q$194,4,(FALSE))</f>
        <v>8.3000000000000007</v>
      </c>
      <c r="D281" s="718">
        <f>VLOOKUP($A$265,$K$183:$Q$194,5,(FALSE))</f>
        <v>0</v>
      </c>
      <c r="E281" s="718">
        <f>VLOOKUP($A$265,$K$183:$Q$194,6,(FALSE))</f>
        <v>20.05</v>
      </c>
      <c r="F281" s="718">
        <f>VLOOKUP($A$265,$K$183:$Q$194,7,(FALSE))</f>
        <v>2.9499999999999997</v>
      </c>
      <c r="H281" s="721" t="str">
        <f>M270</f>
        <v>-</v>
      </c>
      <c r="I281" s="713"/>
      <c r="J281" s="713" t="e">
        <f>((H281-I280)/(I282-I280)*(K282-K280)+K280)</f>
        <v>#VALUE!</v>
      </c>
      <c r="K281" s="713"/>
      <c r="M281" s="720"/>
      <c r="N281" s="720"/>
      <c r="O281" s="720"/>
      <c r="P281" s="554"/>
    </row>
    <row r="282" spans="1:16" x14ac:dyDescent="0.25">
      <c r="A282" s="551">
        <f>VLOOKUP($A$265,$K$196:$Q$207,2,(FALSE))</f>
        <v>1000</v>
      </c>
      <c r="B282" s="718">
        <f>VLOOKUP($A$265,$K$196:$Q$207,3,(FALSE))</f>
        <v>-74</v>
      </c>
      <c r="C282" s="718">
        <f>VLOOKUP($A$265,$K$196:$Q$207,4,(FALSE))</f>
        <v>9.9999999999999995E-7</v>
      </c>
      <c r="D282" s="718">
        <f>VLOOKUP($A$265,$K$196:$Q$207,5,(FALSE))</f>
        <v>0</v>
      </c>
      <c r="E282" s="718">
        <f>VLOOKUP($A$265,$K$196:$Q$207,6,(FALSE))</f>
        <v>37.000000499999999</v>
      </c>
      <c r="F282" s="718">
        <f>VLOOKUP($A$265,$K$196:$Q$207,7,(FALSE))</f>
        <v>5.8999999999999995</v>
      </c>
      <c r="H282" s="715"/>
      <c r="I282" s="713">
        <f>IF($H$281&lt;=$A$291,$A$291,IF($H$281&lt;=$A$292,$A$292,IF($H$281&lt;=$A$293,$A$293,$A$294)))</f>
        <v>2</v>
      </c>
      <c r="J282" s="713"/>
      <c r="K282" s="713">
        <f>IF($H$281&lt;=$A$291,$B$291,IF($H$281&lt;=$A$292,$B$292,IF($H$281&lt;=$A$293,$B$293,$B$294)))</f>
        <v>5.0000000000000001E-3</v>
      </c>
      <c r="P282" s="552"/>
    </row>
    <row r="283" spans="1:16" ht="13" x14ac:dyDescent="0.25">
      <c r="A283" s="839" t="str">
        <f>B20</f>
        <v>Main-PE</v>
      </c>
      <c r="B283" s="839"/>
      <c r="C283" s="839"/>
      <c r="D283" s="839"/>
      <c r="E283" s="548" t="s">
        <v>536</v>
      </c>
      <c r="F283" s="548" t="s">
        <v>537</v>
      </c>
      <c r="H283" s="844" t="s">
        <v>718</v>
      </c>
      <c r="I283" s="844"/>
      <c r="J283" s="844"/>
      <c r="K283" s="844"/>
      <c r="P283" s="552"/>
    </row>
    <row r="284" spans="1:16" ht="14.5" x14ac:dyDescent="0.25">
      <c r="A284" s="550" t="s">
        <v>685</v>
      </c>
      <c r="B284" s="549">
        <f>B276</f>
        <v>2022</v>
      </c>
      <c r="C284" s="549">
        <f>C276</f>
        <v>2020</v>
      </c>
      <c r="D284" s="549" t="str">
        <f>D276</f>
        <v>-</v>
      </c>
      <c r="E284" s="548"/>
      <c r="F284" s="548"/>
      <c r="H284" s="715"/>
      <c r="I284" s="713">
        <f>IF($H$285&lt;=$A$278,A277,IF($H$285&lt;=$A$279,A278,IF($H$285&lt;=$A$280,A279,IF($H$285&lt;=$A$281,A280,IF($H$285&lt;=$A$282,A281,A282)))))</f>
        <v>50</v>
      </c>
      <c r="J284" s="713"/>
      <c r="K284" s="713">
        <f>IF($H$285&lt;=$A$278,B277,IF($H$285&lt;=$A$279,B278,IF($H$285&lt;=$A$280,B279,IF($H$285&lt;=$A$281,B280,IF($H$285&lt;=$A$282,B281,B282)))))</f>
        <v>5</v>
      </c>
      <c r="P284" s="552"/>
    </row>
    <row r="285" spans="1:16" ht="15.75" customHeight="1" x14ac:dyDescent="0.25">
      <c r="A285" s="551">
        <f>VLOOKUP($A$265,$B$212:$H$223,2,(FALSE))</f>
        <v>10</v>
      </c>
      <c r="B285" s="718">
        <f>VLOOKUP($A$265,$B$212:$H$223,3,(FALSE))</f>
        <v>9.9999999999999995E-7</v>
      </c>
      <c r="C285" s="718">
        <f>VLOOKUP($A$265,$B$212:$H$223,4,(FALSE))</f>
        <v>9.9999999999999995E-7</v>
      </c>
      <c r="D285" s="718">
        <f>VLOOKUP($A$265,$B$212:$H$223,5,(FALSE))</f>
        <v>0</v>
      </c>
      <c r="E285" s="718">
        <f>VLOOKUP($A$265,$B$212:$H$223,6,(FALSE))</f>
        <v>0</v>
      </c>
      <c r="F285" s="718">
        <f>VLOOKUP($A$265,$B$212:$H$223,7,(FALSE))</f>
        <v>0.17</v>
      </c>
      <c r="H285" s="717">
        <f>M271</f>
        <v>65.599999999999994</v>
      </c>
      <c r="I285" s="713"/>
      <c r="J285" s="713">
        <f>((H285-I284)/(I286-I284)*(K286-K284)+K284)</f>
        <v>3.6272000000000002</v>
      </c>
      <c r="K285" s="713"/>
    </row>
    <row r="286" spans="1:16" x14ac:dyDescent="0.25">
      <c r="A286" s="551">
        <f>VLOOKUP($A$265,$B$225:$H$236,2,(FALSE))</f>
        <v>20</v>
      </c>
      <c r="B286" s="718">
        <f>VLOOKUP($A$265,$B$225:$H$236,3,(FALSE))</f>
        <v>9.9999999999999995E-7</v>
      </c>
      <c r="C286" s="718">
        <f>VLOOKUP($A$265,$B$225:$H$236,4,(FALSE))</f>
        <v>9.9999999999999995E-7</v>
      </c>
      <c r="D286" s="718">
        <f>VLOOKUP($A$265,$B$225:$H$236,5,(FALSE))</f>
        <v>0</v>
      </c>
      <c r="E286" s="718">
        <f>VLOOKUP($A$265,$B$225:$H$236,6,(FALSE))</f>
        <v>0</v>
      </c>
      <c r="F286" s="718">
        <f>VLOOKUP($A$265,$B$225:$H$236,7,(FALSE))</f>
        <v>0.34</v>
      </c>
      <c r="H286" s="715"/>
      <c r="I286" s="719">
        <f>IF($H$285&lt;=$A$278,A278,IF($H$285&lt;=$A$279,A279,IF($H$285&lt;=$A$280,A280,IF($H$285&lt;=$A$281,A281,IF($H$285&lt;=$A$282,A282,"250")))))</f>
        <v>200</v>
      </c>
      <c r="J286" s="713"/>
      <c r="K286" s="713">
        <f>IF($H$285&lt;=$A$278,B278,IF($H$285&lt;=$A$279,B279,IF($H$285&lt;=$A$280,B280,IF($H$285&lt;=$A$281,B281,IF($H$285&lt;=$A$282,B282,IF($H$285&lt;="250",C298,"-"))))))</f>
        <v>-8.1999999999999993</v>
      </c>
    </row>
    <row r="287" spans="1:16" x14ac:dyDescent="0.25">
      <c r="A287" s="551">
        <f>VLOOKUP($A$265,$B$238:$H$249,2,(FALSE))</f>
        <v>50</v>
      </c>
      <c r="B287" s="718">
        <f>VLOOKUP($A$265,$B$238:$H$249,3,(FALSE))</f>
        <v>0.2</v>
      </c>
      <c r="C287" s="718">
        <f>VLOOKUP($A$265,$B$238:$H$249,4,(FALSE))</f>
        <v>9.9999999999999995E-7</v>
      </c>
      <c r="D287" s="718">
        <f>VLOOKUP($A$265,$B$238:$H$249,5,(FALSE))</f>
        <v>0</v>
      </c>
      <c r="E287" s="718">
        <f>VLOOKUP($A$265,$B$238:$H$249,6,(FALSE))</f>
        <v>9.9999500000000005E-2</v>
      </c>
      <c r="F287" s="718">
        <f>VLOOKUP($A$265,$B$238:$H$249,7,(FALSE))</f>
        <v>0.85000000000000009</v>
      </c>
      <c r="H287" s="844" t="s">
        <v>718</v>
      </c>
      <c r="I287" s="844"/>
      <c r="J287" s="844"/>
      <c r="K287" s="844"/>
    </row>
    <row r="288" spans="1:16" x14ac:dyDescent="0.25">
      <c r="A288" s="551">
        <f>VLOOKUP($A$265,$B$251:$H$262,2,(FALSE))</f>
        <v>100</v>
      </c>
      <c r="B288" s="718">
        <f>VLOOKUP($A$265,$B$251:$H$262,3,(FALSE))</f>
        <v>0.4</v>
      </c>
      <c r="C288" s="718">
        <f>VLOOKUP($A$265,$B$251:$H$262,4,(FALSE))</f>
        <v>9.9999999999999995E-7</v>
      </c>
      <c r="D288" s="718">
        <f>VLOOKUP($A$265,$B$251:$H$262,5,(FALSE))</f>
        <v>0</v>
      </c>
      <c r="E288" s="718">
        <f>VLOOKUP($A$265,$B$251:$H$262,6,(FALSE))</f>
        <v>0.19999950000000002</v>
      </c>
      <c r="F288" s="718">
        <f>VLOOKUP($A$265,$B$251:$H$262,7,(FALSE))</f>
        <v>1.7000000000000002</v>
      </c>
      <c r="H288" s="715"/>
      <c r="I288" s="713">
        <f>IF(H289&lt;=$A$278,$A$277,IF(H289&lt;=$A$279,$A$278,IF(H289&lt;=$A$280,$A$279,IF(H289&lt;=$A$281,$A$280,$A$281))))</f>
        <v>50</v>
      </c>
      <c r="J288" s="713"/>
      <c r="K288" s="713">
        <f>IF(H289&lt;=$A$278,$B$277,IF(H289&lt;=$A$279,$B$278,IF(H289&lt;=$A$280,$B$279,IF(H289&lt;=$A$281,$B$280,$B$281))))</f>
        <v>5</v>
      </c>
    </row>
    <row r="289" spans="1:25" ht="15.75" customHeight="1" x14ac:dyDescent="0.25">
      <c r="A289" s="839" t="str">
        <f>B26</f>
        <v>Resistance</v>
      </c>
      <c r="B289" s="839"/>
      <c r="C289" s="839"/>
      <c r="D289" s="839"/>
      <c r="E289" s="548" t="s">
        <v>536</v>
      </c>
      <c r="F289" s="548" t="s">
        <v>537</v>
      </c>
      <c r="H289" s="717">
        <f>M272</f>
        <v>120</v>
      </c>
      <c r="I289" s="713"/>
      <c r="J289" s="713">
        <f>((H289-I288)/(I290-I288)*(K290-K288)+K288)</f>
        <v>-1.1600000000000001</v>
      </c>
      <c r="K289" s="713"/>
    </row>
    <row r="290" spans="1:25" ht="14.5" x14ac:dyDescent="0.25">
      <c r="A290" s="550" t="s">
        <v>684</v>
      </c>
      <c r="B290" s="549">
        <f>B284</f>
        <v>2022</v>
      </c>
      <c r="C290" s="549">
        <f>C284</f>
        <v>2020</v>
      </c>
      <c r="D290" s="549" t="str">
        <f>D284</f>
        <v>-</v>
      </c>
      <c r="E290" s="548"/>
      <c r="F290" s="548"/>
      <c r="H290" s="715"/>
      <c r="I290" s="713">
        <f>IF(H289&lt;=$A$278,$A$278,IF(H289&lt;=$A$279,$A$279,IF(H289&lt;=$A$280,$A$280,IF(H289&lt;=$A$281,$A$281,$A$282))))</f>
        <v>200</v>
      </c>
      <c r="J290" s="713"/>
      <c r="K290" s="713">
        <f>IF(H289&lt;=$A$278,$B$278,IF(H289&lt;=$A$279,$B$279,IF(H289&lt;=$A$280,$B$280,IF(H289&lt;=$A$281,$B$281,$B$282))))</f>
        <v>-8.1999999999999993</v>
      </c>
    </row>
    <row r="291" spans="1:25" ht="14" x14ac:dyDescent="0.25">
      <c r="A291" s="547">
        <f>VLOOKUP($A$265,$K$212:$Q$223,2,(FALSE))</f>
        <v>0.1</v>
      </c>
      <c r="B291" s="716">
        <f>VLOOKUP($A$265,$K$212:$Q$223,3,(FALSE))</f>
        <v>-1E-3</v>
      </c>
      <c r="C291" s="716">
        <f>VLOOKUP($A$265,$K$212:$Q$223,4,(FALSE))</f>
        <v>-1E-3</v>
      </c>
      <c r="D291" s="716">
        <f>VLOOKUP($A$265,$K$212:$Q$223,5,(FALSE))</f>
        <v>0</v>
      </c>
      <c r="E291" s="716">
        <f>VLOOKUP($A$265,$K$212:$Q$223,6,(FALSE))</f>
        <v>0</v>
      </c>
      <c r="F291" s="716">
        <f>VLOOKUP($A$265,$K$212:$Q$223,7,(FALSE))</f>
        <v>1.2000000000000001E-3</v>
      </c>
      <c r="H291" s="848" t="s">
        <v>537</v>
      </c>
      <c r="I291" s="848"/>
      <c r="J291" s="848"/>
      <c r="K291" s="848"/>
    </row>
    <row r="292" spans="1:25" ht="14" x14ac:dyDescent="0.25">
      <c r="A292" s="547">
        <f>VLOOKUP($A$265,$K$225:$Q$236,2,(FALSE))</f>
        <v>0.5</v>
      </c>
      <c r="B292" s="716">
        <f>VLOOKUP($A$265,$K$225:$Q$236,3,(FALSE))</f>
        <v>4.0000000000000001E-3</v>
      </c>
      <c r="C292" s="716">
        <f>VLOOKUP($A$265,$K$225:$Q$236,4,(FALSE))</f>
        <v>-3.0000000000000001E-3</v>
      </c>
      <c r="D292" s="716">
        <f>VLOOKUP($A$265,$K$225:$Q$236,5,(FALSE))</f>
        <v>0</v>
      </c>
      <c r="E292" s="716">
        <f>VLOOKUP($A$265,$K$225:$Q$236,6,(FALSE))</f>
        <v>3.5000000000000001E-3</v>
      </c>
      <c r="F292" s="716">
        <f>VLOOKUP($A$265,$K$225:$Q$236,7,(FALSE))</f>
        <v>6.0000000000000001E-3</v>
      </c>
      <c r="H292" s="715"/>
      <c r="I292" s="714">
        <f>IF($H$273&lt;=$A$270,A269,IF($H$273&lt;=$A$271,A270,IF($H$273&lt;=$A$272,A271,IF($H$273&lt;=$A$273,A272,IF($H$273&lt;=$A$274,A273,A274)))))</f>
        <v>220</v>
      </c>
      <c r="J292" s="713"/>
      <c r="K292" s="713">
        <f>IF($H$273&lt;=$A$270,F269,IF($H$273&lt;=$A$271,F270,IF($H$273&lt;=$A$272,F271,IF($H$273&lt;=$A$273,F272,IF($H$273&lt;=$A$274,F273,F274)))))</f>
        <v>2.64</v>
      </c>
    </row>
    <row r="293" spans="1:25" ht="15.75" customHeight="1" x14ac:dyDescent="0.25">
      <c r="A293" s="547">
        <f>VLOOKUP($A$265,$K$238:$Q$249,2,(FALSE))</f>
        <v>1</v>
      </c>
      <c r="B293" s="716">
        <f>VLOOKUP($A$265,$K$238:$Q$249,3,(FALSE))</f>
        <v>5.0000000000000001E-3</v>
      </c>
      <c r="C293" s="716">
        <f>VLOOKUP($A$265,$K$238:$Q$249,4,(FALSE))</f>
        <v>1E-3</v>
      </c>
      <c r="D293" s="716">
        <f>VLOOKUP($A$265,$K$238:$Q$249,5,(FALSE))</f>
        <v>0</v>
      </c>
      <c r="E293" s="716">
        <f>VLOOKUP($A$265,$K$238:$Q$249,6,(FALSE))</f>
        <v>2E-3</v>
      </c>
      <c r="F293" s="716">
        <f>VLOOKUP($A$265,$K$238:$Q$249,7,(FALSE))</f>
        <v>1.2E-2</v>
      </c>
      <c r="H293" s="717">
        <f>N268</f>
        <v>225.64580000000001</v>
      </c>
      <c r="I293" s="713"/>
      <c r="J293" s="713">
        <f>((H293-I292)/(I294-I292)*(K294-K292)+K292)</f>
        <v>2.7077496000000001</v>
      </c>
      <c r="K293" s="713"/>
    </row>
    <row r="294" spans="1:25" ht="14" x14ac:dyDescent="0.25">
      <c r="A294" s="547">
        <f>VLOOKUP($A$265,$K$251:$Q$262,2,(FALSE))</f>
        <v>2</v>
      </c>
      <c r="B294" s="716">
        <f>VLOOKUP($A$265,$K$251:$Q$262,3,(FALSE))</f>
        <v>5.0000000000000001E-3</v>
      </c>
      <c r="C294" s="716">
        <f>VLOOKUP($A$265,$K$251:$Q$262,4,(FALSE))</f>
        <v>-1E-3</v>
      </c>
      <c r="D294" s="716">
        <f>VLOOKUP($A$265,$K$251:$Q$262,5,(FALSE))</f>
        <v>0</v>
      </c>
      <c r="E294" s="716">
        <f>VLOOKUP($A$265,$K$251:$Q$262,6,(FALSE))</f>
        <v>3.0000000000000001E-3</v>
      </c>
      <c r="F294" s="716">
        <f>VLOOKUP($A$265,$K$251:$Q$262,7,(FALSE))</f>
        <v>2.4E-2</v>
      </c>
      <c r="H294" s="715"/>
      <c r="I294" s="714">
        <f>IF($H$273&lt;=$A$270,A270,IF($H$273&lt;=$A$271,A271,IF($H$273&lt;=$A$272,A272,IF($H$273&lt;=$A$273,A273,IF($H$273&lt;=$A$274,A274,250)))))</f>
        <v>230</v>
      </c>
      <c r="J294" s="713"/>
      <c r="K294" s="713">
        <f>IF($H$273&lt;=$A$270,F270,IF($H$273&lt;=$A$271,F271,IF($H$273&lt;=$A$272,F272,IF($H$273&lt;=$A$273,F273,IF($H$273&lt;=$A$274,F274,C307)))))</f>
        <v>2.7600000000000002</v>
      </c>
    </row>
    <row r="297" spans="1:25" ht="13" thickBot="1" x14ac:dyDescent="0.3"/>
    <row r="298" spans="1:25" ht="14" x14ac:dyDescent="0.3">
      <c r="A298" s="708" t="str">
        <f>ID!B51</f>
        <v>Electrical Safety Analyzer, Merek : Fluke, Model : ESA 615, SN : 4669058</v>
      </c>
      <c r="B298" s="708"/>
      <c r="C298" s="708"/>
      <c r="D298" s="708"/>
      <c r="E298" s="708"/>
      <c r="F298" s="708"/>
      <c r="G298" s="708"/>
      <c r="H298" s="708"/>
      <c r="I298" s="708"/>
      <c r="J298" s="708"/>
      <c r="K298" s="708"/>
      <c r="L298" s="708"/>
      <c r="N298" s="849">
        <f>A311</f>
        <v>8</v>
      </c>
      <c r="O298" s="850"/>
      <c r="P298" s="850"/>
      <c r="Q298" s="850"/>
      <c r="R298" s="850"/>
      <c r="S298" s="850"/>
      <c r="T298" s="850"/>
      <c r="U298" s="850"/>
      <c r="V298" s="850"/>
      <c r="W298" s="850"/>
      <c r="X298" s="850"/>
      <c r="Y298" s="851"/>
    </row>
    <row r="299" spans="1:25" ht="14" x14ac:dyDescent="0.3">
      <c r="A299" s="708" t="s">
        <v>676</v>
      </c>
      <c r="B299" s="712"/>
      <c r="C299" s="710"/>
      <c r="D299" s="709"/>
      <c r="E299" s="709"/>
      <c r="F299" s="709"/>
      <c r="G299" s="709"/>
      <c r="H299" s="709"/>
      <c r="I299" s="711">
        <f>C5</f>
        <v>2020</v>
      </c>
      <c r="J299" s="704">
        <f>D5</f>
        <v>2019</v>
      </c>
      <c r="K299" s="704" t="str">
        <f>E5</f>
        <v>-</v>
      </c>
      <c r="L299" s="703">
        <v>1</v>
      </c>
      <c r="N299" s="543">
        <v>1</v>
      </c>
      <c r="O299" s="542" t="s">
        <v>680</v>
      </c>
      <c r="P299" s="545"/>
      <c r="Q299" s="545"/>
      <c r="R299" s="545"/>
      <c r="S299" s="545"/>
      <c r="T299" s="545"/>
      <c r="U299" s="545"/>
      <c r="V299" s="545"/>
      <c r="W299" s="545"/>
      <c r="X299" s="545"/>
      <c r="Y299" s="544"/>
    </row>
    <row r="300" spans="1:25" ht="14" x14ac:dyDescent="0.3">
      <c r="A300" s="708" t="s">
        <v>677</v>
      </c>
      <c r="B300" s="712"/>
      <c r="C300" s="710"/>
      <c r="D300" s="709"/>
      <c r="E300" s="709"/>
      <c r="F300" s="709"/>
      <c r="G300" s="709"/>
      <c r="H300" s="709"/>
      <c r="I300" s="711">
        <f>J5</f>
        <v>2019</v>
      </c>
      <c r="J300" s="704">
        <f>K5</f>
        <v>2017</v>
      </c>
      <c r="K300" s="704" t="str">
        <f>L5</f>
        <v>-</v>
      </c>
      <c r="L300" s="703">
        <v>2</v>
      </c>
      <c r="N300" s="543">
        <v>2</v>
      </c>
      <c r="O300" s="542" t="s">
        <v>680</v>
      </c>
      <c r="P300" s="545"/>
      <c r="Q300" s="545"/>
      <c r="R300" s="545"/>
      <c r="S300" s="545"/>
      <c r="T300" s="545"/>
      <c r="U300" s="545"/>
      <c r="V300" s="545"/>
      <c r="W300" s="545"/>
      <c r="X300" s="545"/>
      <c r="Y300" s="544"/>
    </row>
    <row r="301" spans="1:25" ht="14" x14ac:dyDescent="0.3">
      <c r="A301" s="708" t="s">
        <v>557</v>
      </c>
      <c r="B301" s="712"/>
      <c r="C301" s="710"/>
      <c r="D301" s="709"/>
      <c r="E301" s="709"/>
      <c r="F301" s="709"/>
      <c r="G301" s="709"/>
      <c r="H301" s="709"/>
      <c r="I301" s="711">
        <f>Q5</f>
        <v>2022</v>
      </c>
      <c r="J301" s="704">
        <f>R5</f>
        <v>2021</v>
      </c>
      <c r="K301" s="704">
        <f>S5</f>
        <v>2018</v>
      </c>
      <c r="L301" s="703">
        <v>3</v>
      </c>
      <c r="N301" s="543">
        <v>3</v>
      </c>
      <c r="O301" s="542" t="s">
        <v>680</v>
      </c>
      <c r="P301" s="545"/>
      <c r="Q301" s="545"/>
      <c r="R301" s="545"/>
      <c r="S301" s="545"/>
      <c r="T301" s="545"/>
      <c r="U301" s="545"/>
      <c r="V301" s="545"/>
      <c r="W301" s="545"/>
      <c r="X301" s="545"/>
      <c r="Y301" s="544"/>
    </row>
    <row r="302" spans="1:25" ht="14" x14ac:dyDescent="0.3">
      <c r="A302" s="708" t="s">
        <v>678</v>
      </c>
      <c r="B302" s="712"/>
      <c r="C302" s="710"/>
      <c r="D302" s="709"/>
      <c r="E302" s="709"/>
      <c r="F302" s="709"/>
      <c r="G302" s="709"/>
      <c r="H302" s="709"/>
      <c r="I302" s="711">
        <f>C36</f>
        <v>2021</v>
      </c>
      <c r="J302" s="704">
        <f>D36</f>
        <v>2019</v>
      </c>
      <c r="K302" s="704" t="str">
        <f>E36</f>
        <v>-</v>
      </c>
      <c r="L302" s="703">
        <v>4</v>
      </c>
      <c r="N302" s="543">
        <v>4</v>
      </c>
      <c r="O302" s="542" t="s">
        <v>680</v>
      </c>
      <c r="P302" s="545"/>
      <c r="Q302" s="545"/>
      <c r="R302" s="545"/>
      <c r="S302" s="545"/>
      <c r="T302" s="545"/>
      <c r="U302" s="545"/>
      <c r="V302" s="545"/>
      <c r="W302" s="545"/>
      <c r="X302" s="545"/>
      <c r="Y302" s="544"/>
    </row>
    <row r="303" spans="1:25" ht="14" x14ac:dyDescent="0.3">
      <c r="A303" s="708" t="s">
        <v>679</v>
      </c>
      <c r="B303" s="710"/>
      <c r="C303" s="710"/>
      <c r="D303" s="709"/>
      <c r="E303" s="709"/>
      <c r="F303" s="709"/>
      <c r="G303" s="709"/>
      <c r="H303" s="709"/>
      <c r="I303" s="711">
        <f>J36</f>
        <v>2021</v>
      </c>
      <c r="J303" s="704">
        <f>K36</f>
        <v>2019</v>
      </c>
      <c r="K303" s="704" t="str">
        <f>L36</f>
        <v>-</v>
      </c>
      <c r="L303" s="703">
        <v>5</v>
      </c>
      <c r="N303" s="543">
        <v>5</v>
      </c>
      <c r="O303" s="542" t="s">
        <v>680</v>
      </c>
      <c r="P303" s="545"/>
      <c r="Q303" s="545"/>
      <c r="R303" s="545"/>
      <c r="S303" s="545"/>
      <c r="T303" s="545"/>
      <c r="U303" s="545"/>
      <c r="V303" s="545"/>
      <c r="W303" s="545"/>
      <c r="X303" s="545"/>
      <c r="Y303" s="544"/>
    </row>
    <row r="304" spans="1:25" ht="14" x14ac:dyDescent="0.3">
      <c r="A304" s="708" t="s">
        <v>558</v>
      </c>
      <c r="B304" s="710"/>
      <c r="C304" s="710"/>
      <c r="D304" s="709"/>
      <c r="E304" s="709"/>
      <c r="F304" s="709"/>
      <c r="G304" s="709"/>
      <c r="H304" s="709"/>
      <c r="I304" s="711">
        <f>Q36</f>
        <v>2019</v>
      </c>
      <c r="J304" s="704">
        <f>R36</f>
        <v>2018</v>
      </c>
      <c r="K304" s="704" t="str">
        <f>S36</f>
        <v>-</v>
      </c>
      <c r="L304" s="703">
        <v>6</v>
      </c>
      <c r="N304" s="543">
        <v>6</v>
      </c>
      <c r="O304" s="542" t="s">
        <v>680</v>
      </c>
      <c r="P304" s="545"/>
      <c r="Q304" s="545"/>
      <c r="R304" s="545"/>
      <c r="S304" s="545"/>
      <c r="T304" s="545"/>
      <c r="U304" s="545"/>
      <c r="V304" s="545"/>
      <c r="W304" s="545"/>
      <c r="X304" s="545"/>
      <c r="Y304" s="544"/>
    </row>
    <row r="305" spans="1:25" ht="14" x14ac:dyDescent="0.3">
      <c r="A305" s="708" t="s">
        <v>559</v>
      </c>
      <c r="B305" s="710"/>
      <c r="C305" s="710"/>
      <c r="D305" s="709"/>
      <c r="E305" s="709"/>
      <c r="F305" s="709"/>
      <c r="G305" s="709"/>
      <c r="H305" s="709"/>
      <c r="I305" s="711">
        <f>C67</f>
        <v>2020</v>
      </c>
      <c r="J305" s="704">
        <f>D67</f>
        <v>2018</v>
      </c>
      <c r="K305" s="704" t="str">
        <f>E67</f>
        <v>-</v>
      </c>
      <c r="L305" s="703">
        <v>7</v>
      </c>
      <c r="N305" s="543">
        <v>7</v>
      </c>
      <c r="O305" s="542" t="s">
        <v>680</v>
      </c>
      <c r="P305" s="545"/>
      <c r="Q305" s="545"/>
      <c r="R305" s="545"/>
      <c r="S305" s="545"/>
      <c r="T305" s="545"/>
      <c r="U305" s="545"/>
      <c r="V305" s="545"/>
      <c r="W305" s="545"/>
      <c r="X305" s="545"/>
      <c r="Y305" s="544"/>
    </row>
    <row r="306" spans="1:25" ht="14" x14ac:dyDescent="0.3">
      <c r="A306" s="708" t="s">
        <v>191</v>
      </c>
      <c r="B306" s="710"/>
      <c r="C306" s="710"/>
      <c r="D306" s="709"/>
      <c r="E306" s="709"/>
      <c r="F306" s="709"/>
      <c r="G306" s="709"/>
      <c r="H306" s="709"/>
      <c r="I306" s="705">
        <f>J67</f>
        <v>2022</v>
      </c>
      <c r="J306" s="704">
        <f>K67</f>
        <v>2020</v>
      </c>
      <c r="K306" s="704" t="str">
        <f>L67</f>
        <v>-</v>
      </c>
      <c r="L306" s="703">
        <v>8</v>
      </c>
      <c r="N306" s="543">
        <v>8</v>
      </c>
      <c r="O306" s="542" t="s">
        <v>680</v>
      </c>
      <c r="P306" s="545"/>
      <c r="Q306" s="545"/>
      <c r="R306" s="545"/>
      <c r="S306" s="545"/>
      <c r="T306" s="545"/>
      <c r="U306" s="545"/>
      <c r="V306" s="545"/>
      <c r="W306" s="545"/>
      <c r="X306" s="545"/>
      <c r="Y306" s="544"/>
    </row>
    <row r="307" spans="1:25" ht="14" x14ac:dyDescent="0.3">
      <c r="A307" s="708" t="s">
        <v>560</v>
      </c>
      <c r="B307" s="710"/>
      <c r="C307" s="710"/>
      <c r="D307" s="709"/>
      <c r="E307" s="709"/>
      <c r="F307" s="709"/>
      <c r="G307" s="709"/>
      <c r="H307" s="709"/>
      <c r="I307" s="705">
        <f>Q67</f>
        <v>2020</v>
      </c>
      <c r="J307" s="704" t="str">
        <f>R67</f>
        <v>-</v>
      </c>
      <c r="K307" s="704" t="str">
        <f>S67</f>
        <v>-</v>
      </c>
      <c r="L307" s="703">
        <v>9</v>
      </c>
      <c r="N307" s="543">
        <v>9</v>
      </c>
      <c r="O307" s="542" t="s">
        <v>680</v>
      </c>
      <c r="P307" s="545"/>
      <c r="Q307" s="545"/>
      <c r="R307" s="545"/>
      <c r="S307" s="545"/>
      <c r="T307" s="545"/>
      <c r="U307" s="545"/>
      <c r="V307" s="545"/>
      <c r="W307" s="545"/>
      <c r="X307" s="545"/>
      <c r="Y307" s="544"/>
    </row>
    <row r="308" spans="1:25" ht="14" x14ac:dyDescent="0.3">
      <c r="A308" s="708" t="s">
        <v>683</v>
      </c>
      <c r="B308" s="707"/>
      <c r="C308" s="707"/>
      <c r="D308" s="706"/>
      <c r="E308" s="706"/>
      <c r="F308" s="706"/>
      <c r="G308" s="706"/>
      <c r="H308" s="706"/>
      <c r="I308" s="705" t="str">
        <f>C98</f>
        <v>-</v>
      </c>
      <c r="J308" s="704" t="str">
        <f>D98</f>
        <v>-</v>
      </c>
      <c r="K308" s="704" t="str">
        <f>E98</f>
        <v>-</v>
      </c>
      <c r="L308" s="703">
        <v>10</v>
      </c>
      <c r="N308" s="543">
        <v>10</v>
      </c>
      <c r="O308" s="542" t="s">
        <v>680</v>
      </c>
      <c r="P308" s="541"/>
      <c r="Q308" s="541"/>
      <c r="R308" s="541"/>
      <c r="S308" s="541"/>
      <c r="T308" s="541"/>
      <c r="U308" s="541"/>
      <c r="V308" s="541"/>
      <c r="W308" s="541"/>
      <c r="X308" s="541"/>
      <c r="Y308" s="540"/>
    </row>
    <row r="309" spans="1:25" ht="14" x14ac:dyDescent="0.3">
      <c r="A309" s="708" t="s">
        <v>682</v>
      </c>
      <c r="B309" s="707"/>
      <c r="C309" s="707"/>
      <c r="D309" s="706"/>
      <c r="E309" s="706"/>
      <c r="F309" s="706"/>
      <c r="G309" s="706"/>
      <c r="H309" s="706"/>
      <c r="I309" s="705" t="str">
        <f>J98</f>
        <v>-</v>
      </c>
      <c r="J309" s="704" t="str">
        <f>K98</f>
        <v>-</v>
      </c>
      <c r="K309" s="704" t="str">
        <f>L98</f>
        <v>-</v>
      </c>
      <c r="L309" s="703">
        <v>11</v>
      </c>
      <c r="N309" s="543">
        <v>11</v>
      </c>
      <c r="O309" s="542" t="s">
        <v>680</v>
      </c>
      <c r="P309" s="541"/>
      <c r="Q309" s="541"/>
      <c r="R309" s="541"/>
      <c r="S309" s="541"/>
      <c r="T309" s="541"/>
      <c r="U309" s="541"/>
      <c r="V309" s="541"/>
      <c r="W309" s="541"/>
      <c r="X309" s="541"/>
      <c r="Y309" s="540"/>
    </row>
    <row r="310" spans="1:25" ht="14" x14ac:dyDescent="0.3">
      <c r="A310" s="708" t="s">
        <v>681</v>
      </c>
      <c r="B310" s="707"/>
      <c r="C310" s="707"/>
      <c r="D310" s="706"/>
      <c r="E310" s="706"/>
      <c r="F310" s="706"/>
      <c r="G310" s="706"/>
      <c r="H310" s="706"/>
      <c r="I310" s="705" t="str">
        <f>Q98</f>
        <v>-</v>
      </c>
      <c r="J310" s="704" t="str">
        <f>R98</f>
        <v>-</v>
      </c>
      <c r="K310" s="704" t="str">
        <f>S98</f>
        <v>-</v>
      </c>
      <c r="L310" s="703">
        <v>12</v>
      </c>
      <c r="N310" s="543">
        <v>12</v>
      </c>
      <c r="O310" s="542" t="s">
        <v>680</v>
      </c>
      <c r="P310" s="541"/>
      <c r="Q310" s="541"/>
      <c r="R310" s="541"/>
      <c r="S310" s="541"/>
      <c r="T310" s="541"/>
      <c r="U310" s="541"/>
      <c r="V310" s="541"/>
      <c r="W310" s="541"/>
      <c r="X310" s="541"/>
      <c r="Y310" s="540"/>
    </row>
    <row r="311" spans="1:25" ht="13.5" thickBot="1" x14ac:dyDescent="0.35">
      <c r="A311" s="852">
        <f>VLOOKUP(A298,A299:L310,12,(FALSE))</f>
        <v>8</v>
      </c>
      <c r="B311" s="853"/>
      <c r="C311" s="853"/>
      <c r="D311" s="853"/>
      <c r="E311" s="853"/>
      <c r="F311" s="853"/>
      <c r="G311" s="853"/>
      <c r="H311" s="853"/>
      <c r="I311" s="853"/>
      <c r="J311" s="853"/>
      <c r="K311" s="853"/>
      <c r="L311" s="854"/>
      <c r="N311" s="539" t="str">
        <f>VLOOKUP(N298,N299:Y310,2,FALSE)</f>
        <v>Hasil pengukuran keselamatan listrik tertelusur ke Satuan Internasional ( SI ) melalui PT. Kaliman (LK-032-IDN)</v>
      </c>
      <c r="O311" s="538"/>
      <c r="P311" s="538"/>
      <c r="Q311" s="702"/>
      <c r="R311" s="702"/>
      <c r="S311" s="702"/>
      <c r="T311" s="702"/>
      <c r="U311" s="702"/>
      <c r="V311" s="702"/>
      <c r="W311" s="702"/>
      <c r="X311" s="702"/>
      <c r="Y311" s="701"/>
    </row>
  </sheetData>
  <sheetProtection formatCells="0" formatColumns="0" formatRows="0" insertColumns="0" insertRows="0" insertHyperlinks="0" deleteColumns="0" deleteRows="0" sort="0" autoFilter="0" pivotTables="0"/>
  <mergeCells count="240">
    <mergeCell ref="H287:K287"/>
    <mergeCell ref="A289:D289"/>
    <mergeCell ref="H291:K291"/>
    <mergeCell ref="N298:Y298"/>
    <mergeCell ref="A311:L311"/>
    <mergeCell ref="H271:K271"/>
    <mergeCell ref="A275:D275"/>
    <mergeCell ref="H275:K275"/>
    <mergeCell ref="H279:K279"/>
    <mergeCell ref="A283:D283"/>
    <mergeCell ref="M265:M267"/>
    <mergeCell ref="N265:N267"/>
    <mergeCell ref="H283:K283"/>
    <mergeCell ref="O265:O267"/>
    <mergeCell ref="A266:F266"/>
    <mergeCell ref="A267:D267"/>
    <mergeCell ref="E267:E268"/>
    <mergeCell ref="F267:F268"/>
    <mergeCell ref="H268:J268"/>
    <mergeCell ref="A251:A262"/>
    <mergeCell ref="J251:J262"/>
    <mergeCell ref="B265:F265"/>
    <mergeCell ref="H265:J265"/>
    <mergeCell ref="A196:A207"/>
    <mergeCell ref="J196:J207"/>
    <mergeCell ref="A209:A211"/>
    <mergeCell ref="B209:B211"/>
    <mergeCell ref="C209:H209"/>
    <mergeCell ref="J209:J211"/>
    <mergeCell ref="A212:A223"/>
    <mergeCell ref="J212:J223"/>
    <mergeCell ref="A225:A236"/>
    <mergeCell ref="J225:J236"/>
    <mergeCell ref="A238:A249"/>
    <mergeCell ref="J238:J249"/>
    <mergeCell ref="L209:Q209"/>
    <mergeCell ref="C210:F210"/>
    <mergeCell ref="L210:O210"/>
    <mergeCell ref="A131:A142"/>
    <mergeCell ref="J131:J142"/>
    <mergeCell ref="A144:A155"/>
    <mergeCell ref="J144:J155"/>
    <mergeCell ref="A157:A168"/>
    <mergeCell ref="J157:J168"/>
    <mergeCell ref="A170:A181"/>
    <mergeCell ref="J170:J181"/>
    <mergeCell ref="A183:A194"/>
    <mergeCell ref="J183:J194"/>
    <mergeCell ref="A128:A130"/>
    <mergeCell ref="B128:B130"/>
    <mergeCell ref="C128:H128"/>
    <mergeCell ref="J128:J130"/>
    <mergeCell ref="K209:K211"/>
    <mergeCell ref="K128:K130"/>
    <mergeCell ref="L128:O128"/>
    <mergeCell ref="C129:F129"/>
    <mergeCell ref="L129:O129"/>
    <mergeCell ref="A95:A124"/>
    <mergeCell ref="B95:G95"/>
    <mergeCell ref="H95:H124"/>
    <mergeCell ref="I95:N95"/>
    <mergeCell ref="B96:G96"/>
    <mergeCell ref="I96:N96"/>
    <mergeCell ref="A125:U125"/>
    <mergeCell ref="A126:U126"/>
    <mergeCell ref="P113:S113"/>
    <mergeCell ref="O95:O124"/>
    <mergeCell ref="P95:U95"/>
    <mergeCell ref="P96:U96"/>
    <mergeCell ref="P97:S97"/>
    <mergeCell ref="B97:E97"/>
    <mergeCell ref="F97:F98"/>
    <mergeCell ref="G97:G98"/>
    <mergeCell ref="I97:L97"/>
    <mergeCell ref="M119:M120"/>
    <mergeCell ref="B119:E119"/>
    <mergeCell ref="F119:F120"/>
    <mergeCell ref="G119:G120"/>
    <mergeCell ref="I119:L119"/>
    <mergeCell ref="M97:M98"/>
    <mergeCell ref="P105:S105"/>
    <mergeCell ref="B105:E105"/>
    <mergeCell ref="T97:T98"/>
    <mergeCell ref="U97:U98"/>
    <mergeCell ref="T113:T114"/>
    <mergeCell ref="U113:U114"/>
    <mergeCell ref="U74:U75"/>
    <mergeCell ref="N119:N120"/>
    <mergeCell ref="N97:N98"/>
    <mergeCell ref="T105:T106"/>
    <mergeCell ref="U105:U106"/>
    <mergeCell ref="T82:T83"/>
    <mergeCell ref="P119:S119"/>
    <mergeCell ref="T119:T120"/>
    <mergeCell ref="U119:U120"/>
    <mergeCell ref="F105:F106"/>
    <mergeCell ref="G105:G106"/>
    <mergeCell ref="I105:L105"/>
    <mergeCell ref="M105:M106"/>
    <mergeCell ref="N105:N106"/>
    <mergeCell ref="I113:L113"/>
    <mergeCell ref="M113:M114"/>
    <mergeCell ref="N113:N114"/>
    <mergeCell ref="B113:E113"/>
    <mergeCell ref="F113:F114"/>
    <mergeCell ref="G113:G114"/>
    <mergeCell ref="T88:T89"/>
    <mergeCell ref="U88:U89"/>
    <mergeCell ref="P74:S74"/>
    <mergeCell ref="T74:T75"/>
    <mergeCell ref="U57:U58"/>
    <mergeCell ref="A64:A93"/>
    <mergeCell ref="B64:G64"/>
    <mergeCell ref="H64:H93"/>
    <mergeCell ref="I64:N64"/>
    <mergeCell ref="O64:O93"/>
    <mergeCell ref="P64:U64"/>
    <mergeCell ref="B74:E74"/>
    <mergeCell ref="F74:F75"/>
    <mergeCell ref="G74:G75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P82:S82"/>
    <mergeCell ref="A33:A62"/>
    <mergeCell ref="I65:N65"/>
    <mergeCell ref="P65:U65"/>
    <mergeCell ref="B66:E66"/>
    <mergeCell ref="F66:F67"/>
    <mergeCell ref="I74:L74"/>
    <mergeCell ref="M74:M75"/>
    <mergeCell ref="N74:N75"/>
    <mergeCell ref="N82:N83"/>
    <mergeCell ref="F82:F83"/>
    <mergeCell ref="G82:G83"/>
    <mergeCell ref="I82:L82"/>
    <mergeCell ref="M82:M83"/>
    <mergeCell ref="G66:G67"/>
    <mergeCell ref="I66:L66"/>
    <mergeCell ref="U43:U44"/>
    <mergeCell ref="B65:G65"/>
    <mergeCell ref="B57:E57"/>
    <mergeCell ref="F57:F58"/>
    <mergeCell ref="G57:G58"/>
    <mergeCell ref="I57:L57"/>
    <mergeCell ref="M57:M58"/>
    <mergeCell ref="H33:H62"/>
    <mergeCell ref="M66:M67"/>
    <mergeCell ref="N66:N67"/>
    <mergeCell ref="P66:S66"/>
    <mergeCell ref="T66:T67"/>
    <mergeCell ref="U66:U67"/>
    <mergeCell ref="N51:N52"/>
    <mergeCell ref="N57:N58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F35:F36"/>
    <mergeCell ref="G35:G36"/>
    <mergeCell ref="I35:L35"/>
    <mergeCell ref="M35:M36"/>
    <mergeCell ref="N35:N36"/>
    <mergeCell ref="P35:S35"/>
    <mergeCell ref="M43:M44"/>
    <mergeCell ref="I33:N33"/>
    <mergeCell ref="O33:O62"/>
    <mergeCell ref="P33:U33"/>
    <mergeCell ref="B34:G34"/>
    <mergeCell ref="I34:N34"/>
    <mergeCell ref="P34:U34"/>
    <mergeCell ref="B35:E35"/>
    <mergeCell ref="N43:N44"/>
    <mergeCell ref="P43:S43"/>
    <mergeCell ref="T43:T44"/>
    <mergeCell ref="B33:G33"/>
    <mergeCell ref="T57:T58"/>
    <mergeCell ref="P57:S57"/>
    <mergeCell ref="B51:E51"/>
    <mergeCell ref="F51:F52"/>
    <mergeCell ref="G51:G52"/>
    <mergeCell ref="I51:L51"/>
    <mergeCell ref="M51:M52"/>
    <mergeCell ref="B20:E20"/>
    <mergeCell ref="F20:F21"/>
    <mergeCell ref="G20:G21"/>
    <mergeCell ref="I20:L20"/>
    <mergeCell ref="M20:M21"/>
    <mergeCell ref="N20:N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T20:T21"/>
    <mergeCell ref="U20:U21"/>
    <mergeCell ref="B26:E26"/>
    <mergeCell ref="F26:F27"/>
    <mergeCell ref="G26:G27"/>
    <mergeCell ref="I26:L26"/>
    <mergeCell ref="M26:M27"/>
    <mergeCell ref="N26:N27"/>
    <mergeCell ref="P4:S4"/>
    <mergeCell ref="T4:T5"/>
    <mergeCell ref="P26:S26"/>
    <mergeCell ref="T26:T27"/>
    <mergeCell ref="U26:U27"/>
    <mergeCell ref="M4:M5"/>
    <mergeCell ref="N4:N5"/>
    <mergeCell ref="T12:T13"/>
    <mergeCell ref="U12:U13"/>
    <mergeCell ref="P20:S20"/>
    <mergeCell ref="U4:U5"/>
    <mergeCell ref="P12:S12"/>
    <mergeCell ref="B12:E12"/>
    <mergeCell ref="F12:F13"/>
    <mergeCell ref="G12:G13"/>
    <mergeCell ref="I12:L12"/>
    <mergeCell ref="M12:M13"/>
    <mergeCell ref="N12:N13"/>
    <mergeCell ref="B4:E4"/>
    <mergeCell ref="F4:F5"/>
    <mergeCell ref="G4:G5"/>
    <mergeCell ref="I4:L4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EC37-0B89-4A38-B754-CA70A5359830}">
  <sheetPr>
    <tabColor rgb="FF00B0F0"/>
  </sheetPr>
  <dimension ref="A1:AL410"/>
  <sheetViews>
    <sheetView view="pageBreakPreview" topLeftCell="J375" zoomScaleNormal="100" zoomScaleSheetLayoutView="100" workbookViewId="0">
      <selection activeCell="T391" sqref="T391"/>
    </sheetView>
  </sheetViews>
  <sheetFormatPr defaultColWidth="8.7265625" defaultRowHeight="12.5" x14ac:dyDescent="0.25"/>
  <cols>
    <col min="1" max="1" width="9.453125" style="600" bestFit="1" customWidth="1"/>
    <col min="2" max="2" width="8.7265625" style="600"/>
    <col min="3" max="3" width="9.26953125" style="600" bestFit="1" customWidth="1"/>
    <col min="4" max="4" width="8.7265625" style="600"/>
    <col min="5" max="5" width="9.453125" style="600" bestFit="1" customWidth="1"/>
    <col min="6" max="6" width="8.7265625" style="600" customWidth="1"/>
    <col min="7" max="7" width="8.7265625" style="600"/>
    <col min="8" max="8" width="9.453125" style="600" bestFit="1" customWidth="1"/>
    <col min="9" max="17" width="8.7265625" style="600"/>
    <col min="18" max="18" width="10" style="600" bestFit="1" customWidth="1"/>
    <col min="19" max="19" width="8.7265625" style="600"/>
    <col min="20" max="20" width="11" style="600" customWidth="1"/>
    <col min="21" max="21" width="8.81640625" style="600" customWidth="1"/>
    <col min="22" max="16384" width="8.7265625" style="600"/>
  </cols>
  <sheetData>
    <row r="1" spans="1:24" ht="18.5" thickBot="1" x14ac:dyDescent="0.3">
      <c r="A1" s="870" t="s">
        <v>561</v>
      </c>
      <c r="B1" s="871"/>
      <c r="C1" s="871"/>
      <c r="D1" s="871"/>
      <c r="E1" s="871"/>
      <c r="F1" s="871"/>
      <c r="G1" s="871"/>
      <c r="H1" s="871"/>
      <c r="I1" s="871"/>
      <c r="J1" s="871"/>
      <c r="K1" s="871"/>
      <c r="L1" s="871"/>
      <c r="M1" s="871"/>
      <c r="N1" s="871"/>
      <c r="O1" s="871"/>
      <c r="P1" s="871"/>
      <c r="Q1" s="871"/>
      <c r="R1" s="871"/>
      <c r="S1" s="871"/>
      <c r="T1" s="871"/>
      <c r="U1" s="871"/>
    </row>
    <row r="2" spans="1:24" x14ac:dyDescent="0.25">
      <c r="A2" s="859">
        <v>1</v>
      </c>
      <c r="B2" s="858" t="s">
        <v>562</v>
      </c>
      <c r="C2" s="858"/>
      <c r="D2" s="858"/>
      <c r="E2" s="858"/>
      <c r="F2" s="858"/>
      <c r="G2" s="858"/>
      <c r="I2" s="858" t="str">
        <f>B2</f>
        <v>KOREKSI KIMO THERMOHYGROMETER 15062873</v>
      </c>
      <c r="J2" s="858"/>
      <c r="K2" s="858"/>
      <c r="L2" s="858"/>
      <c r="M2" s="858"/>
      <c r="N2" s="858"/>
      <c r="P2" s="858" t="str">
        <f>I2</f>
        <v>KOREKSI KIMO THERMOHYGROMETER 15062873</v>
      </c>
      <c r="Q2" s="858"/>
      <c r="R2" s="858"/>
      <c r="S2" s="858"/>
      <c r="T2" s="858"/>
      <c r="U2" s="858"/>
      <c r="W2" s="868" t="s">
        <v>537</v>
      </c>
      <c r="X2" s="869"/>
    </row>
    <row r="3" spans="1:24" ht="13" x14ac:dyDescent="0.25">
      <c r="A3" s="859"/>
      <c r="B3" s="857" t="s">
        <v>563</v>
      </c>
      <c r="C3" s="857"/>
      <c r="D3" s="857" t="s">
        <v>299</v>
      </c>
      <c r="E3" s="857"/>
      <c r="F3" s="857"/>
      <c r="G3" s="857" t="s">
        <v>564</v>
      </c>
      <c r="I3" s="857" t="s">
        <v>565</v>
      </c>
      <c r="J3" s="857"/>
      <c r="K3" s="857" t="s">
        <v>299</v>
      </c>
      <c r="L3" s="857"/>
      <c r="M3" s="857"/>
      <c r="N3" s="857" t="s">
        <v>564</v>
      </c>
      <c r="P3" s="857" t="s">
        <v>696</v>
      </c>
      <c r="Q3" s="857"/>
      <c r="R3" s="857" t="s">
        <v>299</v>
      </c>
      <c r="S3" s="857"/>
      <c r="T3" s="857"/>
      <c r="U3" s="857" t="s">
        <v>564</v>
      </c>
      <c r="W3" s="687" t="s">
        <v>563</v>
      </c>
      <c r="X3" s="686">
        <v>0.6</v>
      </c>
    </row>
    <row r="4" spans="1:24" ht="14.5" x14ac:dyDescent="0.25">
      <c r="A4" s="859"/>
      <c r="B4" s="855" t="s">
        <v>717</v>
      </c>
      <c r="C4" s="855"/>
      <c r="D4" s="688">
        <v>2020</v>
      </c>
      <c r="E4" s="688">
        <v>2017</v>
      </c>
      <c r="F4" s="689" t="s">
        <v>102</v>
      </c>
      <c r="G4" s="857"/>
      <c r="I4" s="856" t="s">
        <v>566</v>
      </c>
      <c r="J4" s="855"/>
      <c r="K4" s="688">
        <f>D4</f>
        <v>2020</v>
      </c>
      <c r="L4" s="688">
        <f>E4</f>
        <v>2017</v>
      </c>
      <c r="M4" s="688" t="str">
        <f>F4</f>
        <v>-</v>
      </c>
      <c r="N4" s="857"/>
      <c r="P4" s="856" t="s">
        <v>695</v>
      </c>
      <c r="Q4" s="855"/>
      <c r="R4" s="688">
        <f>K4</f>
        <v>2020</v>
      </c>
      <c r="S4" s="688">
        <f>L4</f>
        <v>2017</v>
      </c>
      <c r="T4" s="688" t="str">
        <f>M4</f>
        <v>-</v>
      </c>
      <c r="U4" s="857"/>
      <c r="W4" s="687" t="s">
        <v>566</v>
      </c>
      <c r="X4" s="686">
        <v>3.1</v>
      </c>
    </row>
    <row r="5" spans="1:24" ht="13" thickBot="1" x14ac:dyDescent="0.3">
      <c r="A5" s="859"/>
      <c r="B5" s="682">
        <v>1</v>
      </c>
      <c r="C5" s="683">
        <v>15</v>
      </c>
      <c r="D5" s="683">
        <v>-0.5</v>
      </c>
      <c r="E5" s="683">
        <v>0.3</v>
      </c>
      <c r="F5" s="679" t="s">
        <v>102</v>
      </c>
      <c r="G5" s="678">
        <f t="shared" ref="G5:G11" si="0">0.5*(MAX(D5:F5)-MIN(D5:F5))</f>
        <v>0.4</v>
      </c>
      <c r="I5" s="682">
        <v>1</v>
      </c>
      <c r="J5" s="683">
        <v>35</v>
      </c>
      <c r="K5" s="683">
        <v>-6</v>
      </c>
      <c r="L5" s="683">
        <v>-9.4</v>
      </c>
      <c r="M5" s="679" t="s">
        <v>102</v>
      </c>
      <c r="N5" s="678">
        <f t="shared" ref="N5:N11" si="1">0.5*(MAX(K5:M5)-MIN(K5:M5))</f>
        <v>1.7000000000000002</v>
      </c>
      <c r="P5" s="682">
        <v>1</v>
      </c>
      <c r="Q5" s="683">
        <v>750</v>
      </c>
      <c r="R5" s="679" t="s">
        <v>102</v>
      </c>
      <c r="S5" s="679" t="s">
        <v>102</v>
      </c>
      <c r="T5" s="679" t="s">
        <v>102</v>
      </c>
      <c r="U5" s="678">
        <f t="shared" ref="U5:U11" si="2">0.5*(MAX(R5:T5)-MIN(R5:T5))</f>
        <v>0</v>
      </c>
      <c r="W5" s="685" t="s">
        <v>695</v>
      </c>
      <c r="X5" s="684">
        <v>0</v>
      </c>
    </row>
    <row r="6" spans="1:24" x14ac:dyDescent="0.25">
      <c r="A6" s="859"/>
      <c r="B6" s="682">
        <v>2</v>
      </c>
      <c r="C6" s="683">
        <v>20</v>
      </c>
      <c r="D6" s="683">
        <v>-0.2</v>
      </c>
      <c r="E6" s="683">
        <v>0.2</v>
      </c>
      <c r="F6" s="679" t="s">
        <v>102</v>
      </c>
      <c r="G6" s="678">
        <f t="shared" si="0"/>
        <v>0.2</v>
      </c>
      <c r="I6" s="682">
        <v>2</v>
      </c>
      <c r="J6" s="683">
        <v>40</v>
      </c>
      <c r="K6" s="683">
        <v>-6</v>
      </c>
      <c r="L6" s="683">
        <v>-8.6</v>
      </c>
      <c r="M6" s="679" t="s">
        <v>102</v>
      </c>
      <c r="N6" s="678">
        <f t="shared" si="1"/>
        <v>1.2999999999999998</v>
      </c>
      <c r="P6" s="682">
        <v>2</v>
      </c>
      <c r="Q6" s="683">
        <v>800</v>
      </c>
      <c r="R6" s="679" t="s">
        <v>102</v>
      </c>
      <c r="S6" s="679" t="s">
        <v>102</v>
      </c>
      <c r="T6" s="679" t="s">
        <v>102</v>
      </c>
      <c r="U6" s="678">
        <f t="shared" si="2"/>
        <v>0</v>
      </c>
    </row>
    <row r="7" spans="1:24" x14ac:dyDescent="0.25">
      <c r="A7" s="859"/>
      <c r="B7" s="682">
        <v>3</v>
      </c>
      <c r="C7" s="683">
        <v>25</v>
      </c>
      <c r="D7" s="683">
        <v>9.9999999999999995E-7</v>
      </c>
      <c r="E7" s="683">
        <v>0.1</v>
      </c>
      <c r="F7" s="679" t="s">
        <v>102</v>
      </c>
      <c r="G7" s="678">
        <f t="shared" si="0"/>
        <v>4.9999500000000002E-2</v>
      </c>
      <c r="I7" s="682">
        <v>3</v>
      </c>
      <c r="J7" s="683">
        <v>50</v>
      </c>
      <c r="K7" s="683">
        <v>-5.8</v>
      </c>
      <c r="L7" s="683">
        <v>-7.2</v>
      </c>
      <c r="M7" s="679" t="s">
        <v>102</v>
      </c>
      <c r="N7" s="678">
        <f t="shared" si="1"/>
        <v>0.70000000000000018</v>
      </c>
      <c r="P7" s="682">
        <v>3</v>
      </c>
      <c r="Q7" s="683">
        <v>850</v>
      </c>
      <c r="R7" s="679" t="s">
        <v>102</v>
      </c>
      <c r="S7" s="679" t="s">
        <v>102</v>
      </c>
      <c r="T7" s="679" t="s">
        <v>102</v>
      </c>
      <c r="U7" s="678">
        <f t="shared" si="2"/>
        <v>0</v>
      </c>
    </row>
    <row r="8" spans="1:24" x14ac:dyDescent="0.25">
      <c r="A8" s="859"/>
      <c r="B8" s="682">
        <v>4</v>
      </c>
      <c r="C8" s="681">
        <v>30</v>
      </c>
      <c r="D8" s="680">
        <v>9.9999999999999995E-7</v>
      </c>
      <c r="E8" s="680">
        <v>-0.2</v>
      </c>
      <c r="F8" s="679" t="s">
        <v>102</v>
      </c>
      <c r="G8" s="678">
        <f t="shared" si="0"/>
        <v>0.10000050000000001</v>
      </c>
      <c r="I8" s="682">
        <v>4</v>
      </c>
      <c r="J8" s="681">
        <v>60</v>
      </c>
      <c r="K8" s="680">
        <v>-5.3</v>
      </c>
      <c r="L8" s="680">
        <v>-5.2</v>
      </c>
      <c r="M8" s="679" t="s">
        <v>102</v>
      </c>
      <c r="N8" s="678">
        <f t="shared" si="1"/>
        <v>4.9999999999999822E-2</v>
      </c>
      <c r="P8" s="682">
        <v>4</v>
      </c>
      <c r="Q8" s="681">
        <v>900</v>
      </c>
      <c r="R8" s="680" t="s">
        <v>102</v>
      </c>
      <c r="S8" s="679" t="s">
        <v>102</v>
      </c>
      <c r="T8" s="679" t="s">
        <v>102</v>
      </c>
      <c r="U8" s="678">
        <f t="shared" si="2"/>
        <v>0</v>
      </c>
    </row>
    <row r="9" spans="1:24" x14ac:dyDescent="0.25">
      <c r="A9" s="859"/>
      <c r="B9" s="682">
        <v>5</v>
      </c>
      <c r="C9" s="681">
        <v>35</v>
      </c>
      <c r="D9" s="680">
        <v>-0.1</v>
      </c>
      <c r="E9" s="680">
        <v>-0.5</v>
      </c>
      <c r="F9" s="679" t="s">
        <v>102</v>
      </c>
      <c r="G9" s="678">
        <f t="shared" si="0"/>
        <v>0.2</v>
      </c>
      <c r="I9" s="682">
        <v>5</v>
      </c>
      <c r="J9" s="681">
        <v>70</v>
      </c>
      <c r="K9" s="680">
        <v>-4.4000000000000004</v>
      </c>
      <c r="L9" s="680">
        <v>-2.6</v>
      </c>
      <c r="M9" s="679" t="s">
        <v>102</v>
      </c>
      <c r="N9" s="678">
        <f t="shared" si="1"/>
        <v>0.90000000000000013</v>
      </c>
      <c r="P9" s="682">
        <v>5</v>
      </c>
      <c r="Q9" s="681">
        <v>1000</v>
      </c>
      <c r="R9" s="680" t="s">
        <v>102</v>
      </c>
      <c r="S9" s="679" t="s">
        <v>102</v>
      </c>
      <c r="T9" s="679" t="s">
        <v>102</v>
      </c>
      <c r="U9" s="678">
        <f t="shared" si="2"/>
        <v>0</v>
      </c>
    </row>
    <row r="10" spans="1:24" x14ac:dyDescent="0.25">
      <c r="A10" s="859"/>
      <c r="B10" s="682">
        <v>6</v>
      </c>
      <c r="C10" s="681">
        <v>37</v>
      </c>
      <c r="D10" s="680">
        <v>-0.2</v>
      </c>
      <c r="E10" s="680">
        <v>-0.6</v>
      </c>
      <c r="F10" s="679" t="s">
        <v>102</v>
      </c>
      <c r="G10" s="678">
        <f t="shared" si="0"/>
        <v>0.19999999999999998</v>
      </c>
      <c r="I10" s="682">
        <v>6</v>
      </c>
      <c r="J10" s="681">
        <v>80</v>
      </c>
      <c r="K10" s="680">
        <v>-3.2</v>
      </c>
      <c r="L10" s="680">
        <v>0.7</v>
      </c>
      <c r="M10" s="679" t="s">
        <v>102</v>
      </c>
      <c r="N10" s="678">
        <f t="shared" si="1"/>
        <v>1.9500000000000002</v>
      </c>
      <c r="P10" s="682">
        <v>6</v>
      </c>
      <c r="Q10" s="681">
        <v>1005</v>
      </c>
      <c r="R10" s="680" t="s">
        <v>102</v>
      </c>
      <c r="S10" s="679" t="s">
        <v>102</v>
      </c>
      <c r="T10" s="679" t="s">
        <v>102</v>
      </c>
      <c r="U10" s="678">
        <f t="shared" si="2"/>
        <v>0</v>
      </c>
    </row>
    <row r="11" spans="1:24" ht="13" thickBot="1" x14ac:dyDescent="0.3">
      <c r="A11" s="859"/>
      <c r="B11" s="682">
        <v>7</v>
      </c>
      <c r="C11" s="681">
        <v>40</v>
      </c>
      <c r="D11" s="680">
        <v>-0.3</v>
      </c>
      <c r="E11" s="680">
        <v>-0.8</v>
      </c>
      <c r="F11" s="679" t="s">
        <v>102</v>
      </c>
      <c r="G11" s="678">
        <f t="shared" si="0"/>
        <v>0.25</v>
      </c>
      <c r="I11" s="682">
        <v>7</v>
      </c>
      <c r="J11" s="681">
        <v>90</v>
      </c>
      <c r="K11" s="680">
        <v>-1.6</v>
      </c>
      <c r="L11" s="680">
        <v>4.5</v>
      </c>
      <c r="M11" s="679" t="s">
        <v>102</v>
      </c>
      <c r="N11" s="678">
        <f t="shared" si="1"/>
        <v>3.05</v>
      </c>
      <c r="P11" s="682">
        <v>7</v>
      </c>
      <c r="Q11" s="681">
        <v>1020</v>
      </c>
      <c r="R11" s="680" t="s">
        <v>102</v>
      </c>
      <c r="S11" s="679" t="s">
        <v>102</v>
      </c>
      <c r="T11" s="679" t="s">
        <v>102</v>
      </c>
      <c r="U11" s="678">
        <f t="shared" si="2"/>
        <v>0</v>
      </c>
    </row>
    <row r="12" spans="1:24" ht="13.5" thickBot="1" x14ac:dyDescent="0.35">
      <c r="A12" s="700"/>
      <c r="B12" s="699"/>
      <c r="O12" s="698"/>
      <c r="P12" s="639"/>
    </row>
    <row r="13" spans="1:24" x14ac:dyDescent="0.25">
      <c r="A13" s="859">
        <v>2</v>
      </c>
      <c r="B13" s="858" t="s">
        <v>567</v>
      </c>
      <c r="C13" s="858"/>
      <c r="D13" s="858"/>
      <c r="E13" s="858"/>
      <c r="F13" s="858"/>
      <c r="G13" s="858"/>
      <c r="I13" s="858" t="str">
        <f>B13</f>
        <v>KOREKSI KIMO THERMOHYGROMETER 15062874</v>
      </c>
      <c r="J13" s="858"/>
      <c r="K13" s="858"/>
      <c r="L13" s="858"/>
      <c r="M13" s="858"/>
      <c r="N13" s="858"/>
      <c r="P13" s="858" t="str">
        <f>I13</f>
        <v>KOREKSI KIMO THERMOHYGROMETER 15062874</v>
      </c>
      <c r="Q13" s="858"/>
      <c r="R13" s="858"/>
      <c r="S13" s="858"/>
      <c r="T13" s="858"/>
      <c r="U13" s="858"/>
      <c r="W13" s="868" t="s">
        <v>537</v>
      </c>
      <c r="X13" s="869"/>
    </row>
    <row r="14" spans="1:24" ht="13" x14ac:dyDescent="0.25">
      <c r="A14" s="859"/>
      <c r="B14" s="857" t="s">
        <v>563</v>
      </c>
      <c r="C14" s="857"/>
      <c r="D14" s="857" t="s">
        <v>299</v>
      </c>
      <c r="E14" s="857"/>
      <c r="F14" s="857"/>
      <c r="G14" s="857" t="s">
        <v>564</v>
      </c>
      <c r="I14" s="857" t="s">
        <v>565</v>
      </c>
      <c r="J14" s="857"/>
      <c r="K14" s="857" t="s">
        <v>299</v>
      </c>
      <c r="L14" s="857"/>
      <c r="M14" s="857"/>
      <c r="N14" s="857" t="s">
        <v>564</v>
      </c>
      <c r="P14" s="857" t="s">
        <v>696</v>
      </c>
      <c r="Q14" s="857"/>
      <c r="R14" s="857" t="s">
        <v>299</v>
      </c>
      <c r="S14" s="857"/>
      <c r="T14" s="857"/>
      <c r="U14" s="857" t="s">
        <v>564</v>
      </c>
      <c r="W14" s="687" t="s">
        <v>563</v>
      </c>
      <c r="X14" s="686">
        <v>0.8</v>
      </c>
    </row>
    <row r="15" spans="1:24" ht="14.5" x14ac:dyDescent="0.25">
      <c r="A15" s="859"/>
      <c r="B15" s="855" t="s">
        <v>717</v>
      </c>
      <c r="C15" s="855"/>
      <c r="D15" s="688">
        <v>2021</v>
      </c>
      <c r="E15" s="688">
        <v>2018</v>
      </c>
      <c r="F15" s="689" t="s">
        <v>102</v>
      </c>
      <c r="G15" s="857"/>
      <c r="I15" s="856" t="s">
        <v>566</v>
      </c>
      <c r="J15" s="855"/>
      <c r="K15" s="688">
        <f>D15</f>
        <v>2021</v>
      </c>
      <c r="L15" s="688">
        <f>E15</f>
        <v>2018</v>
      </c>
      <c r="M15" s="688" t="str">
        <f>F15</f>
        <v>-</v>
      </c>
      <c r="N15" s="857"/>
      <c r="P15" s="856" t="s">
        <v>695</v>
      </c>
      <c r="Q15" s="855"/>
      <c r="R15" s="688">
        <f>K15</f>
        <v>2021</v>
      </c>
      <c r="S15" s="688">
        <f>L15</f>
        <v>2018</v>
      </c>
      <c r="T15" s="688" t="str">
        <f>M15</f>
        <v>-</v>
      </c>
      <c r="U15" s="857"/>
      <c r="W15" s="687" t="s">
        <v>566</v>
      </c>
      <c r="X15" s="686">
        <v>2.2000000000000002</v>
      </c>
    </row>
    <row r="16" spans="1:24" ht="13" thickBot="1" x14ac:dyDescent="0.3">
      <c r="A16" s="859"/>
      <c r="B16" s="682">
        <v>1</v>
      </c>
      <c r="C16" s="683">
        <v>15</v>
      </c>
      <c r="D16" s="683">
        <v>0.4</v>
      </c>
      <c r="E16" s="683">
        <v>9.9999999999999995E-7</v>
      </c>
      <c r="F16" s="679" t="s">
        <v>102</v>
      </c>
      <c r="G16" s="678">
        <f t="shared" ref="G16:G22" si="3">0.5*(MAX(D16:F16)-MIN(D16:F16))</f>
        <v>0.19999950000000002</v>
      </c>
      <c r="I16" s="682">
        <v>1</v>
      </c>
      <c r="J16" s="683">
        <v>35</v>
      </c>
      <c r="K16" s="683">
        <v>-6.9</v>
      </c>
      <c r="L16" s="683">
        <v>-1.6</v>
      </c>
      <c r="M16" s="679" t="s">
        <v>102</v>
      </c>
      <c r="N16" s="678">
        <f t="shared" ref="N16:N22" si="4">0.5*(MAX(K16:M16)-MIN(K16:M16))</f>
        <v>2.6500000000000004</v>
      </c>
      <c r="P16" s="682">
        <v>1</v>
      </c>
      <c r="Q16" s="683">
        <v>750</v>
      </c>
      <c r="R16" s="679" t="s">
        <v>102</v>
      </c>
      <c r="S16" s="679" t="s">
        <v>102</v>
      </c>
      <c r="T16" s="679" t="s">
        <v>102</v>
      </c>
      <c r="U16" s="678">
        <f t="shared" ref="U16:U22" si="5">0.5*(MAX(R16:T16)-MIN(R16:T16))</f>
        <v>0</v>
      </c>
      <c r="W16" s="685" t="s">
        <v>695</v>
      </c>
      <c r="X16" s="684">
        <v>0</v>
      </c>
    </row>
    <row r="17" spans="1:24" x14ac:dyDescent="0.25">
      <c r="A17" s="859"/>
      <c r="B17" s="682">
        <v>2</v>
      </c>
      <c r="C17" s="683">
        <v>20</v>
      </c>
      <c r="D17" s="683">
        <v>0.7</v>
      </c>
      <c r="E17" s="683">
        <v>-0.1</v>
      </c>
      <c r="F17" s="679" t="s">
        <v>102</v>
      </c>
      <c r="G17" s="678">
        <f t="shared" si="3"/>
        <v>0.39999999999999997</v>
      </c>
      <c r="I17" s="682">
        <v>2</v>
      </c>
      <c r="J17" s="683">
        <v>40</v>
      </c>
      <c r="K17" s="683">
        <v>-6.2</v>
      </c>
      <c r="L17" s="683">
        <v>-1.6</v>
      </c>
      <c r="M17" s="679" t="s">
        <v>102</v>
      </c>
      <c r="N17" s="678">
        <f t="shared" si="4"/>
        <v>2.2999999999999998</v>
      </c>
      <c r="P17" s="682">
        <v>2</v>
      </c>
      <c r="Q17" s="683">
        <v>800</v>
      </c>
      <c r="R17" s="679" t="s">
        <v>102</v>
      </c>
      <c r="S17" s="679" t="s">
        <v>102</v>
      </c>
      <c r="T17" s="679" t="s">
        <v>102</v>
      </c>
      <c r="U17" s="678">
        <f t="shared" si="5"/>
        <v>0</v>
      </c>
    </row>
    <row r="18" spans="1:24" x14ac:dyDescent="0.25">
      <c r="A18" s="859"/>
      <c r="B18" s="682">
        <v>3</v>
      </c>
      <c r="C18" s="683">
        <v>25</v>
      </c>
      <c r="D18" s="683">
        <v>0.5</v>
      </c>
      <c r="E18" s="683">
        <v>-0.2</v>
      </c>
      <c r="F18" s="679" t="s">
        <v>102</v>
      </c>
      <c r="G18" s="678">
        <f t="shared" si="3"/>
        <v>0.35</v>
      </c>
      <c r="I18" s="682">
        <v>3</v>
      </c>
      <c r="J18" s="683">
        <v>50</v>
      </c>
      <c r="K18" s="683">
        <v>-5.3</v>
      </c>
      <c r="L18" s="683">
        <v>-1.5</v>
      </c>
      <c r="M18" s="679" t="s">
        <v>102</v>
      </c>
      <c r="N18" s="678">
        <f t="shared" si="4"/>
        <v>1.9</v>
      </c>
      <c r="P18" s="682">
        <v>3</v>
      </c>
      <c r="Q18" s="683">
        <v>850</v>
      </c>
      <c r="R18" s="679" t="s">
        <v>102</v>
      </c>
      <c r="S18" s="679" t="s">
        <v>102</v>
      </c>
      <c r="T18" s="679" t="s">
        <v>102</v>
      </c>
      <c r="U18" s="678">
        <f t="shared" si="5"/>
        <v>0</v>
      </c>
    </row>
    <row r="19" spans="1:24" x14ac:dyDescent="0.25">
      <c r="A19" s="859"/>
      <c r="B19" s="682">
        <v>4</v>
      </c>
      <c r="C19" s="681">
        <v>30</v>
      </c>
      <c r="D19" s="680">
        <v>0.2</v>
      </c>
      <c r="E19" s="680">
        <v>-0.3</v>
      </c>
      <c r="F19" s="679" t="s">
        <v>102</v>
      </c>
      <c r="G19" s="678">
        <f t="shared" si="3"/>
        <v>0.25</v>
      </c>
      <c r="I19" s="682">
        <v>4</v>
      </c>
      <c r="J19" s="681">
        <v>60</v>
      </c>
      <c r="K19" s="680">
        <v>-4</v>
      </c>
      <c r="L19" s="680">
        <v>-1.3</v>
      </c>
      <c r="M19" s="679" t="s">
        <v>102</v>
      </c>
      <c r="N19" s="678">
        <f t="shared" si="4"/>
        <v>1.35</v>
      </c>
      <c r="P19" s="682">
        <v>4</v>
      </c>
      <c r="Q19" s="681">
        <v>900</v>
      </c>
      <c r="R19" s="680" t="s">
        <v>102</v>
      </c>
      <c r="S19" s="680" t="s">
        <v>102</v>
      </c>
      <c r="T19" s="679" t="s">
        <v>102</v>
      </c>
      <c r="U19" s="678">
        <f t="shared" si="5"/>
        <v>0</v>
      </c>
    </row>
    <row r="20" spans="1:24" x14ac:dyDescent="0.25">
      <c r="A20" s="859"/>
      <c r="B20" s="682">
        <v>5</v>
      </c>
      <c r="C20" s="681">
        <v>35</v>
      </c>
      <c r="D20" s="680">
        <v>-0.1</v>
      </c>
      <c r="E20" s="680">
        <v>-0.3</v>
      </c>
      <c r="F20" s="679" t="s">
        <v>102</v>
      </c>
      <c r="G20" s="678">
        <f t="shared" si="3"/>
        <v>9.9999999999999992E-2</v>
      </c>
      <c r="I20" s="682">
        <v>5</v>
      </c>
      <c r="J20" s="681">
        <v>70</v>
      </c>
      <c r="K20" s="680">
        <v>-2.4</v>
      </c>
      <c r="L20" s="680">
        <v>-1.1000000000000001</v>
      </c>
      <c r="M20" s="679" t="s">
        <v>102</v>
      </c>
      <c r="N20" s="678">
        <f t="shared" si="4"/>
        <v>0.64999999999999991</v>
      </c>
      <c r="P20" s="682">
        <v>5</v>
      </c>
      <c r="Q20" s="681">
        <v>1000</v>
      </c>
      <c r="R20" s="680" t="s">
        <v>102</v>
      </c>
      <c r="S20" s="680" t="s">
        <v>102</v>
      </c>
      <c r="T20" s="679" t="s">
        <v>102</v>
      </c>
      <c r="U20" s="678">
        <f t="shared" si="5"/>
        <v>0</v>
      </c>
    </row>
    <row r="21" spans="1:24" x14ac:dyDescent="0.25">
      <c r="A21" s="859"/>
      <c r="B21" s="682">
        <v>6</v>
      </c>
      <c r="C21" s="681">
        <v>37</v>
      </c>
      <c r="D21" s="680">
        <v>-0.2</v>
      </c>
      <c r="E21" s="680">
        <v>-0.3</v>
      </c>
      <c r="F21" s="679" t="s">
        <v>102</v>
      </c>
      <c r="G21" s="678">
        <f t="shared" si="3"/>
        <v>4.9999999999999989E-2</v>
      </c>
      <c r="I21" s="682">
        <v>6</v>
      </c>
      <c r="J21" s="681">
        <v>80</v>
      </c>
      <c r="K21" s="680">
        <v>-0.5</v>
      </c>
      <c r="L21" s="680">
        <v>-0.7</v>
      </c>
      <c r="M21" s="679" t="s">
        <v>102</v>
      </c>
      <c r="N21" s="678">
        <f t="shared" si="4"/>
        <v>9.9999999999999978E-2</v>
      </c>
      <c r="P21" s="682">
        <v>6</v>
      </c>
      <c r="Q21" s="681">
        <v>1005</v>
      </c>
      <c r="R21" s="680" t="s">
        <v>102</v>
      </c>
      <c r="S21" s="680" t="s">
        <v>102</v>
      </c>
      <c r="T21" s="679" t="s">
        <v>102</v>
      </c>
      <c r="U21" s="678">
        <f t="shared" si="5"/>
        <v>0</v>
      </c>
    </row>
    <row r="22" spans="1:24" ht="13" thickBot="1" x14ac:dyDescent="0.3">
      <c r="A22" s="859"/>
      <c r="B22" s="682">
        <v>7</v>
      </c>
      <c r="C22" s="681">
        <v>40</v>
      </c>
      <c r="D22" s="680">
        <v>-0.1</v>
      </c>
      <c r="E22" s="680">
        <v>-0.3</v>
      </c>
      <c r="F22" s="679" t="s">
        <v>102</v>
      </c>
      <c r="G22" s="678">
        <f t="shared" si="3"/>
        <v>9.9999999999999992E-2</v>
      </c>
      <c r="I22" s="682">
        <v>7</v>
      </c>
      <c r="J22" s="681">
        <v>90</v>
      </c>
      <c r="K22" s="680">
        <v>1.7</v>
      </c>
      <c r="L22" s="680">
        <v>-0.3</v>
      </c>
      <c r="M22" s="679" t="s">
        <v>102</v>
      </c>
      <c r="N22" s="678">
        <f t="shared" si="4"/>
        <v>1</v>
      </c>
      <c r="P22" s="682">
        <v>7</v>
      </c>
      <c r="Q22" s="681">
        <v>1020</v>
      </c>
      <c r="R22" s="680" t="s">
        <v>102</v>
      </c>
      <c r="S22" s="680" t="s">
        <v>102</v>
      </c>
      <c r="T22" s="679" t="s">
        <v>102</v>
      </c>
      <c r="U22" s="678">
        <f t="shared" si="5"/>
        <v>0</v>
      </c>
    </row>
    <row r="23" spans="1:24" ht="13.5" thickBot="1" x14ac:dyDescent="0.35">
      <c r="A23" s="700"/>
      <c r="B23" s="699"/>
      <c r="O23" s="698"/>
      <c r="P23" s="639"/>
    </row>
    <row r="24" spans="1:24" x14ac:dyDescent="0.25">
      <c r="A24" s="865">
        <v>3</v>
      </c>
      <c r="B24" s="858" t="s">
        <v>568</v>
      </c>
      <c r="C24" s="858"/>
      <c r="D24" s="858"/>
      <c r="E24" s="858"/>
      <c r="F24" s="858"/>
      <c r="G24" s="858"/>
      <c r="I24" s="858" t="str">
        <f>B24</f>
        <v>KOREKSI KIMO THERMOHYGROMETER 14082463</v>
      </c>
      <c r="J24" s="858"/>
      <c r="K24" s="858"/>
      <c r="L24" s="858"/>
      <c r="M24" s="858"/>
      <c r="N24" s="858"/>
      <c r="P24" s="858" t="str">
        <f>I24</f>
        <v>KOREKSI KIMO THERMOHYGROMETER 14082463</v>
      </c>
      <c r="Q24" s="858"/>
      <c r="R24" s="858"/>
      <c r="S24" s="858"/>
      <c r="T24" s="858"/>
      <c r="U24" s="858"/>
      <c r="W24" s="868" t="s">
        <v>537</v>
      </c>
      <c r="X24" s="869"/>
    </row>
    <row r="25" spans="1:24" ht="13" x14ac:dyDescent="0.25">
      <c r="A25" s="866"/>
      <c r="B25" s="857" t="s">
        <v>563</v>
      </c>
      <c r="C25" s="857"/>
      <c r="D25" s="857" t="s">
        <v>299</v>
      </c>
      <c r="E25" s="857"/>
      <c r="F25" s="857"/>
      <c r="G25" s="857" t="s">
        <v>564</v>
      </c>
      <c r="I25" s="857" t="s">
        <v>565</v>
      </c>
      <c r="J25" s="857"/>
      <c r="K25" s="857" t="s">
        <v>299</v>
      </c>
      <c r="L25" s="857"/>
      <c r="M25" s="857"/>
      <c r="N25" s="857" t="s">
        <v>564</v>
      </c>
      <c r="P25" s="857" t="s">
        <v>696</v>
      </c>
      <c r="Q25" s="857"/>
      <c r="R25" s="857" t="s">
        <v>299</v>
      </c>
      <c r="S25" s="857"/>
      <c r="T25" s="857"/>
      <c r="U25" s="857" t="s">
        <v>564</v>
      </c>
      <c r="W25" s="687" t="s">
        <v>563</v>
      </c>
      <c r="X25" s="686">
        <v>0.5</v>
      </c>
    </row>
    <row r="26" spans="1:24" ht="14.5" x14ac:dyDescent="0.25">
      <c r="A26" s="866"/>
      <c r="B26" s="855" t="s">
        <v>717</v>
      </c>
      <c r="C26" s="855"/>
      <c r="D26" s="688">
        <v>2021</v>
      </c>
      <c r="E26" s="688">
        <v>2018</v>
      </c>
      <c r="F26" s="689" t="s">
        <v>102</v>
      </c>
      <c r="G26" s="857"/>
      <c r="I26" s="856" t="s">
        <v>566</v>
      </c>
      <c r="J26" s="855"/>
      <c r="K26" s="688">
        <f>D26</f>
        <v>2021</v>
      </c>
      <c r="L26" s="688">
        <f>E26</f>
        <v>2018</v>
      </c>
      <c r="M26" s="688" t="str">
        <f>F26</f>
        <v>-</v>
      </c>
      <c r="N26" s="857"/>
      <c r="P26" s="856" t="s">
        <v>695</v>
      </c>
      <c r="Q26" s="855"/>
      <c r="R26" s="688">
        <f>K26</f>
        <v>2021</v>
      </c>
      <c r="S26" s="688">
        <f>L26</f>
        <v>2018</v>
      </c>
      <c r="T26" s="688" t="str">
        <f>M26</f>
        <v>-</v>
      </c>
      <c r="U26" s="857"/>
      <c r="W26" s="687" t="s">
        <v>566</v>
      </c>
      <c r="X26" s="686">
        <v>3.1</v>
      </c>
    </row>
    <row r="27" spans="1:24" ht="13" thickBot="1" x14ac:dyDescent="0.3">
      <c r="A27" s="866"/>
      <c r="B27" s="682">
        <v>1</v>
      </c>
      <c r="C27" s="683">
        <v>15</v>
      </c>
      <c r="D27" s="683">
        <v>0.4</v>
      </c>
      <c r="E27" s="683">
        <v>9.9999999999999995E-7</v>
      </c>
      <c r="F27" s="679" t="s">
        <v>102</v>
      </c>
      <c r="G27" s="678">
        <f t="shared" ref="G27:G33" si="6">0.5*(MAX(D27:F27)-MIN(D27:F27))</f>
        <v>0.19999950000000002</v>
      </c>
      <c r="I27" s="682">
        <v>1</v>
      </c>
      <c r="J27" s="683">
        <v>30</v>
      </c>
      <c r="K27" s="683">
        <v>-7.3</v>
      </c>
      <c r="L27" s="683">
        <v>-5.7</v>
      </c>
      <c r="M27" s="679" t="s">
        <v>102</v>
      </c>
      <c r="N27" s="678">
        <f t="shared" ref="N27:N33" si="7">0.5*(MAX(K27:M27)-MIN(K27:M27))</f>
        <v>0.79999999999999982</v>
      </c>
      <c r="P27" s="682">
        <v>1</v>
      </c>
      <c r="Q27" s="683">
        <v>750</v>
      </c>
      <c r="R27" s="679" t="s">
        <v>102</v>
      </c>
      <c r="S27" s="679" t="s">
        <v>102</v>
      </c>
      <c r="T27" s="679" t="s">
        <v>102</v>
      </c>
      <c r="U27" s="678">
        <f t="shared" ref="U27:U33" si="8">0.5*(MAX(R27:T27)-MIN(R27:S27))</f>
        <v>0</v>
      </c>
      <c r="W27" s="685" t="s">
        <v>695</v>
      </c>
      <c r="X27" s="684">
        <v>0</v>
      </c>
    </row>
    <row r="28" spans="1:24" x14ac:dyDescent="0.25">
      <c r="A28" s="866"/>
      <c r="B28" s="682">
        <v>2</v>
      </c>
      <c r="C28" s="683">
        <v>20</v>
      </c>
      <c r="D28" s="683">
        <v>1</v>
      </c>
      <c r="E28" s="683">
        <v>9.9999999999999995E-7</v>
      </c>
      <c r="F28" s="679" t="s">
        <v>102</v>
      </c>
      <c r="G28" s="678">
        <f t="shared" si="6"/>
        <v>0.49999949999999999</v>
      </c>
      <c r="I28" s="682">
        <v>2</v>
      </c>
      <c r="J28" s="683">
        <v>40</v>
      </c>
      <c r="K28" s="683">
        <v>-5.9</v>
      </c>
      <c r="L28" s="683">
        <v>-5.3</v>
      </c>
      <c r="M28" s="679" t="s">
        <v>102</v>
      </c>
      <c r="N28" s="678">
        <f t="shared" si="7"/>
        <v>0.30000000000000027</v>
      </c>
      <c r="P28" s="682">
        <v>2</v>
      </c>
      <c r="Q28" s="683">
        <v>800</v>
      </c>
      <c r="R28" s="679" t="s">
        <v>102</v>
      </c>
      <c r="S28" s="679" t="s">
        <v>102</v>
      </c>
      <c r="T28" s="679" t="s">
        <v>102</v>
      </c>
      <c r="U28" s="678">
        <f t="shared" si="8"/>
        <v>0</v>
      </c>
    </row>
    <row r="29" spans="1:24" x14ac:dyDescent="0.25">
      <c r="A29" s="866"/>
      <c r="B29" s="682">
        <v>3</v>
      </c>
      <c r="C29" s="683">
        <v>25</v>
      </c>
      <c r="D29" s="683">
        <v>0.7</v>
      </c>
      <c r="E29" s="683">
        <v>-0.1</v>
      </c>
      <c r="F29" s="679" t="s">
        <v>102</v>
      </c>
      <c r="G29" s="678">
        <f t="shared" si="6"/>
        <v>0.39999999999999997</v>
      </c>
      <c r="I29" s="682">
        <v>3</v>
      </c>
      <c r="J29" s="683">
        <v>50</v>
      </c>
      <c r="K29" s="683">
        <v>-4.5</v>
      </c>
      <c r="L29" s="683">
        <v>-4.9000000000000004</v>
      </c>
      <c r="M29" s="679" t="s">
        <v>102</v>
      </c>
      <c r="N29" s="678">
        <f t="shared" si="7"/>
        <v>0.20000000000000018</v>
      </c>
      <c r="P29" s="682">
        <v>3</v>
      </c>
      <c r="Q29" s="683">
        <v>850</v>
      </c>
      <c r="R29" s="679" t="s">
        <v>102</v>
      </c>
      <c r="S29" s="679" t="s">
        <v>102</v>
      </c>
      <c r="T29" s="679" t="s">
        <v>102</v>
      </c>
      <c r="U29" s="678">
        <f t="shared" si="8"/>
        <v>0</v>
      </c>
    </row>
    <row r="30" spans="1:24" x14ac:dyDescent="0.25">
      <c r="A30" s="866"/>
      <c r="B30" s="682">
        <v>4</v>
      </c>
      <c r="C30" s="681">
        <v>30</v>
      </c>
      <c r="D30" s="680">
        <v>9.9999999999999995E-7</v>
      </c>
      <c r="E30" s="680">
        <v>-0.3</v>
      </c>
      <c r="F30" s="679" t="s">
        <v>102</v>
      </c>
      <c r="G30" s="678">
        <f t="shared" si="6"/>
        <v>0.15000049999999998</v>
      </c>
      <c r="I30" s="682">
        <v>4</v>
      </c>
      <c r="J30" s="681">
        <v>60</v>
      </c>
      <c r="K30" s="680">
        <v>-3.2</v>
      </c>
      <c r="L30" s="680">
        <v>-4.3</v>
      </c>
      <c r="M30" s="679" t="s">
        <v>102</v>
      </c>
      <c r="N30" s="678">
        <f t="shared" si="7"/>
        <v>0.54999999999999982</v>
      </c>
      <c r="P30" s="682">
        <v>4</v>
      </c>
      <c r="Q30" s="681">
        <v>900</v>
      </c>
      <c r="R30" s="680" t="s">
        <v>102</v>
      </c>
      <c r="S30" s="680" t="s">
        <v>102</v>
      </c>
      <c r="T30" s="679" t="s">
        <v>102</v>
      </c>
      <c r="U30" s="678">
        <f t="shared" si="8"/>
        <v>0</v>
      </c>
    </row>
    <row r="31" spans="1:24" x14ac:dyDescent="0.25">
      <c r="A31" s="866"/>
      <c r="B31" s="682">
        <v>5</v>
      </c>
      <c r="C31" s="681">
        <v>35</v>
      </c>
      <c r="D31" s="680">
        <v>-0.3</v>
      </c>
      <c r="E31" s="680">
        <v>-0.5</v>
      </c>
      <c r="F31" s="679" t="s">
        <v>102</v>
      </c>
      <c r="G31" s="678">
        <f t="shared" si="6"/>
        <v>0.1</v>
      </c>
      <c r="I31" s="682">
        <v>5</v>
      </c>
      <c r="J31" s="681">
        <v>70</v>
      </c>
      <c r="K31" s="680">
        <v>-2</v>
      </c>
      <c r="L31" s="680">
        <v>-3.6</v>
      </c>
      <c r="M31" s="679" t="s">
        <v>102</v>
      </c>
      <c r="N31" s="678">
        <f t="shared" si="7"/>
        <v>0.8</v>
      </c>
      <c r="P31" s="682">
        <v>5</v>
      </c>
      <c r="Q31" s="681">
        <v>1000</v>
      </c>
      <c r="R31" s="680" t="s">
        <v>102</v>
      </c>
      <c r="S31" s="680" t="s">
        <v>102</v>
      </c>
      <c r="T31" s="679" t="s">
        <v>102</v>
      </c>
      <c r="U31" s="678">
        <f t="shared" si="8"/>
        <v>0</v>
      </c>
    </row>
    <row r="32" spans="1:24" x14ac:dyDescent="0.25">
      <c r="A32" s="866"/>
      <c r="B32" s="682">
        <v>6</v>
      </c>
      <c r="C32" s="681">
        <v>37</v>
      </c>
      <c r="D32" s="680">
        <v>-0.2</v>
      </c>
      <c r="E32" s="680">
        <v>-0.6</v>
      </c>
      <c r="F32" s="679" t="s">
        <v>102</v>
      </c>
      <c r="G32" s="678">
        <f t="shared" si="6"/>
        <v>0.19999999999999998</v>
      </c>
      <c r="I32" s="682">
        <v>6</v>
      </c>
      <c r="J32" s="681">
        <v>80</v>
      </c>
      <c r="K32" s="680">
        <v>-0.8</v>
      </c>
      <c r="L32" s="680">
        <v>-2.9</v>
      </c>
      <c r="M32" s="679" t="s">
        <v>102</v>
      </c>
      <c r="N32" s="678">
        <f t="shared" si="7"/>
        <v>1.0499999999999998</v>
      </c>
      <c r="P32" s="682">
        <v>6</v>
      </c>
      <c r="Q32" s="681">
        <v>1005</v>
      </c>
      <c r="R32" s="680" t="s">
        <v>102</v>
      </c>
      <c r="S32" s="680" t="s">
        <v>102</v>
      </c>
      <c r="T32" s="679" t="s">
        <v>102</v>
      </c>
      <c r="U32" s="678">
        <f t="shared" si="8"/>
        <v>0</v>
      </c>
    </row>
    <row r="33" spans="1:24" ht="13" thickBot="1" x14ac:dyDescent="0.3">
      <c r="A33" s="867"/>
      <c r="B33" s="682">
        <v>7</v>
      </c>
      <c r="C33" s="681">
        <v>40</v>
      </c>
      <c r="D33" s="680">
        <v>0.2</v>
      </c>
      <c r="E33" s="680">
        <v>-0.7</v>
      </c>
      <c r="F33" s="679" t="s">
        <v>102</v>
      </c>
      <c r="G33" s="678">
        <f t="shared" si="6"/>
        <v>0.44999999999999996</v>
      </c>
      <c r="I33" s="682">
        <v>7</v>
      </c>
      <c r="J33" s="681">
        <v>90</v>
      </c>
      <c r="K33" s="680">
        <v>0.3</v>
      </c>
      <c r="L33" s="680">
        <v>-2</v>
      </c>
      <c r="M33" s="679" t="s">
        <v>102</v>
      </c>
      <c r="N33" s="678">
        <f t="shared" si="7"/>
        <v>1.1499999999999999</v>
      </c>
      <c r="P33" s="682">
        <v>7</v>
      </c>
      <c r="Q33" s="681">
        <v>1020</v>
      </c>
      <c r="R33" s="680" t="s">
        <v>102</v>
      </c>
      <c r="S33" s="680" t="s">
        <v>102</v>
      </c>
      <c r="T33" s="679" t="s">
        <v>102</v>
      </c>
      <c r="U33" s="678">
        <f t="shared" si="8"/>
        <v>0</v>
      </c>
    </row>
    <row r="34" spans="1:24" ht="13.5" thickBot="1" x14ac:dyDescent="0.35">
      <c r="A34" s="700"/>
      <c r="B34" s="699"/>
      <c r="H34" s="691"/>
      <c r="O34" s="698"/>
      <c r="P34" s="639"/>
    </row>
    <row r="35" spans="1:24" x14ac:dyDescent="0.25">
      <c r="A35" s="865">
        <v>4</v>
      </c>
      <c r="B35" s="858" t="s">
        <v>569</v>
      </c>
      <c r="C35" s="858"/>
      <c r="D35" s="858"/>
      <c r="E35" s="858"/>
      <c r="F35" s="858"/>
      <c r="G35" s="858"/>
      <c r="I35" s="858" t="str">
        <f>B35</f>
        <v>KOREKSI KIMO THERMOHYGROMETER 15062872</v>
      </c>
      <c r="J35" s="858"/>
      <c r="K35" s="858"/>
      <c r="L35" s="858"/>
      <c r="M35" s="858"/>
      <c r="N35" s="858"/>
      <c r="P35" s="858" t="str">
        <f>I35</f>
        <v>KOREKSI KIMO THERMOHYGROMETER 15062872</v>
      </c>
      <c r="Q35" s="858"/>
      <c r="R35" s="858"/>
      <c r="S35" s="858"/>
      <c r="T35" s="858"/>
      <c r="U35" s="858"/>
      <c r="W35" s="868" t="s">
        <v>537</v>
      </c>
      <c r="X35" s="869"/>
    </row>
    <row r="36" spans="1:24" ht="13" x14ac:dyDescent="0.25">
      <c r="A36" s="866"/>
      <c r="B36" s="857" t="s">
        <v>563</v>
      </c>
      <c r="C36" s="857"/>
      <c r="D36" s="857" t="s">
        <v>299</v>
      </c>
      <c r="E36" s="857"/>
      <c r="F36" s="857"/>
      <c r="G36" s="857" t="s">
        <v>564</v>
      </c>
      <c r="I36" s="857" t="s">
        <v>565</v>
      </c>
      <c r="J36" s="857"/>
      <c r="K36" s="857" t="s">
        <v>299</v>
      </c>
      <c r="L36" s="857"/>
      <c r="M36" s="857"/>
      <c r="N36" s="857" t="s">
        <v>564</v>
      </c>
      <c r="P36" s="857" t="s">
        <v>696</v>
      </c>
      <c r="Q36" s="857"/>
      <c r="R36" s="857" t="s">
        <v>299</v>
      </c>
      <c r="S36" s="857"/>
      <c r="T36" s="857"/>
      <c r="U36" s="857" t="s">
        <v>564</v>
      </c>
      <c r="W36" s="687" t="s">
        <v>563</v>
      </c>
      <c r="X36" s="686">
        <v>0.3</v>
      </c>
    </row>
    <row r="37" spans="1:24" ht="14.5" x14ac:dyDescent="0.25">
      <c r="A37" s="866"/>
      <c r="B37" s="855" t="s">
        <v>717</v>
      </c>
      <c r="C37" s="855"/>
      <c r="D37" s="688">
        <v>2019</v>
      </c>
      <c r="E37" s="688">
        <v>2017</v>
      </c>
      <c r="F37" s="689" t="s">
        <v>102</v>
      </c>
      <c r="G37" s="857"/>
      <c r="I37" s="856" t="s">
        <v>566</v>
      </c>
      <c r="J37" s="855"/>
      <c r="K37" s="688">
        <f>D37</f>
        <v>2019</v>
      </c>
      <c r="L37" s="688">
        <f>E37</f>
        <v>2017</v>
      </c>
      <c r="M37" s="688" t="str">
        <f>F37</f>
        <v>-</v>
      </c>
      <c r="N37" s="857"/>
      <c r="P37" s="856" t="s">
        <v>695</v>
      </c>
      <c r="Q37" s="855"/>
      <c r="R37" s="688">
        <f>K37</f>
        <v>2019</v>
      </c>
      <c r="S37" s="688">
        <f>L37</f>
        <v>2017</v>
      </c>
      <c r="T37" s="688" t="str">
        <f>M37</f>
        <v>-</v>
      </c>
      <c r="U37" s="857"/>
      <c r="W37" s="687" t="s">
        <v>566</v>
      </c>
      <c r="X37" s="686">
        <v>1.3</v>
      </c>
    </row>
    <row r="38" spans="1:24" ht="13" thickBot="1" x14ac:dyDescent="0.3">
      <c r="A38" s="866"/>
      <c r="B38" s="682">
        <v>1</v>
      </c>
      <c r="C38" s="683">
        <v>15</v>
      </c>
      <c r="D38" s="683">
        <v>-0.2</v>
      </c>
      <c r="E38" s="683">
        <v>-0.1</v>
      </c>
      <c r="F38" s="679" t="s">
        <v>102</v>
      </c>
      <c r="G38" s="678">
        <f t="shared" ref="G38:G44" si="9">0.5*(MAX(D38:F38)-MIN(D38:F38))</f>
        <v>0.05</v>
      </c>
      <c r="I38" s="682">
        <v>1</v>
      </c>
      <c r="J38" s="683">
        <v>35</v>
      </c>
      <c r="K38" s="683">
        <v>-4.5</v>
      </c>
      <c r="L38" s="683">
        <v>-1.7</v>
      </c>
      <c r="M38" s="679" t="s">
        <v>102</v>
      </c>
      <c r="N38" s="678">
        <f>0.5*(MAX(K38:M38)-MIN(K38:M38))</f>
        <v>1.4</v>
      </c>
      <c r="P38" s="682">
        <v>1</v>
      </c>
      <c r="Q38" s="683">
        <v>750</v>
      </c>
      <c r="R38" s="679" t="s">
        <v>102</v>
      </c>
      <c r="S38" s="679" t="s">
        <v>102</v>
      </c>
      <c r="T38" s="679" t="s">
        <v>102</v>
      </c>
      <c r="U38" s="678">
        <f t="shared" ref="U38:U44" si="10">0.5*(MAX(R38:T38)-MIN(R38:T38))</f>
        <v>0</v>
      </c>
      <c r="W38" s="685" t="s">
        <v>695</v>
      </c>
      <c r="X38" s="684">
        <v>0</v>
      </c>
    </row>
    <row r="39" spans="1:24" x14ac:dyDescent="0.25">
      <c r="A39" s="866"/>
      <c r="B39" s="682">
        <v>2</v>
      </c>
      <c r="C39" s="683">
        <v>20</v>
      </c>
      <c r="D39" s="683">
        <v>-0.1</v>
      </c>
      <c r="E39" s="683">
        <v>-0.3</v>
      </c>
      <c r="F39" s="679" t="s">
        <v>102</v>
      </c>
      <c r="G39" s="678">
        <f t="shared" si="9"/>
        <v>9.9999999999999992E-2</v>
      </c>
      <c r="I39" s="682">
        <v>2</v>
      </c>
      <c r="J39" s="683">
        <v>40</v>
      </c>
      <c r="K39" s="683">
        <v>-4.4000000000000004</v>
      </c>
      <c r="L39" s="683">
        <v>-1.5</v>
      </c>
      <c r="M39" s="679" t="s">
        <v>102</v>
      </c>
      <c r="N39" s="678">
        <f t="shared" ref="N39:N44" si="11">0.5*(MAX(K39:L39)-MIN(K39:L39))</f>
        <v>1.4500000000000002</v>
      </c>
      <c r="P39" s="682">
        <v>2</v>
      </c>
      <c r="Q39" s="683">
        <v>800</v>
      </c>
      <c r="R39" s="679" t="s">
        <v>102</v>
      </c>
      <c r="S39" s="679" t="s">
        <v>102</v>
      </c>
      <c r="T39" s="679" t="s">
        <v>102</v>
      </c>
      <c r="U39" s="678">
        <f t="shared" si="10"/>
        <v>0</v>
      </c>
    </row>
    <row r="40" spans="1:24" x14ac:dyDescent="0.25">
      <c r="A40" s="866"/>
      <c r="B40" s="682">
        <v>3</v>
      </c>
      <c r="C40" s="683">
        <v>25</v>
      </c>
      <c r="D40" s="683">
        <v>-0.1</v>
      </c>
      <c r="E40" s="683">
        <v>-0.5</v>
      </c>
      <c r="F40" s="679" t="s">
        <v>102</v>
      </c>
      <c r="G40" s="678">
        <f t="shared" si="9"/>
        <v>0.2</v>
      </c>
      <c r="I40" s="682">
        <v>3</v>
      </c>
      <c r="J40" s="683">
        <v>50</v>
      </c>
      <c r="K40" s="683">
        <v>-4.3</v>
      </c>
      <c r="L40" s="683">
        <v>-1</v>
      </c>
      <c r="M40" s="679" t="s">
        <v>102</v>
      </c>
      <c r="N40" s="678">
        <f t="shared" si="11"/>
        <v>1.65</v>
      </c>
      <c r="P40" s="682">
        <v>3</v>
      </c>
      <c r="Q40" s="683">
        <v>850</v>
      </c>
      <c r="R40" s="679" t="s">
        <v>102</v>
      </c>
      <c r="S40" s="679" t="s">
        <v>102</v>
      </c>
      <c r="T40" s="679" t="s">
        <v>102</v>
      </c>
      <c r="U40" s="678">
        <f t="shared" si="10"/>
        <v>0</v>
      </c>
    </row>
    <row r="41" spans="1:24" x14ac:dyDescent="0.25">
      <c r="A41" s="866"/>
      <c r="B41" s="682">
        <v>4</v>
      </c>
      <c r="C41" s="681">
        <v>30</v>
      </c>
      <c r="D41" s="680">
        <v>-0.1</v>
      </c>
      <c r="E41" s="680">
        <v>-0.6</v>
      </c>
      <c r="F41" s="679" t="s">
        <v>102</v>
      </c>
      <c r="G41" s="678">
        <f t="shared" si="9"/>
        <v>0.25</v>
      </c>
      <c r="I41" s="682">
        <v>4</v>
      </c>
      <c r="J41" s="681">
        <v>60</v>
      </c>
      <c r="K41" s="680">
        <v>-4.2</v>
      </c>
      <c r="L41" s="680">
        <v>-0.3</v>
      </c>
      <c r="M41" s="679" t="s">
        <v>102</v>
      </c>
      <c r="N41" s="678">
        <f t="shared" si="11"/>
        <v>1.9500000000000002</v>
      </c>
      <c r="P41" s="682">
        <v>4</v>
      </c>
      <c r="Q41" s="681">
        <v>900</v>
      </c>
      <c r="R41" s="680" t="s">
        <v>102</v>
      </c>
      <c r="S41" s="680" t="s">
        <v>102</v>
      </c>
      <c r="T41" s="679" t="s">
        <v>102</v>
      </c>
      <c r="U41" s="678">
        <f t="shared" si="10"/>
        <v>0</v>
      </c>
    </row>
    <row r="42" spans="1:24" x14ac:dyDescent="0.25">
      <c r="A42" s="866"/>
      <c r="B42" s="682">
        <v>5</v>
      </c>
      <c r="C42" s="681">
        <v>35</v>
      </c>
      <c r="D42" s="680">
        <v>-0.3</v>
      </c>
      <c r="E42" s="680">
        <v>-0.6</v>
      </c>
      <c r="F42" s="679" t="s">
        <v>102</v>
      </c>
      <c r="G42" s="678">
        <f t="shared" si="9"/>
        <v>0.15</v>
      </c>
      <c r="I42" s="682">
        <v>5</v>
      </c>
      <c r="J42" s="681">
        <v>70</v>
      </c>
      <c r="K42" s="680">
        <v>-4</v>
      </c>
      <c r="L42" s="680">
        <v>0.7</v>
      </c>
      <c r="M42" s="679" t="s">
        <v>102</v>
      </c>
      <c r="N42" s="678">
        <f t="shared" si="11"/>
        <v>2.35</v>
      </c>
      <c r="P42" s="682">
        <v>5</v>
      </c>
      <c r="Q42" s="681">
        <v>1000</v>
      </c>
      <c r="R42" s="680" t="s">
        <v>102</v>
      </c>
      <c r="S42" s="680" t="s">
        <v>102</v>
      </c>
      <c r="T42" s="679" t="s">
        <v>102</v>
      </c>
      <c r="U42" s="678">
        <f t="shared" si="10"/>
        <v>0</v>
      </c>
    </row>
    <row r="43" spans="1:24" x14ac:dyDescent="0.25">
      <c r="A43" s="866"/>
      <c r="B43" s="682">
        <v>6</v>
      </c>
      <c r="C43" s="681">
        <v>37</v>
      </c>
      <c r="D43" s="680">
        <v>-0.4</v>
      </c>
      <c r="E43" s="680">
        <v>-0.6</v>
      </c>
      <c r="F43" s="679" t="s">
        <v>102</v>
      </c>
      <c r="G43" s="678">
        <f t="shared" si="9"/>
        <v>9.9999999999999978E-2</v>
      </c>
      <c r="I43" s="682">
        <v>6</v>
      </c>
      <c r="J43" s="681">
        <v>80</v>
      </c>
      <c r="K43" s="680">
        <v>-3.8</v>
      </c>
      <c r="L43" s="680">
        <v>1.9</v>
      </c>
      <c r="M43" s="679" t="s">
        <v>102</v>
      </c>
      <c r="N43" s="678">
        <f t="shared" si="11"/>
        <v>2.8499999999999996</v>
      </c>
      <c r="P43" s="682">
        <v>6</v>
      </c>
      <c r="Q43" s="681">
        <v>1005</v>
      </c>
      <c r="R43" s="680" t="s">
        <v>102</v>
      </c>
      <c r="S43" s="680" t="s">
        <v>102</v>
      </c>
      <c r="T43" s="679" t="s">
        <v>102</v>
      </c>
      <c r="U43" s="678">
        <f t="shared" si="10"/>
        <v>0</v>
      </c>
    </row>
    <row r="44" spans="1:24" ht="13" thickBot="1" x14ac:dyDescent="0.3">
      <c r="A44" s="867"/>
      <c r="B44" s="682">
        <v>7</v>
      </c>
      <c r="C44" s="681">
        <v>40</v>
      </c>
      <c r="D44" s="680">
        <v>-0.5</v>
      </c>
      <c r="E44" s="680">
        <v>-0.6</v>
      </c>
      <c r="F44" s="679" t="s">
        <v>102</v>
      </c>
      <c r="G44" s="678">
        <f t="shared" si="9"/>
        <v>4.9999999999999989E-2</v>
      </c>
      <c r="I44" s="682">
        <v>7</v>
      </c>
      <c r="J44" s="681">
        <v>90</v>
      </c>
      <c r="K44" s="680">
        <v>-3.5</v>
      </c>
      <c r="L44" s="680">
        <v>3.3</v>
      </c>
      <c r="M44" s="679" t="s">
        <v>102</v>
      </c>
      <c r="N44" s="678">
        <f t="shared" si="11"/>
        <v>3.4</v>
      </c>
      <c r="P44" s="682">
        <v>7</v>
      </c>
      <c r="Q44" s="681">
        <v>1020</v>
      </c>
      <c r="R44" s="680" t="s">
        <v>102</v>
      </c>
      <c r="S44" s="680" t="s">
        <v>102</v>
      </c>
      <c r="T44" s="679" t="s">
        <v>102</v>
      </c>
      <c r="U44" s="678">
        <f t="shared" si="10"/>
        <v>0</v>
      </c>
    </row>
    <row r="45" spans="1:24" ht="13.5" thickBot="1" x14ac:dyDescent="0.35">
      <c r="A45" s="700"/>
      <c r="B45" s="699"/>
      <c r="O45" s="698"/>
      <c r="P45" s="639"/>
    </row>
    <row r="46" spans="1:24" x14ac:dyDescent="0.25">
      <c r="A46" s="865">
        <v>5</v>
      </c>
      <c r="B46" s="858" t="s">
        <v>570</v>
      </c>
      <c r="C46" s="858"/>
      <c r="D46" s="858"/>
      <c r="E46" s="858"/>
      <c r="F46" s="858"/>
      <c r="G46" s="858"/>
      <c r="I46" s="858" t="str">
        <f>B46</f>
        <v>KOREKSI KIMO THERMOHYGROMETER 15062875</v>
      </c>
      <c r="J46" s="858"/>
      <c r="K46" s="858"/>
      <c r="L46" s="858"/>
      <c r="M46" s="858"/>
      <c r="N46" s="858"/>
      <c r="P46" s="858" t="str">
        <f>I46</f>
        <v>KOREKSI KIMO THERMOHYGROMETER 15062875</v>
      </c>
      <c r="Q46" s="858"/>
      <c r="R46" s="858"/>
      <c r="S46" s="858"/>
      <c r="T46" s="858"/>
      <c r="U46" s="858"/>
      <c r="W46" s="868" t="s">
        <v>537</v>
      </c>
      <c r="X46" s="869"/>
    </row>
    <row r="47" spans="1:24" ht="13" x14ac:dyDescent="0.25">
      <c r="A47" s="866"/>
      <c r="B47" s="857" t="s">
        <v>563</v>
      </c>
      <c r="C47" s="857"/>
      <c r="D47" s="857" t="s">
        <v>299</v>
      </c>
      <c r="E47" s="857"/>
      <c r="F47" s="857"/>
      <c r="G47" s="857" t="s">
        <v>564</v>
      </c>
      <c r="I47" s="857" t="s">
        <v>565</v>
      </c>
      <c r="J47" s="857"/>
      <c r="K47" s="857" t="s">
        <v>299</v>
      </c>
      <c r="L47" s="857"/>
      <c r="M47" s="857"/>
      <c r="N47" s="857" t="s">
        <v>564</v>
      </c>
      <c r="P47" s="857" t="s">
        <v>696</v>
      </c>
      <c r="Q47" s="857"/>
      <c r="R47" s="857" t="s">
        <v>299</v>
      </c>
      <c r="S47" s="857"/>
      <c r="T47" s="857"/>
      <c r="U47" s="857" t="s">
        <v>564</v>
      </c>
      <c r="W47" s="687" t="s">
        <v>563</v>
      </c>
      <c r="X47" s="686">
        <v>0.4</v>
      </c>
    </row>
    <row r="48" spans="1:24" ht="14.5" x14ac:dyDescent="0.25">
      <c r="A48" s="866"/>
      <c r="B48" s="855" t="s">
        <v>717</v>
      </c>
      <c r="C48" s="855"/>
      <c r="D48" s="688">
        <v>2020</v>
      </c>
      <c r="E48" s="688">
        <v>2017</v>
      </c>
      <c r="F48" s="689" t="s">
        <v>102</v>
      </c>
      <c r="G48" s="857"/>
      <c r="I48" s="856" t="s">
        <v>566</v>
      </c>
      <c r="J48" s="855"/>
      <c r="K48" s="688">
        <f>D48</f>
        <v>2020</v>
      </c>
      <c r="L48" s="688">
        <f>E48</f>
        <v>2017</v>
      </c>
      <c r="M48" s="688" t="str">
        <f>F48</f>
        <v>-</v>
      </c>
      <c r="N48" s="857"/>
      <c r="P48" s="856" t="s">
        <v>695</v>
      </c>
      <c r="Q48" s="855"/>
      <c r="R48" s="688">
        <f>K48</f>
        <v>2020</v>
      </c>
      <c r="S48" s="688">
        <f>L48</f>
        <v>2017</v>
      </c>
      <c r="T48" s="688" t="str">
        <f>M48</f>
        <v>-</v>
      </c>
      <c r="U48" s="857"/>
      <c r="W48" s="687" t="s">
        <v>566</v>
      </c>
      <c r="X48" s="686">
        <v>2.8</v>
      </c>
    </row>
    <row r="49" spans="1:24" ht="13" thickBot="1" x14ac:dyDescent="0.3">
      <c r="A49" s="866"/>
      <c r="B49" s="682">
        <v>1</v>
      </c>
      <c r="C49" s="683">
        <v>15</v>
      </c>
      <c r="D49" s="683">
        <v>-0.3</v>
      </c>
      <c r="E49" s="683">
        <v>0.3</v>
      </c>
      <c r="F49" s="679" t="s">
        <v>102</v>
      </c>
      <c r="G49" s="678">
        <f t="shared" ref="G49:G55" si="12">0.5*(MAX(D49:F49)-MIN(D49:F49))</f>
        <v>0.3</v>
      </c>
      <c r="I49" s="682">
        <v>1</v>
      </c>
      <c r="J49" s="683">
        <v>35</v>
      </c>
      <c r="K49" s="683">
        <v>-7.7</v>
      </c>
      <c r="L49" s="683">
        <v>-9.6</v>
      </c>
      <c r="M49" s="679" t="s">
        <v>102</v>
      </c>
      <c r="N49" s="678">
        <f t="shared" ref="N49:N55" si="13">0.5*(MAX(K49:M49)-MIN(K49:M49))</f>
        <v>0.94999999999999973</v>
      </c>
      <c r="P49" s="682">
        <v>1</v>
      </c>
      <c r="Q49" s="683">
        <v>750</v>
      </c>
      <c r="R49" s="679" t="s">
        <v>102</v>
      </c>
      <c r="S49" s="679" t="s">
        <v>102</v>
      </c>
      <c r="T49" s="679" t="s">
        <v>102</v>
      </c>
      <c r="U49" s="678">
        <f t="shared" ref="U49:U55" si="14">0.5*(MAX(R49:T49)-MIN(R49:T49))</f>
        <v>0</v>
      </c>
      <c r="W49" s="685" t="s">
        <v>695</v>
      </c>
      <c r="X49" s="684">
        <v>0</v>
      </c>
    </row>
    <row r="50" spans="1:24" x14ac:dyDescent="0.25">
      <c r="A50" s="866"/>
      <c r="B50" s="682">
        <v>2</v>
      </c>
      <c r="C50" s="683">
        <v>20</v>
      </c>
      <c r="D50" s="683">
        <v>0.1</v>
      </c>
      <c r="E50" s="683">
        <v>0.3</v>
      </c>
      <c r="F50" s="679" t="s">
        <v>102</v>
      </c>
      <c r="G50" s="678">
        <f t="shared" si="12"/>
        <v>9.9999999999999992E-2</v>
      </c>
      <c r="I50" s="682">
        <v>2</v>
      </c>
      <c r="J50" s="683">
        <v>40</v>
      </c>
      <c r="K50" s="683">
        <v>-7.2</v>
      </c>
      <c r="L50" s="683">
        <v>-8</v>
      </c>
      <c r="M50" s="679" t="s">
        <v>102</v>
      </c>
      <c r="N50" s="678">
        <f t="shared" si="13"/>
        <v>0.39999999999999991</v>
      </c>
      <c r="P50" s="682">
        <v>2</v>
      </c>
      <c r="Q50" s="683">
        <v>800</v>
      </c>
      <c r="R50" s="679" t="s">
        <v>102</v>
      </c>
      <c r="S50" s="679" t="s">
        <v>102</v>
      </c>
      <c r="T50" s="679" t="s">
        <v>102</v>
      </c>
      <c r="U50" s="678">
        <f t="shared" si="14"/>
        <v>0</v>
      </c>
    </row>
    <row r="51" spans="1:24" x14ac:dyDescent="0.25">
      <c r="A51" s="866"/>
      <c r="B51" s="682">
        <v>3</v>
      </c>
      <c r="C51" s="683">
        <v>25</v>
      </c>
      <c r="D51" s="683">
        <v>0.4</v>
      </c>
      <c r="E51" s="683">
        <v>0.2</v>
      </c>
      <c r="F51" s="679" t="s">
        <v>102</v>
      </c>
      <c r="G51" s="678">
        <f t="shared" si="12"/>
        <v>0.1</v>
      </c>
      <c r="I51" s="682">
        <v>3</v>
      </c>
      <c r="J51" s="683">
        <v>50</v>
      </c>
      <c r="K51" s="683">
        <v>-6.2</v>
      </c>
      <c r="L51" s="683">
        <v>-6.2</v>
      </c>
      <c r="M51" s="679" t="s">
        <v>102</v>
      </c>
      <c r="N51" s="678">
        <f t="shared" si="13"/>
        <v>0</v>
      </c>
      <c r="P51" s="682">
        <v>3</v>
      </c>
      <c r="Q51" s="683">
        <v>850</v>
      </c>
      <c r="R51" s="679" t="s">
        <v>102</v>
      </c>
      <c r="S51" s="679" t="s">
        <v>102</v>
      </c>
      <c r="T51" s="679" t="s">
        <v>102</v>
      </c>
      <c r="U51" s="678">
        <f t="shared" si="14"/>
        <v>0</v>
      </c>
    </row>
    <row r="52" spans="1:24" x14ac:dyDescent="0.25">
      <c r="A52" s="866"/>
      <c r="B52" s="682">
        <v>4</v>
      </c>
      <c r="C52" s="681">
        <v>30</v>
      </c>
      <c r="D52" s="680">
        <v>0.6</v>
      </c>
      <c r="E52" s="680">
        <v>0.1</v>
      </c>
      <c r="F52" s="679" t="s">
        <v>102</v>
      </c>
      <c r="G52" s="678">
        <f t="shared" si="12"/>
        <v>0.25</v>
      </c>
      <c r="I52" s="682">
        <v>4</v>
      </c>
      <c r="J52" s="681">
        <v>60</v>
      </c>
      <c r="K52" s="680">
        <v>-5.2</v>
      </c>
      <c r="L52" s="680">
        <v>-4.2</v>
      </c>
      <c r="M52" s="679" t="s">
        <v>102</v>
      </c>
      <c r="N52" s="678">
        <f t="shared" si="13"/>
        <v>0.5</v>
      </c>
      <c r="P52" s="682">
        <v>4</v>
      </c>
      <c r="Q52" s="681">
        <v>900</v>
      </c>
      <c r="R52" s="680" t="s">
        <v>102</v>
      </c>
      <c r="S52" s="680" t="s">
        <v>102</v>
      </c>
      <c r="T52" s="679" t="s">
        <v>102</v>
      </c>
      <c r="U52" s="678">
        <f t="shared" si="14"/>
        <v>0</v>
      </c>
    </row>
    <row r="53" spans="1:24" x14ac:dyDescent="0.25">
      <c r="A53" s="866"/>
      <c r="B53" s="682">
        <v>5</v>
      </c>
      <c r="C53" s="681">
        <v>35</v>
      </c>
      <c r="D53" s="680">
        <v>0.7</v>
      </c>
      <c r="E53" s="680">
        <v>9.9999999999999995E-7</v>
      </c>
      <c r="F53" s="679" t="s">
        <v>102</v>
      </c>
      <c r="G53" s="678">
        <f t="shared" si="12"/>
        <v>0.34999949999999996</v>
      </c>
      <c r="I53" s="682">
        <v>5</v>
      </c>
      <c r="J53" s="681">
        <v>70</v>
      </c>
      <c r="K53" s="680">
        <v>-4.0999999999999996</v>
      </c>
      <c r="L53" s="680">
        <v>-2.1</v>
      </c>
      <c r="M53" s="679" t="s">
        <v>102</v>
      </c>
      <c r="N53" s="678">
        <f t="shared" si="13"/>
        <v>0.99999999999999978</v>
      </c>
      <c r="P53" s="682">
        <v>5</v>
      </c>
      <c r="Q53" s="681">
        <v>1000</v>
      </c>
      <c r="R53" s="680" t="s">
        <v>102</v>
      </c>
      <c r="S53" s="680" t="s">
        <v>102</v>
      </c>
      <c r="T53" s="679" t="s">
        <v>102</v>
      </c>
      <c r="U53" s="678">
        <f t="shared" si="14"/>
        <v>0</v>
      </c>
    </row>
    <row r="54" spans="1:24" x14ac:dyDescent="0.25">
      <c r="A54" s="866"/>
      <c r="B54" s="682">
        <v>6</v>
      </c>
      <c r="C54" s="681">
        <v>37</v>
      </c>
      <c r="D54" s="680">
        <v>0.7</v>
      </c>
      <c r="E54" s="680">
        <v>9.9999999999999995E-7</v>
      </c>
      <c r="F54" s="679" t="s">
        <v>102</v>
      </c>
      <c r="G54" s="678">
        <f t="shared" si="12"/>
        <v>0.34999949999999996</v>
      </c>
      <c r="I54" s="682">
        <v>6</v>
      </c>
      <c r="J54" s="681">
        <v>80</v>
      </c>
      <c r="K54" s="680">
        <v>-3</v>
      </c>
      <c r="L54" s="680">
        <v>0.2</v>
      </c>
      <c r="M54" s="679" t="s">
        <v>102</v>
      </c>
      <c r="N54" s="678">
        <f t="shared" si="13"/>
        <v>1.6</v>
      </c>
      <c r="P54" s="682">
        <v>6</v>
      </c>
      <c r="Q54" s="681">
        <v>1005</v>
      </c>
      <c r="R54" s="680" t="s">
        <v>102</v>
      </c>
      <c r="S54" s="680" t="s">
        <v>102</v>
      </c>
      <c r="T54" s="679" t="s">
        <v>102</v>
      </c>
      <c r="U54" s="678">
        <f t="shared" si="14"/>
        <v>0</v>
      </c>
    </row>
    <row r="55" spans="1:24" ht="13" thickBot="1" x14ac:dyDescent="0.3">
      <c r="A55" s="867"/>
      <c r="B55" s="682">
        <v>7</v>
      </c>
      <c r="C55" s="681">
        <v>40</v>
      </c>
      <c r="D55" s="680">
        <v>0.7</v>
      </c>
      <c r="E55" s="680">
        <v>-0.1</v>
      </c>
      <c r="F55" s="679" t="s">
        <v>102</v>
      </c>
      <c r="G55" s="678">
        <f t="shared" si="12"/>
        <v>0.39999999999999997</v>
      </c>
      <c r="I55" s="682">
        <v>7</v>
      </c>
      <c r="J55" s="681">
        <v>90</v>
      </c>
      <c r="K55" s="680">
        <v>-1.8</v>
      </c>
      <c r="L55" s="680">
        <v>2.7</v>
      </c>
      <c r="M55" s="679" t="s">
        <v>102</v>
      </c>
      <c r="N55" s="678">
        <f t="shared" si="13"/>
        <v>2.25</v>
      </c>
      <c r="P55" s="682">
        <v>7</v>
      </c>
      <c r="Q55" s="681">
        <v>1020</v>
      </c>
      <c r="R55" s="680" t="s">
        <v>102</v>
      </c>
      <c r="S55" s="680" t="s">
        <v>102</v>
      </c>
      <c r="T55" s="679" t="s">
        <v>102</v>
      </c>
      <c r="U55" s="678">
        <f t="shared" si="14"/>
        <v>0</v>
      </c>
    </row>
    <row r="56" spans="1:24" ht="13.5" thickBot="1" x14ac:dyDescent="0.35">
      <c r="A56" s="697"/>
      <c r="B56" s="694"/>
      <c r="C56" s="694"/>
      <c r="D56" s="694"/>
      <c r="E56" s="695"/>
      <c r="F56" s="694"/>
      <c r="G56" s="696"/>
      <c r="H56" s="694"/>
      <c r="I56" s="694"/>
      <c r="J56" s="694"/>
      <c r="K56" s="695"/>
      <c r="L56" s="694"/>
      <c r="O56" s="698"/>
      <c r="P56" s="639"/>
    </row>
    <row r="57" spans="1:24" x14ac:dyDescent="0.25">
      <c r="A57" s="859">
        <v>6</v>
      </c>
      <c r="B57" s="858" t="s">
        <v>571</v>
      </c>
      <c r="C57" s="858"/>
      <c r="D57" s="858"/>
      <c r="E57" s="858"/>
      <c r="F57" s="858"/>
      <c r="G57" s="858"/>
      <c r="I57" s="858" t="str">
        <f>B57</f>
        <v>KOREKSI GREISINGER 34903046</v>
      </c>
      <c r="J57" s="858"/>
      <c r="K57" s="858"/>
      <c r="L57" s="858"/>
      <c r="M57" s="858"/>
      <c r="N57" s="858"/>
      <c r="P57" s="858" t="str">
        <f>I57</f>
        <v>KOREKSI GREISINGER 34903046</v>
      </c>
      <c r="Q57" s="858"/>
      <c r="R57" s="858"/>
      <c r="S57" s="858"/>
      <c r="T57" s="858"/>
      <c r="U57" s="858"/>
      <c r="W57" s="868" t="s">
        <v>537</v>
      </c>
      <c r="X57" s="869"/>
    </row>
    <row r="58" spans="1:24" ht="13" x14ac:dyDescent="0.25">
      <c r="A58" s="859"/>
      <c r="B58" s="857" t="s">
        <v>563</v>
      </c>
      <c r="C58" s="857"/>
      <c r="D58" s="857" t="s">
        <v>299</v>
      </c>
      <c r="E58" s="857"/>
      <c r="F58" s="857"/>
      <c r="G58" s="857" t="s">
        <v>564</v>
      </c>
      <c r="I58" s="857" t="s">
        <v>565</v>
      </c>
      <c r="J58" s="857"/>
      <c r="K58" s="857" t="s">
        <v>299</v>
      </c>
      <c r="L58" s="857"/>
      <c r="M58" s="857"/>
      <c r="N58" s="857" t="s">
        <v>564</v>
      </c>
      <c r="P58" s="857" t="s">
        <v>696</v>
      </c>
      <c r="Q58" s="857"/>
      <c r="R58" s="872" t="s">
        <v>299</v>
      </c>
      <c r="S58" s="873"/>
      <c r="T58" s="874"/>
      <c r="U58" s="857" t="s">
        <v>564</v>
      </c>
      <c r="W58" s="687" t="s">
        <v>563</v>
      </c>
      <c r="X58" s="686">
        <v>0.8</v>
      </c>
    </row>
    <row r="59" spans="1:24" ht="14.5" x14ac:dyDescent="0.25">
      <c r="A59" s="859"/>
      <c r="B59" s="855" t="s">
        <v>717</v>
      </c>
      <c r="C59" s="855"/>
      <c r="D59" s="688">
        <v>2019</v>
      </c>
      <c r="E59" s="688">
        <v>2018</v>
      </c>
      <c r="F59" s="689" t="s">
        <v>102</v>
      </c>
      <c r="G59" s="857"/>
      <c r="I59" s="856" t="s">
        <v>566</v>
      </c>
      <c r="J59" s="855"/>
      <c r="K59" s="688">
        <f>D59</f>
        <v>2019</v>
      </c>
      <c r="L59" s="688">
        <f>E59</f>
        <v>2018</v>
      </c>
      <c r="M59" s="688" t="str">
        <f>F59</f>
        <v>-</v>
      </c>
      <c r="N59" s="857"/>
      <c r="P59" s="856" t="s">
        <v>695</v>
      </c>
      <c r="Q59" s="855"/>
      <c r="R59" s="688">
        <f>K59</f>
        <v>2019</v>
      </c>
      <c r="S59" s="688">
        <f>L59</f>
        <v>2018</v>
      </c>
      <c r="T59" s="688" t="str">
        <f>M59</f>
        <v>-</v>
      </c>
      <c r="U59" s="857"/>
      <c r="W59" s="687" t="s">
        <v>566</v>
      </c>
      <c r="X59" s="686">
        <v>2.6</v>
      </c>
    </row>
    <row r="60" spans="1:24" ht="13" thickBot="1" x14ac:dyDescent="0.3">
      <c r="A60" s="859"/>
      <c r="B60" s="682">
        <v>1</v>
      </c>
      <c r="C60" s="683">
        <v>15</v>
      </c>
      <c r="D60" s="683">
        <v>0.4</v>
      </c>
      <c r="E60" s="683">
        <v>0.4</v>
      </c>
      <c r="F60" s="679" t="s">
        <v>102</v>
      </c>
      <c r="G60" s="678">
        <f t="shared" ref="G60:G66" si="15">0.5*(MAX(D60:F60)-MIN(D60:F60))</f>
        <v>0</v>
      </c>
      <c r="I60" s="682">
        <v>1</v>
      </c>
      <c r="J60" s="683">
        <v>30</v>
      </c>
      <c r="K60" s="683">
        <v>-1.5</v>
      </c>
      <c r="L60" s="683">
        <v>1.7</v>
      </c>
      <c r="M60" s="679" t="s">
        <v>102</v>
      </c>
      <c r="N60" s="678">
        <f t="shared" ref="N60:N66" si="16">0.5*(MAX(K60:M60)-MIN(K60:M60))</f>
        <v>1.6</v>
      </c>
      <c r="P60" s="682">
        <v>1</v>
      </c>
      <c r="Q60" s="683">
        <v>750</v>
      </c>
      <c r="R60" s="683">
        <v>0.9</v>
      </c>
      <c r="S60" s="683">
        <v>2.1</v>
      </c>
      <c r="T60" s="679" t="s">
        <v>102</v>
      </c>
      <c r="U60" s="678">
        <f t="shared" ref="U60:U66" si="17">0.5*(MAX(R60:T60)-MIN(R60:T60))</f>
        <v>0.60000000000000009</v>
      </c>
      <c r="W60" s="685" t="s">
        <v>695</v>
      </c>
      <c r="X60" s="684">
        <v>1.6</v>
      </c>
    </row>
    <row r="61" spans="1:24" x14ac:dyDescent="0.25">
      <c r="A61" s="859"/>
      <c r="B61" s="682">
        <v>2</v>
      </c>
      <c r="C61" s="683">
        <v>20</v>
      </c>
      <c r="D61" s="683">
        <v>0.3</v>
      </c>
      <c r="E61" s="683">
        <v>0.2</v>
      </c>
      <c r="F61" s="679" t="s">
        <v>102</v>
      </c>
      <c r="G61" s="678">
        <f t="shared" si="15"/>
        <v>4.9999999999999989E-2</v>
      </c>
      <c r="I61" s="682">
        <v>2</v>
      </c>
      <c r="J61" s="683">
        <v>40</v>
      </c>
      <c r="K61" s="683">
        <v>-3.8</v>
      </c>
      <c r="L61" s="683">
        <v>1.5</v>
      </c>
      <c r="M61" s="679" t="s">
        <v>102</v>
      </c>
      <c r="N61" s="678">
        <f t="shared" si="16"/>
        <v>2.65</v>
      </c>
      <c r="P61" s="682">
        <v>2</v>
      </c>
      <c r="Q61" s="683">
        <v>800</v>
      </c>
      <c r="R61" s="683">
        <v>0.9</v>
      </c>
      <c r="S61" s="683">
        <v>1.6</v>
      </c>
      <c r="T61" s="679" t="s">
        <v>102</v>
      </c>
      <c r="U61" s="678">
        <f t="shared" si="17"/>
        <v>0.35000000000000003</v>
      </c>
    </row>
    <row r="62" spans="1:24" x14ac:dyDescent="0.25">
      <c r="A62" s="859"/>
      <c r="B62" s="682">
        <v>3</v>
      </c>
      <c r="C62" s="683">
        <v>25</v>
      </c>
      <c r="D62" s="683">
        <v>0.2</v>
      </c>
      <c r="E62" s="683">
        <v>-0.1</v>
      </c>
      <c r="F62" s="679" t="s">
        <v>102</v>
      </c>
      <c r="G62" s="678">
        <f t="shared" si="15"/>
        <v>0.15000000000000002</v>
      </c>
      <c r="I62" s="682">
        <v>3</v>
      </c>
      <c r="J62" s="683">
        <v>50</v>
      </c>
      <c r="K62" s="683">
        <v>-5.4</v>
      </c>
      <c r="L62" s="683">
        <v>1.2</v>
      </c>
      <c r="M62" s="679" t="s">
        <v>102</v>
      </c>
      <c r="N62" s="678">
        <f t="shared" si="16"/>
        <v>3.3000000000000003</v>
      </c>
      <c r="P62" s="682">
        <v>3</v>
      </c>
      <c r="Q62" s="683">
        <v>850</v>
      </c>
      <c r="R62" s="683">
        <v>0.9</v>
      </c>
      <c r="S62" s="683">
        <v>1.1000000000000001</v>
      </c>
      <c r="T62" s="679" t="s">
        <v>102</v>
      </c>
      <c r="U62" s="678">
        <f t="shared" si="17"/>
        <v>0.10000000000000003</v>
      </c>
    </row>
    <row r="63" spans="1:24" x14ac:dyDescent="0.25">
      <c r="A63" s="859"/>
      <c r="B63" s="682">
        <v>4</v>
      </c>
      <c r="C63" s="681">
        <v>30</v>
      </c>
      <c r="D63" s="681">
        <v>0.1</v>
      </c>
      <c r="E63" s="681">
        <v>-0.5</v>
      </c>
      <c r="F63" s="679" t="s">
        <v>102</v>
      </c>
      <c r="G63" s="678">
        <f t="shared" si="15"/>
        <v>0.3</v>
      </c>
      <c r="I63" s="682">
        <v>4</v>
      </c>
      <c r="J63" s="681">
        <v>60</v>
      </c>
      <c r="K63" s="681">
        <v>-6.4</v>
      </c>
      <c r="L63" s="681">
        <v>1.1000000000000001</v>
      </c>
      <c r="M63" s="679" t="s">
        <v>102</v>
      </c>
      <c r="N63" s="678">
        <f t="shared" si="16"/>
        <v>3.75</v>
      </c>
      <c r="P63" s="682">
        <v>4</v>
      </c>
      <c r="Q63" s="681">
        <v>900</v>
      </c>
      <c r="R63" s="681">
        <v>0.9</v>
      </c>
      <c r="S63" s="681">
        <v>0.7</v>
      </c>
      <c r="T63" s="679" t="s">
        <v>102</v>
      </c>
      <c r="U63" s="678">
        <f t="shared" si="17"/>
        <v>0.10000000000000003</v>
      </c>
    </row>
    <row r="64" spans="1:24" x14ac:dyDescent="0.25">
      <c r="A64" s="859"/>
      <c r="B64" s="682">
        <v>5</v>
      </c>
      <c r="C64" s="681">
        <v>35</v>
      </c>
      <c r="D64" s="681">
        <v>0.1</v>
      </c>
      <c r="E64" s="681">
        <v>-0.9</v>
      </c>
      <c r="F64" s="679" t="s">
        <v>102</v>
      </c>
      <c r="G64" s="678">
        <f t="shared" si="15"/>
        <v>0.5</v>
      </c>
      <c r="I64" s="682">
        <v>5</v>
      </c>
      <c r="J64" s="681">
        <v>70</v>
      </c>
      <c r="K64" s="681">
        <v>-6.7</v>
      </c>
      <c r="L64" s="681">
        <v>0.9</v>
      </c>
      <c r="M64" s="679" t="s">
        <v>102</v>
      </c>
      <c r="N64" s="678">
        <f t="shared" si="16"/>
        <v>3.8000000000000003</v>
      </c>
      <c r="P64" s="682">
        <v>5</v>
      </c>
      <c r="Q64" s="681">
        <v>1000</v>
      </c>
      <c r="R64" s="681">
        <v>0.9</v>
      </c>
      <c r="S64" s="681">
        <v>-0.3</v>
      </c>
      <c r="T64" s="679" t="s">
        <v>102</v>
      </c>
      <c r="U64" s="678">
        <f t="shared" si="17"/>
        <v>0.6</v>
      </c>
    </row>
    <row r="65" spans="1:24" x14ac:dyDescent="0.25">
      <c r="A65" s="859"/>
      <c r="B65" s="682">
        <v>6</v>
      </c>
      <c r="C65" s="681">
        <v>37</v>
      </c>
      <c r="D65" s="681">
        <v>0.1</v>
      </c>
      <c r="E65" s="681">
        <v>-1.1000000000000001</v>
      </c>
      <c r="F65" s="679" t="s">
        <v>102</v>
      </c>
      <c r="G65" s="678">
        <f t="shared" si="15"/>
        <v>0.60000000000000009</v>
      </c>
      <c r="I65" s="682">
        <v>6</v>
      </c>
      <c r="J65" s="681">
        <v>80</v>
      </c>
      <c r="K65" s="681">
        <v>-6.3</v>
      </c>
      <c r="L65" s="681">
        <v>0.8</v>
      </c>
      <c r="M65" s="679" t="s">
        <v>102</v>
      </c>
      <c r="N65" s="678">
        <f t="shared" si="16"/>
        <v>3.55</v>
      </c>
      <c r="P65" s="682">
        <v>6</v>
      </c>
      <c r="Q65" s="681">
        <v>1005</v>
      </c>
      <c r="R65" s="681">
        <v>0.9</v>
      </c>
      <c r="S65" s="681">
        <v>-0.3</v>
      </c>
      <c r="T65" s="679" t="s">
        <v>102</v>
      </c>
      <c r="U65" s="678">
        <f t="shared" si="17"/>
        <v>0.6</v>
      </c>
    </row>
    <row r="66" spans="1:24" x14ac:dyDescent="0.25">
      <c r="A66" s="859"/>
      <c r="B66" s="682">
        <v>7</v>
      </c>
      <c r="C66" s="681">
        <v>40</v>
      </c>
      <c r="D66" s="681">
        <v>0.1</v>
      </c>
      <c r="E66" s="681">
        <v>-1.4</v>
      </c>
      <c r="F66" s="679" t="s">
        <v>102</v>
      </c>
      <c r="G66" s="678">
        <f t="shared" si="15"/>
        <v>0.75</v>
      </c>
      <c r="I66" s="682">
        <v>7</v>
      </c>
      <c r="J66" s="681">
        <v>90</v>
      </c>
      <c r="K66" s="681">
        <v>-5.2</v>
      </c>
      <c r="L66" s="681">
        <v>0.7</v>
      </c>
      <c r="M66" s="679" t="s">
        <v>102</v>
      </c>
      <c r="N66" s="678">
        <f t="shared" si="16"/>
        <v>2.95</v>
      </c>
      <c r="P66" s="682">
        <v>7</v>
      </c>
      <c r="Q66" s="681">
        <v>1020</v>
      </c>
      <c r="R66" s="681">
        <v>0.9</v>
      </c>
      <c r="S66" s="681">
        <v>9.9999999999999995E-7</v>
      </c>
      <c r="T66" s="679" t="s">
        <v>102</v>
      </c>
      <c r="U66" s="678">
        <f t="shared" si="17"/>
        <v>0.4499995</v>
      </c>
    </row>
    <row r="67" spans="1:24" ht="13.5" thickBot="1" x14ac:dyDescent="0.35">
      <c r="A67" s="697"/>
      <c r="B67" s="694"/>
      <c r="C67" s="694"/>
      <c r="D67" s="694"/>
      <c r="E67" s="695"/>
      <c r="F67" s="694"/>
      <c r="G67" s="696"/>
      <c r="I67" s="694"/>
      <c r="J67" s="694"/>
      <c r="K67" s="694"/>
      <c r="L67" s="695"/>
      <c r="M67" s="694"/>
      <c r="R67" s="639"/>
    </row>
    <row r="68" spans="1:24" x14ac:dyDescent="0.25">
      <c r="A68" s="859">
        <v>7</v>
      </c>
      <c r="B68" s="858" t="s">
        <v>572</v>
      </c>
      <c r="C68" s="858"/>
      <c r="D68" s="858"/>
      <c r="E68" s="858"/>
      <c r="F68" s="858"/>
      <c r="G68" s="858"/>
      <c r="I68" s="858" t="str">
        <f>B68</f>
        <v>KOREKSI GREISINGER 34903053</v>
      </c>
      <c r="J68" s="858"/>
      <c r="K68" s="858"/>
      <c r="L68" s="858"/>
      <c r="M68" s="858"/>
      <c r="N68" s="858"/>
      <c r="P68" s="858" t="str">
        <f>I68</f>
        <v>KOREKSI GREISINGER 34903053</v>
      </c>
      <c r="Q68" s="858"/>
      <c r="R68" s="858"/>
      <c r="S68" s="858"/>
      <c r="T68" s="858"/>
      <c r="U68" s="858"/>
      <c r="W68" s="868" t="s">
        <v>537</v>
      </c>
      <c r="X68" s="869"/>
    </row>
    <row r="69" spans="1:24" ht="13" x14ac:dyDescent="0.25">
      <c r="A69" s="859"/>
      <c r="B69" s="857" t="s">
        <v>563</v>
      </c>
      <c r="C69" s="857"/>
      <c r="D69" s="857" t="s">
        <v>299</v>
      </c>
      <c r="E69" s="857"/>
      <c r="F69" s="857"/>
      <c r="G69" s="857" t="s">
        <v>564</v>
      </c>
      <c r="I69" s="857" t="s">
        <v>565</v>
      </c>
      <c r="J69" s="857"/>
      <c r="K69" s="857" t="s">
        <v>299</v>
      </c>
      <c r="L69" s="857"/>
      <c r="M69" s="857"/>
      <c r="N69" s="857" t="s">
        <v>564</v>
      </c>
      <c r="P69" s="857" t="s">
        <v>696</v>
      </c>
      <c r="Q69" s="857"/>
      <c r="R69" s="857" t="s">
        <v>299</v>
      </c>
      <c r="S69" s="857"/>
      <c r="T69" s="857"/>
      <c r="U69" s="857" t="s">
        <v>564</v>
      </c>
      <c r="W69" s="687" t="s">
        <v>563</v>
      </c>
      <c r="X69" s="686">
        <v>0.2</v>
      </c>
    </row>
    <row r="70" spans="1:24" ht="14.5" x14ac:dyDescent="0.25">
      <c r="A70" s="859"/>
      <c r="B70" s="855" t="s">
        <v>717</v>
      </c>
      <c r="C70" s="855"/>
      <c r="D70" s="688">
        <v>2021</v>
      </c>
      <c r="E70" s="688">
        <v>2018</v>
      </c>
      <c r="F70" s="689" t="s">
        <v>102</v>
      </c>
      <c r="G70" s="857"/>
      <c r="I70" s="856" t="s">
        <v>566</v>
      </c>
      <c r="J70" s="855"/>
      <c r="K70" s="688">
        <f>D70</f>
        <v>2021</v>
      </c>
      <c r="L70" s="688">
        <f>E70</f>
        <v>2018</v>
      </c>
      <c r="M70" s="688" t="str">
        <f>F70</f>
        <v>-</v>
      </c>
      <c r="N70" s="857"/>
      <c r="P70" s="856" t="s">
        <v>695</v>
      </c>
      <c r="Q70" s="855"/>
      <c r="R70" s="688">
        <f>K70</f>
        <v>2021</v>
      </c>
      <c r="S70" s="688">
        <f>L70</f>
        <v>2018</v>
      </c>
      <c r="T70" s="688" t="str">
        <f>M70</f>
        <v>-</v>
      </c>
      <c r="U70" s="857"/>
      <c r="W70" s="687" t="s">
        <v>566</v>
      </c>
      <c r="X70" s="686">
        <v>2.4</v>
      </c>
    </row>
    <row r="71" spans="1:24" ht="13" thickBot="1" x14ac:dyDescent="0.3">
      <c r="A71" s="859"/>
      <c r="B71" s="682">
        <v>1</v>
      </c>
      <c r="C71" s="683">
        <v>15</v>
      </c>
      <c r="D71" s="683">
        <v>0.1</v>
      </c>
      <c r="E71" s="683">
        <v>0.3</v>
      </c>
      <c r="F71" s="679" t="s">
        <v>102</v>
      </c>
      <c r="G71" s="678">
        <f t="shared" ref="G71:G77" si="18">0.5*(MAX(D71:F71)-MIN(D71:F71))</f>
        <v>9.9999999999999992E-2</v>
      </c>
      <c r="I71" s="682">
        <v>1</v>
      </c>
      <c r="J71" s="683">
        <v>30</v>
      </c>
      <c r="K71" s="683">
        <v>-1.9</v>
      </c>
      <c r="L71" s="683">
        <v>1.8</v>
      </c>
      <c r="M71" s="679" t="s">
        <v>102</v>
      </c>
      <c r="N71" s="678">
        <f t="shared" ref="N71:N77" si="19">0.5*(MAX(K71:M71)-MIN(K71:M71))</f>
        <v>1.85</v>
      </c>
      <c r="P71" s="682">
        <v>1</v>
      </c>
      <c r="Q71" s="683">
        <v>750</v>
      </c>
      <c r="R71" s="683">
        <v>9.9999999999999995E-7</v>
      </c>
      <c r="S71" s="683">
        <v>3.2</v>
      </c>
      <c r="T71" s="679" t="s">
        <v>102</v>
      </c>
      <c r="U71" s="678">
        <f t="shared" ref="U71:U77" si="20">0.5*(MAX(R71:T71)-MIN(R71:T71))</f>
        <v>1.5999995</v>
      </c>
      <c r="W71" s="685" t="s">
        <v>695</v>
      </c>
      <c r="X71" s="684">
        <v>2.4</v>
      </c>
    </row>
    <row r="72" spans="1:24" x14ac:dyDescent="0.25">
      <c r="A72" s="859"/>
      <c r="B72" s="682">
        <v>2</v>
      </c>
      <c r="C72" s="683">
        <v>20</v>
      </c>
      <c r="D72" s="683">
        <v>9.9999999999999995E-7</v>
      </c>
      <c r="E72" s="683">
        <v>0.1</v>
      </c>
      <c r="F72" s="679" t="s">
        <v>102</v>
      </c>
      <c r="G72" s="678">
        <f t="shared" si="18"/>
        <v>4.9999500000000002E-2</v>
      </c>
      <c r="I72" s="682">
        <v>2</v>
      </c>
      <c r="J72" s="683">
        <v>40</v>
      </c>
      <c r="K72" s="683">
        <v>-1.9</v>
      </c>
      <c r="L72" s="683">
        <v>1.2</v>
      </c>
      <c r="M72" s="679" t="s">
        <v>102</v>
      </c>
      <c r="N72" s="678">
        <f t="shared" si="19"/>
        <v>1.5499999999999998</v>
      </c>
      <c r="P72" s="682">
        <v>2</v>
      </c>
      <c r="Q72" s="683">
        <v>800</v>
      </c>
      <c r="R72" s="683">
        <v>9.9999999999999995E-7</v>
      </c>
      <c r="S72" s="683">
        <v>2.5</v>
      </c>
      <c r="T72" s="679" t="s">
        <v>102</v>
      </c>
      <c r="U72" s="678">
        <f t="shared" si="20"/>
        <v>1.2499994999999999</v>
      </c>
    </row>
    <row r="73" spans="1:24" x14ac:dyDescent="0.25">
      <c r="A73" s="859"/>
      <c r="B73" s="682">
        <v>3</v>
      </c>
      <c r="C73" s="683">
        <v>25</v>
      </c>
      <c r="D73" s="683">
        <v>9.9999999999999995E-7</v>
      </c>
      <c r="E73" s="683">
        <v>-0.2</v>
      </c>
      <c r="F73" s="679" t="s">
        <v>102</v>
      </c>
      <c r="G73" s="678">
        <f t="shared" si="18"/>
        <v>0.10000050000000001</v>
      </c>
      <c r="I73" s="682">
        <v>3</v>
      </c>
      <c r="J73" s="683">
        <v>50</v>
      </c>
      <c r="K73" s="683">
        <v>-1.9</v>
      </c>
      <c r="L73" s="683">
        <v>0.8</v>
      </c>
      <c r="M73" s="679" t="s">
        <v>102</v>
      </c>
      <c r="N73" s="678">
        <f t="shared" si="19"/>
        <v>1.35</v>
      </c>
      <c r="P73" s="682">
        <v>3</v>
      </c>
      <c r="Q73" s="683">
        <v>850</v>
      </c>
      <c r="R73" s="683">
        <v>9.9999999999999995E-7</v>
      </c>
      <c r="S73" s="683">
        <v>1.7</v>
      </c>
      <c r="T73" s="679" t="s">
        <v>102</v>
      </c>
      <c r="U73" s="678">
        <f t="shared" si="20"/>
        <v>0.84999950000000002</v>
      </c>
    </row>
    <row r="74" spans="1:24" x14ac:dyDescent="0.25">
      <c r="A74" s="859"/>
      <c r="B74" s="682">
        <v>4</v>
      </c>
      <c r="C74" s="681">
        <v>30</v>
      </c>
      <c r="D74" s="683">
        <v>9.9999999999999995E-7</v>
      </c>
      <c r="E74" s="681">
        <v>-0.6</v>
      </c>
      <c r="F74" s="679" t="s">
        <v>102</v>
      </c>
      <c r="G74" s="678">
        <f t="shared" si="18"/>
        <v>0.3000005</v>
      </c>
      <c r="I74" s="682">
        <v>4</v>
      </c>
      <c r="J74" s="681">
        <v>60</v>
      </c>
      <c r="K74" s="681">
        <v>-2.1</v>
      </c>
      <c r="L74" s="681">
        <v>0.7</v>
      </c>
      <c r="M74" s="679" t="s">
        <v>102</v>
      </c>
      <c r="N74" s="678">
        <f t="shared" si="19"/>
        <v>1.4</v>
      </c>
      <c r="P74" s="682">
        <v>4</v>
      </c>
      <c r="Q74" s="681">
        <v>900</v>
      </c>
      <c r="R74" s="683">
        <v>9.9999999999999995E-7</v>
      </c>
      <c r="S74" s="681">
        <v>1</v>
      </c>
      <c r="T74" s="679" t="s">
        <v>102</v>
      </c>
      <c r="U74" s="678">
        <f t="shared" si="20"/>
        <v>0.49999949999999999</v>
      </c>
    </row>
    <row r="75" spans="1:24" x14ac:dyDescent="0.25">
      <c r="A75" s="859"/>
      <c r="B75" s="682">
        <v>5</v>
      </c>
      <c r="C75" s="681">
        <v>35</v>
      </c>
      <c r="D75" s="683">
        <v>9.9999999999999995E-7</v>
      </c>
      <c r="E75" s="681">
        <v>-1.1000000000000001</v>
      </c>
      <c r="F75" s="679" t="s">
        <v>102</v>
      </c>
      <c r="G75" s="678">
        <f t="shared" si="18"/>
        <v>0.5500005</v>
      </c>
      <c r="I75" s="682">
        <v>5</v>
      </c>
      <c r="J75" s="681">
        <v>70</v>
      </c>
      <c r="K75" s="681">
        <v>-2.2999999999999998</v>
      </c>
      <c r="L75" s="681">
        <v>0.9</v>
      </c>
      <c r="M75" s="679" t="s">
        <v>102</v>
      </c>
      <c r="N75" s="678">
        <f t="shared" si="19"/>
        <v>1.5999999999999999</v>
      </c>
      <c r="P75" s="682">
        <v>5</v>
      </c>
      <c r="Q75" s="681">
        <v>1000</v>
      </c>
      <c r="R75" s="681">
        <v>-3.9</v>
      </c>
      <c r="S75" s="681">
        <v>-0.4</v>
      </c>
      <c r="T75" s="679" t="s">
        <v>102</v>
      </c>
      <c r="U75" s="678">
        <f t="shared" si="20"/>
        <v>1.75</v>
      </c>
    </row>
    <row r="76" spans="1:24" x14ac:dyDescent="0.25">
      <c r="A76" s="859"/>
      <c r="B76" s="682">
        <v>6</v>
      </c>
      <c r="C76" s="681">
        <v>37</v>
      </c>
      <c r="D76" s="683">
        <v>9.9999999999999995E-7</v>
      </c>
      <c r="E76" s="681">
        <v>-1.4</v>
      </c>
      <c r="F76" s="679" t="s">
        <v>102</v>
      </c>
      <c r="G76" s="678">
        <f t="shared" si="18"/>
        <v>0.70000049999999991</v>
      </c>
      <c r="I76" s="682">
        <v>6</v>
      </c>
      <c r="J76" s="681">
        <v>80</v>
      </c>
      <c r="K76" s="681">
        <v>-2.6</v>
      </c>
      <c r="L76" s="681">
        <v>1.2</v>
      </c>
      <c r="M76" s="679" t="s">
        <v>102</v>
      </c>
      <c r="N76" s="678">
        <f t="shared" si="19"/>
        <v>1.9</v>
      </c>
      <c r="P76" s="682">
        <v>6</v>
      </c>
      <c r="Q76" s="681">
        <v>1005</v>
      </c>
      <c r="R76" s="681">
        <v>-3.8</v>
      </c>
      <c r="S76" s="681">
        <v>-0.5</v>
      </c>
      <c r="T76" s="679" t="s">
        <v>102</v>
      </c>
      <c r="U76" s="678">
        <f t="shared" si="20"/>
        <v>1.65</v>
      </c>
    </row>
    <row r="77" spans="1:24" ht="13" thickBot="1" x14ac:dyDescent="0.3">
      <c r="A77" s="859"/>
      <c r="B77" s="682">
        <v>7</v>
      </c>
      <c r="C77" s="681">
        <v>40</v>
      </c>
      <c r="D77" s="681">
        <v>0.1</v>
      </c>
      <c r="E77" s="681">
        <v>-1.7</v>
      </c>
      <c r="F77" s="679" t="s">
        <v>102</v>
      </c>
      <c r="G77" s="678">
        <f t="shared" si="18"/>
        <v>0.9</v>
      </c>
      <c r="I77" s="682">
        <v>7</v>
      </c>
      <c r="J77" s="681">
        <v>90</v>
      </c>
      <c r="K77" s="681">
        <v>-3</v>
      </c>
      <c r="L77" s="681">
        <v>1.8</v>
      </c>
      <c r="M77" s="679" t="s">
        <v>102</v>
      </c>
      <c r="N77" s="678">
        <f t="shared" si="19"/>
        <v>2.4</v>
      </c>
      <c r="P77" s="682">
        <v>7</v>
      </c>
      <c r="Q77" s="681">
        <v>1020</v>
      </c>
      <c r="R77" s="681">
        <v>-3.8</v>
      </c>
      <c r="S77" s="681">
        <v>9.9999999999999995E-7</v>
      </c>
      <c r="T77" s="679" t="s">
        <v>102</v>
      </c>
      <c r="U77" s="678">
        <f t="shared" si="20"/>
        <v>1.9000005</v>
      </c>
    </row>
    <row r="78" spans="1:24" ht="13.5" thickBot="1" x14ac:dyDescent="0.35">
      <c r="A78" s="697"/>
      <c r="B78" s="694"/>
      <c r="C78" s="694"/>
      <c r="D78" s="694"/>
      <c r="E78" s="695"/>
      <c r="F78" s="694"/>
      <c r="G78" s="696"/>
      <c r="H78" s="694"/>
      <c r="I78" s="694"/>
      <c r="J78" s="694"/>
      <c r="K78" s="695"/>
      <c r="L78" s="694"/>
      <c r="O78" s="698"/>
      <c r="P78" s="639"/>
    </row>
    <row r="79" spans="1:24" x14ac:dyDescent="0.25">
      <c r="A79" s="859">
        <v>8</v>
      </c>
      <c r="B79" s="858" t="s">
        <v>573</v>
      </c>
      <c r="C79" s="858"/>
      <c r="D79" s="858"/>
      <c r="E79" s="858"/>
      <c r="F79" s="858"/>
      <c r="G79" s="858"/>
      <c r="I79" s="858" t="str">
        <f>B79</f>
        <v>KOREKSI GREISINGER 34903051</v>
      </c>
      <c r="J79" s="858"/>
      <c r="K79" s="858"/>
      <c r="L79" s="858"/>
      <c r="M79" s="858"/>
      <c r="N79" s="858"/>
      <c r="P79" s="858" t="str">
        <f>I79</f>
        <v>KOREKSI GREISINGER 34903051</v>
      </c>
      <c r="Q79" s="858"/>
      <c r="R79" s="858"/>
      <c r="S79" s="858"/>
      <c r="T79" s="858"/>
      <c r="U79" s="858"/>
      <c r="W79" s="868" t="s">
        <v>537</v>
      </c>
      <c r="X79" s="869"/>
    </row>
    <row r="80" spans="1:24" ht="13" x14ac:dyDescent="0.25">
      <c r="A80" s="859"/>
      <c r="B80" s="857" t="s">
        <v>563</v>
      </c>
      <c r="C80" s="857"/>
      <c r="D80" s="857" t="s">
        <v>299</v>
      </c>
      <c r="E80" s="857"/>
      <c r="F80" s="857"/>
      <c r="G80" s="857" t="s">
        <v>564</v>
      </c>
      <c r="I80" s="857" t="s">
        <v>565</v>
      </c>
      <c r="J80" s="857"/>
      <c r="K80" s="857" t="s">
        <v>299</v>
      </c>
      <c r="L80" s="857"/>
      <c r="M80" s="857"/>
      <c r="N80" s="857" t="s">
        <v>564</v>
      </c>
      <c r="P80" s="857" t="s">
        <v>696</v>
      </c>
      <c r="Q80" s="857"/>
      <c r="R80" s="857" t="s">
        <v>299</v>
      </c>
      <c r="S80" s="857"/>
      <c r="T80" s="857"/>
      <c r="U80" s="857" t="s">
        <v>564</v>
      </c>
      <c r="W80" s="687" t="s">
        <v>563</v>
      </c>
      <c r="X80" s="686">
        <v>0.3</v>
      </c>
    </row>
    <row r="81" spans="1:24" ht="14.5" x14ac:dyDescent="0.25">
      <c r="A81" s="859"/>
      <c r="B81" s="855" t="s">
        <v>717</v>
      </c>
      <c r="C81" s="855"/>
      <c r="D81" s="688">
        <v>2021</v>
      </c>
      <c r="E81" s="688">
        <v>2019</v>
      </c>
      <c r="F81" s="689" t="s">
        <v>102</v>
      </c>
      <c r="G81" s="857"/>
      <c r="I81" s="856" t="s">
        <v>566</v>
      </c>
      <c r="J81" s="855"/>
      <c r="K81" s="688">
        <f>D81</f>
        <v>2021</v>
      </c>
      <c r="L81" s="688">
        <f>E81</f>
        <v>2019</v>
      </c>
      <c r="M81" s="688" t="str">
        <f>F81</f>
        <v>-</v>
      </c>
      <c r="N81" s="857"/>
      <c r="P81" s="856" t="s">
        <v>695</v>
      </c>
      <c r="Q81" s="855"/>
      <c r="R81" s="688">
        <f>K81</f>
        <v>2021</v>
      </c>
      <c r="S81" s="688">
        <f>L81</f>
        <v>2019</v>
      </c>
      <c r="T81" s="688" t="str">
        <f>M81</f>
        <v>-</v>
      </c>
      <c r="U81" s="857"/>
      <c r="W81" s="687" t="s">
        <v>566</v>
      </c>
      <c r="X81" s="686">
        <v>2.5</v>
      </c>
    </row>
    <row r="82" spans="1:24" ht="13" thickBot="1" x14ac:dyDescent="0.3">
      <c r="A82" s="859"/>
      <c r="B82" s="682">
        <v>1</v>
      </c>
      <c r="C82" s="683">
        <v>15</v>
      </c>
      <c r="D82" s="683">
        <v>0.1</v>
      </c>
      <c r="E82" s="683">
        <v>9.9999999999999995E-7</v>
      </c>
      <c r="F82" s="679" t="s">
        <v>102</v>
      </c>
      <c r="G82" s="678">
        <f t="shared" ref="G82:G88" si="21">0.5*(MAX(D82:F82)-MIN(D82:F82))</f>
        <v>4.9999500000000002E-2</v>
      </c>
      <c r="I82" s="682">
        <v>1</v>
      </c>
      <c r="J82" s="683">
        <v>30</v>
      </c>
      <c r="K82" s="683">
        <v>-4</v>
      </c>
      <c r="L82" s="683">
        <v>-1.4</v>
      </c>
      <c r="M82" s="679" t="s">
        <v>102</v>
      </c>
      <c r="N82" s="678">
        <f t="shared" ref="N82:N88" si="22">0.5*(MAX(K82:M82)-MIN(K82:M82))</f>
        <v>1.3</v>
      </c>
      <c r="P82" s="682">
        <v>1</v>
      </c>
      <c r="Q82" s="683">
        <v>750</v>
      </c>
      <c r="R82" s="679">
        <v>9.9999999999999995E-7</v>
      </c>
      <c r="S82" s="679">
        <v>9.9999999999999995E-7</v>
      </c>
      <c r="T82" s="679" t="s">
        <v>102</v>
      </c>
      <c r="U82" s="678">
        <f t="shared" ref="U82:U88" si="23">0.5*(MAX(R82:T82)-MIN(R82:T82))</f>
        <v>0</v>
      </c>
      <c r="W82" s="685" t="s">
        <v>695</v>
      </c>
      <c r="X82" s="684">
        <v>2.1</v>
      </c>
    </row>
    <row r="83" spans="1:24" x14ac:dyDescent="0.25">
      <c r="A83" s="859"/>
      <c r="B83" s="682">
        <v>2</v>
      </c>
      <c r="C83" s="683">
        <v>20</v>
      </c>
      <c r="D83" s="683">
        <v>9.9999999999999995E-7</v>
      </c>
      <c r="E83" s="683">
        <v>-0.2</v>
      </c>
      <c r="F83" s="679" t="s">
        <v>102</v>
      </c>
      <c r="G83" s="678">
        <f t="shared" si="21"/>
        <v>0.10000050000000001</v>
      </c>
      <c r="I83" s="682">
        <v>2</v>
      </c>
      <c r="J83" s="683">
        <v>40</v>
      </c>
      <c r="K83" s="683">
        <v>-3.8</v>
      </c>
      <c r="L83" s="683">
        <v>-1.2</v>
      </c>
      <c r="M83" s="679" t="s">
        <v>102</v>
      </c>
      <c r="N83" s="678">
        <f t="shared" si="22"/>
        <v>1.2999999999999998</v>
      </c>
      <c r="P83" s="682">
        <v>2</v>
      </c>
      <c r="Q83" s="683">
        <v>800</v>
      </c>
      <c r="R83" s="679">
        <v>9.9999999999999995E-7</v>
      </c>
      <c r="S83" s="679">
        <v>9.9999999999999995E-7</v>
      </c>
      <c r="T83" s="679" t="s">
        <v>102</v>
      </c>
      <c r="U83" s="678">
        <f t="shared" si="23"/>
        <v>0</v>
      </c>
    </row>
    <row r="84" spans="1:24" x14ac:dyDescent="0.25">
      <c r="A84" s="859"/>
      <c r="B84" s="682">
        <v>3</v>
      </c>
      <c r="C84" s="683">
        <v>25</v>
      </c>
      <c r="D84" s="683">
        <v>-0.1</v>
      </c>
      <c r="E84" s="683">
        <v>-0.4</v>
      </c>
      <c r="F84" s="679" t="s">
        <v>102</v>
      </c>
      <c r="G84" s="678">
        <f t="shared" si="21"/>
        <v>0.15000000000000002</v>
      </c>
      <c r="I84" s="682">
        <v>3</v>
      </c>
      <c r="J84" s="683">
        <v>50</v>
      </c>
      <c r="K84" s="683">
        <v>-3.8</v>
      </c>
      <c r="L84" s="683">
        <v>-1.2</v>
      </c>
      <c r="M84" s="679" t="s">
        <v>102</v>
      </c>
      <c r="N84" s="678">
        <f t="shared" si="22"/>
        <v>1.2999999999999998</v>
      </c>
      <c r="P84" s="682">
        <v>3</v>
      </c>
      <c r="Q84" s="683">
        <v>850</v>
      </c>
      <c r="R84" s="679">
        <v>9.9999999999999995E-7</v>
      </c>
      <c r="S84" s="679">
        <v>9.9999999999999995E-7</v>
      </c>
      <c r="T84" s="679" t="s">
        <v>102</v>
      </c>
      <c r="U84" s="678">
        <f t="shared" si="23"/>
        <v>0</v>
      </c>
    </row>
    <row r="85" spans="1:24" x14ac:dyDescent="0.25">
      <c r="A85" s="859"/>
      <c r="B85" s="682">
        <v>4</v>
      </c>
      <c r="C85" s="681">
        <v>30</v>
      </c>
      <c r="D85" s="683">
        <v>-0.2</v>
      </c>
      <c r="E85" s="683">
        <v>-0.4</v>
      </c>
      <c r="F85" s="679" t="s">
        <v>102</v>
      </c>
      <c r="G85" s="678">
        <f t="shared" si="21"/>
        <v>0.1</v>
      </c>
      <c r="I85" s="682">
        <v>4</v>
      </c>
      <c r="J85" s="681">
        <v>60</v>
      </c>
      <c r="K85" s="681">
        <v>-3.9</v>
      </c>
      <c r="L85" s="681">
        <v>-1.1000000000000001</v>
      </c>
      <c r="M85" s="679" t="s">
        <v>102</v>
      </c>
      <c r="N85" s="678">
        <f t="shared" si="22"/>
        <v>1.4</v>
      </c>
      <c r="P85" s="682">
        <v>4</v>
      </c>
      <c r="Q85" s="681">
        <v>900</v>
      </c>
      <c r="R85" s="680">
        <v>-4.4000000000000004</v>
      </c>
      <c r="S85" s="679">
        <v>9.9999999999999995E-7</v>
      </c>
      <c r="T85" s="679" t="s">
        <v>102</v>
      </c>
      <c r="U85" s="678">
        <f t="shared" si="23"/>
        <v>2.2000005000000002</v>
      </c>
    </row>
    <row r="86" spans="1:24" x14ac:dyDescent="0.25">
      <c r="A86" s="859"/>
      <c r="B86" s="682">
        <v>5</v>
      </c>
      <c r="C86" s="681">
        <v>35</v>
      </c>
      <c r="D86" s="681">
        <v>-0.1</v>
      </c>
      <c r="E86" s="681">
        <v>-0.5</v>
      </c>
      <c r="F86" s="679" t="s">
        <v>102</v>
      </c>
      <c r="G86" s="678">
        <f t="shared" si="21"/>
        <v>0.2</v>
      </c>
      <c r="I86" s="682">
        <v>5</v>
      </c>
      <c r="J86" s="681">
        <v>70</v>
      </c>
      <c r="K86" s="681">
        <v>-4.0999999999999996</v>
      </c>
      <c r="L86" s="681">
        <v>-1.2</v>
      </c>
      <c r="M86" s="679" t="s">
        <v>102</v>
      </c>
      <c r="N86" s="678">
        <f t="shared" si="22"/>
        <v>1.4499999999999997</v>
      </c>
      <c r="P86" s="682">
        <v>5</v>
      </c>
      <c r="Q86" s="681">
        <v>1000</v>
      </c>
      <c r="R86" s="680">
        <v>-3.5</v>
      </c>
      <c r="S86" s="680">
        <v>0.2</v>
      </c>
      <c r="T86" s="679" t="s">
        <v>102</v>
      </c>
      <c r="U86" s="678">
        <f t="shared" si="23"/>
        <v>1.85</v>
      </c>
    </row>
    <row r="87" spans="1:24" x14ac:dyDescent="0.25">
      <c r="A87" s="859"/>
      <c r="B87" s="682">
        <v>6</v>
      </c>
      <c r="C87" s="681">
        <v>37</v>
      </c>
      <c r="D87" s="681">
        <v>-0.1</v>
      </c>
      <c r="E87" s="681">
        <v>-0.5</v>
      </c>
      <c r="F87" s="679" t="s">
        <v>102</v>
      </c>
      <c r="G87" s="678">
        <f t="shared" si="21"/>
        <v>0.2</v>
      </c>
      <c r="I87" s="682">
        <v>6</v>
      </c>
      <c r="J87" s="681">
        <v>80</v>
      </c>
      <c r="K87" s="681">
        <v>-4.5</v>
      </c>
      <c r="L87" s="681">
        <v>-1.2</v>
      </c>
      <c r="M87" s="679" t="s">
        <v>102</v>
      </c>
      <c r="N87" s="678">
        <f t="shared" si="22"/>
        <v>1.65</v>
      </c>
      <c r="P87" s="682">
        <v>6</v>
      </c>
      <c r="Q87" s="681">
        <v>1005</v>
      </c>
      <c r="R87" s="680">
        <v>-3.4</v>
      </c>
      <c r="S87" s="680">
        <v>0.2</v>
      </c>
      <c r="T87" s="679" t="s">
        <v>102</v>
      </c>
      <c r="U87" s="678">
        <f t="shared" si="23"/>
        <v>1.8</v>
      </c>
    </row>
    <row r="88" spans="1:24" x14ac:dyDescent="0.25">
      <c r="A88" s="859"/>
      <c r="B88" s="682">
        <v>7</v>
      </c>
      <c r="C88" s="681">
        <v>40</v>
      </c>
      <c r="D88" s="681">
        <v>9.9999999999999995E-7</v>
      </c>
      <c r="E88" s="681">
        <v>-0.4</v>
      </c>
      <c r="F88" s="679" t="s">
        <v>102</v>
      </c>
      <c r="G88" s="678">
        <f t="shared" si="21"/>
        <v>0.2000005</v>
      </c>
      <c r="I88" s="682">
        <v>7</v>
      </c>
      <c r="J88" s="681">
        <v>90</v>
      </c>
      <c r="K88" s="681">
        <v>-4.9000000000000004</v>
      </c>
      <c r="L88" s="681">
        <v>-1.3</v>
      </c>
      <c r="M88" s="679" t="s">
        <v>102</v>
      </c>
      <c r="N88" s="678">
        <f t="shared" si="22"/>
        <v>1.8000000000000003</v>
      </c>
      <c r="P88" s="682">
        <v>7</v>
      </c>
      <c r="Q88" s="681">
        <v>1020</v>
      </c>
      <c r="R88" s="680">
        <v>-3.4</v>
      </c>
      <c r="S88" s="680">
        <v>9.9999999999999995E-7</v>
      </c>
      <c r="T88" s="679" t="s">
        <v>102</v>
      </c>
      <c r="U88" s="678">
        <f t="shared" si="23"/>
        <v>1.7000005</v>
      </c>
    </row>
    <row r="89" spans="1:24" ht="13.5" thickBot="1" x14ac:dyDescent="0.35">
      <c r="A89" s="697"/>
      <c r="B89" s="694"/>
      <c r="C89" s="694"/>
      <c r="D89" s="694"/>
      <c r="E89" s="695"/>
      <c r="G89" s="694"/>
      <c r="I89" s="694"/>
      <c r="J89" s="694"/>
      <c r="K89" s="694"/>
      <c r="L89" s="695"/>
      <c r="N89" s="694"/>
      <c r="R89" s="639"/>
    </row>
    <row r="90" spans="1:24" x14ac:dyDescent="0.25">
      <c r="A90" s="859">
        <v>9</v>
      </c>
      <c r="B90" s="858" t="s">
        <v>574</v>
      </c>
      <c r="C90" s="858"/>
      <c r="D90" s="858"/>
      <c r="E90" s="858"/>
      <c r="F90" s="858"/>
      <c r="G90" s="858"/>
      <c r="I90" s="858" t="str">
        <f>B90</f>
        <v>KOREKSI GREISINGER 34904091</v>
      </c>
      <c r="J90" s="858"/>
      <c r="K90" s="858"/>
      <c r="L90" s="858"/>
      <c r="M90" s="858"/>
      <c r="N90" s="858"/>
      <c r="P90" s="858" t="str">
        <f>I90</f>
        <v>KOREKSI GREISINGER 34904091</v>
      </c>
      <c r="Q90" s="858"/>
      <c r="R90" s="858"/>
      <c r="S90" s="858"/>
      <c r="T90" s="858"/>
      <c r="U90" s="858"/>
      <c r="W90" s="868" t="s">
        <v>537</v>
      </c>
      <c r="X90" s="869"/>
    </row>
    <row r="91" spans="1:24" ht="13" x14ac:dyDescent="0.25">
      <c r="A91" s="859"/>
      <c r="B91" s="857" t="s">
        <v>563</v>
      </c>
      <c r="C91" s="857"/>
      <c r="D91" s="857" t="s">
        <v>299</v>
      </c>
      <c r="E91" s="857"/>
      <c r="F91" s="857"/>
      <c r="G91" s="857" t="s">
        <v>564</v>
      </c>
      <c r="I91" s="857" t="s">
        <v>565</v>
      </c>
      <c r="J91" s="857"/>
      <c r="K91" s="857" t="s">
        <v>299</v>
      </c>
      <c r="L91" s="857"/>
      <c r="M91" s="857"/>
      <c r="N91" s="857" t="s">
        <v>564</v>
      </c>
      <c r="P91" s="857" t="s">
        <v>696</v>
      </c>
      <c r="Q91" s="857"/>
      <c r="R91" s="857" t="s">
        <v>299</v>
      </c>
      <c r="S91" s="857"/>
      <c r="T91" s="857"/>
      <c r="U91" s="857" t="s">
        <v>564</v>
      </c>
      <c r="W91" s="687" t="s">
        <v>563</v>
      </c>
      <c r="X91" s="686">
        <v>0.3</v>
      </c>
    </row>
    <row r="92" spans="1:24" ht="14.5" x14ac:dyDescent="0.25">
      <c r="A92" s="859"/>
      <c r="B92" s="855" t="s">
        <v>717</v>
      </c>
      <c r="C92" s="855"/>
      <c r="D92" s="688">
        <v>2019</v>
      </c>
      <c r="E92" s="689" t="s">
        <v>102</v>
      </c>
      <c r="F92" s="689" t="s">
        <v>102</v>
      </c>
      <c r="G92" s="857"/>
      <c r="I92" s="856" t="s">
        <v>566</v>
      </c>
      <c r="J92" s="855"/>
      <c r="K92" s="688">
        <f>D92</f>
        <v>2019</v>
      </c>
      <c r="L92" s="688" t="str">
        <f>E92</f>
        <v>-</v>
      </c>
      <c r="M92" s="688" t="str">
        <f>F92</f>
        <v>-</v>
      </c>
      <c r="N92" s="857"/>
      <c r="P92" s="856" t="s">
        <v>695</v>
      </c>
      <c r="Q92" s="855"/>
      <c r="R92" s="688">
        <f>K92</f>
        <v>2019</v>
      </c>
      <c r="S92" s="688" t="str">
        <f>L92</f>
        <v>-</v>
      </c>
      <c r="T92" s="688" t="str">
        <f>M92</f>
        <v>-</v>
      </c>
      <c r="U92" s="857"/>
      <c r="W92" s="687" t="s">
        <v>566</v>
      </c>
      <c r="X92" s="686">
        <v>2.4</v>
      </c>
    </row>
    <row r="93" spans="1:24" ht="13" thickBot="1" x14ac:dyDescent="0.3">
      <c r="A93" s="859"/>
      <c r="B93" s="682">
        <v>1</v>
      </c>
      <c r="C93" s="683">
        <v>15</v>
      </c>
      <c r="D93" s="683">
        <v>9.9999999999999995E-7</v>
      </c>
      <c r="E93" s="683" t="s">
        <v>102</v>
      </c>
      <c r="F93" s="679" t="s">
        <v>102</v>
      </c>
      <c r="G93" s="678">
        <f t="shared" ref="G93:G99" si="24">0.5*(MAX(D93:F93)-MIN(D93:F93))</f>
        <v>0</v>
      </c>
      <c r="I93" s="682">
        <v>1</v>
      </c>
      <c r="J93" s="683">
        <v>30</v>
      </c>
      <c r="K93" s="683">
        <v>-1.2</v>
      </c>
      <c r="L93" s="683" t="s">
        <v>102</v>
      </c>
      <c r="M93" s="679" t="s">
        <v>102</v>
      </c>
      <c r="N93" s="678">
        <f t="shared" ref="N93:N99" si="25">0.5*(MAX(K93:M93)-MIN(K93:M93))</f>
        <v>0</v>
      </c>
      <c r="P93" s="682">
        <v>1</v>
      </c>
      <c r="Q93" s="683">
        <v>750</v>
      </c>
      <c r="R93" s="679">
        <v>9.9999999999999995E-7</v>
      </c>
      <c r="S93" s="679" t="s">
        <v>102</v>
      </c>
      <c r="T93" s="679" t="s">
        <v>102</v>
      </c>
      <c r="U93" s="678">
        <f t="shared" ref="U93:U99" si="26">0.5*(MAX(R93:T93)-MIN(R93:T93))</f>
        <v>0</v>
      </c>
      <c r="W93" s="685" t="s">
        <v>695</v>
      </c>
      <c r="X93" s="684">
        <v>2.2000000000000002</v>
      </c>
    </row>
    <row r="94" spans="1:24" x14ac:dyDescent="0.25">
      <c r="A94" s="859"/>
      <c r="B94" s="682">
        <v>2</v>
      </c>
      <c r="C94" s="683">
        <v>20</v>
      </c>
      <c r="D94" s="683">
        <v>-0.2</v>
      </c>
      <c r="E94" s="683" t="s">
        <v>102</v>
      </c>
      <c r="F94" s="679" t="s">
        <v>102</v>
      </c>
      <c r="G94" s="678">
        <f t="shared" si="24"/>
        <v>0</v>
      </c>
      <c r="I94" s="682">
        <v>2</v>
      </c>
      <c r="J94" s="683">
        <v>40</v>
      </c>
      <c r="K94" s="683">
        <v>-1</v>
      </c>
      <c r="L94" s="683" t="s">
        <v>102</v>
      </c>
      <c r="M94" s="679" t="s">
        <v>102</v>
      </c>
      <c r="N94" s="678">
        <f t="shared" si="25"/>
        <v>0</v>
      </c>
      <c r="P94" s="682">
        <v>2</v>
      </c>
      <c r="Q94" s="683">
        <v>800</v>
      </c>
      <c r="R94" s="679">
        <v>9.9999999999999995E-7</v>
      </c>
      <c r="S94" s="679" t="s">
        <v>102</v>
      </c>
      <c r="T94" s="679" t="s">
        <v>102</v>
      </c>
      <c r="U94" s="678">
        <f t="shared" si="26"/>
        <v>0</v>
      </c>
    </row>
    <row r="95" spans="1:24" x14ac:dyDescent="0.25">
      <c r="A95" s="859"/>
      <c r="B95" s="682">
        <v>3</v>
      </c>
      <c r="C95" s="683">
        <v>25</v>
      </c>
      <c r="D95" s="683">
        <v>-0.4</v>
      </c>
      <c r="E95" s="683" t="s">
        <v>102</v>
      </c>
      <c r="F95" s="679" t="s">
        <v>102</v>
      </c>
      <c r="G95" s="678">
        <f t="shared" si="24"/>
        <v>0</v>
      </c>
      <c r="I95" s="682">
        <v>3</v>
      </c>
      <c r="J95" s="683">
        <v>50</v>
      </c>
      <c r="K95" s="683">
        <v>-0.9</v>
      </c>
      <c r="L95" s="683" t="s">
        <v>102</v>
      </c>
      <c r="M95" s="679" t="s">
        <v>102</v>
      </c>
      <c r="N95" s="678">
        <f t="shared" si="25"/>
        <v>0</v>
      </c>
      <c r="P95" s="682">
        <v>3</v>
      </c>
      <c r="Q95" s="683">
        <v>850</v>
      </c>
      <c r="R95" s="679">
        <v>9.9999999999999995E-7</v>
      </c>
      <c r="S95" s="679" t="s">
        <v>102</v>
      </c>
      <c r="T95" s="679" t="s">
        <v>102</v>
      </c>
      <c r="U95" s="678">
        <f t="shared" si="26"/>
        <v>0</v>
      </c>
    </row>
    <row r="96" spans="1:24" x14ac:dyDescent="0.25">
      <c r="A96" s="859"/>
      <c r="B96" s="682">
        <v>4</v>
      </c>
      <c r="C96" s="681">
        <v>30</v>
      </c>
      <c r="D96" s="683">
        <v>-0.5</v>
      </c>
      <c r="E96" s="680" t="s">
        <v>102</v>
      </c>
      <c r="F96" s="679" t="s">
        <v>102</v>
      </c>
      <c r="G96" s="678">
        <f t="shared" si="24"/>
        <v>0</v>
      </c>
      <c r="I96" s="682">
        <v>4</v>
      </c>
      <c r="J96" s="681">
        <v>60</v>
      </c>
      <c r="K96" s="683">
        <v>-0.8</v>
      </c>
      <c r="L96" s="680" t="s">
        <v>102</v>
      </c>
      <c r="M96" s="679" t="s">
        <v>102</v>
      </c>
      <c r="N96" s="678">
        <f t="shared" si="25"/>
        <v>0</v>
      </c>
      <c r="P96" s="682">
        <v>4</v>
      </c>
      <c r="Q96" s="681">
        <v>900</v>
      </c>
      <c r="R96" s="679">
        <v>9.9999999999999995E-7</v>
      </c>
      <c r="S96" s="680" t="s">
        <v>102</v>
      </c>
      <c r="T96" s="679" t="s">
        <v>102</v>
      </c>
      <c r="U96" s="678">
        <f t="shared" si="26"/>
        <v>0</v>
      </c>
    </row>
    <row r="97" spans="1:28" x14ac:dyDescent="0.25">
      <c r="A97" s="859"/>
      <c r="B97" s="682">
        <v>5</v>
      </c>
      <c r="C97" s="681">
        <v>35</v>
      </c>
      <c r="D97" s="683">
        <v>-0.5</v>
      </c>
      <c r="E97" s="680" t="s">
        <v>102</v>
      </c>
      <c r="F97" s="679" t="s">
        <v>102</v>
      </c>
      <c r="G97" s="678">
        <f t="shared" si="24"/>
        <v>0</v>
      </c>
      <c r="I97" s="682">
        <v>5</v>
      </c>
      <c r="J97" s="681">
        <v>70</v>
      </c>
      <c r="K97" s="683">
        <v>-0.6</v>
      </c>
      <c r="L97" s="680" t="s">
        <v>102</v>
      </c>
      <c r="M97" s="679" t="s">
        <v>102</v>
      </c>
      <c r="N97" s="678">
        <f t="shared" si="25"/>
        <v>0</v>
      </c>
      <c r="P97" s="682">
        <v>5</v>
      </c>
      <c r="Q97" s="681">
        <v>1000</v>
      </c>
      <c r="R97" s="680">
        <v>0.2</v>
      </c>
      <c r="S97" s="680" t="s">
        <v>102</v>
      </c>
      <c r="T97" s="679" t="s">
        <v>102</v>
      </c>
      <c r="U97" s="678">
        <f t="shared" si="26"/>
        <v>0</v>
      </c>
    </row>
    <row r="98" spans="1:28" x14ac:dyDescent="0.25">
      <c r="A98" s="859"/>
      <c r="B98" s="682">
        <v>6</v>
      </c>
      <c r="C98" s="681">
        <v>37</v>
      </c>
      <c r="D98" s="683">
        <v>-0.5</v>
      </c>
      <c r="E98" s="680" t="s">
        <v>102</v>
      </c>
      <c r="F98" s="679" t="s">
        <v>102</v>
      </c>
      <c r="G98" s="678">
        <f t="shared" si="24"/>
        <v>0</v>
      </c>
      <c r="I98" s="682">
        <v>6</v>
      </c>
      <c r="J98" s="681">
        <v>80</v>
      </c>
      <c r="K98" s="683">
        <v>-0.5</v>
      </c>
      <c r="L98" s="680" t="s">
        <v>102</v>
      </c>
      <c r="M98" s="679" t="s">
        <v>102</v>
      </c>
      <c r="N98" s="678">
        <f t="shared" si="25"/>
        <v>0</v>
      </c>
      <c r="P98" s="682">
        <v>6</v>
      </c>
      <c r="Q98" s="681">
        <v>1005</v>
      </c>
      <c r="R98" s="680">
        <v>0.2</v>
      </c>
      <c r="S98" s="680" t="s">
        <v>102</v>
      </c>
      <c r="T98" s="679" t="s">
        <v>102</v>
      </c>
      <c r="U98" s="678">
        <f t="shared" si="26"/>
        <v>0</v>
      </c>
    </row>
    <row r="99" spans="1:28" x14ac:dyDescent="0.25">
      <c r="A99" s="859"/>
      <c r="B99" s="682">
        <v>7</v>
      </c>
      <c r="C99" s="681">
        <v>40</v>
      </c>
      <c r="D99" s="683">
        <v>-0.4</v>
      </c>
      <c r="E99" s="680" t="s">
        <v>102</v>
      </c>
      <c r="F99" s="679" t="s">
        <v>102</v>
      </c>
      <c r="G99" s="678">
        <f t="shared" si="24"/>
        <v>0</v>
      </c>
      <c r="I99" s="682">
        <v>7</v>
      </c>
      <c r="J99" s="681">
        <v>90</v>
      </c>
      <c r="K99" s="683">
        <v>-0.2</v>
      </c>
      <c r="L99" s="680" t="s">
        <v>102</v>
      </c>
      <c r="M99" s="679" t="s">
        <v>102</v>
      </c>
      <c r="N99" s="678">
        <f t="shared" si="25"/>
        <v>0</v>
      </c>
      <c r="P99" s="682">
        <v>7</v>
      </c>
      <c r="Q99" s="681">
        <v>1020</v>
      </c>
      <c r="R99" s="680">
        <v>9.9999999999999995E-7</v>
      </c>
      <c r="S99" s="680" t="s">
        <v>102</v>
      </c>
      <c r="T99" s="679" t="s">
        <v>102</v>
      </c>
      <c r="U99" s="678">
        <f t="shared" si="26"/>
        <v>0</v>
      </c>
    </row>
    <row r="100" spans="1:28" ht="13.5" thickBot="1" x14ac:dyDescent="0.35">
      <c r="A100" s="697"/>
      <c r="B100" s="694"/>
      <c r="C100" s="694"/>
      <c r="D100" s="694"/>
      <c r="E100" s="695"/>
      <c r="G100" s="694"/>
      <c r="I100" s="694"/>
      <c r="J100" s="694"/>
      <c r="K100" s="694"/>
      <c r="L100" s="695"/>
      <c r="N100" s="694"/>
      <c r="R100" s="639"/>
      <c r="AB100" s="696"/>
    </row>
    <row r="101" spans="1:28" x14ac:dyDescent="0.25">
      <c r="A101" s="859">
        <v>10</v>
      </c>
      <c r="B101" s="858" t="s">
        <v>575</v>
      </c>
      <c r="C101" s="858"/>
      <c r="D101" s="858"/>
      <c r="E101" s="858"/>
      <c r="F101" s="858"/>
      <c r="G101" s="858"/>
      <c r="I101" s="858" t="str">
        <f>B101</f>
        <v>KOREKSI Sekonic HE-21.000669</v>
      </c>
      <c r="J101" s="858"/>
      <c r="K101" s="858"/>
      <c r="L101" s="858"/>
      <c r="M101" s="858"/>
      <c r="N101" s="858"/>
      <c r="P101" s="858" t="str">
        <f>I101</f>
        <v>KOREKSI Sekonic HE-21.000669</v>
      </c>
      <c r="Q101" s="858"/>
      <c r="R101" s="858"/>
      <c r="S101" s="858"/>
      <c r="T101" s="858"/>
      <c r="U101" s="858"/>
      <c r="W101" s="868" t="s">
        <v>537</v>
      </c>
      <c r="X101" s="869"/>
    </row>
    <row r="102" spans="1:28" ht="13" x14ac:dyDescent="0.25">
      <c r="A102" s="859"/>
      <c r="B102" s="857" t="s">
        <v>563</v>
      </c>
      <c r="C102" s="857"/>
      <c r="D102" s="857" t="s">
        <v>299</v>
      </c>
      <c r="E102" s="857"/>
      <c r="F102" s="857"/>
      <c r="G102" s="857" t="s">
        <v>564</v>
      </c>
      <c r="I102" s="857" t="s">
        <v>565</v>
      </c>
      <c r="J102" s="857"/>
      <c r="K102" s="857" t="s">
        <v>299</v>
      </c>
      <c r="L102" s="857"/>
      <c r="M102" s="857"/>
      <c r="N102" s="857" t="s">
        <v>564</v>
      </c>
      <c r="P102" s="857" t="s">
        <v>696</v>
      </c>
      <c r="Q102" s="857"/>
      <c r="R102" s="857" t="s">
        <v>299</v>
      </c>
      <c r="S102" s="857"/>
      <c r="T102" s="857"/>
      <c r="U102" s="857" t="s">
        <v>564</v>
      </c>
      <c r="W102" s="687" t="s">
        <v>563</v>
      </c>
      <c r="X102" s="686">
        <v>0.3</v>
      </c>
    </row>
    <row r="103" spans="1:28" ht="14.5" x14ac:dyDescent="0.25">
      <c r="A103" s="859"/>
      <c r="B103" s="855" t="s">
        <v>717</v>
      </c>
      <c r="C103" s="855"/>
      <c r="D103" s="688">
        <v>2019</v>
      </c>
      <c r="E103" s="688">
        <v>2016</v>
      </c>
      <c r="F103" s="689" t="s">
        <v>102</v>
      </c>
      <c r="G103" s="857"/>
      <c r="I103" s="856" t="s">
        <v>566</v>
      </c>
      <c r="J103" s="855"/>
      <c r="K103" s="688">
        <f>D103</f>
        <v>2019</v>
      </c>
      <c r="L103" s="688">
        <f>E103</f>
        <v>2016</v>
      </c>
      <c r="M103" s="688" t="str">
        <f>F103</f>
        <v>-</v>
      </c>
      <c r="N103" s="857"/>
      <c r="P103" s="856" t="s">
        <v>695</v>
      </c>
      <c r="Q103" s="855"/>
      <c r="R103" s="688">
        <f>K103</f>
        <v>2019</v>
      </c>
      <c r="S103" s="688">
        <f>L103</f>
        <v>2016</v>
      </c>
      <c r="T103" s="688" t="str">
        <f>M103</f>
        <v>-</v>
      </c>
      <c r="U103" s="857"/>
      <c r="W103" s="687" t="s">
        <v>566</v>
      </c>
      <c r="X103" s="686">
        <v>1.5</v>
      </c>
    </row>
    <row r="104" spans="1:28" ht="13" thickBot="1" x14ac:dyDescent="0.3">
      <c r="A104" s="859"/>
      <c r="B104" s="682">
        <v>1</v>
      </c>
      <c r="C104" s="683">
        <v>15</v>
      </c>
      <c r="D104" s="683">
        <v>0.2</v>
      </c>
      <c r="E104" s="683">
        <v>0.2</v>
      </c>
      <c r="F104" s="679" t="s">
        <v>102</v>
      </c>
      <c r="G104" s="678">
        <f t="shared" ref="G104:G110" si="27">0.5*(MAX(D104:F104)-MIN(D104:F104))</f>
        <v>0</v>
      </c>
      <c r="I104" s="682">
        <v>1</v>
      </c>
      <c r="J104" s="683">
        <v>30</v>
      </c>
      <c r="K104" s="683">
        <v>-2.9</v>
      </c>
      <c r="L104" s="683">
        <v>-5.8</v>
      </c>
      <c r="M104" s="679" t="s">
        <v>102</v>
      </c>
      <c r="N104" s="678">
        <f t="shared" ref="N104:N110" si="28">0.5*(MAX(K104:M104)-MIN(K104:M104))</f>
        <v>1.45</v>
      </c>
      <c r="P104" s="682">
        <v>1</v>
      </c>
      <c r="Q104" s="683">
        <v>750</v>
      </c>
      <c r="R104" s="679" t="s">
        <v>102</v>
      </c>
      <c r="S104" s="679" t="s">
        <v>102</v>
      </c>
      <c r="T104" s="679" t="s">
        <v>102</v>
      </c>
      <c r="U104" s="678">
        <f t="shared" ref="U104:U110" si="29">0.5*(MAX(R104:T104)-MIN(R104:T104))</f>
        <v>0</v>
      </c>
      <c r="W104" s="685" t="s">
        <v>695</v>
      </c>
      <c r="X104" s="684">
        <v>0</v>
      </c>
    </row>
    <row r="105" spans="1:28" x14ac:dyDescent="0.25">
      <c r="A105" s="859"/>
      <c r="B105" s="682">
        <v>2</v>
      </c>
      <c r="C105" s="683">
        <v>20</v>
      </c>
      <c r="D105" s="683">
        <v>0.2</v>
      </c>
      <c r="E105" s="683">
        <v>-0.7</v>
      </c>
      <c r="F105" s="679" t="s">
        <v>102</v>
      </c>
      <c r="G105" s="678">
        <f t="shared" si="27"/>
        <v>0.44999999999999996</v>
      </c>
      <c r="I105" s="682">
        <v>2</v>
      </c>
      <c r="J105" s="683">
        <v>40</v>
      </c>
      <c r="K105" s="683">
        <v>-3.3</v>
      </c>
      <c r="L105" s="683">
        <v>-6.4</v>
      </c>
      <c r="M105" s="679" t="s">
        <v>102</v>
      </c>
      <c r="N105" s="678">
        <f t="shared" si="28"/>
        <v>1.5500000000000003</v>
      </c>
      <c r="P105" s="682">
        <v>2</v>
      </c>
      <c r="Q105" s="683">
        <v>800</v>
      </c>
      <c r="R105" s="679" t="s">
        <v>102</v>
      </c>
      <c r="S105" s="679" t="s">
        <v>102</v>
      </c>
      <c r="T105" s="679" t="s">
        <v>102</v>
      </c>
      <c r="U105" s="678">
        <f t="shared" si="29"/>
        <v>0</v>
      </c>
    </row>
    <row r="106" spans="1:28" x14ac:dyDescent="0.25">
      <c r="A106" s="859"/>
      <c r="B106" s="682">
        <v>3</v>
      </c>
      <c r="C106" s="683">
        <v>25</v>
      </c>
      <c r="D106" s="683">
        <v>0.1</v>
      </c>
      <c r="E106" s="683">
        <v>-0.5</v>
      </c>
      <c r="F106" s="679" t="s">
        <v>102</v>
      </c>
      <c r="G106" s="678">
        <f t="shared" si="27"/>
        <v>0.3</v>
      </c>
      <c r="I106" s="682">
        <v>3</v>
      </c>
      <c r="J106" s="683">
        <v>50</v>
      </c>
      <c r="K106" s="683">
        <v>-3.1</v>
      </c>
      <c r="L106" s="683">
        <v>-6.1</v>
      </c>
      <c r="M106" s="679" t="s">
        <v>102</v>
      </c>
      <c r="N106" s="678">
        <f t="shared" si="28"/>
        <v>1.4999999999999998</v>
      </c>
      <c r="P106" s="682">
        <v>3</v>
      </c>
      <c r="Q106" s="683">
        <v>850</v>
      </c>
      <c r="R106" s="679" t="s">
        <v>102</v>
      </c>
      <c r="S106" s="679" t="s">
        <v>102</v>
      </c>
      <c r="T106" s="679" t="s">
        <v>102</v>
      </c>
      <c r="U106" s="678">
        <f t="shared" si="29"/>
        <v>0</v>
      </c>
    </row>
    <row r="107" spans="1:28" x14ac:dyDescent="0.25">
      <c r="A107" s="859"/>
      <c r="B107" s="682">
        <v>4</v>
      </c>
      <c r="C107" s="681">
        <v>30</v>
      </c>
      <c r="D107" s="681">
        <v>0.1</v>
      </c>
      <c r="E107" s="681">
        <v>0.2</v>
      </c>
      <c r="F107" s="679" t="s">
        <v>102</v>
      </c>
      <c r="G107" s="678">
        <f t="shared" si="27"/>
        <v>0.05</v>
      </c>
      <c r="I107" s="682">
        <v>4</v>
      </c>
      <c r="J107" s="681">
        <v>60</v>
      </c>
      <c r="K107" s="681">
        <v>-2.1</v>
      </c>
      <c r="L107" s="681">
        <v>-5.6</v>
      </c>
      <c r="M107" s="679" t="s">
        <v>102</v>
      </c>
      <c r="N107" s="678">
        <f t="shared" si="28"/>
        <v>1.7499999999999998</v>
      </c>
      <c r="P107" s="682">
        <v>4</v>
      </c>
      <c r="Q107" s="681">
        <v>900</v>
      </c>
      <c r="R107" s="680" t="s">
        <v>102</v>
      </c>
      <c r="S107" s="680" t="s">
        <v>102</v>
      </c>
      <c r="T107" s="679" t="s">
        <v>102</v>
      </c>
      <c r="U107" s="678">
        <f t="shared" si="29"/>
        <v>0</v>
      </c>
    </row>
    <row r="108" spans="1:28" x14ac:dyDescent="0.25">
      <c r="A108" s="859"/>
      <c r="B108" s="682">
        <v>5</v>
      </c>
      <c r="C108" s="681">
        <v>35</v>
      </c>
      <c r="D108" s="681">
        <v>0.2</v>
      </c>
      <c r="E108" s="681">
        <v>0.8</v>
      </c>
      <c r="F108" s="679" t="s">
        <v>102</v>
      </c>
      <c r="G108" s="678">
        <f t="shared" si="27"/>
        <v>0.30000000000000004</v>
      </c>
      <c r="I108" s="682">
        <v>5</v>
      </c>
      <c r="J108" s="681">
        <v>70</v>
      </c>
      <c r="K108" s="681">
        <v>-0.3</v>
      </c>
      <c r="L108" s="681">
        <v>-5.0999999999999996</v>
      </c>
      <c r="M108" s="679" t="s">
        <v>102</v>
      </c>
      <c r="N108" s="678">
        <f t="shared" si="28"/>
        <v>2.4</v>
      </c>
      <c r="P108" s="682">
        <v>5</v>
      </c>
      <c r="Q108" s="681">
        <v>1000</v>
      </c>
      <c r="R108" s="680" t="s">
        <v>102</v>
      </c>
      <c r="S108" s="680" t="s">
        <v>102</v>
      </c>
      <c r="T108" s="679" t="s">
        <v>102</v>
      </c>
      <c r="U108" s="678">
        <f t="shared" si="29"/>
        <v>0</v>
      </c>
    </row>
    <row r="109" spans="1:28" x14ac:dyDescent="0.25">
      <c r="A109" s="859"/>
      <c r="B109" s="682">
        <v>6</v>
      </c>
      <c r="C109" s="681">
        <v>37</v>
      </c>
      <c r="D109" s="681">
        <v>0.2</v>
      </c>
      <c r="E109" s="681">
        <v>0.4</v>
      </c>
      <c r="F109" s="679" t="s">
        <v>102</v>
      </c>
      <c r="G109" s="678">
        <f t="shared" si="27"/>
        <v>0.1</v>
      </c>
      <c r="I109" s="682">
        <v>6</v>
      </c>
      <c r="J109" s="681">
        <v>80</v>
      </c>
      <c r="K109" s="681">
        <v>2.2000000000000002</v>
      </c>
      <c r="L109" s="681">
        <v>-4.7</v>
      </c>
      <c r="M109" s="679" t="s">
        <v>102</v>
      </c>
      <c r="N109" s="678">
        <f t="shared" si="28"/>
        <v>3.45</v>
      </c>
      <c r="P109" s="682">
        <v>6</v>
      </c>
      <c r="Q109" s="681">
        <v>1005</v>
      </c>
      <c r="R109" s="680" t="s">
        <v>102</v>
      </c>
      <c r="S109" s="680" t="s">
        <v>102</v>
      </c>
      <c r="T109" s="679" t="s">
        <v>102</v>
      </c>
      <c r="U109" s="678">
        <f t="shared" si="29"/>
        <v>0</v>
      </c>
    </row>
    <row r="110" spans="1:28" ht="13" thickBot="1" x14ac:dyDescent="0.3">
      <c r="A110" s="859"/>
      <c r="B110" s="682">
        <v>7</v>
      </c>
      <c r="C110" s="681">
        <v>40</v>
      </c>
      <c r="D110" s="683">
        <v>0.2</v>
      </c>
      <c r="E110" s="683">
        <v>9.9999999999999995E-7</v>
      </c>
      <c r="F110" s="679" t="s">
        <v>102</v>
      </c>
      <c r="G110" s="678">
        <f t="shared" si="27"/>
        <v>9.9999500000000005E-2</v>
      </c>
      <c r="I110" s="682">
        <v>7</v>
      </c>
      <c r="J110" s="681">
        <v>90</v>
      </c>
      <c r="K110" s="681">
        <v>5.4</v>
      </c>
      <c r="L110" s="681">
        <v>9.9999999999999995E-7</v>
      </c>
      <c r="M110" s="679" t="s">
        <v>102</v>
      </c>
      <c r="N110" s="678">
        <f t="shared" si="28"/>
        <v>2.6999995000000001</v>
      </c>
      <c r="P110" s="682">
        <v>7</v>
      </c>
      <c r="Q110" s="681">
        <v>1020</v>
      </c>
      <c r="R110" s="680" t="s">
        <v>102</v>
      </c>
      <c r="S110" s="680" t="s">
        <v>102</v>
      </c>
      <c r="T110" s="679" t="s">
        <v>102</v>
      </c>
      <c r="U110" s="678">
        <f t="shared" si="29"/>
        <v>0</v>
      </c>
    </row>
    <row r="111" spans="1:28" ht="13.5" thickBot="1" x14ac:dyDescent="0.35">
      <c r="A111" s="697"/>
      <c r="B111" s="694"/>
      <c r="C111" s="694"/>
      <c r="D111" s="694"/>
      <c r="E111" s="695"/>
      <c r="F111" s="694"/>
      <c r="G111" s="696"/>
      <c r="H111" s="694"/>
      <c r="I111" s="694"/>
      <c r="J111" s="694"/>
      <c r="K111" s="695"/>
      <c r="L111" s="694"/>
      <c r="M111" s="696"/>
      <c r="O111" s="623"/>
      <c r="P111" s="639"/>
    </row>
    <row r="112" spans="1:28" x14ac:dyDescent="0.25">
      <c r="A112" s="859">
        <v>11</v>
      </c>
      <c r="B112" s="858" t="s">
        <v>576</v>
      </c>
      <c r="C112" s="858"/>
      <c r="D112" s="858"/>
      <c r="E112" s="858"/>
      <c r="F112" s="858"/>
      <c r="G112" s="858"/>
      <c r="I112" s="858" t="str">
        <f>B112</f>
        <v>KOREKSI Sekonic HE-21.000670</v>
      </c>
      <c r="J112" s="858"/>
      <c r="K112" s="858"/>
      <c r="L112" s="858"/>
      <c r="M112" s="858"/>
      <c r="N112" s="858"/>
      <c r="P112" s="858" t="str">
        <f>I112</f>
        <v>KOREKSI Sekonic HE-21.000670</v>
      </c>
      <c r="Q112" s="858"/>
      <c r="R112" s="858"/>
      <c r="S112" s="858"/>
      <c r="T112" s="858"/>
      <c r="U112" s="858"/>
      <c r="W112" s="868" t="s">
        <v>537</v>
      </c>
      <c r="X112" s="869"/>
      <c r="AB112" s="623"/>
    </row>
    <row r="113" spans="1:24" ht="13" x14ac:dyDescent="0.25">
      <c r="A113" s="859"/>
      <c r="B113" s="857" t="s">
        <v>563</v>
      </c>
      <c r="C113" s="857"/>
      <c r="D113" s="857" t="s">
        <v>299</v>
      </c>
      <c r="E113" s="857"/>
      <c r="F113" s="857"/>
      <c r="G113" s="857" t="s">
        <v>564</v>
      </c>
      <c r="I113" s="857" t="s">
        <v>565</v>
      </c>
      <c r="J113" s="857"/>
      <c r="K113" s="857" t="s">
        <v>299</v>
      </c>
      <c r="L113" s="857"/>
      <c r="M113" s="857"/>
      <c r="N113" s="857" t="s">
        <v>564</v>
      </c>
      <c r="P113" s="857" t="s">
        <v>696</v>
      </c>
      <c r="Q113" s="857"/>
      <c r="R113" s="857" t="s">
        <v>299</v>
      </c>
      <c r="S113" s="857"/>
      <c r="T113" s="857"/>
      <c r="U113" s="857" t="s">
        <v>564</v>
      </c>
      <c r="W113" s="687" t="s">
        <v>563</v>
      </c>
      <c r="X113" s="686">
        <v>0.3</v>
      </c>
    </row>
    <row r="114" spans="1:24" ht="14.5" x14ac:dyDescent="0.25">
      <c r="A114" s="859"/>
      <c r="B114" s="855" t="s">
        <v>717</v>
      </c>
      <c r="C114" s="855"/>
      <c r="D114" s="688">
        <v>2020</v>
      </c>
      <c r="E114" s="689">
        <v>2016</v>
      </c>
      <c r="F114" s="689" t="s">
        <v>102</v>
      </c>
      <c r="G114" s="857"/>
      <c r="I114" s="856" t="s">
        <v>566</v>
      </c>
      <c r="J114" s="855"/>
      <c r="K114" s="688">
        <f>D114</f>
        <v>2020</v>
      </c>
      <c r="L114" s="688">
        <f>E114</f>
        <v>2016</v>
      </c>
      <c r="M114" s="688" t="str">
        <f>F114</f>
        <v>-</v>
      </c>
      <c r="N114" s="857"/>
      <c r="P114" s="856" t="s">
        <v>695</v>
      </c>
      <c r="Q114" s="855"/>
      <c r="R114" s="688">
        <f>K114</f>
        <v>2020</v>
      </c>
      <c r="S114" s="688">
        <f>L114</f>
        <v>2016</v>
      </c>
      <c r="T114" s="688" t="str">
        <f>M114</f>
        <v>-</v>
      </c>
      <c r="U114" s="857"/>
      <c r="W114" s="687" t="s">
        <v>566</v>
      </c>
      <c r="X114" s="686">
        <v>1.8</v>
      </c>
    </row>
    <row r="115" spans="1:24" ht="13" thickBot="1" x14ac:dyDescent="0.3">
      <c r="A115" s="859"/>
      <c r="B115" s="682">
        <v>1</v>
      </c>
      <c r="C115" s="683">
        <v>15</v>
      </c>
      <c r="D115" s="683">
        <v>0.3</v>
      </c>
      <c r="E115" s="683">
        <v>0.3</v>
      </c>
      <c r="F115" s="679" t="s">
        <v>102</v>
      </c>
      <c r="G115" s="678">
        <f t="shared" ref="G115:G121" si="30">0.5*(MAX(D115:F115)-MIN(D115:F115))</f>
        <v>0</v>
      </c>
      <c r="I115" s="682">
        <v>1</v>
      </c>
      <c r="J115" s="683">
        <v>30</v>
      </c>
      <c r="K115" s="683">
        <v>-5.2</v>
      </c>
      <c r="L115" s="683">
        <v>-6.4</v>
      </c>
      <c r="M115" s="679" t="s">
        <v>102</v>
      </c>
      <c r="N115" s="678">
        <f t="shared" ref="N115:N121" si="31">0.5*(MAX(K115:M115)-MIN(K115:M115))</f>
        <v>0.60000000000000009</v>
      </c>
      <c r="P115" s="682">
        <v>1</v>
      </c>
      <c r="Q115" s="683">
        <v>750</v>
      </c>
      <c r="R115" s="679" t="s">
        <v>102</v>
      </c>
      <c r="S115" s="683" t="s">
        <v>102</v>
      </c>
      <c r="T115" s="679" t="s">
        <v>102</v>
      </c>
      <c r="U115" s="678">
        <f t="shared" ref="U115:U121" si="32">0.5*(MAX(R115:T115)-MIN(R115:T115))</f>
        <v>0</v>
      </c>
      <c r="W115" s="685" t="s">
        <v>695</v>
      </c>
      <c r="X115" s="684">
        <v>0</v>
      </c>
    </row>
    <row r="116" spans="1:24" x14ac:dyDescent="0.25">
      <c r="A116" s="859"/>
      <c r="B116" s="682">
        <v>2</v>
      </c>
      <c r="C116" s="683">
        <v>20</v>
      </c>
      <c r="D116" s="683">
        <v>0.4</v>
      </c>
      <c r="E116" s="683">
        <v>0.5</v>
      </c>
      <c r="F116" s="679" t="s">
        <v>102</v>
      </c>
      <c r="G116" s="678">
        <f t="shared" si="30"/>
        <v>4.9999999999999989E-2</v>
      </c>
      <c r="I116" s="682">
        <v>2</v>
      </c>
      <c r="J116" s="683">
        <v>40</v>
      </c>
      <c r="K116" s="683">
        <v>-5.5</v>
      </c>
      <c r="L116" s="683">
        <v>-5.9</v>
      </c>
      <c r="M116" s="679" t="s">
        <v>102</v>
      </c>
      <c r="N116" s="678">
        <f t="shared" si="31"/>
        <v>0.20000000000000018</v>
      </c>
      <c r="P116" s="682">
        <v>2</v>
      </c>
      <c r="Q116" s="683">
        <v>800</v>
      </c>
      <c r="R116" s="679" t="s">
        <v>102</v>
      </c>
      <c r="S116" s="683" t="s">
        <v>102</v>
      </c>
      <c r="T116" s="679" t="s">
        <v>102</v>
      </c>
      <c r="U116" s="678">
        <f t="shared" si="32"/>
        <v>0</v>
      </c>
    </row>
    <row r="117" spans="1:24" x14ac:dyDescent="0.25">
      <c r="A117" s="859"/>
      <c r="B117" s="682">
        <v>3</v>
      </c>
      <c r="C117" s="683">
        <v>25</v>
      </c>
      <c r="D117" s="683">
        <v>0.4</v>
      </c>
      <c r="E117" s="683">
        <v>0.5</v>
      </c>
      <c r="F117" s="679" t="s">
        <v>102</v>
      </c>
      <c r="G117" s="678">
        <f t="shared" si="30"/>
        <v>4.9999999999999989E-2</v>
      </c>
      <c r="I117" s="682">
        <v>3</v>
      </c>
      <c r="J117" s="683">
        <v>50</v>
      </c>
      <c r="K117" s="683">
        <v>-5.5</v>
      </c>
      <c r="L117" s="683">
        <v>-5.6</v>
      </c>
      <c r="M117" s="679" t="s">
        <v>102</v>
      </c>
      <c r="N117" s="678">
        <f t="shared" si="31"/>
        <v>4.9999999999999822E-2</v>
      </c>
      <c r="P117" s="682">
        <v>3</v>
      </c>
      <c r="Q117" s="683">
        <v>850</v>
      </c>
      <c r="R117" s="679" t="s">
        <v>102</v>
      </c>
      <c r="S117" s="683" t="s">
        <v>102</v>
      </c>
      <c r="T117" s="679" t="s">
        <v>102</v>
      </c>
      <c r="U117" s="678">
        <f t="shared" si="32"/>
        <v>0</v>
      </c>
    </row>
    <row r="118" spans="1:24" x14ac:dyDescent="0.25">
      <c r="A118" s="859"/>
      <c r="B118" s="682">
        <v>4</v>
      </c>
      <c r="C118" s="681">
        <v>30</v>
      </c>
      <c r="D118" s="681">
        <v>0.5</v>
      </c>
      <c r="E118" s="681">
        <v>0.4</v>
      </c>
      <c r="F118" s="679" t="s">
        <v>102</v>
      </c>
      <c r="G118" s="678">
        <f t="shared" si="30"/>
        <v>4.9999999999999989E-2</v>
      </c>
      <c r="I118" s="682">
        <v>4</v>
      </c>
      <c r="J118" s="681">
        <v>60</v>
      </c>
      <c r="K118" s="681">
        <v>-4.8</v>
      </c>
      <c r="L118" s="681">
        <v>-4.5</v>
      </c>
      <c r="M118" s="679" t="s">
        <v>102</v>
      </c>
      <c r="N118" s="678">
        <f t="shared" si="31"/>
        <v>0.14999999999999991</v>
      </c>
      <c r="P118" s="682">
        <v>4</v>
      </c>
      <c r="Q118" s="681">
        <v>900</v>
      </c>
      <c r="R118" s="680" t="s">
        <v>102</v>
      </c>
      <c r="S118" s="680" t="s">
        <v>102</v>
      </c>
      <c r="T118" s="679" t="s">
        <v>102</v>
      </c>
      <c r="U118" s="678">
        <f t="shared" si="32"/>
        <v>0</v>
      </c>
    </row>
    <row r="119" spans="1:24" x14ac:dyDescent="0.25">
      <c r="A119" s="859"/>
      <c r="B119" s="682">
        <v>5</v>
      </c>
      <c r="C119" s="681">
        <v>35</v>
      </c>
      <c r="D119" s="681">
        <v>0.5</v>
      </c>
      <c r="E119" s="681">
        <v>0.4</v>
      </c>
      <c r="F119" s="679" t="s">
        <v>102</v>
      </c>
      <c r="G119" s="678">
        <f t="shared" si="30"/>
        <v>4.9999999999999989E-2</v>
      </c>
      <c r="I119" s="682">
        <v>5</v>
      </c>
      <c r="J119" s="681">
        <v>70</v>
      </c>
      <c r="K119" s="681">
        <v>-3.4</v>
      </c>
      <c r="L119" s="681">
        <v>-1.7</v>
      </c>
      <c r="M119" s="679" t="s">
        <v>102</v>
      </c>
      <c r="N119" s="678">
        <f t="shared" si="31"/>
        <v>0.85</v>
      </c>
      <c r="P119" s="682">
        <v>5</v>
      </c>
      <c r="Q119" s="681">
        <v>1000</v>
      </c>
      <c r="R119" s="680" t="s">
        <v>102</v>
      </c>
      <c r="S119" s="680" t="s">
        <v>102</v>
      </c>
      <c r="T119" s="679" t="s">
        <v>102</v>
      </c>
      <c r="U119" s="678">
        <f t="shared" si="32"/>
        <v>0</v>
      </c>
    </row>
    <row r="120" spans="1:24" x14ac:dyDescent="0.25">
      <c r="A120" s="859"/>
      <c r="B120" s="682">
        <v>6</v>
      </c>
      <c r="C120" s="681">
        <v>37</v>
      </c>
      <c r="D120" s="681">
        <v>0.5</v>
      </c>
      <c r="E120" s="681">
        <v>0.5</v>
      </c>
      <c r="F120" s="679" t="s">
        <v>102</v>
      </c>
      <c r="G120" s="678">
        <f t="shared" si="30"/>
        <v>0</v>
      </c>
      <c r="I120" s="682">
        <v>6</v>
      </c>
      <c r="J120" s="681">
        <v>80</v>
      </c>
      <c r="K120" s="681">
        <v>-1.4</v>
      </c>
      <c r="L120" s="681">
        <v>2.6</v>
      </c>
      <c r="M120" s="679" t="s">
        <v>102</v>
      </c>
      <c r="N120" s="678">
        <f t="shared" si="31"/>
        <v>2</v>
      </c>
      <c r="P120" s="682">
        <v>6</v>
      </c>
      <c r="Q120" s="681">
        <v>1005</v>
      </c>
      <c r="R120" s="680" t="s">
        <v>102</v>
      </c>
      <c r="S120" s="680" t="s">
        <v>102</v>
      </c>
      <c r="T120" s="679" t="s">
        <v>102</v>
      </c>
      <c r="U120" s="678">
        <f t="shared" si="32"/>
        <v>0</v>
      </c>
    </row>
    <row r="121" spans="1:24" ht="13" thickBot="1" x14ac:dyDescent="0.3">
      <c r="A121" s="859"/>
      <c r="B121" s="682">
        <v>7</v>
      </c>
      <c r="C121" s="681">
        <v>40</v>
      </c>
      <c r="D121" s="681">
        <v>0.5</v>
      </c>
      <c r="E121" s="681">
        <v>9.9999999999999995E-7</v>
      </c>
      <c r="F121" s="679" t="s">
        <v>102</v>
      </c>
      <c r="G121" s="678">
        <f t="shared" si="30"/>
        <v>0.24999950000000001</v>
      </c>
      <c r="I121" s="682">
        <v>7</v>
      </c>
      <c r="J121" s="681">
        <v>90</v>
      </c>
      <c r="K121" s="681">
        <v>1.3</v>
      </c>
      <c r="L121" s="681">
        <v>9.9999999999999995E-7</v>
      </c>
      <c r="M121" s="679" t="s">
        <v>102</v>
      </c>
      <c r="N121" s="678">
        <f t="shared" si="31"/>
        <v>0.64999950000000006</v>
      </c>
      <c r="P121" s="682">
        <v>7</v>
      </c>
      <c r="Q121" s="681">
        <v>1020</v>
      </c>
      <c r="R121" s="680" t="s">
        <v>102</v>
      </c>
      <c r="S121" s="680" t="s">
        <v>102</v>
      </c>
      <c r="T121" s="679" t="s">
        <v>102</v>
      </c>
      <c r="U121" s="678">
        <f t="shared" si="32"/>
        <v>0</v>
      </c>
    </row>
    <row r="122" spans="1:24" ht="13.5" thickBot="1" x14ac:dyDescent="0.35">
      <c r="A122" s="697"/>
      <c r="B122" s="694"/>
      <c r="C122" s="694"/>
      <c r="D122" s="694"/>
      <c r="E122" s="695"/>
      <c r="F122" s="694"/>
      <c r="G122" s="696"/>
      <c r="I122" s="694"/>
      <c r="J122" s="694"/>
      <c r="K122" s="694"/>
      <c r="L122" s="695"/>
      <c r="M122" s="694"/>
      <c r="Q122" s="623"/>
      <c r="R122" s="639"/>
    </row>
    <row r="123" spans="1:24" x14ac:dyDescent="0.25">
      <c r="A123" s="859">
        <v>12</v>
      </c>
      <c r="B123" s="858" t="s">
        <v>704</v>
      </c>
      <c r="C123" s="858"/>
      <c r="D123" s="858"/>
      <c r="E123" s="858"/>
      <c r="F123" s="858"/>
      <c r="G123" s="858"/>
      <c r="I123" s="858" t="str">
        <f>B123</f>
        <v>KOREKSI EXTECH A.100586</v>
      </c>
      <c r="J123" s="858"/>
      <c r="K123" s="858"/>
      <c r="L123" s="858"/>
      <c r="M123" s="858"/>
      <c r="N123" s="858"/>
      <c r="P123" s="858" t="str">
        <f>I123</f>
        <v>KOREKSI EXTECH A.100586</v>
      </c>
      <c r="Q123" s="858"/>
      <c r="R123" s="858"/>
      <c r="S123" s="858"/>
      <c r="T123" s="858"/>
      <c r="U123" s="858"/>
      <c r="W123" s="868" t="s">
        <v>537</v>
      </c>
      <c r="X123" s="869"/>
    </row>
    <row r="124" spans="1:24" ht="13" x14ac:dyDescent="0.25">
      <c r="A124" s="859"/>
      <c r="B124" s="857" t="s">
        <v>563</v>
      </c>
      <c r="C124" s="857"/>
      <c r="D124" s="857" t="s">
        <v>299</v>
      </c>
      <c r="E124" s="857"/>
      <c r="F124" s="857"/>
      <c r="G124" s="857" t="s">
        <v>564</v>
      </c>
      <c r="I124" s="857" t="s">
        <v>565</v>
      </c>
      <c r="J124" s="857"/>
      <c r="K124" s="857" t="s">
        <v>299</v>
      </c>
      <c r="L124" s="857"/>
      <c r="M124" s="857"/>
      <c r="N124" s="857" t="s">
        <v>564</v>
      </c>
      <c r="P124" s="857" t="s">
        <v>696</v>
      </c>
      <c r="Q124" s="857"/>
      <c r="R124" s="857" t="s">
        <v>299</v>
      </c>
      <c r="S124" s="857"/>
      <c r="T124" s="857"/>
      <c r="U124" s="857" t="s">
        <v>564</v>
      </c>
      <c r="W124" s="687" t="s">
        <v>563</v>
      </c>
      <c r="X124" s="686">
        <v>0.3</v>
      </c>
    </row>
    <row r="125" spans="1:24" ht="14.5" x14ac:dyDescent="0.25">
      <c r="A125" s="859"/>
      <c r="B125" s="855" t="s">
        <v>717</v>
      </c>
      <c r="C125" s="855"/>
      <c r="D125" s="688">
        <v>2020</v>
      </c>
      <c r="E125" s="689" t="s">
        <v>102</v>
      </c>
      <c r="F125" s="689" t="s">
        <v>102</v>
      </c>
      <c r="G125" s="857"/>
      <c r="I125" s="856" t="s">
        <v>566</v>
      </c>
      <c r="J125" s="855"/>
      <c r="K125" s="688">
        <f>D125</f>
        <v>2020</v>
      </c>
      <c r="L125" s="688" t="str">
        <f>E125</f>
        <v>-</v>
      </c>
      <c r="M125" s="688" t="str">
        <f>F125</f>
        <v>-</v>
      </c>
      <c r="N125" s="857"/>
      <c r="P125" s="856" t="s">
        <v>695</v>
      </c>
      <c r="Q125" s="855"/>
      <c r="R125" s="688">
        <f>K125</f>
        <v>2020</v>
      </c>
      <c r="S125" s="688" t="str">
        <f>L125</f>
        <v>-</v>
      </c>
      <c r="T125" s="688" t="str">
        <f>M125</f>
        <v>-</v>
      </c>
      <c r="U125" s="857"/>
      <c r="W125" s="687" t="s">
        <v>566</v>
      </c>
      <c r="X125" s="686">
        <v>2</v>
      </c>
    </row>
    <row r="126" spans="1:24" ht="13" thickBot="1" x14ac:dyDescent="0.3">
      <c r="A126" s="859"/>
      <c r="B126" s="682">
        <v>1</v>
      </c>
      <c r="C126" s="683">
        <v>15</v>
      </c>
      <c r="D126" s="683">
        <v>9.9999999999999995E-7</v>
      </c>
      <c r="E126" s="683" t="s">
        <v>102</v>
      </c>
      <c r="F126" s="679" t="s">
        <v>102</v>
      </c>
      <c r="G126" s="678">
        <f t="shared" ref="G126:G132" si="33">0.5*(MAX(D126:F126)-MIN(D126:F126))</f>
        <v>0</v>
      </c>
      <c r="I126" s="682">
        <v>1</v>
      </c>
      <c r="J126" s="683">
        <v>30</v>
      </c>
      <c r="K126" s="683">
        <v>-0.4</v>
      </c>
      <c r="L126" s="683" t="s">
        <v>102</v>
      </c>
      <c r="M126" s="679" t="s">
        <v>102</v>
      </c>
      <c r="N126" s="678">
        <f t="shared" ref="N126:N132" si="34">0.5*(MAX(K126:M126)-MIN(K126:M126))</f>
        <v>0</v>
      </c>
      <c r="P126" s="682">
        <v>1</v>
      </c>
      <c r="Q126" s="683">
        <v>800</v>
      </c>
      <c r="R126" s="679">
        <v>-0.4</v>
      </c>
      <c r="S126" s="683" t="s">
        <v>102</v>
      </c>
      <c r="T126" s="679" t="s">
        <v>102</v>
      </c>
      <c r="U126" s="678">
        <f t="shared" ref="U126:U132" si="35">0.5*(MAX(R126:T126)-MIN(R126:T126))</f>
        <v>0</v>
      </c>
      <c r="W126" s="685" t="s">
        <v>695</v>
      </c>
      <c r="X126" s="684">
        <v>2.4</v>
      </c>
    </row>
    <row r="127" spans="1:24" x14ac:dyDescent="0.25">
      <c r="A127" s="859"/>
      <c r="B127" s="682">
        <v>2</v>
      </c>
      <c r="C127" s="683">
        <v>20</v>
      </c>
      <c r="D127" s="683">
        <v>9.9999999999999995E-7</v>
      </c>
      <c r="E127" s="683" t="s">
        <v>102</v>
      </c>
      <c r="F127" s="679" t="s">
        <v>102</v>
      </c>
      <c r="G127" s="678">
        <f t="shared" si="33"/>
        <v>0</v>
      </c>
      <c r="I127" s="682">
        <v>2</v>
      </c>
      <c r="J127" s="683">
        <v>40</v>
      </c>
      <c r="K127" s="683">
        <v>-0.1</v>
      </c>
      <c r="L127" s="683" t="s">
        <v>102</v>
      </c>
      <c r="M127" s="679" t="s">
        <v>102</v>
      </c>
      <c r="N127" s="678">
        <f t="shared" si="34"/>
        <v>0</v>
      </c>
      <c r="P127" s="682">
        <v>2</v>
      </c>
      <c r="Q127" s="683">
        <v>850</v>
      </c>
      <c r="R127" s="679">
        <v>-0.5</v>
      </c>
      <c r="S127" s="683" t="s">
        <v>102</v>
      </c>
      <c r="T127" s="679" t="s">
        <v>102</v>
      </c>
      <c r="U127" s="678">
        <f t="shared" si="35"/>
        <v>0</v>
      </c>
    </row>
    <row r="128" spans="1:24" x14ac:dyDescent="0.25">
      <c r="A128" s="859"/>
      <c r="B128" s="682">
        <v>3</v>
      </c>
      <c r="C128" s="683">
        <v>25</v>
      </c>
      <c r="D128" s="683">
        <v>9.9999999999999995E-7</v>
      </c>
      <c r="E128" s="683" t="s">
        <v>102</v>
      </c>
      <c r="F128" s="679" t="s">
        <v>102</v>
      </c>
      <c r="G128" s="678">
        <f t="shared" si="33"/>
        <v>0</v>
      </c>
      <c r="I128" s="682">
        <v>3</v>
      </c>
      <c r="J128" s="683">
        <v>50</v>
      </c>
      <c r="K128" s="683">
        <v>9.9999999999999995E-7</v>
      </c>
      <c r="L128" s="683" t="s">
        <v>102</v>
      </c>
      <c r="M128" s="679" t="s">
        <v>102</v>
      </c>
      <c r="N128" s="678">
        <f t="shared" si="34"/>
        <v>0</v>
      </c>
      <c r="P128" s="682">
        <v>3</v>
      </c>
      <c r="Q128" s="681">
        <v>900</v>
      </c>
      <c r="R128" s="680">
        <v>-0.6</v>
      </c>
      <c r="S128" s="683" t="s">
        <v>102</v>
      </c>
      <c r="T128" s="679" t="s">
        <v>102</v>
      </c>
      <c r="U128" s="678">
        <f t="shared" si="35"/>
        <v>0</v>
      </c>
    </row>
    <row r="129" spans="1:24" x14ac:dyDescent="0.25">
      <c r="A129" s="859"/>
      <c r="B129" s="682">
        <v>4</v>
      </c>
      <c r="C129" s="681">
        <v>30</v>
      </c>
      <c r="D129" s="681">
        <v>-0.1</v>
      </c>
      <c r="E129" s="680" t="s">
        <v>102</v>
      </c>
      <c r="F129" s="679" t="s">
        <v>102</v>
      </c>
      <c r="G129" s="678">
        <f t="shared" si="33"/>
        <v>0</v>
      </c>
      <c r="I129" s="682">
        <v>4</v>
      </c>
      <c r="J129" s="681">
        <v>60</v>
      </c>
      <c r="K129" s="681">
        <v>9.9999999999999995E-7</v>
      </c>
      <c r="L129" s="680" t="s">
        <v>102</v>
      </c>
      <c r="M129" s="679" t="s">
        <v>102</v>
      </c>
      <c r="N129" s="678">
        <f t="shared" si="34"/>
        <v>0</v>
      </c>
      <c r="P129" s="682">
        <v>4</v>
      </c>
      <c r="Q129" s="681">
        <v>950</v>
      </c>
      <c r="R129" s="680">
        <v>-0.7</v>
      </c>
      <c r="S129" s="680" t="s">
        <v>102</v>
      </c>
      <c r="T129" s="679" t="s">
        <v>102</v>
      </c>
      <c r="U129" s="678">
        <f t="shared" si="35"/>
        <v>0</v>
      </c>
    </row>
    <row r="130" spans="1:24" x14ac:dyDescent="0.25">
      <c r="A130" s="859"/>
      <c r="B130" s="682">
        <v>5</v>
      </c>
      <c r="C130" s="681">
        <v>35</v>
      </c>
      <c r="D130" s="681">
        <v>-0.2</v>
      </c>
      <c r="E130" s="680" t="s">
        <v>102</v>
      </c>
      <c r="F130" s="679" t="s">
        <v>102</v>
      </c>
      <c r="G130" s="678">
        <f t="shared" si="33"/>
        <v>0</v>
      </c>
      <c r="I130" s="682">
        <v>5</v>
      </c>
      <c r="J130" s="681">
        <v>70</v>
      </c>
      <c r="K130" s="681">
        <v>-0.1</v>
      </c>
      <c r="L130" s="680" t="s">
        <v>102</v>
      </c>
      <c r="M130" s="679" t="s">
        <v>102</v>
      </c>
      <c r="N130" s="678">
        <f t="shared" si="34"/>
        <v>0</v>
      </c>
      <c r="P130" s="682">
        <v>5</v>
      </c>
      <c r="Q130" s="681">
        <v>1000</v>
      </c>
      <c r="R130" s="680">
        <v>-0.8</v>
      </c>
      <c r="S130" s="680" t="s">
        <v>102</v>
      </c>
      <c r="T130" s="679" t="s">
        <v>102</v>
      </c>
      <c r="U130" s="678">
        <f t="shared" si="35"/>
        <v>0</v>
      </c>
    </row>
    <row r="131" spans="1:24" x14ac:dyDescent="0.25">
      <c r="A131" s="859"/>
      <c r="B131" s="682">
        <v>6</v>
      </c>
      <c r="C131" s="681">
        <v>37</v>
      </c>
      <c r="D131" s="681">
        <v>-0.3</v>
      </c>
      <c r="E131" s="680" t="s">
        <v>102</v>
      </c>
      <c r="F131" s="679" t="s">
        <v>102</v>
      </c>
      <c r="G131" s="678">
        <f t="shared" si="33"/>
        <v>0</v>
      </c>
      <c r="I131" s="682">
        <v>6</v>
      </c>
      <c r="J131" s="681">
        <v>80</v>
      </c>
      <c r="K131" s="681">
        <v>-0.5</v>
      </c>
      <c r="L131" s="680" t="s">
        <v>102</v>
      </c>
      <c r="M131" s="679" t="s">
        <v>102</v>
      </c>
      <c r="N131" s="678">
        <f t="shared" si="34"/>
        <v>0</v>
      </c>
      <c r="P131" s="682">
        <v>6</v>
      </c>
      <c r="Q131" s="681">
        <v>1005</v>
      </c>
      <c r="R131" s="680">
        <v>-0.8</v>
      </c>
      <c r="S131" s="680" t="s">
        <v>102</v>
      </c>
      <c r="T131" s="679" t="s">
        <v>102</v>
      </c>
      <c r="U131" s="678">
        <f t="shared" si="35"/>
        <v>0</v>
      </c>
    </row>
    <row r="132" spans="1:24" x14ac:dyDescent="0.25">
      <c r="A132" s="859"/>
      <c r="B132" s="682">
        <v>7</v>
      </c>
      <c r="C132" s="681">
        <v>40</v>
      </c>
      <c r="D132" s="681">
        <v>-0.4</v>
      </c>
      <c r="E132" s="680" t="s">
        <v>102</v>
      </c>
      <c r="F132" s="679" t="s">
        <v>102</v>
      </c>
      <c r="G132" s="678">
        <f t="shared" si="33"/>
        <v>0</v>
      </c>
      <c r="I132" s="682">
        <v>7</v>
      </c>
      <c r="J132" s="681">
        <v>90</v>
      </c>
      <c r="K132" s="681">
        <v>-0.9</v>
      </c>
      <c r="L132" s="680" t="s">
        <v>102</v>
      </c>
      <c r="M132" s="679" t="s">
        <v>102</v>
      </c>
      <c r="N132" s="678">
        <f t="shared" si="34"/>
        <v>0</v>
      </c>
      <c r="P132" s="682">
        <v>7</v>
      </c>
      <c r="Q132" s="681">
        <v>1020</v>
      </c>
      <c r="R132" s="680">
        <v>9.9999999999999995E-7</v>
      </c>
      <c r="S132" s="680" t="s">
        <v>102</v>
      </c>
      <c r="T132" s="679" t="s">
        <v>102</v>
      </c>
      <c r="U132" s="678">
        <f t="shared" si="35"/>
        <v>0</v>
      </c>
    </row>
    <row r="133" spans="1:24" ht="13" thickBot="1" x14ac:dyDescent="0.3">
      <c r="A133" s="693"/>
      <c r="C133" s="691"/>
      <c r="D133" s="691"/>
      <c r="E133" s="692"/>
      <c r="F133" s="691"/>
      <c r="I133" s="691"/>
      <c r="J133" s="691"/>
      <c r="K133" s="692"/>
      <c r="L133" s="691"/>
      <c r="O133" s="691"/>
      <c r="P133" s="692"/>
      <c r="Q133" s="692"/>
      <c r="R133" s="691"/>
    </row>
    <row r="134" spans="1:24" x14ac:dyDescent="0.25">
      <c r="A134" s="859">
        <v>13</v>
      </c>
      <c r="B134" s="858" t="s">
        <v>703</v>
      </c>
      <c r="C134" s="858"/>
      <c r="D134" s="858"/>
      <c r="E134" s="858"/>
      <c r="F134" s="858"/>
      <c r="G134" s="858"/>
      <c r="I134" s="858" t="str">
        <f>B134</f>
        <v>KOREKSI EXTECH A.100605</v>
      </c>
      <c r="J134" s="858"/>
      <c r="K134" s="858"/>
      <c r="L134" s="858"/>
      <c r="M134" s="858"/>
      <c r="N134" s="858"/>
      <c r="P134" s="858" t="str">
        <f>I134</f>
        <v>KOREKSI EXTECH A.100605</v>
      </c>
      <c r="Q134" s="858"/>
      <c r="R134" s="858"/>
      <c r="S134" s="858"/>
      <c r="T134" s="858"/>
      <c r="U134" s="858"/>
      <c r="W134" s="868" t="s">
        <v>537</v>
      </c>
      <c r="X134" s="869"/>
    </row>
    <row r="135" spans="1:24" ht="13" x14ac:dyDescent="0.25">
      <c r="A135" s="859"/>
      <c r="B135" s="857" t="s">
        <v>563</v>
      </c>
      <c r="C135" s="857"/>
      <c r="D135" s="857" t="s">
        <v>299</v>
      </c>
      <c r="E135" s="857"/>
      <c r="F135" s="857"/>
      <c r="G135" s="857" t="s">
        <v>564</v>
      </c>
      <c r="I135" s="857" t="s">
        <v>565</v>
      </c>
      <c r="J135" s="857"/>
      <c r="K135" s="857" t="s">
        <v>299</v>
      </c>
      <c r="L135" s="857"/>
      <c r="M135" s="857"/>
      <c r="N135" s="857" t="s">
        <v>564</v>
      </c>
      <c r="P135" s="857" t="s">
        <v>696</v>
      </c>
      <c r="Q135" s="857"/>
      <c r="R135" s="857" t="s">
        <v>299</v>
      </c>
      <c r="S135" s="857"/>
      <c r="T135" s="857"/>
      <c r="U135" s="857" t="s">
        <v>564</v>
      </c>
      <c r="W135" s="687" t="s">
        <v>563</v>
      </c>
      <c r="X135" s="686">
        <v>0.5</v>
      </c>
    </row>
    <row r="136" spans="1:24" ht="14.5" x14ac:dyDescent="0.25">
      <c r="A136" s="859"/>
      <c r="B136" s="855" t="s">
        <v>717</v>
      </c>
      <c r="C136" s="855"/>
      <c r="D136" s="688">
        <v>2022</v>
      </c>
      <c r="E136" s="688">
        <v>2020</v>
      </c>
      <c r="F136" s="689" t="s">
        <v>102</v>
      </c>
      <c r="G136" s="857"/>
      <c r="I136" s="856" t="s">
        <v>566</v>
      </c>
      <c r="J136" s="855"/>
      <c r="K136" s="688">
        <f>D136</f>
        <v>2022</v>
      </c>
      <c r="L136" s="688">
        <f>E136</f>
        <v>2020</v>
      </c>
      <c r="M136" s="688" t="str">
        <f>F136</f>
        <v>-</v>
      </c>
      <c r="N136" s="857"/>
      <c r="P136" s="856" t="s">
        <v>695</v>
      </c>
      <c r="Q136" s="855"/>
      <c r="R136" s="688">
        <f>K136</f>
        <v>2022</v>
      </c>
      <c r="S136" s="688">
        <f>L136</f>
        <v>2020</v>
      </c>
      <c r="T136" s="688" t="str">
        <f>M136</f>
        <v>-</v>
      </c>
      <c r="U136" s="857"/>
      <c r="W136" s="687" t="s">
        <v>566</v>
      </c>
      <c r="X136" s="686">
        <v>2.2999999999999998</v>
      </c>
    </row>
    <row r="137" spans="1:24" ht="13" thickBot="1" x14ac:dyDescent="0.3">
      <c r="A137" s="859"/>
      <c r="B137" s="682">
        <v>1</v>
      </c>
      <c r="C137" s="683">
        <v>15</v>
      </c>
      <c r="D137" s="683">
        <v>0.5</v>
      </c>
      <c r="E137" s="683">
        <v>-0.7</v>
      </c>
      <c r="F137" s="679" t="s">
        <v>102</v>
      </c>
      <c r="G137" s="678">
        <f t="shared" ref="G137:G143" si="36">0.5*(MAX(D137:F137)-MIN(D137:F137))</f>
        <v>0.6</v>
      </c>
      <c r="I137" s="682">
        <v>1</v>
      </c>
      <c r="J137" s="683">
        <v>30</v>
      </c>
      <c r="K137" s="683">
        <v>-2.2000000000000002</v>
      </c>
      <c r="L137" s="683">
        <v>-1.4</v>
      </c>
      <c r="M137" s="679" t="s">
        <v>102</v>
      </c>
      <c r="N137" s="678">
        <f t="shared" ref="N137:N143" si="37">0.5*(MAX(K137:M137)-MIN(K137:M137))</f>
        <v>0.40000000000000013</v>
      </c>
      <c r="P137" s="682">
        <v>1</v>
      </c>
      <c r="Q137" s="683">
        <v>985</v>
      </c>
      <c r="R137" s="679">
        <v>3.8</v>
      </c>
      <c r="S137" s="679">
        <v>0.9</v>
      </c>
      <c r="T137" s="679" t="s">
        <v>102</v>
      </c>
      <c r="U137" s="678">
        <f t="shared" ref="U137:U143" si="38">0.5*(MAX(R137:T137)-MIN(R137:T137))</f>
        <v>1.45</v>
      </c>
      <c r="W137" s="685" t="s">
        <v>695</v>
      </c>
      <c r="X137" s="684">
        <v>2.4</v>
      </c>
    </row>
    <row r="138" spans="1:24" x14ac:dyDescent="0.25">
      <c r="A138" s="859"/>
      <c r="B138" s="682">
        <v>2</v>
      </c>
      <c r="C138" s="683">
        <v>20</v>
      </c>
      <c r="D138" s="683">
        <v>0.2</v>
      </c>
      <c r="E138" s="683">
        <v>-0.4</v>
      </c>
      <c r="F138" s="679" t="s">
        <v>102</v>
      </c>
      <c r="G138" s="678">
        <f t="shared" si="36"/>
        <v>0.30000000000000004</v>
      </c>
      <c r="I138" s="682">
        <v>2</v>
      </c>
      <c r="J138" s="683">
        <v>40</v>
      </c>
      <c r="K138" s="683">
        <v>-2</v>
      </c>
      <c r="L138" s="683">
        <v>-1.3</v>
      </c>
      <c r="M138" s="679" t="s">
        <v>102</v>
      </c>
      <c r="N138" s="678">
        <f t="shared" si="37"/>
        <v>0.35</v>
      </c>
      <c r="P138" s="682">
        <v>2</v>
      </c>
      <c r="Q138" s="683">
        <v>990</v>
      </c>
      <c r="R138" s="679">
        <v>3.8</v>
      </c>
      <c r="S138" s="679">
        <v>1</v>
      </c>
      <c r="T138" s="679" t="s">
        <v>102</v>
      </c>
      <c r="U138" s="678">
        <f t="shared" si="38"/>
        <v>1.4</v>
      </c>
    </row>
    <row r="139" spans="1:24" x14ac:dyDescent="0.25">
      <c r="A139" s="859"/>
      <c r="B139" s="682">
        <v>3</v>
      </c>
      <c r="C139" s="683">
        <v>25</v>
      </c>
      <c r="D139" s="683">
        <v>0.1</v>
      </c>
      <c r="E139" s="683">
        <v>-0.2</v>
      </c>
      <c r="F139" s="679" t="s">
        <v>102</v>
      </c>
      <c r="G139" s="678">
        <f t="shared" si="36"/>
        <v>0.15000000000000002</v>
      </c>
      <c r="I139" s="682">
        <v>3</v>
      </c>
      <c r="J139" s="683">
        <v>50</v>
      </c>
      <c r="K139" s="683">
        <v>-1.8</v>
      </c>
      <c r="L139" s="683">
        <v>-1.3</v>
      </c>
      <c r="M139" s="679" t="s">
        <v>102</v>
      </c>
      <c r="N139" s="678">
        <f t="shared" si="37"/>
        <v>0.25</v>
      </c>
      <c r="P139" s="682">
        <v>3</v>
      </c>
      <c r="Q139" s="681">
        <v>995</v>
      </c>
      <c r="R139" s="680">
        <v>3.7</v>
      </c>
      <c r="S139" s="680">
        <v>1</v>
      </c>
      <c r="T139" s="679" t="s">
        <v>102</v>
      </c>
      <c r="U139" s="678">
        <f t="shared" si="38"/>
        <v>1.35</v>
      </c>
    </row>
    <row r="140" spans="1:24" x14ac:dyDescent="0.25">
      <c r="A140" s="859"/>
      <c r="B140" s="682">
        <v>4</v>
      </c>
      <c r="C140" s="681">
        <v>30</v>
      </c>
      <c r="D140" s="681">
        <v>-0.1</v>
      </c>
      <c r="E140" s="681">
        <v>0.1</v>
      </c>
      <c r="F140" s="679" t="s">
        <v>102</v>
      </c>
      <c r="G140" s="678">
        <f t="shared" si="36"/>
        <v>0.1</v>
      </c>
      <c r="I140" s="682">
        <v>4</v>
      </c>
      <c r="J140" s="681">
        <v>60</v>
      </c>
      <c r="K140" s="681">
        <v>-1.6</v>
      </c>
      <c r="L140" s="681">
        <v>-1.5</v>
      </c>
      <c r="M140" s="679" t="s">
        <v>102</v>
      </c>
      <c r="N140" s="678">
        <f t="shared" si="37"/>
        <v>5.0000000000000044E-2</v>
      </c>
      <c r="P140" s="682">
        <v>4</v>
      </c>
      <c r="Q140" s="681">
        <v>1000</v>
      </c>
      <c r="R140" s="680">
        <v>3.7</v>
      </c>
      <c r="S140" s="680">
        <v>1.1000000000000001</v>
      </c>
      <c r="T140" s="679" t="s">
        <v>102</v>
      </c>
      <c r="U140" s="678">
        <f t="shared" si="38"/>
        <v>1.3</v>
      </c>
    </row>
    <row r="141" spans="1:24" x14ac:dyDescent="0.25">
      <c r="A141" s="859"/>
      <c r="B141" s="682">
        <v>5</v>
      </c>
      <c r="C141" s="681">
        <v>35</v>
      </c>
      <c r="D141" s="681">
        <v>-0.2</v>
      </c>
      <c r="E141" s="681">
        <v>0.3</v>
      </c>
      <c r="F141" s="679" t="s">
        <v>102</v>
      </c>
      <c r="G141" s="678">
        <f t="shared" si="36"/>
        <v>0.25</v>
      </c>
      <c r="I141" s="682">
        <v>5</v>
      </c>
      <c r="J141" s="681">
        <v>70</v>
      </c>
      <c r="K141" s="681">
        <v>-1.4</v>
      </c>
      <c r="L141" s="681">
        <v>-1.9</v>
      </c>
      <c r="M141" s="679" t="s">
        <v>102</v>
      </c>
      <c r="N141" s="678">
        <f t="shared" si="37"/>
        <v>0.25</v>
      </c>
      <c r="P141" s="682">
        <v>5</v>
      </c>
      <c r="Q141" s="681">
        <v>1005</v>
      </c>
      <c r="R141" s="680">
        <v>3.6</v>
      </c>
      <c r="S141" s="680">
        <v>1.1000000000000001</v>
      </c>
      <c r="T141" s="679" t="s">
        <v>102</v>
      </c>
      <c r="U141" s="678">
        <f t="shared" si="38"/>
        <v>1.25</v>
      </c>
    </row>
    <row r="142" spans="1:24" x14ac:dyDescent="0.25">
      <c r="A142" s="859"/>
      <c r="B142" s="682">
        <v>6</v>
      </c>
      <c r="C142" s="681">
        <v>37</v>
      </c>
      <c r="D142" s="681">
        <v>-0.2</v>
      </c>
      <c r="E142" s="681">
        <v>0.4</v>
      </c>
      <c r="F142" s="679" t="s">
        <v>102</v>
      </c>
      <c r="G142" s="678">
        <f t="shared" si="36"/>
        <v>0.30000000000000004</v>
      </c>
      <c r="I142" s="682">
        <v>6</v>
      </c>
      <c r="J142" s="681">
        <v>80</v>
      </c>
      <c r="K142" s="681">
        <v>-1.2</v>
      </c>
      <c r="L142" s="681">
        <v>-2.5</v>
      </c>
      <c r="M142" s="679" t="s">
        <v>102</v>
      </c>
      <c r="N142" s="678">
        <f t="shared" si="37"/>
        <v>0.65</v>
      </c>
      <c r="P142" s="682">
        <v>6</v>
      </c>
      <c r="Q142" s="681">
        <v>1010</v>
      </c>
      <c r="R142" s="680">
        <v>3.5</v>
      </c>
      <c r="S142" s="680">
        <v>1.1000000000000001</v>
      </c>
      <c r="T142" s="679" t="s">
        <v>102</v>
      </c>
      <c r="U142" s="678">
        <f t="shared" si="38"/>
        <v>1.2</v>
      </c>
    </row>
    <row r="143" spans="1:24" x14ac:dyDescent="0.25">
      <c r="A143" s="859"/>
      <c r="B143" s="682">
        <v>7</v>
      </c>
      <c r="C143" s="681">
        <v>40</v>
      </c>
      <c r="D143" s="681">
        <v>-0.2</v>
      </c>
      <c r="E143" s="681">
        <v>0.5</v>
      </c>
      <c r="F143" s="679" t="s">
        <v>102</v>
      </c>
      <c r="G143" s="678">
        <f t="shared" si="36"/>
        <v>0.35</v>
      </c>
      <c r="I143" s="682">
        <v>7</v>
      </c>
      <c r="J143" s="681">
        <v>90</v>
      </c>
      <c r="K143" s="681">
        <v>-1</v>
      </c>
      <c r="L143" s="681">
        <v>-3.2</v>
      </c>
      <c r="M143" s="679" t="s">
        <v>102</v>
      </c>
      <c r="N143" s="678">
        <f t="shared" si="37"/>
        <v>1.1000000000000001</v>
      </c>
      <c r="P143" s="682">
        <v>7</v>
      </c>
      <c r="Q143" s="681">
        <v>1020</v>
      </c>
      <c r="R143" s="680">
        <v>9.9999999999999995E-7</v>
      </c>
      <c r="S143" s="680">
        <v>9.9999999999999995E-7</v>
      </c>
      <c r="T143" s="679" t="s">
        <v>102</v>
      </c>
      <c r="U143" s="678">
        <f t="shared" si="38"/>
        <v>0</v>
      </c>
    </row>
    <row r="144" spans="1:24" ht="13" thickBot="1" x14ac:dyDescent="0.3">
      <c r="A144" s="693"/>
      <c r="C144" s="691"/>
      <c r="D144" s="691"/>
      <c r="E144" s="692"/>
      <c r="F144" s="691"/>
      <c r="J144" s="691"/>
      <c r="K144" s="691"/>
      <c r="L144" s="692"/>
      <c r="M144" s="691"/>
      <c r="Q144" s="691"/>
      <c r="R144" s="692"/>
      <c r="S144" s="692"/>
      <c r="T144" s="691"/>
    </row>
    <row r="145" spans="1:24" x14ac:dyDescent="0.25">
      <c r="A145" s="859">
        <v>14</v>
      </c>
      <c r="B145" s="858" t="s">
        <v>702</v>
      </c>
      <c r="C145" s="858"/>
      <c r="D145" s="858"/>
      <c r="E145" s="858"/>
      <c r="F145" s="858"/>
      <c r="G145" s="858"/>
      <c r="I145" s="858" t="str">
        <f>B145</f>
        <v>KOREKSI EXTECH A.100609</v>
      </c>
      <c r="J145" s="858"/>
      <c r="K145" s="858"/>
      <c r="L145" s="858"/>
      <c r="M145" s="858"/>
      <c r="N145" s="858"/>
      <c r="P145" s="858" t="str">
        <f>I145</f>
        <v>KOREKSI EXTECH A.100609</v>
      </c>
      <c r="Q145" s="858"/>
      <c r="R145" s="858"/>
      <c r="S145" s="858"/>
      <c r="T145" s="858"/>
      <c r="U145" s="858"/>
      <c r="W145" s="868" t="s">
        <v>537</v>
      </c>
      <c r="X145" s="869"/>
    </row>
    <row r="146" spans="1:24" ht="13" x14ac:dyDescent="0.25">
      <c r="A146" s="859"/>
      <c r="B146" s="857" t="s">
        <v>563</v>
      </c>
      <c r="C146" s="857"/>
      <c r="D146" s="857" t="s">
        <v>299</v>
      </c>
      <c r="E146" s="857"/>
      <c r="F146" s="857"/>
      <c r="G146" s="857" t="s">
        <v>564</v>
      </c>
      <c r="I146" s="857" t="s">
        <v>565</v>
      </c>
      <c r="J146" s="857"/>
      <c r="K146" s="857" t="s">
        <v>299</v>
      </c>
      <c r="L146" s="857"/>
      <c r="M146" s="857"/>
      <c r="N146" s="857" t="s">
        <v>564</v>
      </c>
      <c r="P146" s="857" t="s">
        <v>696</v>
      </c>
      <c r="Q146" s="857"/>
      <c r="R146" s="857" t="s">
        <v>299</v>
      </c>
      <c r="S146" s="857"/>
      <c r="T146" s="857"/>
      <c r="U146" s="857" t="s">
        <v>564</v>
      </c>
      <c r="W146" s="687" t="s">
        <v>563</v>
      </c>
      <c r="X146" s="686">
        <v>0.5</v>
      </c>
    </row>
    <row r="147" spans="1:24" ht="14.5" x14ac:dyDescent="0.25">
      <c r="A147" s="859"/>
      <c r="B147" s="855" t="s">
        <v>717</v>
      </c>
      <c r="C147" s="855"/>
      <c r="D147" s="688">
        <v>2022</v>
      </c>
      <c r="E147" s="688">
        <v>2020</v>
      </c>
      <c r="F147" s="689" t="s">
        <v>102</v>
      </c>
      <c r="G147" s="857"/>
      <c r="I147" s="856" t="s">
        <v>566</v>
      </c>
      <c r="J147" s="855"/>
      <c r="K147" s="688">
        <f>D147</f>
        <v>2022</v>
      </c>
      <c r="L147" s="688">
        <f>E147</f>
        <v>2020</v>
      </c>
      <c r="M147" s="688" t="str">
        <f>F147</f>
        <v>-</v>
      </c>
      <c r="N147" s="857"/>
      <c r="P147" s="856" t="s">
        <v>695</v>
      </c>
      <c r="Q147" s="855"/>
      <c r="R147" s="688">
        <f>K147</f>
        <v>2022</v>
      </c>
      <c r="S147" s="688">
        <f>L147</f>
        <v>2020</v>
      </c>
      <c r="T147" s="688" t="str">
        <f>M147</f>
        <v>-</v>
      </c>
      <c r="U147" s="857"/>
      <c r="W147" s="687" t="s">
        <v>566</v>
      </c>
      <c r="X147" s="686">
        <v>2.7</v>
      </c>
    </row>
    <row r="148" spans="1:24" ht="13" thickBot="1" x14ac:dyDescent="0.3">
      <c r="A148" s="859"/>
      <c r="B148" s="682">
        <v>1</v>
      </c>
      <c r="C148" s="683">
        <v>15</v>
      </c>
      <c r="D148" s="683">
        <v>0.5</v>
      </c>
      <c r="E148" s="683">
        <v>-0.2</v>
      </c>
      <c r="F148" s="679" t="s">
        <v>102</v>
      </c>
      <c r="G148" s="678">
        <f t="shared" ref="G148:G154" si="39">0.5*(MAX(D148:F148)-MIN(D148:F148))</f>
        <v>0.35</v>
      </c>
      <c r="I148" s="682">
        <v>1</v>
      </c>
      <c r="J148" s="683">
        <v>30</v>
      </c>
      <c r="K148" s="683">
        <v>-0.8</v>
      </c>
      <c r="L148" s="683">
        <v>0.6</v>
      </c>
      <c r="M148" s="679" t="s">
        <v>102</v>
      </c>
      <c r="N148" s="678">
        <f t="shared" ref="N148:N154" si="40">0.5*(MAX(K148:M148)-MIN(K148:M148))</f>
        <v>0.7</v>
      </c>
      <c r="P148" s="682">
        <v>1</v>
      </c>
      <c r="Q148" s="683">
        <v>985</v>
      </c>
      <c r="R148" s="679">
        <v>3.9</v>
      </c>
      <c r="S148" s="679">
        <v>0.9</v>
      </c>
      <c r="T148" s="679" t="s">
        <v>102</v>
      </c>
      <c r="U148" s="678">
        <f t="shared" ref="U148:U154" si="41">0.5*(MAX(R148:T148)-MIN(R148:T148))</f>
        <v>1.5</v>
      </c>
      <c r="W148" s="685" t="s">
        <v>695</v>
      </c>
      <c r="X148" s="684">
        <v>2.4</v>
      </c>
    </row>
    <row r="149" spans="1:24" x14ac:dyDescent="0.25">
      <c r="A149" s="859"/>
      <c r="B149" s="682">
        <v>2</v>
      </c>
      <c r="C149" s="683">
        <v>20</v>
      </c>
      <c r="D149" s="683">
        <v>0.2</v>
      </c>
      <c r="E149" s="683">
        <v>-0.1</v>
      </c>
      <c r="F149" s="679" t="s">
        <v>102</v>
      </c>
      <c r="G149" s="678">
        <f t="shared" si="39"/>
        <v>0.15000000000000002</v>
      </c>
      <c r="I149" s="682">
        <v>2</v>
      </c>
      <c r="J149" s="683">
        <v>40</v>
      </c>
      <c r="K149" s="683">
        <v>-0.4</v>
      </c>
      <c r="L149" s="683">
        <v>0.3</v>
      </c>
      <c r="M149" s="679" t="s">
        <v>102</v>
      </c>
      <c r="N149" s="678">
        <f t="shared" si="40"/>
        <v>0.35</v>
      </c>
      <c r="P149" s="682">
        <v>2</v>
      </c>
      <c r="Q149" s="683">
        <v>990</v>
      </c>
      <c r="R149" s="679">
        <v>3.9</v>
      </c>
      <c r="S149" s="679">
        <v>1</v>
      </c>
      <c r="T149" s="679" t="s">
        <v>102</v>
      </c>
      <c r="U149" s="678">
        <f t="shared" si="41"/>
        <v>1.45</v>
      </c>
    </row>
    <row r="150" spans="1:24" x14ac:dyDescent="0.25">
      <c r="A150" s="859"/>
      <c r="B150" s="682">
        <v>3</v>
      </c>
      <c r="C150" s="683">
        <v>25</v>
      </c>
      <c r="D150" s="683">
        <v>-0.1</v>
      </c>
      <c r="E150" s="683">
        <v>-0.1</v>
      </c>
      <c r="F150" s="679" t="s">
        <v>102</v>
      </c>
      <c r="G150" s="678">
        <f t="shared" si="39"/>
        <v>0</v>
      </c>
      <c r="I150" s="682">
        <v>3</v>
      </c>
      <c r="J150" s="683">
        <v>50</v>
      </c>
      <c r="K150" s="683">
        <v>9.9999999999999995E-7</v>
      </c>
      <c r="L150" s="683">
        <v>-0.2</v>
      </c>
      <c r="M150" s="679" t="s">
        <v>102</v>
      </c>
      <c r="N150" s="678">
        <f t="shared" si="40"/>
        <v>0.10000050000000001</v>
      </c>
      <c r="P150" s="682">
        <v>3</v>
      </c>
      <c r="Q150" s="681">
        <v>995</v>
      </c>
      <c r="R150" s="680">
        <v>3.8</v>
      </c>
      <c r="S150" s="680">
        <v>1</v>
      </c>
      <c r="T150" s="679" t="s">
        <v>102</v>
      </c>
      <c r="U150" s="678">
        <f t="shared" si="41"/>
        <v>1.4</v>
      </c>
    </row>
    <row r="151" spans="1:24" x14ac:dyDescent="0.25">
      <c r="A151" s="859"/>
      <c r="B151" s="682">
        <v>4</v>
      </c>
      <c r="C151" s="681">
        <v>30</v>
      </c>
      <c r="D151" s="681">
        <v>-0.4</v>
      </c>
      <c r="E151" s="681">
        <v>-0.3</v>
      </c>
      <c r="F151" s="679" t="s">
        <v>102</v>
      </c>
      <c r="G151" s="678">
        <f t="shared" si="39"/>
        <v>5.0000000000000017E-2</v>
      </c>
      <c r="I151" s="682">
        <v>4</v>
      </c>
      <c r="J151" s="681">
        <v>60</v>
      </c>
      <c r="K151" s="681">
        <v>0.3</v>
      </c>
      <c r="L151" s="681">
        <v>-0.6</v>
      </c>
      <c r="M151" s="679" t="s">
        <v>102</v>
      </c>
      <c r="N151" s="678">
        <f t="shared" si="40"/>
        <v>0.44999999999999996</v>
      </c>
      <c r="P151" s="682">
        <v>4</v>
      </c>
      <c r="Q151" s="681">
        <v>1000</v>
      </c>
      <c r="R151" s="680">
        <v>3.8</v>
      </c>
      <c r="S151" s="680">
        <v>1.1000000000000001</v>
      </c>
      <c r="T151" s="679" t="s">
        <v>102</v>
      </c>
      <c r="U151" s="678">
        <f t="shared" si="41"/>
        <v>1.3499999999999999</v>
      </c>
    </row>
    <row r="152" spans="1:24" x14ac:dyDescent="0.25">
      <c r="A152" s="859"/>
      <c r="B152" s="682">
        <v>5</v>
      </c>
      <c r="C152" s="681">
        <v>35</v>
      </c>
      <c r="D152" s="681">
        <v>-0.6</v>
      </c>
      <c r="E152" s="681">
        <v>-0.6</v>
      </c>
      <c r="F152" s="679" t="s">
        <v>102</v>
      </c>
      <c r="G152" s="678">
        <f t="shared" si="39"/>
        <v>0</v>
      </c>
      <c r="I152" s="682">
        <v>5</v>
      </c>
      <c r="J152" s="681">
        <v>70</v>
      </c>
      <c r="K152" s="681">
        <v>0.7</v>
      </c>
      <c r="L152" s="681">
        <v>-0.8</v>
      </c>
      <c r="M152" s="679" t="s">
        <v>102</v>
      </c>
      <c r="N152" s="678">
        <f t="shared" si="40"/>
        <v>0.75</v>
      </c>
      <c r="P152" s="682">
        <v>5</v>
      </c>
      <c r="Q152" s="681">
        <v>1005</v>
      </c>
      <c r="R152" s="680">
        <v>3.8</v>
      </c>
      <c r="S152" s="680">
        <v>1.1000000000000001</v>
      </c>
      <c r="T152" s="679" t="s">
        <v>102</v>
      </c>
      <c r="U152" s="678">
        <f t="shared" si="41"/>
        <v>1.3499999999999999</v>
      </c>
    </row>
    <row r="153" spans="1:24" x14ac:dyDescent="0.25">
      <c r="A153" s="859"/>
      <c r="B153" s="682">
        <v>6</v>
      </c>
      <c r="C153" s="681">
        <v>37</v>
      </c>
      <c r="D153" s="681">
        <v>-0.7</v>
      </c>
      <c r="E153" s="681">
        <v>-0.8</v>
      </c>
      <c r="F153" s="679" t="s">
        <v>102</v>
      </c>
      <c r="G153" s="678">
        <f t="shared" si="39"/>
        <v>5.0000000000000044E-2</v>
      </c>
      <c r="I153" s="682">
        <v>6</v>
      </c>
      <c r="J153" s="681">
        <v>80</v>
      </c>
      <c r="K153" s="681">
        <v>1.1000000000000001</v>
      </c>
      <c r="L153" s="681">
        <v>-0.9</v>
      </c>
      <c r="M153" s="679" t="s">
        <v>102</v>
      </c>
      <c r="N153" s="678">
        <f t="shared" si="40"/>
        <v>1</v>
      </c>
      <c r="P153" s="682">
        <v>6</v>
      </c>
      <c r="Q153" s="681">
        <v>1010</v>
      </c>
      <c r="R153" s="680">
        <v>3.7</v>
      </c>
      <c r="S153" s="680">
        <v>1.1000000000000001</v>
      </c>
      <c r="T153" s="679" t="s">
        <v>102</v>
      </c>
      <c r="U153" s="678">
        <f t="shared" si="41"/>
        <v>1.3</v>
      </c>
    </row>
    <row r="154" spans="1:24" x14ac:dyDescent="0.25">
      <c r="A154" s="859"/>
      <c r="B154" s="682">
        <v>7</v>
      </c>
      <c r="C154" s="681">
        <v>40</v>
      </c>
      <c r="D154" s="681">
        <v>-0.8</v>
      </c>
      <c r="E154" s="681">
        <v>-1.1000000000000001</v>
      </c>
      <c r="F154" s="679" t="s">
        <v>102</v>
      </c>
      <c r="G154" s="678">
        <f t="shared" si="39"/>
        <v>0.15000000000000002</v>
      </c>
      <c r="I154" s="682">
        <v>7</v>
      </c>
      <c r="J154" s="681">
        <v>90</v>
      </c>
      <c r="K154" s="681">
        <v>1.5</v>
      </c>
      <c r="L154" s="681">
        <v>-0.8</v>
      </c>
      <c r="M154" s="679" t="s">
        <v>102</v>
      </c>
      <c r="N154" s="678">
        <f t="shared" si="40"/>
        <v>1.1499999999999999</v>
      </c>
      <c r="P154" s="682">
        <v>7</v>
      </c>
      <c r="Q154" s="681">
        <v>1020</v>
      </c>
      <c r="R154" s="680">
        <v>9.9999999999999995E-7</v>
      </c>
      <c r="S154" s="680">
        <v>9.9999999999999995E-7</v>
      </c>
      <c r="T154" s="679" t="s">
        <v>102</v>
      </c>
      <c r="U154" s="678">
        <f t="shared" si="41"/>
        <v>0</v>
      </c>
    </row>
    <row r="155" spans="1:24" ht="13" thickBot="1" x14ac:dyDescent="0.3">
      <c r="A155" s="693"/>
      <c r="C155" s="691"/>
      <c r="D155" s="691"/>
      <c r="E155" s="692"/>
      <c r="F155" s="691"/>
      <c r="J155" s="691"/>
      <c r="K155" s="691"/>
      <c r="L155" s="692"/>
      <c r="M155" s="691"/>
      <c r="Q155" s="691"/>
      <c r="R155" s="692"/>
      <c r="S155" s="692"/>
      <c r="T155" s="691"/>
    </row>
    <row r="156" spans="1:24" x14ac:dyDescent="0.25">
      <c r="A156" s="859">
        <v>15</v>
      </c>
      <c r="B156" s="858" t="s">
        <v>701</v>
      </c>
      <c r="C156" s="858"/>
      <c r="D156" s="858"/>
      <c r="E156" s="858"/>
      <c r="F156" s="858"/>
      <c r="G156" s="858"/>
      <c r="I156" s="858" t="str">
        <f>B156</f>
        <v>KOREKSI EXTECH A.100611</v>
      </c>
      <c r="J156" s="858"/>
      <c r="K156" s="858"/>
      <c r="L156" s="858"/>
      <c r="M156" s="858"/>
      <c r="N156" s="858"/>
      <c r="P156" s="858" t="str">
        <f>I156</f>
        <v>KOREKSI EXTECH A.100611</v>
      </c>
      <c r="Q156" s="858"/>
      <c r="R156" s="858"/>
      <c r="S156" s="858"/>
      <c r="T156" s="858"/>
      <c r="U156" s="858"/>
      <c r="W156" s="868" t="s">
        <v>537</v>
      </c>
      <c r="X156" s="869"/>
    </row>
    <row r="157" spans="1:24" ht="13" x14ac:dyDescent="0.25">
      <c r="A157" s="859"/>
      <c r="B157" s="857" t="s">
        <v>563</v>
      </c>
      <c r="C157" s="857"/>
      <c r="D157" s="857" t="s">
        <v>299</v>
      </c>
      <c r="E157" s="857"/>
      <c r="F157" s="857"/>
      <c r="G157" s="857" t="s">
        <v>564</v>
      </c>
      <c r="I157" s="857" t="s">
        <v>565</v>
      </c>
      <c r="J157" s="857"/>
      <c r="K157" s="857" t="s">
        <v>299</v>
      </c>
      <c r="L157" s="857"/>
      <c r="M157" s="857"/>
      <c r="N157" s="857" t="s">
        <v>564</v>
      </c>
      <c r="P157" s="857" t="s">
        <v>696</v>
      </c>
      <c r="Q157" s="857"/>
      <c r="R157" s="857" t="s">
        <v>299</v>
      </c>
      <c r="S157" s="857"/>
      <c r="T157" s="857"/>
      <c r="U157" s="857" t="s">
        <v>564</v>
      </c>
      <c r="W157" s="687" t="s">
        <v>563</v>
      </c>
      <c r="X157" s="686">
        <v>0.5</v>
      </c>
    </row>
    <row r="158" spans="1:24" ht="14.5" x14ac:dyDescent="0.25">
      <c r="A158" s="859"/>
      <c r="B158" s="855" t="s">
        <v>717</v>
      </c>
      <c r="C158" s="855"/>
      <c r="D158" s="688">
        <v>2022</v>
      </c>
      <c r="E158" s="688">
        <v>2020</v>
      </c>
      <c r="F158" s="689" t="s">
        <v>102</v>
      </c>
      <c r="G158" s="857"/>
      <c r="I158" s="856" t="s">
        <v>566</v>
      </c>
      <c r="J158" s="855"/>
      <c r="K158" s="688">
        <f>D158</f>
        <v>2022</v>
      </c>
      <c r="L158" s="688">
        <f>E158</f>
        <v>2020</v>
      </c>
      <c r="M158" s="688" t="str">
        <f>F158</f>
        <v>-</v>
      </c>
      <c r="N158" s="857"/>
      <c r="P158" s="856" t="s">
        <v>695</v>
      </c>
      <c r="Q158" s="855"/>
      <c r="R158" s="688">
        <f>K158</f>
        <v>2022</v>
      </c>
      <c r="S158" s="688">
        <f>L158</f>
        <v>2020</v>
      </c>
      <c r="T158" s="688" t="str">
        <f>M158</f>
        <v>-</v>
      </c>
      <c r="U158" s="857"/>
      <c r="W158" s="687" t="s">
        <v>566</v>
      </c>
      <c r="X158" s="686">
        <v>2.6</v>
      </c>
    </row>
    <row r="159" spans="1:24" ht="13" thickBot="1" x14ac:dyDescent="0.3">
      <c r="A159" s="859"/>
      <c r="B159" s="682">
        <v>1</v>
      </c>
      <c r="C159" s="683">
        <v>15</v>
      </c>
      <c r="D159" s="683">
        <v>0.6</v>
      </c>
      <c r="E159" s="683">
        <v>-0.6</v>
      </c>
      <c r="F159" s="679" t="s">
        <v>102</v>
      </c>
      <c r="G159" s="678">
        <f t="shared" ref="G159:G165" si="42">0.5*(MAX(D159:F159)-MIN(D159:F159))</f>
        <v>0.6</v>
      </c>
      <c r="I159" s="682">
        <v>1</v>
      </c>
      <c r="J159" s="683">
        <v>30</v>
      </c>
      <c r="K159" s="683">
        <v>-2</v>
      </c>
      <c r="L159" s="683">
        <v>-0.4</v>
      </c>
      <c r="M159" s="679" t="s">
        <v>102</v>
      </c>
      <c r="N159" s="678">
        <f t="shared" ref="N159:N165" si="43">0.5*(MAX(K159:M159)-MIN(K159:M159))</f>
        <v>0.8</v>
      </c>
      <c r="P159" s="682">
        <v>1</v>
      </c>
      <c r="Q159" s="683">
        <v>985</v>
      </c>
      <c r="R159" s="679">
        <v>4.3</v>
      </c>
      <c r="S159" s="679">
        <v>0.9</v>
      </c>
      <c r="T159" s="679" t="s">
        <v>102</v>
      </c>
      <c r="U159" s="678">
        <f t="shared" ref="U159:U165" si="44">0.5*(MAX(R159:T159)-MIN(R159:T159))</f>
        <v>1.7</v>
      </c>
      <c r="W159" s="685" t="s">
        <v>695</v>
      </c>
      <c r="X159" s="684">
        <v>2.6</v>
      </c>
    </row>
    <row r="160" spans="1:24" x14ac:dyDescent="0.25">
      <c r="A160" s="859"/>
      <c r="B160" s="682">
        <v>2</v>
      </c>
      <c r="C160" s="683">
        <v>20</v>
      </c>
      <c r="D160" s="683">
        <v>0.3</v>
      </c>
      <c r="E160" s="683">
        <v>-0.5</v>
      </c>
      <c r="F160" s="679" t="s">
        <v>102</v>
      </c>
      <c r="G160" s="678">
        <f t="shared" si="42"/>
        <v>0.4</v>
      </c>
      <c r="I160" s="682">
        <v>2</v>
      </c>
      <c r="J160" s="683">
        <v>40</v>
      </c>
      <c r="K160" s="683">
        <v>-1.7</v>
      </c>
      <c r="L160" s="683">
        <v>-0.3</v>
      </c>
      <c r="M160" s="679" t="s">
        <v>102</v>
      </c>
      <c r="N160" s="678">
        <f t="shared" si="43"/>
        <v>0.7</v>
      </c>
      <c r="P160" s="682">
        <v>2</v>
      </c>
      <c r="Q160" s="683">
        <v>990</v>
      </c>
      <c r="R160" s="679">
        <v>4.2</v>
      </c>
      <c r="S160" s="679">
        <v>1</v>
      </c>
      <c r="T160" s="679" t="s">
        <v>102</v>
      </c>
      <c r="U160" s="678">
        <f t="shared" si="44"/>
        <v>1.6</v>
      </c>
    </row>
    <row r="161" spans="1:24" x14ac:dyDescent="0.25">
      <c r="A161" s="859"/>
      <c r="B161" s="682">
        <v>3</v>
      </c>
      <c r="C161" s="683">
        <v>25</v>
      </c>
      <c r="D161" s="683">
        <v>0.2</v>
      </c>
      <c r="E161" s="683">
        <v>-0.4</v>
      </c>
      <c r="F161" s="679" t="s">
        <v>102</v>
      </c>
      <c r="G161" s="678">
        <f t="shared" si="42"/>
        <v>0.30000000000000004</v>
      </c>
      <c r="I161" s="682">
        <v>3</v>
      </c>
      <c r="J161" s="683">
        <v>50</v>
      </c>
      <c r="K161" s="683">
        <v>-1.4</v>
      </c>
      <c r="L161" s="683">
        <v>-0.3</v>
      </c>
      <c r="M161" s="679" t="s">
        <v>102</v>
      </c>
      <c r="N161" s="678">
        <f t="shared" si="43"/>
        <v>0.54999999999999993</v>
      </c>
      <c r="P161" s="682">
        <v>3</v>
      </c>
      <c r="Q161" s="681">
        <v>995</v>
      </c>
      <c r="R161" s="680">
        <v>4.0999999999999996</v>
      </c>
      <c r="S161" s="680">
        <v>1</v>
      </c>
      <c r="T161" s="679" t="s">
        <v>102</v>
      </c>
      <c r="U161" s="678">
        <f t="shared" si="44"/>
        <v>1.5499999999999998</v>
      </c>
    </row>
    <row r="162" spans="1:24" x14ac:dyDescent="0.25">
      <c r="A162" s="859"/>
      <c r="B162" s="682">
        <v>4</v>
      </c>
      <c r="C162" s="681">
        <v>30</v>
      </c>
      <c r="D162" s="681">
        <v>0.4</v>
      </c>
      <c r="E162" s="681">
        <v>-0.2</v>
      </c>
      <c r="F162" s="679" t="s">
        <v>102</v>
      </c>
      <c r="G162" s="678">
        <f t="shared" si="42"/>
        <v>0.30000000000000004</v>
      </c>
      <c r="I162" s="682">
        <v>4</v>
      </c>
      <c r="J162" s="681">
        <v>60</v>
      </c>
      <c r="K162" s="681">
        <v>-1.1000000000000001</v>
      </c>
      <c r="L162" s="681">
        <v>-0.5</v>
      </c>
      <c r="M162" s="679" t="s">
        <v>102</v>
      </c>
      <c r="N162" s="678">
        <f t="shared" si="43"/>
        <v>0.30000000000000004</v>
      </c>
      <c r="P162" s="682">
        <v>4</v>
      </c>
      <c r="Q162" s="681">
        <v>1000</v>
      </c>
      <c r="R162" s="680">
        <v>4.0999999999999996</v>
      </c>
      <c r="S162" s="680">
        <v>1.1000000000000001</v>
      </c>
      <c r="T162" s="679" t="s">
        <v>102</v>
      </c>
      <c r="U162" s="678">
        <f t="shared" si="44"/>
        <v>1.4999999999999998</v>
      </c>
    </row>
    <row r="163" spans="1:24" x14ac:dyDescent="0.25">
      <c r="A163" s="859"/>
      <c r="B163" s="682">
        <v>5</v>
      </c>
      <c r="C163" s="681">
        <v>35</v>
      </c>
      <c r="D163" s="681">
        <v>0.8</v>
      </c>
      <c r="E163" s="681">
        <v>-0.1</v>
      </c>
      <c r="F163" s="679" t="s">
        <v>102</v>
      </c>
      <c r="G163" s="678">
        <f t="shared" si="42"/>
        <v>0.45</v>
      </c>
      <c r="I163" s="682">
        <v>5</v>
      </c>
      <c r="J163" s="681">
        <v>70</v>
      </c>
      <c r="K163" s="681">
        <v>-0.7</v>
      </c>
      <c r="L163" s="681">
        <v>-0.8</v>
      </c>
      <c r="M163" s="679" t="s">
        <v>102</v>
      </c>
      <c r="N163" s="678">
        <f t="shared" si="43"/>
        <v>5.0000000000000044E-2</v>
      </c>
      <c r="P163" s="682">
        <v>5</v>
      </c>
      <c r="Q163" s="681">
        <v>1005</v>
      </c>
      <c r="R163" s="680">
        <v>4</v>
      </c>
      <c r="S163" s="680">
        <v>1.1000000000000001</v>
      </c>
      <c r="T163" s="679" t="s">
        <v>102</v>
      </c>
      <c r="U163" s="678">
        <f t="shared" si="44"/>
        <v>1.45</v>
      </c>
    </row>
    <row r="164" spans="1:24" x14ac:dyDescent="0.25">
      <c r="A164" s="859"/>
      <c r="B164" s="682">
        <v>6</v>
      </c>
      <c r="C164" s="681">
        <v>37</v>
      </c>
      <c r="D164" s="681">
        <v>1</v>
      </c>
      <c r="E164" s="681">
        <v>-0.1</v>
      </c>
      <c r="F164" s="679" t="s">
        <v>102</v>
      </c>
      <c r="G164" s="678">
        <f t="shared" si="42"/>
        <v>0.55000000000000004</v>
      </c>
      <c r="I164" s="682">
        <v>6</v>
      </c>
      <c r="J164" s="681">
        <v>80</v>
      </c>
      <c r="K164" s="681">
        <v>-0.4</v>
      </c>
      <c r="L164" s="681">
        <v>-1.3</v>
      </c>
      <c r="M164" s="679" t="s">
        <v>102</v>
      </c>
      <c r="N164" s="678">
        <f t="shared" si="43"/>
        <v>0.45</v>
      </c>
      <c r="P164" s="682">
        <v>6</v>
      </c>
      <c r="Q164" s="681">
        <v>1010</v>
      </c>
      <c r="R164" s="680">
        <v>3.9</v>
      </c>
      <c r="S164" s="680">
        <v>1.1000000000000001</v>
      </c>
      <c r="T164" s="679" t="s">
        <v>102</v>
      </c>
      <c r="U164" s="678">
        <f t="shared" si="44"/>
        <v>1.4</v>
      </c>
    </row>
    <row r="165" spans="1:24" x14ac:dyDescent="0.25">
      <c r="A165" s="859"/>
      <c r="B165" s="682">
        <v>7</v>
      </c>
      <c r="C165" s="681">
        <v>40</v>
      </c>
      <c r="D165" s="681">
        <v>1.4</v>
      </c>
      <c r="E165" s="681">
        <v>9.9999999999999995E-7</v>
      </c>
      <c r="F165" s="679" t="s">
        <v>102</v>
      </c>
      <c r="G165" s="678">
        <f t="shared" si="42"/>
        <v>0.6999995</v>
      </c>
      <c r="I165" s="682">
        <v>7</v>
      </c>
      <c r="J165" s="681">
        <v>90</v>
      </c>
      <c r="K165" s="681">
        <v>-0.1</v>
      </c>
      <c r="L165" s="681">
        <v>-2</v>
      </c>
      <c r="M165" s="679" t="s">
        <v>102</v>
      </c>
      <c r="N165" s="678">
        <f t="shared" si="43"/>
        <v>0.95</v>
      </c>
      <c r="P165" s="682">
        <v>7</v>
      </c>
      <c r="Q165" s="681">
        <v>1020</v>
      </c>
      <c r="R165" s="680">
        <v>9.9999999999999995E-7</v>
      </c>
      <c r="S165" s="680">
        <v>9.9999999999999995E-7</v>
      </c>
      <c r="T165" s="679" t="s">
        <v>102</v>
      </c>
      <c r="U165" s="678">
        <f t="shared" si="44"/>
        <v>0</v>
      </c>
    </row>
    <row r="166" spans="1:24" ht="13" thickBot="1" x14ac:dyDescent="0.3">
      <c r="A166" s="693"/>
      <c r="C166" s="691"/>
      <c r="D166" s="691"/>
      <c r="E166" s="692"/>
      <c r="F166" s="691"/>
      <c r="I166" s="691"/>
      <c r="J166" s="691"/>
      <c r="K166" s="692"/>
      <c r="L166" s="691"/>
      <c r="O166" s="691"/>
      <c r="P166" s="692"/>
      <c r="Q166" s="692"/>
      <c r="R166" s="691"/>
    </row>
    <row r="167" spans="1:24" x14ac:dyDescent="0.25">
      <c r="A167" s="859">
        <v>16</v>
      </c>
      <c r="B167" s="858" t="s">
        <v>700</v>
      </c>
      <c r="C167" s="858"/>
      <c r="D167" s="858"/>
      <c r="E167" s="858"/>
      <c r="F167" s="858"/>
      <c r="G167" s="858"/>
      <c r="I167" s="858" t="str">
        <f>B167</f>
        <v>KOREKSI EXTECH A.100616</v>
      </c>
      <c r="J167" s="858"/>
      <c r="K167" s="858"/>
      <c r="L167" s="858"/>
      <c r="M167" s="858"/>
      <c r="N167" s="858"/>
      <c r="P167" s="858" t="str">
        <f>I167</f>
        <v>KOREKSI EXTECH A.100616</v>
      </c>
      <c r="Q167" s="858"/>
      <c r="R167" s="858"/>
      <c r="S167" s="858"/>
      <c r="T167" s="858"/>
      <c r="U167" s="858"/>
      <c r="W167" s="868" t="s">
        <v>537</v>
      </c>
      <c r="X167" s="869"/>
    </row>
    <row r="168" spans="1:24" ht="13" x14ac:dyDescent="0.25">
      <c r="A168" s="859"/>
      <c r="B168" s="857" t="s">
        <v>563</v>
      </c>
      <c r="C168" s="857"/>
      <c r="D168" s="857" t="s">
        <v>299</v>
      </c>
      <c r="E168" s="857"/>
      <c r="F168" s="857"/>
      <c r="G168" s="857" t="s">
        <v>564</v>
      </c>
      <c r="I168" s="857" t="s">
        <v>565</v>
      </c>
      <c r="J168" s="857"/>
      <c r="K168" s="857" t="s">
        <v>299</v>
      </c>
      <c r="L168" s="857"/>
      <c r="M168" s="857"/>
      <c r="N168" s="857" t="s">
        <v>564</v>
      </c>
      <c r="P168" s="857" t="s">
        <v>696</v>
      </c>
      <c r="Q168" s="857"/>
      <c r="R168" s="857" t="s">
        <v>299</v>
      </c>
      <c r="S168" s="857"/>
      <c r="T168" s="857"/>
      <c r="U168" s="857" t="s">
        <v>564</v>
      </c>
      <c r="W168" s="687" t="s">
        <v>563</v>
      </c>
      <c r="X168" s="686">
        <v>0.4</v>
      </c>
    </row>
    <row r="169" spans="1:24" ht="14.5" x14ac:dyDescent="0.25">
      <c r="A169" s="859"/>
      <c r="B169" s="855" t="s">
        <v>717</v>
      </c>
      <c r="C169" s="855"/>
      <c r="D169" s="688">
        <v>2020</v>
      </c>
      <c r="E169" s="689" t="s">
        <v>102</v>
      </c>
      <c r="F169" s="689" t="s">
        <v>102</v>
      </c>
      <c r="G169" s="857"/>
      <c r="I169" s="856" t="s">
        <v>566</v>
      </c>
      <c r="J169" s="855"/>
      <c r="K169" s="688">
        <f>D169</f>
        <v>2020</v>
      </c>
      <c r="L169" s="688" t="str">
        <f>E169</f>
        <v>-</v>
      </c>
      <c r="M169" s="688" t="str">
        <f>F169</f>
        <v>-</v>
      </c>
      <c r="N169" s="857"/>
      <c r="P169" s="856" t="s">
        <v>695</v>
      </c>
      <c r="Q169" s="855"/>
      <c r="R169" s="688">
        <f>K169</f>
        <v>2020</v>
      </c>
      <c r="S169" s="688" t="str">
        <f>L169</f>
        <v>-</v>
      </c>
      <c r="T169" s="688" t="str">
        <f>M169</f>
        <v>-</v>
      </c>
      <c r="U169" s="857"/>
      <c r="W169" s="687" t="s">
        <v>566</v>
      </c>
      <c r="X169" s="686">
        <v>2.2000000000000002</v>
      </c>
    </row>
    <row r="170" spans="1:24" ht="13" thickBot="1" x14ac:dyDescent="0.3">
      <c r="A170" s="859"/>
      <c r="B170" s="682">
        <v>1</v>
      </c>
      <c r="C170" s="683">
        <v>15</v>
      </c>
      <c r="D170" s="683">
        <v>0.1</v>
      </c>
      <c r="E170" s="683" t="s">
        <v>102</v>
      </c>
      <c r="F170" s="679" t="s">
        <v>102</v>
      </c>
      <c r="G170" s="678">
        <f t="shared" ref="G170:G176" si="45">0.5*(MAX(D170:F170)-MIN(D170:F170))</f>
        <v>0</v>
      </c>
      <c r="I170" s="682">
        <v>1</v>
      </c>
      <c r="J170" s="683">
        <v>30</v>
      </c>
      <c r="K170" s="683">
        <v>-1.6</v>
      </c>
      <c r="L170" s="683" t="s">
        <v>102</v>
      </c>
      <c r="M170" s="679" t="s">
        <v>102</v>
      </c>
      <c r="N170" s="678">
        <f t="shared" ref="N170:N176" si="46">0.5*(MAX(K170:M170)-MIN(K170:M170))</f>
        <v>0</v>
      </c>
      <c r="P170" s="682">
        <v>1</v>
      </c>
      <c r="Q170" s="683">
        <v>800</v>
      </c>
      <c r="R170" s="679">
        <v>-2.9</v>
      </c>
      <c r="S170" s="683" t="s">
        <v>102</v>
      </c>
      <c r="T170" s="679" t="s">
        <v>102</v>
      </c>
      <c r="U170" s="678">
        <f t="shared" ref="U170:U176" si="47">0.5*(MAX(R170:T170)-MIN(R170:T170))</f>
        <v>0</v>
      </c>
      <c r="W170" s="685" t="s">
        <v>695</v>
      </c>
      <c r="X170" s="684">
        <v>2.2999999999999998</v>
      </c>
    </row>
    <row r="171" spans="1:24" x14ac:dyDescent="0.25">
      <c r="A171" s="859"/>
      <c r="B171" s="682">
        <v>2</v>
      </c>
      <c r="C171" s="683">
        <v>20</v>
      </c>
      <c r="D171" s="683">
        <v>0.2</v>
      </c>
      <c r="E171" s="683" t="s">
        <v>102</v>
      </c>
      <c r="F171" s="679" t="s">
        <v>102</v>
      </c>
      <c r="G171" s="678">
        <f t="shared" si="45"/>
        <v>0</v>
      </c>
      <c r="I171" s="682">
        <v>2</v>
      </c>
      <c r="J171" s="683">
        <v>40</v>
      </c>
      <c r="K171" s="683">
        <v>-1.4</v>
      </c>
      <c r="L171" s="683" t="s">
        <v>102</v>
      </c>
      <c r="M171" s="679" t="s">
        <v>102</v>
      </c>
      <c r="N171" s="678">
        <f t="shared" si="46"/>
        <v>0</v>
      </c>
      <c r="P171" s="682">
        <v>2</v>
      </c>
      <c r="Q171" s="683">
        <v>850</v>
      </c>
      <c r="R171" s="679">
        <v>-2.2999999999999998</v>
      </c>
      <c r="S171" s="683" t="s">
        <v>102</v>
      </c>
      <c r="T171" s="679" t="s">
        <v>102</v>
      </c>
      <c r="U171" s="678">
        <f t="shared" si="47"/>
        <v>0</v>
      </c>
    </row>
    <row r="172" spans="1:24" x14ac:dyDescent="0.25">
      <c r="A172" s="859"/>
      <c r="B172" s="682">
        <v>3</v>
      </c>
      <c r="C172" s="683">
        <v>25</v>
      </c>
      <c r="D172" s="683">
        <v>0.2</v>
      </c>
      <c r="E172" s="683" t="s">
        <v>102</v>
      </c>
      <c r="F172" s="679" t="s">
        <v>102</v>
      </c>
      <c r="G172" s="678">
        <f t="shared" si="45"/>
        <v>0</v>
      </c>
      <c r="I172" s="682">
        <v>3</v>
      </c>
      <c r="J172" s="683">
        <v>50</v>
      </c>
      <c r="K172" s="683">
        <v>-1.4</v>
      </c>
      <c r="L172" s="683" t="s">
        <v>102</v>
      </c>
      <c r="M172" s="679" t="s">
        <v>102</v>
      </c>
      <c r="N172" s="678">
        <f t="shared" si="46"/>
        <v>0</v>
      </c>
      <c r="P172" s="682">
        <v>3</v>
      </c>
      <c r="Q172" s="681">
        <v>900</v>
      </c>
      <c r="R172" s="680">
        <v>-1.7</v>
      </c>
      <c r="S172" s="683" t="s">
        <v>102</v>
      </c>
      <c r="T172" s="679" t="s">
        <v>102</v>
      </c>
      <c r="U172" s="678">
        <f t="shared" si="47"/>
        <v>0</v>
      </c>
    </row>
    <row r="173" spans="1:24" x14ac:dyDescent="0.25">
      <c r="A173" s="859"/>
      <c r="B173" s="682">
        <v>4</v>
      </c>
      <c r="C173" s="681">
        <v>30</v>
      </c>
      <c r="D173" s="681">
        <v>0.2</v>
      </c>
      <c r="E173" s="680" t="s">
        <v>102</v>
      </c>
      <c r="F173" s="679" t="s">
        <v>102</v>
      </c>
      <c r="G173" s="678">
        <f t="shared" si="45"/>
        <v>0</v>
      </c>
      <c r="I173" s="682">
        <v>4</v>
      </c>
      <c r="J173" s="681">
        <v>60</v>
      </c>
      <c r="K173" s="681">
        <v>-1.5</v>
      </c>
      <c r="L173" s="680" t="s">
        <v>102</v>
      </c>
      <c r="M173" s="679" t="s">
        <v>102</v>
      </c>
      <c r="N173" s="678">
        <f t="shared" si="46"/>
        <v>0</v>
      </c>
      <c r="P173" s="682">
        <v>4</v>
      </c>
      <c r="Q173" s="681">
        <v>950</v>
      </c>
      <c r="R173" s="680">
        <v>-1.1000000000000001</v>
      </c>
      <c r="S173" s="680" t="s">
        <v>102</v>
      </c>
      <c r="T173" s="679" t="s">
        <v>102</v>
      </c>
      <c r="U173" s="678">
        <f t="shared" si="47"/>
        <v>0</v>
      </c>
    </row>
    <row r="174" spans="1:24" x14ac:dyDescent="0.25">
      <c r="A174" s="859"/>
      <c r="B174" s="682">
        <v>5</v>
      </c>
      <c r="C174" s="681">
        <v>35</v>
      </c>
      <c r="D174" s="681">
        <v>0.1</v>
      </c>
      <c r="E174" s="680" t="s">
        <v>102</v>
      </c>
      <c r="F174" s="679" t="s">
        <v>102</v>
      </c>
      <c r="G174" s="678">
        <f t="shared" si="45"/>
        <v>0</v>
      </c>
      <c r="I174" s="682">
        <v>5</v>
      </c>
      <c r="J174" s="681">
        <v>70</v>
      </c>
      <c r="K174" s="681">
        <v>-1.8</v>
      </c>
      <c r="L174" s="680" t="s">
        <v>102</v>
      </c>
      <c r="M174" s="679" t="s">
        <v>102</v>
      </c>
      <c r="N174" s="678">
        <f t="shared" si="46"/>
        <v>0</v>
      </c>
      <c r="P174" s="682">
        <v>5</v>
      </c>
      <c r="Q174" s="681">
        <v>1000</v>
      </c>
      <c r="R174" s="680">
        <v>-0.4</v>
      </c>
      <c r="S174" s="680" t="s">
        <v>102</v>
      </c>
      <c r="T174" s="679" t="s">
        <v>102</v>
      </c>
      <c r="U174" s="678">
        <f t="shared" si="47"/>
        <v>0</v>
      </c>
    </row>
    <row r="175" spans="1:24" x14ac:dyDescent="0.25">
      <c r="A175" s="859"/>
      <c r="B175" s="682">
        <v>6</v>
      </c>
      <c r="C175" s="681">
        <v>37</v>
      </c>
      <c r="D175" s="681">
        <v>9.9999999999999995E-7</v>
      </c>
      <c r="E175" s="680" t="s">
        <v>102</v>
      </c>
      <c r="F175" s="679" t="s">
        <v>102</v>
      </c>
      <c r="G175" s="678">
        <f t="shared" si="45"/>
        <v>0</v>
      </c>
      <c r="I175" s="682">
        <v>6</v>
      </c>
      <c r="J175" s="681">
        <v>80</v>
      </c>
      <c r="K175" s="681">
        <v>-2.2999999999999998</v>
      </c>
      <c r="L175" s="680" t="s">
        <v>102</v>
      </c>
      <c r="M175" s="679" t="s">
        <v>102</v>
      </c>
      <c r="N175" s="678">
        <f t="shared" si="46"/>
        <v>0</v>
      </c>
      <c r="P175" s="682">
        <v>6</v>
      </c>
      <c r="Q175" s="681">
        <v>1005</v>
      </c>
      <c r="R175" s="680">
        <v>-0.4</v>
      </c>
      <c r="S175" s="680" t="s">
        <v>102</v>
      </c>
      <c r="T175" s="679" t="s">
        <v>102</v>
      </c>
      <c r="U175" s="678">
        <f t="shared" si="47"/>
        <v>0</v>
      </c>
    </row>
    <row r="176" spans="1:24" x14ac:dyDescent="0.25">
      <c r="A176" s="859"/>
      <c r="B176" s="682">
        <v>7</v>
      </c>
      <c r="C176" s="681">
        <v>40</v>
      </c>
      <c r="D176" s="681">
        <v>9.9999999999999995E-7</v>
      </c>
      <c r="E176" s="680" t="s">
        <v>102</v>
      </c>
      <c r="F176" s="679" t="s">
        <v>102</v>
      </c>
      <c r="G176" s="678">
        <f t="shared" si="45"/>
        <v>0</v>
      </c>
      <c r="I176" s="682">
        <v>7</v>
      </c>
      <c r="J176" s="681">
        <v>90</v>
      </c>
      <c r="K176" s="681">
        <v>-3</v>
      </c>
      <c r="L176" s="680" t="s">
        <v>102</v>
      </c>
      <c r="M176" s="679" t="s">
        <v>102</v>
      </c>
      <c r="N176" s="678">
        <f t="shared" si="46"/>
        <v>0</v>
      </c>
      <c r="P176" s="682">
        <v>7</v>
      </c>
      <c r="Q176" s="681">
        <v>1020</v>
      </c>
      <c r="R176" s="680">
        <v>9.9999999999999995E-7</v>
      </c>
      <c r="S176" s="680" t="s">
        <v>102</v>
      </c>
      <c r="T176" s="679" t="s">
        <v>102</v>
      </c>
      <c r="U176" s="678">
        <f t="shared" si="47"/>
        <v>0</v>
      </c>
    </row>
    <row r="177" spans="1:24" ht="13" thickBot="1" x14ac:dyDescent="0.3">
      <c r="A177" s="693"/>
      <c r="C177" s="691"/>
      <c r="D177" s="691"/>
      <c r="E177" s="692"/>
      <c r="F177" s="691"/>
      <c r="J177" s="691"/>
      <c r="K177" s="691"/>
      <c r="L177" s="692"/>
      <c r="M177" s="691"/>
      <c r="Q177" s="691"/>
      <c r="R177" s="692"/>
      <c r="S177" s="692"/>
      <c r="T177" s="691"/>
    </row>
    <row r="178" spans="1:24" x14ac:dyDescent="0.25">
      <c r="A178" s="859">
        <v>17</v>
      </c>
      <c r="B178" s="858" t="s">
        <v>699</v>
      </c>
      <c r="C178" s="858"/>
      <c r="D178" s="858"/>
      <c r="E178" s="858"/>
      <c r="F178" s="858"/>
      <c r="G178" s="858"/>
      <c r="I178" s="858" t="str">
        <f>B178</f>
        <v>KOREKSI EXTECH A.100617</v>
      </c>
      <c r="J178" s="858"/>
      <c r="K178" s="858"/>
      <c r="L178" s="858"/>
      <c r="M178" s="858"/>
      <c r="N178" s="858"/>
      <c r="P178" s="858" t="str">
        <f>I178</f>
        <v>KOREKSI EXTECH A.100617</v>
      </c>
      <c r="Q178" s="858"/>
      <c r="R178" s="858"/>
      <c r="S178" s="858"/>
      <c r="T178" s="858"/>
      <c r="U178" s="858"/>
      <c r="W178" s="868" t="s">
        <v>537</v>
      </c>
      <c r="X178" s="869"/>
    </row>
    <row r="179" spans="1:24" ht="13" x14ac:dyDescent="0.25">
      <c r="A179" s="859"/>
      <c r="B179" s="857" t="s">
        <v>563</v>
      </c>
      <c r="C179" s="857"/>
      <c r="D179" s="857" t="s">
        <v>299</v>
      </c>
      <c r="E179" s="857"/>
      <c r="F179" s="857"/>
      <c r="G179" s="857" t="s">
        <v>564</v>
      </c>
      <c r="I179" s="857" t="s">
        <v>565</v>
      </c>
      <c r="J179" s="857"/>
      <c r="K179" s="857" t="s">
        <v>299</v>
      </c>
      <c r="L179" s="857"/>
      <c r="M179" s="857"/>
      <c r="N179" s="857" t="s">
        <v>564</v>
      </c>
      <c r="P179" s="857" t="s">
        <v>696</v>
      </c>
      <c r="Q179" s="857"/>
      <c r="R179" s="857" t="s">
        <v>299</v>
      </c>
      <c r="S179" s="857"/>
      <c r="T179" s="857"/>
      <c r="U179" s="857" t="s">
        <v>564</v>
      </c>
      <c r="W179" s="687" t="s">
        <v>563</v>
      </c>
      <c r="X179" s="686">
        <v>0.3</v>
      </c>
    </row>
    <row r="180" spans="1:24" ht="14.5" x14ac:dyDescent="0.25">
      <c r="A180" s="859"/>
      <c r="B180" s="855" t="s">
        <v>717</v>
      </c>
      <c r="C180" s="855"/>
      <c r="D180" s="688">
        <v>2020</v>
      </c>
      <c r="E180" s="689" t="s">
        <v>102</v>
      </c>
      <c r="F180" s="689" t="s">
        <v>102</v>
      </c>
      <c r="G180" s="857"/>
      <c r="I180" s="856" t="s">
        <v>566</v>
      </c>
      <c r="J180" s="855"/>
      <c r="K180" s="688">
        <f>D180</f>
        <v>2020</v>
      </c>
      <c r="L180" s="688" t="str">
        <f>E180</f>
        <v>-</v>
      </c>
      <c r="M180" s="688" t="str">
        <f>F180</f>
        <v>-</v>
      </c>
      <c r="N180" s="857"/>
      <c r="P180" s="856" t="s">
        <v>695</v>
      </c>
      <c r="Q180" s="855"/>
      <c r="R180" s="688">
        <f>K180</f>
        <v>2020</v>
      </c>
      <c r="S180" s="688" t="str">
        <f>L180</f>
        <v>-</v>
      </c>
      <c r="T180" s="688" t="str">
        <f>M180</f>
        <v>-</v>
      </c>
      <c r="U180" s="857"/>
      <c r="W180" s="687" t="s">
        <v>566</v>
      </c>
      <c r="X180" s="686">
        <v>2.8</v>
      </c>
    </row>
    <row r="181" spans="1:24" ht="13" thickBot="1" x14ac:dyDescent="0.3">
      <c r="A181" s="859"/>
      <c r="B181" s="682">
        <v>1</v>
      </c>
      <c r="C181" s="683">
        <v>15</v>
      </c>
      <c r="D181" s="683">
        <v>0.1</v>
      </c>
      <c r="E181" s="683" t="s">
        <v>102</v>
      </c>
      <c r="F181" s="679" t="s">
        <v>102</v>
      </c>
      <c r="G181" s="678">
        <f t="shared" ref="G181:G187" si="48">0.5*(MAX(D181:F181)-MIN(D181:F181))</f>
        <v>0</v>
      </c>
      <c r="I181" s="682">
        <v>1</v>
      </c>
      <c r="J181" s="683">
        <v>30</v>
      </c>
      <c r="K181" s="683">
        <v>0.1</v>
      </c>
      <c r="L181" s="683" t="s">
        <v>102</v>
      </c>
      <c r="M181" s="679" t="s">
        <v>102</v>
      </c>
      <c r="N181" s="678">
        <f t="shared" ref="N181:N187" si="49">0.5*(MAX(K181:M181)-MIN(K181:M181))</f>
        <v>0</v>
      </c>
      <c r="P181" s="682">
        <v>1</v>
      </c>
      <c r="Q181" s="683">
        <v>960</v>
      </c>
      <c r="R181" s="679">
        <v>-0.6</v>
      </c>
      <c r="S181" s="683" t="s">
        <v>102</v>
      </c>
      <c r="T181" s="679" t="s">
        <v>102</v>
      </c>
      <c r="U181" s="678">
        <f t="shared" ref="U181:U187" si="50">0.5*(MAX(R181:T181)-MIN(R181:T181))</f>
        <v>0</v>
      </c>
      <c r="W181" s="685" t="s">
        <v>695</v>
      </c>
      <c r="X181" s="684">
        <v>2.1</v>
      </c>
    </row>
    <row r="182" spans="1:24" x14ac:dyDescent="0.25">
      <c r="A182" s="859"/>
      <c r="B182" s="682">
        <v>2</v>
      </c>
      <c r="C182" s="683">
        <v>20</v>
      </c>
      <c r="D182" s="683">
        <v>0.1</v>
      </c>
      <c r="E182" s="683" t="s">
        <v>102</v>
      </c>
      <c r="F182" s="679" t="s">
        <v>102</v>
      </c>
      <c r="G182" s="678">
        <f t="shared" si="48"/>
        <v>0</v>
      </c>
      <c r="I182" s="682">
        <v>2</v>
      </c>
      <c r="J182" s="683">
        <v>40</v>
      </c>
      <c r="K182" s="683">
        <v>0.2</v>
      </c>
      <c r="L182" s="683" t="s">
        <v>102</v>
      </c>
      <c r="M182" s="679" t="s">
        <v>102</v>
      </c>
      <c r="N182" s="678">
        <f t="shared" si="49"/>
        <v>0</v>
      </c>
      <c r="P182" s="682">
        <v>2</v>
      </c>
      <c r="Q182" s="683">
        <v>970</v>
      </c>
      <c r="R182" s="679">
        <v>-0.6</v>
      </c>
      <c r="S182" s="683" t="s">
        <v>102</v>
      </c>
      <c r="T182" s="679" t="s">
        <v>102</v>
      </c>
      <c r="U182" s="678">
        <f t="shared" si="50"/>
        <v>0</v>
      </c>
    </row>
    <row r="183" spans="1:24" x14ac:dyDescent="0.25">
      <c r="A183" s="859"/>
      <c r="B183" s="682">
        <v>3</v>
      </c>
      <c r="C183" s="683">
        <v>25</v>
      </c>
      <c r="D183" s="683">
        <v>9.9999999999999995E-7</v>
      </c>
      <c r="E183" s="683" t="s">
        <v>102</v>
      </c>
      <c r="F183" s="679" t="s">
        <v>102</v>
      </c>
      <c r="G183" s="678">
        <f t="shared" si="48"/>
        <v>0</v>
      </c>
      <c r="I183" s="682">
        <v>3</v>
      </c>
      <c r="J183" s="683">
        <v>50</v>
      </c>
      <c r="K183" s="683">
        <v>0.2</v>
      </c>
      <c r="L183" s="683" t="s">
        <v>102</v>
      </c>
      <c r="M183" s="679" t="s">
        <v>102</v>
      </c>
      <c r="N183" s="678">
        <f t="shared" si="49"/>
        <v>0</v>
      </c>
      <c r="P183" s="682">
        <v>3</v>
      </c>
      <c r="Q183" s="681">
        <v>980</v>
      </c>
      <c r="R183" s="680">
        <v>-0.6</v>
      </c>
      <c r="S183" s="683" t="s">
        <v>102</v>
      </c>
      <c r="T183" s="679" t="s">
        <v>102</v>
      </c>
      <c r="U183" s="678">
        <f t="shared" si="50"/>
        <v>0</v>
      </c>
    </row>
    <row r="184" spans="1:24" x14ac:dyDescent="0.25">
      <c r="A184" s="859"/>
      <c r="B184" s="682">
        <v>4</v>
      </c>
      <c r="C184" s="681">
        <v>30</v>
      </c>
      <c r="D184" s="681">
        <v>-0.2</v>
      </c>
      <c r="E184" s="680" t="s">
        <v>102</v>
      </c>
      <c r="F184" s="679" t="s">
        <v>102</v>
      </c>
      <c r="G184" s="678">
        <f t="shared" si="48"/>
        <v>0</v>
      </c>
      <c r="I184" s="682">
        <v>4</v>
      </c>
      <c r="J184" s="681">
        <v>60</v>
      </c>
      <c r="K184" s="681">
        <v>9.9999999999999995E-7</v>
      </c>
      <c r="L184" s="680" t="s">
        <v>102</v>
      </c>
      <c r="M184" s="679" t="s">
        <v>102</v>
      </c>
      <c r="N184" s="678">
        <f t="shared" si="49"/>
        <v>0</v>
      </c>
      <c r="P184" s="682">
        <v>4</v>
      </c>
      <c r="Q184" s="681">
        <v>990</v>
      </c>
      <c r="R184" s="680">
        <v>-0.6</v>
      </c>
      <c r="S184" s="680" t="s">
        <v>102</v>
      </c>
      <c r="T184" s="679" t="s">
        <v>102</v>
      </c>
      <c r="U184" s="678">
        <f t="shared" si="50"/>
        <v>0</v>
      </c>
    </row>
    <row r="185" spans="1:24" x14ac:dyDescent="0.25">
      <c r="A185" s="859"/>
      <c r="B185" s="682">
        <v>5</v>
      </c>
      <c r="C185" s="681">
        <v>35</v>
      </c>
      <c r="D185" s="681">
        <v>-0.5</v>
      </c>
      <c r="E185" s="680" t="s">
        <v>102</v>
      </c>
      <c r="F185" s="679" t="s">
        <v>102</v>
      </c>
      <c r="G185" s="678">
        <f t="shared" si="48"/>
        <v>0</v>
      </c>
      <c r="I185" s="682">
        <v>5</v>
      </c>
      <c r="J185" s="681">
        <v>70</v>
      </c>
      <c r="K185" s="681">
        <v>-0.3</v>
      </c>
      <c r="L185" s="680" t="s">
        <v>102</v>
      </c>
      <c r="M185" s="679" t="s">
        <v>102</v>
      </c>
      <c r="N185" s="678">
        <f t="shared" si="49"/>
        <v>0</v>
      </c>
      <c r="P185" s="682">
        <v>5</v>
      </c>
      <c r="Q185" s="681">
        <v>1000</v>
      </c>
      <c r="R185" s="680">
        <v>-0.6</v>
      </c>
      <c r="S185" s="680" t="s">
        <v>102</v>
      </c>
      <c r="T185" s="679" t="s">
        <v>102</v>
      </c>
      <c r="U185" s="678">
        <f t="shared" si="50"/>
        <v>0</v>
      </c>
    </row>
    <row r="186" spans="1:24" x14ac:dyDescent="0.25">
      <c r="A186" s="859"/>
      <c r="B186" s="682">
        <v>6</v>
      </c>
      <c r="C186" s="681">
        <v>37</v>
      </c>
      <c r="D186" s="681">
        <v>-0.6</v>
      </c>
      <c r="E186" s="680" t="s">
        <v>102</v>
      </c>
      <c r="F186" s="679" t="s">
        <v>102</v>
      </c>
      <c r="G186" s="678">
        <f t="shared" si="48"/>
        <v>0</v>
      </c>
      <c r="I186" s="682">
        <v>6</v>
      </c>
      <c r="J186" s="681">
        <v>80</v>
      </c>
      <c r="K186" s="681">
        <v>-0.8</v>
      </c>
      <c r="L186" s="680" t="s">
        <v>102</v>
      </c>
      <c r="M186" s="679" t="s">
        <v>102</v>
      </c>
      <c r="N186" s="678">
        <f t="shared" si="49"/>
        <v>0</v>
      </c>
      <c r="P186" s="682">
        <v>6</v>
      </c>
      <c r="Q186" s="681">
        <v>1005</v>
      </c>
      <c r="R186" s="680">
        <v>-0.6</v>
      </c>
      <c r="S186" s="680" t="s">
        <v>102</v>
      </c>
      <c r="T186" s="679" t="s">
        <v>102</v>
      </c>
      <c r="U186" s="678">
        <f t="shared" si="50"/>
        <v>0</v>
      </c>
    </row>
    <row r="187" spans="1:24" x14ac:dyDescent="0.25">
      <c r="A187" s="859"/>
      <c r="B187" s="682">
        <v>7</v>
      </c>
      <c r="C187" s="681">
        <v>40</v>
      </c>
      <c r="D187" s="681">
        <v>-0.8</v>
      </c>
      <c r="E187" s="680" t="s">
        <v>102</v>
      </c>
      <c r="F187" s="679" t="s">
        <v>102</v>
      </c>
      <c r="G187" s="678">
        <f t="shared" si="48"/>
        <v>0</v>
      </c>
      <c r="I187" s="682">
        <v>7</v>
      </c>
      <c r="J187" s="681">
        <v>90</v>
      </c>
      <c r="K187" s="681">
        <v>-1.4</v>
      </c>
      <c r="L187" s="680" t="s">
        <v>102</v>
      </c>
      <c r="M187" s="679" t="s">
        <v>102</v>
      </c>
      <c r="N187" s="678">
        <f t="shared" si="49"/>
        <v>0</v>
      </c>
      <c r="P187" s="682">
        <v>7</v>
      </c>
      <c r="Q187" s="681">
        <v>1020</v>
      </c>
      <c r="R187" s="680">
        <v>9.9999999999999995E-7</v>
      </c>
      <c r="S187" s="680" t="s">
        <v>102</v>
      </c>
      <c r="T187" s="679" t="s">
        <v>102</v>
      </c>
      <c r="U187" s="678">
        <f t="shared" si="50"/>
        <v>0</v>
      </c>
    </row>
    <row r="188" spans="1:24" ht="13" thickBot="1" x14ac:dyDescent="0.3">
      <c r="A188" s="693"/>
      <c r="C188" s="691"/>
      <c r="D188" s="691"/>
      <c r="E188" s="692"/>
      <c r="F188" s="691"/>
      <c r="J188" s="691"/>
      <c r="K188" s="691"/>
      <c r="L188" s="692"/>
      <c r="M188" s="691"/>
      <c r="Q188" s="691"/>
      <c r="R188" s="692"/>
      <c r="S188" s="692"/>
      <c r="T188" s="691"/>
    </row>
    <row r="189" spans="1:24" x14ac:dyDescent="0.25">
      <c r="A189" s="859">
        <v>18</v>
      </c>
      <c r="B189" s="858" t="s">
        <v>698</v>
      </c>
      <c r="C189" s="858"/>
      <c r="D189" s="858"/>
      <c r="E189" s="858"/>
      <c r="F189" s="858"/>
      <c r="G189" s="858"/>
      <c r="I189" s="858" t="str">
        <f>B189</f>
        <v>KOREKSI EXTECH A.100618</v>
      </c>
      <c r="J189" s="858"/>
      <c r="K189" s="858"/>
      <c r="L189" s="858"/>
      <c r="M189" s="858"/>
      <c r="N189" s="858"/>
      <c r="P189" s="858" t="str">
        <f>I189</f>
        <v>KOREKSI EXTECH A.100618</v>
      </c>
      <c r="Q189" s="858"/>
      <c r="R189" s="858"/>
      <c r="S189" s="858"/>
      <c r="T189" s="858"/>
      <c r="U189" s="858"/>
      <c r="W189" s="868" t="s">
        <v>537</v>
      </c>
      <c r="X189" s="869"/>
    </row>
    <row r="190" spans="1:24" ht="13" x14ac:dyDescent="0.25">
      <c r="A190" s="859"/>
      <c r="B190" s="857" t="s">
        <v>563</v>
      </c>
      <c r="C190" s="857"/>
      <c r="D190" s="857" t="s">
        <v>299</v>
      </c>
      <c r="E190" s="857"/>
      <c r="F190" s="857"/>
      <c r="G190" s="857" t="s">
        <v>564</v>
      </c>
      <c r="I190" s="857" t="s">
        <v>565</v>
      </c>
      <c r="J190" s="857"/>
      <c r="K190" s="857" t="s">
        <v>299</v>
      </c>
      <c r="L190" s="857"/>
      <c r="M190" s="857"/>
      <c r="N190" s="857" t="s">
        <v>564</v>
      </c>
      <c r="P190" s="857" t="s">
        <v>696</v>
      </c>
      <c r="Q190" s="857"/>
      <c r="R190" s="857" t="s">
        <v>299</v>
      </c>
      <c r="S190" s="857"/>
      <c r="T190" s="857"/>
      <c r="U190" s="857" t="s">
        <v>564</v>
      </c>
      <c r="W190" s="687" t="s">
        <v>563</v>
      </c>
      <c r="X190" s="686">
        <v>0.3</v>
      </c>
    </row>
    <row r="191" spans="1:24" ht="14.5" x14ac:dyDescent="0.25">
      <c r="A191" s="859"/>
      <c r="B191" s="855" t="s">
        <v>717</v>
      </c>
      <c r="C191" s="855"/>
      <c r="D191" s="688">
        <v>2020</v>
      </c>
      <c r="E191" s="689" t="s">
        <v>102</v>
      </c>
      <c r="F191" s="689" t="s">
        <v>102</v>
      </c>
      <c r="G191" s="857"/>
      <c r="I191" s="856" t="s">
        <v>566</v>
      </c>
      <c r="J191" s="855"/>
      <c r="K191" s="688">
        <f>D191</f>
        <v>2020</v>
      </c>
      <c r="L191" s="688" t="str">
        <f>E191</f>
        <v>-</v>
      </c>
      <c r="M191" s="688" t="str">
        <f>F191</f>
        <v>-</v>
      </c>
      <c r="N191" s="857"/>
      <c r="P191" s="856" t="s">
        <v>695</v>
      </c>
      <c r="Q191" s="855"/>
      <c r="R191" s="688">
        <f>K191</f>
        <v>2020</v>
      </c>
      <c r="S191" s="688" t="str">
        <f>L191</f>
        <v>-</v>
      </c>
      <c r="T191" s="688" t="str">
        <f>M191</f>
        <v>-</v>
      </c>
      <c r="U191" s="857"/>
      <c r="W191" s="687" t="s">
        <v>566</v>
      </c>
      <c r="X191" s="686">
        <v>1.6</v>
      </c>
    </row>
    <row r="192" spans="1:24" ht="13" thickBot="1" x14ac:dyDescent="0.3">
      <c r="A192" s="859"/>
      <c r="B192" s="682">
        <v>1</v>
      </c>
      <c r="C192" s="683">
        <v>15</v>
      </c>
      <c r="D192" s="683">
        <v>9.9999999999999995E-7</v>
      </c>
      <c r="E192" s="683" t="s">
        <v>102</v>
      </c>
      <c r="F192" s="679" t="s">
        <v>102</v>
      </c>
      <c r="G192" s="678">
        <f t="shared" ref="G192:G198" si="51">0.5*(MAX(D192:F192)-MIN(D192:F192))</f>
        <v>0</v>
      </c>
      <c r="I192" s="682">
        <v>1</v>
      </c>
      <c r="J192" s="683">
        <v>30</v>
      </c>
      <c r="K192" s="683">
        <v>-0.4</v>
      </c>
      <c r="L192" s="683" t="s">
        <v>102</v>
      </c>
      <c r="M192" s="679" t="s">
        <v>102</v>
      </c>
      <c r="N192" s="678">
        <f t="shared" ref="N192:N198" si="52">0.5*(MAX(K192:M192)-MIN(K192:M192))</f>
        <v>0</v>
      </c>
      <c r="P192" s="682">
        <v>1</v>
      </c>
      <c r="Q192" s="683">
        <v>800</v>
      </c>
      <c r="R192" s="679">
        <v>-1.5</v>
      </c>
      <c r="S192" s="683" t="s">
        <v>102</v>
      </c>
      <c r="T192" s="679" t="s">
        <v>102</v>
      </c>
      <c r="U192" s="678">
        <f t="shared" ref="U192:U198" si="53">0.5*(MAX(R192:T192)-MIN(R192:T192))</f>
        <v>0</v>
      </c>
      <c r="W192" s="685" t="s">
        <v>695</v>
      </c>
      <c r="X192" s="684">
        <v>2.4</v>
      </c>
    </row>
    <row r="193" spans="1:24" x14ac:dyDescent="0.25">
      <c r="A193" s="859"/>
      <c r="B193" s="682">
        <v>2</v>
      </c>
      <c r="C193" s="683">
        <v>20</v>
      </c>
      <c r="D193" s="683">
        <v>-0.1</v>
      </c>
      <c r="E193" s="683" t="s">
        <v>102</v>
      </c>
      <c r="F193" s="679" t="s">
        <v>102</v>
      </c>
      <c r="G193" s="678">
        <f t="shared" si="51"/>
        <v>0</v>
      </c>
      <c r="I193" s="682">
        <v>2</v>
      </c>
      <c r="J193" s="683">
        <v>40</v>
      </c>
      <c r="K193" s="683">
        <v>-0.2</v>
      </c>
      <c r="L193" s="683" t="s">
        <v>102</v>
      </c>
      <c r="M193" s="679" t="s">
        <v>102</v>
      </c>
      <c r="N193" s="678">
        <f t="shared" si="52"/>
        <v>0</v>
      </c>
      <c r="P193" s="682">
        <v>2</v>
      </c>
      <c r="Q193" s="683">
        <v>850</v>
      </c>
      <c r="R193" s="679">
        <v>-1.3</v>
      </c>
      <c r="S193" s="683" t="s">
        <v>102</v>
      </c>
      <c r="T193" s="679" t="s">
        <v>102</v>
      </c>
      <c r="U193" s="678">
        <f t="shared" si="53"/>
        <v>0</v>
      </c>
    </row>
    <row r="194" spans="1:24" x14ac:dyDescent="0.25">
      <c r="A194" s="859"/>
      <c r="B194" s="682">
        <v>3</v>
      </c>
      <c r="C194" s="683">
        <v>25</v>
      </c>
      <c r="D194" s="683">
        <v>-0.2</v>
      </c>
      <c r="E194" s="683" t="s">
        <v>102</v>
      </c>
      <c r="F194" s="679" t="s">
        <v>102</v>
      </c>
      <c r="G194" s="678">
        <f t="shared" si="51"/>
        <v>0</v>
      </c>
      <c r="I194" s="682">
        <v>3</v>
      </c>
      <c r="J194" s="683">
        <v>50</v>
      </c>
      <c r="K194" s="683">
        <v>-0.2</v>
      </c>
      <c r="L194" s="683" t="s">
        <v>102</v>
      </c>
      <c r="M194" s="679" t="s">
        <v>102</v>
      </c>
      <c r="N194" s="678">
        <f t="shared" si="52"/>
        <v>0</v>
      </c>
      <c r="P194" s="682">
        <v>3</v>
      </c>
      <c r="Q194" s="681">
        <v>900</v>
      </c>
      <c r="R194" s="680">
        <v>-1.1000000000000001</v>
      </c>
      <c r="S194" s="683" t="s">
        <v>102</v>
      </c>
      <c r="T194" s="679" t="s">
        <v>102</v>
      </c>
      <c r="U194" s="678">
        <f t="shared" si="53"/>
        <v>0</v>
      </c>
    </row>
    <row r="195" spans="1:24" x14ac:dyDescent="0.25">
      <c r="A195" s="859"/>
      <c r="B195" s="682">
        <v>4</v>
      </c>
      <c r="C195" s="681">
        <v>30</v>
      </c>
      <c r="D195" s="681">
        <v>-0.2</v>
      </c>
      <c r="E195" s="680" t="s">
        <v>102</v>
      </c>
      <c r="F195" s="679" t="s">
        <v>102</v>
      </c>
      <c r="G195" s="678">
        <f t="shared" si="51"/>
        <v>0</v>
      </c>
      <c r="I195" s="682">
        <v>4</v>
      </c>
      <c r="J195" s="681">
        <v>60</v>
      </c>
      <c r="K195" s="681">
        <v>-0.2</v>
      </c>
      <c r="L195" s="680" t="s">
        <v>102</v>
      </c>
      <c r="M195" s="679" t="s">
        <v>102</v>
      </c>
      <c r="N195" s="678">
        <f t="shared" si="52"/>
        <v>0</v>
      </c>
      <c r="P195" s="682">
        <v>4</v>
      </c>
      <c r="Q195" s="681">
        <v>950</v>
      </c>
      <c r="R195" s="680">
        <v>-0.9</v>
      </c>
      <c r="S195" s="680" t="s">
        <v>102</v>
      </c>
      <c r="T195" s="679" t="s">
        <v>102</v>
      </c>
      <c r="U195" s="678">
        <f t="shared" si="53"/>
        <v>0</v>
      </c>
    </row>
    <row r="196" spans="1:24" x14ac:dyDescent="0.25">
      <c r="A196" s="859"/>
      <c r="B196" s="682">
        <v>5</v>
      </c>
      <c r="C196" s="681">
        <v>35</v>
      </c>
      <c r="D196" s="681">
        <v>-0.3</v>
      </c>
      <c r="E196" s="680" t="s">
        <v>102</v>
      </c>
      <c r="F196" s="679" t="s">
        <v>102</v>
      </c>
      <c r="G196" s="678">
        <f t="shared" si="51"/>
        <v>0</v>
      </c>
      <c r="I196" s="682">
        <v>5</v>
      </c>
      <c r="J196" s="681">
        <v>70</v>
      </c>
      <c r="K196" s="681">
        <v>-0.3</v>
      </c>
      <c r="L196" s="680" t="s">
        <v>102</v>
      </c>
      <c r="M196" s="679" t="s">
        <v>102</v>
      </c>
      <c r="N196" s="678">
        <f t="shared" si="52"/>
        <v>0</v>
      </c>
      <c r="P196" s="682">
        <v>5</v>
      </c>
      <c r="Q196" s="681">
        <v>1000</v>
      </c>
      <c r="R196" s="680">
        <v>-0.8</v>
      </c>
      <c r="S196" s="680" t="s">
        <v>102</v>
      </c>
      <c r="T196" s="679" t="s">
        <v>102</v>
      </c>
      <c r="U196" s="678">
        <f t="shared" si="53"/>
        <v>0</v>
      </c>
    </row>
    <row r="197" spans="1:24" x14ac:dyDescent="0.25">
      <c r="A197" s="859"/>
      <c r="B197" s="682">
        <v>6</v>
      </c>
      <c r="C197" s="681">
        <v>37</v>
      </c>
      <c r="D197" s="681">
        <v>-0.3</v>
      </c>
      <c r="E197" s="680" t="s">
        <v>102</v>
      </c>
      <c r="F197" s="679" t="s">
        <v>102</v>
      </c>
      <c r="G197" s="678">
        <f t="shared" si="51"/>
        <v>0</v>
      </c>
      <c r="I197" s="682">
        <v>6</v>
      </c>
      <c r="J197" s="681">
        <v>80</v>
      </c>
      <c r="K197" s="681">
        <v>-0.5</v>
      </c>
      <c r="L197" s="680" t="s">
        <v>102</v>
      </c>
      <c r="M197" s="679" t="s">
        <v>102</v>
      </c>
      <c r="N197" s="678">
        <f t="shared" si="52"/>
        <v>0</v>
      </c>
      <c r="P197" s="682">
        <v>6</v>
      </c>
      <c r="Q197" s="681">
        <v>1005</v>
      </c>
      <c r="R197" s="680">
        <v>-0.7</v>
      </c>
      <c r="S197" s="680" t="s">
        <v>102</v>
      </c>
      <c r="T197" s="679" t="s">
        <v>102</v>
      </c>
      <c r="U197" s="678">
        <f t="shared" si="53"/>
        <v>0</v>
      </c>
    </row>
    <row r="198" spans="1:24" x14ac:dyDescent="0.25">
      <c r="A198" s="859"/>
      <c r="B198" s="682">
        <v>7</v>
      </c>
      <c r="C198" s="681">
        <v>40</v>
      </c>
      <c r="D198" s="681">
        <v>-0.4</v>
      </c>
      <c r="E198" s="680" t="s">
        <v>102</v>
      </c>
      <c r="F198" s="679" t="s">
        <v>102</v>
      </c>
      <c r="G198" s="678">
        <f t="shared" si="51"/>
        <v>0</v>
      </c>
      <c r="I198" s="682">
        <v>7</v>
      </c>
      <c r="J198" s="681">
        <v>90</v>
      </c>
      <c r="K198" s="681">
        <v>-0.8</v>
      </c>
      <c r="L198" s="680" t="s">
        <v>102</v>
      </c>
      <c r="M198" s="679" t="s">
        <v>102</v>
      </c>
      <c r="N198" s="678">
        <f t="shared" si="52"/>
        <v>0</v>
      </c>
      <c r="P198" s="682">
        <v>7</v>
      </c>
      <c r="Q198" s="681">
        <v>1020</v>
      </c>
      <c r="R198" s="680">
        <v>9.9999999999999995E-7</v>
      </c>
      <c r="S198" s="680" t="s">
        <v>102</v>
      </c>
      <c r="T198" s="679" t="s">
        <v>102</v>
      </c>
      <c r="U198" s="678">
        <f t="shared" si="53"/>
        <v>0</v>
      </c>
    </row>
    <row r="199" spans="1:24" ht="13" thickBot="1" x14ac:dyDescent="0.3">
      <c r="A199" s="693"/>
      <c r="C199" s="691"/>
      <c r="D199" s="691"/>
      <c r="E199" s="692"/>
      <c r="F199" s="691"/>
      <c r="I199" s="691"/>
      <c r="J199" s="691"/>
      <c r="K199" s="692"/>
      <c r="L199" s="691"/>
      <c r="O199" s="691"/>
      <c r="P199" s="692"/>
      <c r="Q199" s="692"/>
      <c r="R199" s="691"/>
    </row>
    <row r="200" spans="1:24" x14ac:dyDescent="0.25">
      <c r="A200" s="859">
        <v>19</v>
      </c>
      <c r="B200" s="858" t="s">
        <v>697</v>
      </c>
      <c r="C200" s="858"/>
      <c r="D200" s="858"/>
      <c r="E200" s="858"/>
      <c r="F200" s="858"/>
      <c r="G200" s="858"/>
      <c r="I200" s="858" t="str">
        <f>B200</f>
        <v>KOREKSI EXTECH A.100615</v>
      </c>
      <c r="J200" s="858"/>
      <c r="K200" s="858"/>
      <c r="L200" s="858"/>
      <c r="M200" s="858"/>
      <c r="N200" s="858"/>
      <c r="P200" s="858" t="str">
        <f>I200</f>
        <v>KOREKSI EXTECH A.100615</v>
      </c>
      <c r="Q200" s="858"/>
      <c r="R200" s="858"/>
      <c r="S200" s="858"/>
      <c r="T200" s="858"/>
      <c r="U200" s="858"/>
      <c r="W200" s="868" t="s">
        <v>537</v>
      </c>
      <c r="X200" s="869"/>
    </row>
    <row r="201" spans="1:24" ht="13" x14ac:dyDescent="0.25">
      <c r="A201" s="859"/>
      <c r="B201" s="857" t="s">
        <v>563</v>
      </c>
      <c r="C201" s="857"/>
      <c r="D201" s="857" t="s">
        <v>299</v>
      </c>
      <c r="E201" s="857"/>
      <c r="F201" s="857"/>
      <c r="G201" s="857" t="s">
        <v>564</v>
      </c>
      <c r="I201" s="857" t="s">
        <v>565</v>
      </c>
      <c r="J201" s="857"/>
      <c r="K201" s="857" t="s">
        <v>299</v>
      </c>
      <c r="L201" s="857"/>
      <c r="M201" s="857"/>
      <c r="N201" s="857" t="s">
        <v>564</v>
      </c>
      <c r="P201" s="857" t="s">
        <v>696</v>
      </c>
      <c r="Q201" s="857"/>
      <c r="R201" s="857" t="s">
        <v>299</v>
      </c>
      <c r="S201" s="857"/>
      <c r="T201" s="857"/>
      <c r="U201" s="857" t="s">
        <v>564</v>
      </c>
      <c r="W201" s="687" t="s">
        <v>563</v>
      </c>
      <c r="X201" s="686">
        <v>0.1</v>
      </c>
    </row>
    <row r="202" spans="1:24" ht="14.5" x14ac:dyDescent="0.25">
      <c r="A202" s="859"/>
      <c r="B202" s="855" t="s">
        <v>717</v>
      </c>
      <c r="C202" s="855"/>
      <c r="D202" s="688">
        <v>2021</v>
      </c>
      <c r="E202" s="689" t="s">
        <v>102</v>
      </c>
      <c r="F202" s="689" t="s">
        <v>102</v>
      </c>
      <c r="G202" s="857"/>
      <c r="I202" s="856" t="s">
        <v>566</v>
      </c>
      <c r="J202" s="855"/>
      <c r="K202" s="688">
        <f>D202</f>
        <v>2021</v>
      </c>
      <c r="L202" s="688" t="str">
        <f>E202</f>
        <v>-</v>
      </c>
      <c r="M202" s="688" t="str">
        <f>F202</f>
        <v>-</v>
      </c>
      <c r="N202" s="857"/>
      <c r="P202" s="856" t="s">
        <v>695</v>
      </c>
      <c r="Q202" s="855"/>
      <c r="R202" s="688">
        <f>K202</f>
        <v>2021</v>
      </c>
      <c r="S202" s="688" t="str">
        <f>L202</f>
        <v>-</v>
      </c>
      <c r="T202" s="688" t="str">
        <f>M202</f>
        <v>-</v>
      </c>
      <c r="U202" s="857"/>
      <c r="W202" s="687" t="s">
        <v>566</v>
      </c>
      <c r="X202" s="686">
        <v>1.5</v>
      </c>
    </row>
    <row r="203" spans="1:24" ht="13" thickBot="1" x14ac:dyDescent="0.3">
      <c r="A203" s="859"/>
      <c r="B203" s="682">
        <v>1</v>
      </c>
      <c r="C203" s="683">
        <v>15</v>
      </c>
      <c r="D203" s="683">
        <v>9.9999999999999995E-7</v>
      </c>
      <c r="E203" s="683" t="s">
        <v>102</v>
      </c>
      <c r="F203" s="679" t="s">
        <v>102</v>
      </c>
      <c r="G203" s="678">
        <f t="shared" ref="G203:G209" si="54">0.5*(MAX(D203:F203)-MIN(D203:F203))</f>
        <v>0</v>
      </c>
      <c r="I203" s="682">
        <v>1</v>
      </c>
      <c r="J203" s="683">
        <v>30</v>
      </c>
      <c r="K203" s="683">
        <v>-1.5</v>
      </c>
      <c r="L203" s="683" t="s">
        <v>102</v>
      </c>
      <c r="M203" s="679" t="s">
        <v>102</v>
      </c>
      <c r="N203" s="678">
        <f t="shared" ref="N203:N209" si="55">0.5*(MAX(K203:M203)-MIN(K203:M203))</f>
        <v>0</v>
      </c>
      <c r="P203" s="682">
        <v>1</v>
      </c>
      <c r="Q203" s="683">
        <v>750</v>
      </c>
      <c r="R203" s="679">
        <v>2.5</v>
      </c>
      <c r="S203" s="683" t="s">
        <v>102</v>
      </c>
      <c r="T203" s="679" t="s">
        <v>102</v>
      </c>
      <c r="U203" s="678">
        <f t="shared" ref="U203:U209" si="56">0.5*(MAX(R203:T203)-MIN(R203:T203))</f>
        <v>0</v>
      </c>
      <c r="W203" s="685" t="s">
        <v>695</v>
      </c>
      <c r="X203" s="684">
        <v>0.4</v>
      </c>
    </row>
    <row r="204" spans="1:24" x14ac:dyDescent="0.25">
      <c r="A204" s="859"/>
      <c r="B204" s="682">
        <v>2</v>
      </c>
      <c r="C204" s="683">
        <v>20</v>
      </c>
      <c r="D204" s="683">
        <v>0.1</v>
      </c>
      <c r="E204" s="683" t="s">
        <v>102</v>
      </c>
      <c r="F204" s="679" t="s">
        <v>102</v>
      </c>
      <c r="G204" s="678">
        <f t="shared" si="54"/>
        <v>0</v>
      </c>
      <c r="I204" s="682">
        <v>2</v>
      </c>
      <c r="J204" s="683">
        <v>40</v>
      </c>
      <c r="K204" s="683">
        <v>-0.8</v>
      </c>
      <c r="L204" s="683" t="s">
        <v>102</v>
      </c>
      <c r="M204" s="679" t="s">
        <v>102</v>
      </c>
      <c r="N204" s="678">
        <f t="shared" si="55"/>
        <v>0</v>
      </c>
      <c r="P204" s="682">
        <v>2</v>
      </c>
      <c r="Q204" s="683">
        <v>800</v>
      </c>
      <c r="R204" s="679">
        <v>2.5</v>
      </c>
      <c r="S204" s="683" t="s">
        <v>102</v>
      </c>
      <c r="T204" s="679" t="s">
        <v>102</v>
      </c>
      <c r="U204" s="678">
        <f t="shared" si="56"/>
        <v>0</v>
      </c>
    </row>
    <row r="205" spans="1:24" x14ac:dyDescent="0.25">
      <c r="A205" s="859"/>
      <c r="B205" s="682">
        <v>3</v>
      </c>
      <c r="C205" s="683">
        <v>25</v>
      </c>
      <c r="D205" s="683">
        <v>9.9999999999999995E-7</v>
      </c>
      <c r="E205" s="683" t="s">
        <v>102</v>
      </c>
      <c r="F205" s="679" t="s">
        <v>102</v>
      </c>
      <c r="G205" s="678">
        <f t="shared" si="54"/>
        <v>0</v>
      </c>
      <c r="I205" s="682">
        <v>3</v>
      </c>
      <c r="J205" s="683">
        <v>50</v>
      </c>
      <c r="K205" s="683">
        <v>-0.2</v>
      </c>
      <c r="L205" s="683" t="s">
        <v>102</v>
      </c>
      <c r="M205" s="679" t="s">
        <v>102</v>
      </c>
      <c r="N205" s="678">
        <f t="shared" si="55"/>
        <v>0</v>
      </c>
      <c r="P205" s="682">
        <v>3</v>
      </c>
      <c r="Q205" s="683">
        <v>850</v>
      </c>
      <c r="R205" s="679">
        <v>2.4</v>
      </c>
      <c r="S205" s="683" t="s">
        <v>102</v>
      </c>
      <c r="T205" s="679" t="s">
        <v>102</v>
      </c>
      <c r="U205" s="678">
        <f t="shared" si="56"/>
        <v>0</v>
      </c>
    </row>
    <row r="206" spans="1:24" x14ac:dyDescent="0.25">
      <c r="A206" s="859"/>
      <c r="B206" s="682">
        <v>4</v>
      </c>
      <c r="C206" s="681">
        <v>30</v>
      </c>
      <c r="D206" s="681">
        <v>-0.1</v>
      </c>
      <c r="E206" s="680" t="s">
        <v>102</v>
      </c>
      <c r="F206" s="679" t="s">
        <v>102</v>
      </c>
      <c r="G206" s="678">
        <f t="shared" si="54"/>
        <v>0</v>
      </c>
      <c r="I206" s="682">
        <v>4</v>
      </c>
      <c r="J206" s="681">
        <v>60</v>
      </c>
      <c r="K206" s="681">
        <v>0.4</v>
      </c>
      <c r="L206" s="680" t="s">
        <v>102</v>
      </c>
      <c r="M206" s="679" t="s">
        <v>102</v>
      </c>
      <c r="N206" s="678">
        <f t="shared" si="55"/>
        <v>0</v>
      </c>
      <c r="P206" s="682">
        <v>4</v>
      </c>
      <c r="Q206" s="681">
        <v>900</v>
      </c>
      <c r="R206" s="680">
        <v>2.2999999999999998</v>
      </c>
      <c r="S206" s="680" t="s">
        <v>102</v>
      </c>
      <c r="T206" s="679" t="s">
        <v>102</v>
      </c>
      <c r="U206" s="678">
        <f t="shared" si="56"/>
        <v>0</v>
      </c>
    </row>
    <row r="207" spans="1:24" x14ac:dyDescent="0.25">
      <c r="A207" s="859"/>
      <c r="B207" s="682">
        <v>5</v>
      </c>
      <c r="C207" s="681">
        <v>35</v>
      </c>
      <c r="D207" s="681">
        <v>-0.1</v>
      </c>
      <c r="E207" s="680" t="s">
        <v>102</v>
      </c>
      <c r="F207" s="679" t="s">
        <v>102</v>
      </c>
      <c r="G207" s="678">
        <f t="shared" si="54"/>
        <v>0</v>
      </c>
      <c r="I207" s="682">
        <v>5</v>
      </c>
      <c r="J207" s="681">
        <v>70</v>
      </c>
      <c r="K207" s="681">
        <v>-0.7</v>
      </c>
      <c r="L207" s="680" t="s">
        <v>102</v>
      </c>
      <c r="M207" s="679" t="s">
        <v>102</v>
      </c>
      <c r="N207" s="678">
        <f t="shared" si="55"/>
        <v>0</v>
      </c>
      <c r="P207" s="682">
        <v>5</v>
      </c>
      <c r="Q207" s="681">
        <v>1000</v>
      </c>
      <c r="R207" s="680">
        <v>2.2000000000000002</v>
      </c>
      <c r="S207" s="680" t="s">
        <v>102</v>
      </c>
      <c r="T207" s="679" t="s">
        <v>102</v>
      </c>
      <c r="U207" s="678">
        <f t="shared" si="56"/>
        <v>0</v>
      </c>
    </row>
    <row r="208" spans="1:24" x14ac:dyDescent="0.25">
      <c r="A208" s="859"/>
      <c r="B208" s="682">
        <v>6</v>
      </c>
      <c r="C208" s="681">
        <v>37</v>
      </c>
      <c r="D208" s="681">
        <v>9.9999999999999995E-7</v>
      </c>
      <c r="E208" s="680" t="s">
        <v>102</v>
      </c>
      <c r="F208" s="679" t="s">
        <v>102</v>
      </c>
      <c r="G208" s="678">
        <f t="shared" si="54"/>
        <v>0</v>
      </c>
      <c r="I208" s="682">
        <v>6</v>
      </c>
      <c r="J208" s="681">
        <v>80</v>
      </c>
      <c r="K208" s="681">
        <v>-0.9</v>
      </c>
      <c r="L208" s="680" t="s">
        <v>102</v>
      </c>
      <c r="M208" s="679" t="s">
        <v>102</v>
      </c>
      <c r="N208" s="678">
        <f t="shared" si="55"/>
        <v>0</v>
      </c>
      <c r="P208" s="682">
        <v>6</v>
      </c>
      <c r="Q208" s="681">
        <v>1005</v>
      </c>
      <c r="R208" s="680">
        <v>2.2000000000000002</v>
      </c>
      <c r="S208" s="680" t="s">
        <v>102</v>
      </c>
      <c r="T208" s="679" t="s">
        <v>102</v>
      </c>
      <c r="U208" s="678">
        <f t="shared" si="56"/>
        <v>0</v>
      </c>
    </row>
    <row r="209" spans="1:31" x14ac:dyDescent="0.25">
      <c r="A209" s="859"/>
      <c r="B209" s="682">
        <v>7</v>
      </c>
      <c r="C209" s="681">
        <v>40</v>
      </c>
      <c r="D209" s="681">
        <v>0.2</v>
      </c>
      <c r="E209" s="680" t="s">
        <v>102</v>
      </c>
      <c r="F209" s="679" t="s">
        <v>102</v>
      </c>
      <c r="G209" s="678">
        <f t="shared" si="54"/>
        <v>0</v>
      </c>
      <c r="I209" s="682">
        <v>7</v>
      </c>
      <c r="J209" s="681">
        <v>90</v>
      </c>
      <c r="K209" s="681">
        <v>-0.6</v>
      </c>
      <c r="L209" s="680" t="s">
        <v>102</v>
      </c>
      <c r="M209" s="679" t="s">
        <v>102</v>
      </c>
      <c r="N209" s="678">
        <f t="shared" si="55"/>
        <v>0</v>
      </c>
      <c r="P209" s="682">
        <v>7</v>
      </c>
      <c r="Q209" s="681">
        <v>1020</v>
      </c>
      <c r="R209" s="680">
        <v>2.2999999999999998</v>
      </c>
      <c r="S209" s="680" t="s">
        <v>102</v>
      </c>
      <c r="T209" s="679" t="s">
        <v>102</v>
      </c>
      <c r="U209" s="678">
        <f t="shared" si="56"/>
        <v>0</v>
      </c>
    </row>
    <row r="210" spans="1:31" ht="13" thickBot="1" x14ac:dyDescent="0.3">
      <c r="A210" s="693"/>
      <c r="C210" s="691"/>
      <c r="D210" s="691"/>
      <c r="E210" s="692"/>
      <c r="F210" s="691"/>
      <c r="J210" s="691"/>
      <c r="K210" s="691"/>
      <c r="L210" s="692"/>
      <c r="M210" s="691"/>
      <c r="Q210" s="691"/>
      <c r="R210" s="692"/>
      <c r="S210" s="692"/>
      <c r="T210" s="691"/>
    </row>
    <row r="211" spans="1:31" x14ac:dyDescent="0.25">
      <c r="A211" s="859">
        <v>20</v>
      </c>
      <c r="B211" s="875">
        <v>20</v>
      </c>
      <c r="C211" s="875"/>
      <c r="D211" s="875"/>
      <c r="E211" s="875"/>
      <c r="F211" s="875"/>
      <c r="G211" s="875"/>
      <c r="H211" s="690"/>
      <c r="I211" s="875">
        <f>B211</f>
        <v>20</v>
      </c>
      <c r="J211" s="875"/>
      <c r="K211" s="875"/>
      <c r="L211" s="875"/>
      <c r="M211" s="875"/>
      <c r="N211" s="875"/>
      <c r="O211" s="690"/>
      <c r="P211" s="875">
        <f>I211</f>
        <v>20</v>
      </c>
      <c r="Q211" s="875"/>
      <c r="R211" s="875"/>
      <c r="S211" s="875"/>
      <c r="T211" s="875"/>
      <c r="U211" s="875"/>
      <c r="W211" s="868" t="s">
        <v>537</v>
      </c>
      <c r="X211" s="869"/>
    </row>
    <row r="212" spans="1:31" ht="13" x14ac:dyDescent="0.25">
      <c r="A212" s="859"/>
      <c r="B212" s="857" t="s">
        <v>563</v>
      </c>
      <c r="C212" s="857"/>
      <c r="D212" s="857" t="s">
        <v>299</v>
      </c>
      <c r="E212" s="857"/>
      <c r="F212" s="857"/>
      <c r="G212" s="857" t="s">
        <v>564</v>
      </c>
      <c r="I212" s="857" t="s">
        <v>565</v>
      </c>
      <c r="J212" s="857"/>
      <c r="K212" s="857" t="s">
        <v>299</v>
      </c>
      <c r="L212" s="857"/>
      <c r="M212" s="857"/>
      <c r="N212" s="857" t="s">
        <v>564</v>
      </c>
      <c r="P212" s="857" t="s">
        <v>696</v>
      </c>
      <c r="Q212" s="857"/>
      <c r="R212" s="857" t="s">
        <v>299</v>
      </c>
      <c r="S212" s="857"/>
      <c r="T212" s="857"/>
      <c r="U212" s="857" t="s">
        <v>564</v>
      </c>
      <c r="W212" s="687" t="s">
        <v>563</v>
      </c>
      <c r="X212" s="686">
        <v>0</v>
      </c>
    </row>
    <row r="213" spans="1:31" ht="14.5" x14ac:dyDescent="0.25">
      <c r="A213" s="859"/>
      <c r="B213" s="855" t="s">
        <v>717</v>
      </c>
      <c r="C213" s="855"/>
      <c r="D213" s="688">
        <v>2017</v>
      </c>
      <c r="E213" s="689" t="s">
        <v>102</v>
      </c>
      <c r="F213" s="689" t="s">
        <v>102</v>
      </c>
      <c r="G213" s="857"/>
      <c r="I213" s="856" t="s">
        <v>566</v>
      </c>
      <c r="J213" s="855"/>
      <c r="K213" s="688">
        <f>D213</f>
        <v>2017</v>
      </c>
      <c r="L213" s="688" t="str">
        <f>E213</f>
        <v>-</v>
      </c>
      <c r="M213" s="688" t="str">
        <f>F213</f>
        <v>-</v>
      </c>
      <c r="N213" s="857"/>
      <c r="P213" s="856" t="s">
        <v>695</v>
      </c>
      <c r="Q213" s="855"/>
      <c r="R213" s="688">
        <f>K213</f>
        <v>2017</v>
      </c>
      <c r="S213" s="688" t="str">
        <f>L213</f>
        <v>-</v>
      </c>
      <c r="T213" s="688" t="str">
        <f>M213</f>
        <v>-</v>
      </c>
      <c r="U213" s="857"/>
      <c r="W213" s="687" t="s">
        <v>566</v>
      </c>
      <c r="X213" s="686">
        <v>0</v>
      </c>
    </row>
    <row r="214" spans="1:31" ht="13" thickBot="1" x14ac:dyDescent="0.3">
      <c r="A214" s="859"/>
      <c r="B214" s="682">
        <v>1</v>
      </c>
      <c r="C214" s="683">
        <v>14.8</v>
      </c>
      <c r="D214" s="683">
        <v>9.9999999999999995E-7</v>
      </c>
      <c r="E214" s="683" t="s">
        <v>102</v>
      </c>
      <c r="F214" s="679" t="s">
        <v>102</v>
      </c>
      <c r="G214" s="678">
        <f t="shared" ref="G214:G220" si="57">0.5*(MAX(D214:F214)-MIN(D214:F214))</f>
        <v>0</v>
      </c>
      <c r="I214" s="682">
        <v>1</v>
      </c>
      <c r="J214" s="683">
        <v>45.7</v>
      </c>
      <c r="K214" s="683">
        <v>9.9999999999999995E-7</v>
      </c>
      <c r="L214" s="683" t="s">
        <v>102</v>
      </c>
      <c r="M214" s="679" t="s">
        <v>102</v>
      </c>
      <c r="N214" s="678">
        <f t="shared" ref="N214:N220" si="58">0.5*(MAX(K214:M214)-MIN(K214:M214))</f>
        <v>0</v>
      </c>
      <c r="P214" s="682">
        <v>1</v>
      </c>
      <c r="Q214" s="683">
        <v>750</v>
      </c>
      <c r="R214" s="679">
        <v>9.9999999999999995E-7</v>
      </c>
      <c r="S214" s="683" t="s">
        <v>102</v>
      </c>
      <c r="T214" s="679" t="s">
        <v>102</v>
      </c>
      <c r="U214" s="678">
        <f t="shared" ref="U214:U220" si="59">0.5*(MAX(R214:T214)-MIN(R214:T214))</f>
        <v>0</v>
      </c>
      <c r="W214" s="685" t="s">
        <v>695</v>
      </c>
      <c r="X214" s="684">
        <v>0</v>
      </c>
    </row>
    <row r="215" spans="1:31" x14ac:dyDescent="0.25">
      <c r="A215" s="859"/>
      <c r="B215" s="682">
        <v>2</v>
      </c>
      <c r="C215" s="683">
        <v>19.7</v>
      </c>
      <c r="D215" s="683">
        <v>9.9999999999999995E-7</v>
      </c>
      <c r="E215" s="683" t="s">
        <v>102</v>
      </c>
      <c r="F215" s="679" t="s">
        <v>102</v>
      </c>
      <c r="G215" s="678">
        <f t="shared" si="57"/>
        <v>0</v>
      </c>
      <c r="I215" s="682">
        <v>2</v>
      </c>
      <c r="J215" s="683">
        <v>54.3</v>
      </c>
      <c r="K215" s="683">
        <v>9.9999999999999995E-7</v>
      </c>
      <c r="L215" s="683" t="s">
        <v>102</v>
      </c>
      <c r="M215" s="679" t="s">
        <v>102</v>
      </c>
      <c r="N215" s="678">
        <f t="shared" si="58"/>
        <v>0</v>
      </c>
      <c r="P215" s="682">
        <v>2</v>
      </c>
      <c r="Q215" s="683">
        <v>800</v>
      </c>
      <c r="R215" s="679">
        <v>9.9999999999999995E-7</v>
      </c>
      <c r="S215" s="683" t="s">
        <v>102</v>
      </c>
      <c r="T215" s="679" t="s">
        <v>102</v>
      </c>
      <c r="U215" s="678">
        <f t="shared" si="59"/>
        <v>0</v>
      </c>
    </row>
    <row r="216" spans="1:31" x14ac:dyDescent="0.25">
      <c r="A216" s="859"/>
      <c r="B216" s="682">
        <v>3</v>
      </c>
      <c r="C216" s="683">
        <v>24.6</v>
      </c>
      <c r="D216" s="683">
        <v>9.9999999999999995E-7</v>
      </c>
      <c r="E216" s="683" t="s">
        <v>102</v>
      </c>
      <c r="F216" s="679" t="s">
        <v>102</v>
      </c>
      <c r="G216" s="678">
        <f t="shared" si="57"/>
        <v>0</v>
      </c>
      <c r="I216" s="682">
        <v>3</v>
      </c>
      <c r="J216" s="683">
        <v>62.5</v>
      </c>
      <c r="K216" s="683">
        <v>9.9999999999999995E-7</v>
      </c>
      <c r="L216" s="683" t="s">
        <v>102</v>
      </c>
      <c r="M216" s="679" t="s">
        <v>102</v>
      </c>
      <c r="N216" s="678">
        <f t="shared" si="58"/>
        <v>0</v>
      </c>
      <c r="P216" s="682">
        <v>3</v>
      </c>
      <c r="Q216" s="683">
        <v>850</v>
      </c>
      <c r="R216" s="679">
        <v>9.9999999999999995E-7</v>
      </c>
      <c r="S216" s="683" t="s">
        <v>102</v>
      </c>
      <c r="T216" s="679" t="s">
        <v>102</v>
      </c>
      <c r="U216" s="678">
        <f t="shared" si="59"/>
        <v>0</v>
      </c>
    </row>
    <row r="217" spans="1:31" x14ac:dyDescent="0.25">
      <c r="A217" s="859"/>
      <c r="B217" s="682">
        <v>4</v>
      </c>
      <c r="C217" s="681">
        <v>29.5</v>
      </c>
      <c r="D217" s="683">
        <v>9.9999999999999995E-7</v>
      </c>
      <c r="E217" s="680" t="s">
        <v>102</v>
      </c>
      <c r="F217" s="679" t="s">
        <v>102</v>
      </c>
      <c r="G217" s="678">
        <f t="shared" si="57"/>
        <v>0</v>
      </c>
      <c r="I217" s="682">
        <v>4</v>
      </c>
      <c r="J217" s="681">
        <v>71.5</v>
      </c>
      <c r="K217" s="683">
        <v>9.9999999999999995E-7</v>
      </c>
      <c r="L217" s="680" t="s">
        <v>102</v>
      </c>
      <c r="M217" s="679" t="s">
        <v>102</v>
      </c>
      <c r="N217" s="678">
        <f t="shared" si="58"/>
        <v>0</v>
      </c>
      <c r="P217" s="682">
        <v>4</v>
      </c>
      <c r="Q217" s="681">
        <v>900</v>
      </c>
      <c r="R217" s="679">
        <v>9.9999999999999995E-7</v>
      </c>
      <c r="S217" s="680" t="s">
        <v>102</v>
      </c>
      <c r="T217" s="679" t="s">
        <v>102</v>
      </c>
      <c r="U217" s="678">
        <f t="shared" si="59"/>
        <v>0</v>
      </c>
    </row>
    <row r="218" spans="1:31" x14ac:dyDescent="0.25">
      <c r="A218" s="859"/>
      <c r="B218" s="682">
        <v>5</v>
      </c>
      <c r="C218" s="681">
        <v>34.5</v>
      </c>
      <c r="D218" s="683">
        <v>9.9999999999999995E-7</v>
      </c>
      <c r="E218" s="680" t="s">
        <v>102</v>
      </c>
      <c r="F218" s="679" t="s">
        <v>102</v>
      </c>
      <c r="G218" s="678">
        <f t="shared" si="57"/>
        <v>0</v>
      </c>
      <c r="I218" s="682">
        <v>5</v>
      </c>
      <c r="J218" s="681">
        <v>80.8</v>
      </c>
      <c r="K218" s="683">
        <v>9.9999999999999995E-7</v>
      </c>
      <c r="L218" s="680" t="s">
        <v>102</v>
      </c>
      <c r="M218" s="679" t="s">
        <v>102</v>
      </c>
      <c r="N218" s="678">
        <f t="shared" si="58"/>
        <v>0</v>
      </c>
      <c r="P218" s="682">
        <v>5</v>
      </c>
      <c r="Q218" s="681">
        <v>1000</v>
      </c>
      <c r="R218" s="679">
        <v>9.9999999999999995E-7</v>
      </c>
      <c r="S218" s="680" t="s">
        <v>102</v>
      </c>
      <c r="T218" s="679" t="s">
        <v>102</v>
      </c>
      <c r="U218" s="678">
        <f t="shared" si="59"/>
        <v>0</v>
      </c>
    </row>
    <row r="219" spans="1:31" x14ac:dyDescent="0.25">
      <c r="A219" s="859"/>
      <c r="B219" s="682">
        <v>6</v>
      </c>
      <c r="C219" s="681">
        <v>39.5</v>
      </c>
      <c r="D219" s="683">
        <v>9.9999999999999995E-7</v>
      </c>
      <c r="E219" s="680" t="s">
        <v>102</v>
      </c>
      <c r="F219" s="679" t="s">
        <v>102</v>
      </c>
      <c r="G219" s="678">
        <f t="shared" si="57"/>
        <v>0</v>
      </c>
      <c r="I219" s="682">
        <v>6</v>
      </c>
      <c r="J219" s="681">
        <v>88.7</v>
      </c>
      <c r="K219" s="683">
        <v>9.9999999999999995E-7</v>
      </c>
      <c r="L219" s="680" t="s">
        <v>102</v>
      </c>
      <c r="M219" s="679" t="s">
        <v>102</v>
      </c>
      <c r="N219" s="678">
        <f t="shared" si="58"/>
        <v>0</v>
      </c>
      <c r="P219" s="682">
        <v>6</v>
      </c>
      <c r="Q219" s="681">
        <v>1005</v>
      </c>
      <c r="R219" s="679">
        <v>9.9999999999999995E-7</v>
      </c>
      <c r="S219" s="680" t="s">
        <v>102</v>
      </c>
      <c r="T219" s="679" t="s">
        <v>102</v>
      </c>
      <c r="U219" s="678">
        <f t="shared" si="59"/>
        <v>0</v>
      </c>
    </row>
    <row r="220" spans="1:31" x14ac:dyDescent="0.25">
      <c r="A220" s="859"/>
      <c r="B220" s="682">
        <v>7</v>
      </c>
      <c r="C220" s="681">
        <v>40</v>
      </c>
      <c r="D220" s="683">
        <v>9.9999999999999995E-7</v>
      </c>
      <c r="E220" s="680" t="s">
        <v>102</v>
      </c>
      <c r="F220" s="679" t="s">
        <v>102</v>
      </c>
      <c r="G220" s="678">
        <f t="shared" si="57"/>
        <v>0</v>
      </c>
      <c r="I220" s="682">
        <v>7</v>
      </c>
      <c r="J220" s="681">
        <v>90</v>
      </c>
      <c r="K220" s="683">
        <v>9.9999999999999995E-7</v>
      </c>
      <c r="L220" s="680" t="s">
        <v>102</v>
      </c>
      <c r="M220" s="679" t="s">
        <v>102</v>
      </c>
      <c r="N220" s="678">
        <f t="shared" si="58"/>
        <v>0</v>
      </c>
      <c r="P220" s="682">
        <v>7</v>
      </c>
      <c r="Q220" s="681">
        <v>1020</v>
      </c>
      <c r="R220" s="679">
        <v>9.9999999999999995E-7</v>
      </c>
      <c r="S220" s="680" t="s">
        <v>102</v>
      </c>
      <c r="T220" s="679" t="s">
        <v>102</v>
      </c>
      <c r="U220" s="678">
        <f t="shared" si="59"/>
        <v>0</v>
      </c>
    </row>
    <row r="221" spans="1:31" ht="13.5" thickBot="1" x14ac:dyDescent="0.35">
      <c r="A221" s="677"/>
      <c r="B221" s="863"/>
      <c r="C221" s="863"/>
      <c r="D221" s="863"/>
      <c r="E221" s="863"/>
      <c r="F221" s="863"/>
      <c r="G221" s="863"/>
      <c r="H221" s="863"/>
      <c r="I221" s="863"/>
      <c r="J221" s="863"/>
      <c r="K221" s="863"/>
      <c r="L221" s="863"/>
      <c r="M221" s="863"/>
      <c r="N221" s="863"/>
      <c r="O221" s="863"/>
      <c r="P221" s="863"/>
      <c r="Q221" s="863"/>
      <c r="R221" s="863"/>
      <c r="S221" s="863"/>
      <c r="T221" s="863"/>
      <c r="U221" s="863"/>
    </row>
    <row r="222" spans="1:31" ht="13" hidden="1" x14ac:dyDescent="0.3">
      <c r="A222" s="639"/>
      <c r="B222" s="639"/>
      <c r="C222" s="639"/>
      <c r="D222" s="639"/>
      <c r="E222" s="639"/>
      <c r="F222" s="639"/>
      <c r="G222" s="639"/>
      <c r="H222" s="639"/>
      <c r="I222" s="639"/>
      <c r="J222" s="639"/>
      <c r="K222" s="639"/>
      <c r="L222" s="639"/>
      <c r="M222" s="639"/>
      <c r="N222" s="639"/>
      <c r="O222" s="639"/>
      <c r="P222" s="639"/>
    </row>
    <row r="223" spans="1:31" ht="12.75" hidden="1" customHeight="1" x14ac:dyDescent="0.25">
      <c r="A223" s="860" t="s">
        <v>29</v>
      </c>
      <c r="B223" s="864" t="s">
        <v>548</v>
      </c>
      <c r="C223" s="858" t="s">
        <v>577</v>
      </c>
      <c r="D223" s="858"/>
      <c r="E223" s="858"/>
      <c r="F223" s="858"/>
      <c r="G223" s="676"/>
      <c r="I223" s="860" t="s">
        <v>29</v>
      </c>
      <c r="J223" s="864" t="s">
        <v>548</v>
      </c>
      <c r="K223" s="858" t="s">
        <v>577</v>
      </c>
      <c r="L223" s="858"/>
      <c r="M223" s="858"/>
      <c r="N223" s="858"/>
      <c r="O223" s="654"/>
      <c r="Q223" s="861" t="s">
        <v>29</v>
      </c>
      <c r="R223" s="876" t="s">
        <v>548</v>
      </c>
      <c r="S223" s="883" t="s">
        <v>577</v>
      </c>
      <c r="T223" s="883"/>
      <c r="U223" s="883"/>
      <c r="V223" s="884"/>
      <c r="Y223" s="885" t="s">
        <v>537</v>
      </c>
      <c r="Z223" s="886"/>
      <c r="AE223" s="675"/>
    </row>
    <row r="224" spans="1:31" ht="13" hidden="1" x14ac:dyDescent="0.3">
      <c r="A224" s="860"/>
      <c r="B224" s="864"/>
      <c r="C224" s="673" t="s">
        <v>563</v>
      </c>
      <c r="D224" s="887" t="s">
        <v>299</v>
      </c>
      <c r="E224" s="887"/>
      <c r="F224" s="887"/>
      <c r="G224" s="887" t="s">
        <v>564</v>
      </c>
      <c r="I224" s="860"/>
      <c r="J224" s="864"/>
      <c r="K224" s="673" t="s">
        <v>565</v>
      </c>
      <c r="L224" s="887" t="s">
        <v>299</v>
      </c>
      <c r="M224" s="887"/>
      <c r="N224" s="887"/>
      <c r="O224" s="887" t="s">
        <v>564</v>
      </c>
      <c r="Q224" s="860"/>
      <c r="R224" s="864"/>
      <c r="S224" s="673" t="s">
        <v>696</v>
      </c>
      <c r="T224" s="877" t="s">
        <v>299</v>
      </c>
      <c r="U224" s="878"/>
      <c r="V224" s="879"/>
      <c r="W224" s="888" t="s">
        <v>564</v>
      </c>
      <c r="Y224" s="889" t="s">
        <v>563</v>
      </c>
      <c r="Z224" s="890"/>
      <c r="AE224" s="639"/>
    </row>
    <row r="225" spans="1:38" ht="14" hidden="1" x14ac:dyDescent="0.3">
      <c r="A225" s="860"/>
      <c r="B225" s="864"/>
      <c r="C225" s="674" t="s">
        <v>716</v>
      </c>
      <c r="D225" s="673"/>
      <c r="E225" s="673"/>
      <c r="F225" s="654"/>
      <c r="G225" s="887"/>
      <c r="I225" s="860"/>
      <c r="J225" s="864"/>
      <c r="K225" s="674" t="s">
        <v>566</v>
      </c>
      <c r="L225" s="673"/>
      <c r="M225" s="673"/>
      <c r="N225" s="654"/>
      <c r="O225" s="887"/>
      <c r="Q225" s="860"/>
      <c r="R225" s="864"/>
      <c r="S225" s="674" t="s">
        <v>695</v>
      </c>
      <c r="T225" s="673"/>
      <c r="U225" s="673"/>
      <c r="W225" s="888"/>
      <c r="Y225" s="660">
        <v>1</v>
      </c>
      <c r="Z225" s="661">
        <f>X3</f>
        <v>0.6</v>
      </c>
      <c r="AE225" s="639"/>
    </row>
    <row r="226" spans="1:38" ht="13" hidden="1" x14ac:dyDescent="0.3">
      <c r="A226" s="860">
        <v>1</v>
      </c>
      <c r="B226" s="603">
        <v>1</v>
      </c>
      <c r="C226" s="603">
        <f>C5</f>
        <v>15</v>
      </c>
      <c r="D226" s="603">
        <f>D5</f>
        <v>-0.5</v>
      </c>
      <c r="E226" s="603">
        <f>E5</f>
        <v>0.3</v>
      </c>
      <c r="F226" s="603" t="str">
        <f>F5</f>
        <v>-</v>
      </c>
      <c r="G226" s="603">
        <f>G5</f>
        <v>0.4</v>
      </c>
      <c r="I226" s="860">
        <v>1</v>
      </c>
      <c r="J226" s="603">
        <v>1</v>
      </c>
      <c r="K226" s="603">
        <f>J5</f>
        <v>35</v>
      </c>
      <c r="L226" s="603">
        <f>K5</f>
        <v>-6</v>
      </c>
      <c r="M226" s="603">
        <f>L5</f>
        <v>-9.4</v>
      </c>
      <c r="N226" s="603" t="str">
        <f>M5</f>
        <v>-</v>
      </c>
      <c r="O226" s="603">
        <f>N5</f>
        <v>1.7000000000000002</v>
      </c>
      <c r="Q226" s="880">
        <v>1</v>
      </c>
      <c r="R226" s="603">
        <v>1</v>
      </c>
      <c r="S226" s="603">
        <f>Q5</f>
        <v>750</v>
      </c>
      <c r="T226" s="603" t="str">
        <f>R5</f>
        <v>-</v>
      </c>
      <c r="U226" s="603" t="str">
        <f>S5</f>
        <v>-</v>
      </c>
      <c r="V226" s="603" t="str">
        <f>T5</f>
        <v>-</v>
      </c>
      <c r="W226" s="646">
        <f>U5</f>
        <v>0</v>
      </c>
      <c r="Y226" s="664">
        <v>2</v>
      </c>
      <c r="Z226" s="661">
        <f>X14</f>
        <v>0.8</v>
      </c>
      <c r="AE226" s="639"/>
    </row>
    <row r="227" spans="1:38" ht="13" hidden="1" x14ac:dyDescent="0.3">
      <c r="A227" s="860"/>
      <c r="B227" s="603">
        <v>2</v>
      </c>
      <c r="C227" s="603">
        <f>C16</f>
        <v>15</v>
      </c>
      <c r="D227" s="603">
        <f>D16</f>
        <v>0.4</v>
      </c>
      <c r="E227" s="603">
        <f>E16</f>
        <v>9.9999999999999995E-7</v>
      </c>
      <c r="F227" s="603" t="str">
        <f>F16</f>
        <v>-</v>
      </c>
      <c r="G227" s="603">
        <f>G16</f>
        <v>0.19999950000000002</v>
      </c>
      <c r="I227" s="860"/>
      <c r="J227" s="603">
        <v>2</v>
      </c>
      <c r="K227" s="603">
        <f>J16</f>
        <v>35</v>
      </c>
      <c r="L227" s="603">
        <f>K16</f>
        <v>-6.9</v>
      </c>
      <c r="M227" s="603">
        <f>L16</f>
        <v>-1.6</v>
      </c>
      <c r="N227" s="603" t="str">
        <f>M16</f>
        <v>-</v>
      </c>
      <c r="O227" s="603">
        <f>N16</f>
        <v>2.6500000000000004</v>
      </c>
      <c r="Q227" s="881"/>
      <c r="R227" s="603">
        <v>2</v>
      </c>
      <c r="S227" s="603">
        <f>Q16</f>
        <v>750</v>
      </c>
      <c r="T227" s="603" t="str">
        <f>R16</f>
        <v>-</v>
      </c>
      <c r="U227" s="603" t="str">
        <f>S16</f>
        <v>-</v>
      </c>
      <c r="V227" s="603" t="str">
        <f>T16</f>
        <v>-</v>
      </c>
      <c r="W227" s="646">
        <f>U16</f>
        <v>0</v>
      </c>
      <c r="Y227" s="664">
        <v>3</v>
      </c>
      <c r="Z227" s="663">
        <f>X25</f>
        <v>0.5</v>
      </c>
      <c r="AE227" s="639"/>
    </row>
    <row r="228" spans="1:38" ht="13" hidden="1" x14ac:dyDescent="0.3">
      <c r="A228" s="860"/>
      <c r="B228" s="603">
        <v>3</v>
      </c>
      <c r="C228" s="603">
        <f>C27</f>
        <v>15</v>
      </c>
      <c r="D228" s="603">
        <f>D27</f>
        <v>0.4</v>
      </c>
      <c r="E228" s="603">
        <f>E27</f>
        <v>9.9999999999999995E-7</v>
      </c>
      <c r="F228" s="603" t="str">
        <f>F27</f>
        <v>-</v>
      </c>
      <c r="G228" s="603">
        <f>G27</f>
        <v>0.19999950000000002</v>
      </c>
      <c r="I228" s="860"/>
      <c r="J228" s="603">
        <v>3</v>
      </c>
      <c r="K228" s="603">
        <f>J27</f>
        <v>30</v>
      </c>
      <c r="L228" s="603">
        <f>K27</f>
        <v>-7.3</v>
      </c>
      <c r="M228" s="603">
        <f>L27</f>
        <v>-5.7</v>
      </c>
      <c r="N228" s="603" t="str">
        <f>M27</f>
        <v>-</v>
      </c>
      <c r="O228" s="603">
        <f>N27</f>
        <v>0.79999999999999982</v>
      </c>
      <c r="Q228" s="881"/>
      <c r="R228" s="603">
        <v>3</v>
      </c>
      <c r="S228" s="603">
        <f>Q27</f>
        <v>750</v>
      </c>
      <c r="T228" s="603" t="str">
        <f>R27</f>
        <v>-</v>
      </c>
      <c r="U228" s="603" t="str">
        <f>S27</f>
        <v>-</v>
      </c>
      <c r="V228" s="603" t="str">
        <f>T27</f>
        <v>-</v>
      </c>
      <c r="W228" s="646">
        <f>U27</f>
        <v>0</v>
      </c>
      <c r="Y228" s="664">
        <v>4</v>
      </c>
      <c r="Z228" s="663">
        <f>X36</f>
        <v>0.3</v>
      </c>
      <c r="AE228" s="639"/>
    </row>
    <row r="229" spans="1:38" ht="13" hidden="1" x14ac:dyDescent="0.3">
      <c r="A229" s="860"/>
      <c r="B229" s="603">
        <v>4</v>
      </c>
      <c r="C229" s="666">
        <f>C38</f>
        <v>15</v>
      </c>
      <c r="D229" s="666">
        <f>D38</f>
        <v>-0.2</v>
      </c>
      <c r="E229" s="666">
        <f>E38</f>
        <v>-0.1</v>
      </c>
      <c r="F229" s="666" t="str">
        <f>F38</f>
        <v>-</v>
      </c>
      <c r="G229" s="666">
        <f>G38</f>
        <v>0.05</v>
      </c>
      <c r="I229" s="860"/>
      <c r="J229" s="603">
        <v>4</v>
      </c>
      <c r="K229" s="666">
        <f>J38</f>
        <v>35</v>
      </c>
      <c r="L229" s="666">
        <f>K38</f>
        <v>-4.5</v>
      </c>
      <c r="M229" s="666">
        <f>L38</f>
        <v>-1.7</v>
      </c>
      <c r="N229" s="666" t="str">
        <f>M38</f>
        <v>-</v>
      </c>
      <c r="O229" s="666">
        <f>N38</f>
        <v>1.4</v>
      </c>
      <c r="Q229" s="881"/>
      <c r="R229" s="603">
        <v>4</v>
      </c>
      <c r="S229" s="666">
        <f>Q38</f>
        <v>750</v>
      </c>
      <c r="T229" s="666" t="str">
        <f>R38</f>
        <v>-</v>
      </c>
      <c r="U229" s="666" t="str">
        <f>S38</f>
        <v>-</v>
      </c>
      <c r="V229" s="666" t="str">
        <f>T38</f>
        <v>-</v>
      </c>
      <c r="W229" s="665">
        <f>U38</f>
        <v>0</v>
      </c>
      <c r="Y229" s="664">
        <v>5</v>
      </c>
      <c r="Z229" s="663">
        <f>X47</f>
        <v>0.4</v>
      </c>
      <c r="AE229" s="639"/>
    </row>
    <row r="230" spans="1:38" ht="13" hidden="1" x14ac:dyDescent="0.3">
      <c r="A230" s="860"/>
      <c r="B230" s="603">
        <v>5</v>
      </c>
      <c r="C230" s="666">
        <f>C49</f>
        <v>15</v>
      </c>
      <c r="D230" s="666">
        <f>D49</f>
        <v>-0.3</v>
      </c>
      <c r="E230" s="666">
        <f>E49</f>
        <v>0.3</v>
      </c>
      <c r="F230" s="666" t="str">
        <f>F49</f>
        <v>-</v>
      </c>
      <c r="G230" s="666">
        <f>G49</f>
        <v>0.3</v>
      </c>
      <c r="I230" s="860"/>
      <c r="J230" s="603">
        <v>5</v>
      </c>
      <c r="K230" s="666">
        <f>J49</f>
        <v>35</v>
      </c>
      <c r="L230" s="666">
        <f>K49</f>
        <v>-7.7</v>
      </c>
      <c r="M230" s="666">
        <f>L49</f>
        <v>-9.6</v>
      </c>
      <c r="N230" s="666" t="str">
        <f>M49</f>
        <v>-</v>
      </c>
      <c r="O230" s="666">
        <f>N49</f>
        <v>0.94999999999999973</v>
      </c>
      <c r="Q230" s="881"/>
      <c r="R230" s="603">
        <v>5</v>
      </c>
      <c r="S230" s="666">
        <f>Q49</f>
        <v>750</v>
      </c>
      <c r="T230" s="666" t="str">
        <f>R49</f>
        <v>-</v>
      </c>
      <c r="U230" s="666" t="str">
        <f>S49</f>
        <v>-</v>
      </c>
      <c r="V230" s="666" t="str">
        <f>T49</f>
        <v>-</v>
      </c>
      <c r="W230" s="665">
        <f>U49</f>
        <v>0</v>
      </c>
      <c r="Y230" s="660">
        <v>6</v>
      </c>
      <c r="Z230" s="661">
        <f>X58</f>
        <v>0.8</v>
      </c>
      <c r="AE230" s="639"/>
    </row>
    <row r="231" spans="1:38" ht="13" hidden="1" x14ac:dyDescent="0.3">
      <c r="A231" s="860"/>
      <c r="B231" s="603">
        <v>6</v>
      </c>
      <c r="C231" s="666">
        <f>C60</f>
        <v>15</v>
      </c>
      <c r="D231" s="666">
        <f>D60</f>
        <v>0.4</v>
      </c>
      <c r="E231" s="666">
        <f>E60</f>
        <v>0.4</v>
      </c>
      <c r="F231" s="666" t="str">
        <f>F60</f>
        <v>-</v>
      </c>
      <c r="G231" s="666">
        <f>G60</f>
        <v>0</v>
      </c>
      <c r="I231" s="860"/>
      <c r="J231" s="603">
        <v>6</v>
      </c>
      <c r="K231" s="666">
        <f>J60</f>
        <v>30</v>
      </c>
      <c r="L231" s="666">
        <f>K60</f>
        <v>-1.5</v>
      </c>
      <c r="M231" s="666">
        <f>L60</f>
        <v>1.7</v>
      </c>
      <c r="N231" s="666" t="str">
        <f>M60</f>
        <v>-</v>
      </c>
      <c r="O231" s="666">
        <f>N60</f>
        <v>1.6</v>
      </c>
      <c r="Q231" s="881"/>
      <c r="R231" s="603">
        <v>6</v>
      </c>
      <c r="S231" s="666">
        <f>Q60</f>
        <v>750</v>
      </c>
      <c r="T231" s="666">
        <f>R60</f>
        <v>0.9</v>
      </c>
      <c r="U231" s="666">
        <f>S60</f>
        <v>2.1</v>
      </c>
      <c r="V231" s="666" t="str">
        <f>T60</f>
        <v>-</v>
      </c>
      <c r="W231" s="665">
        <f>U60</f>
        <v>0.60000000000000009</v>
      </c>
      <c r="Y231" s="660">
        <v>7</v>
      </c>
      <c r="Z231" s="661">
        <f>X69</f>
        <v>0.2</v>
      </c>
      <c r="AE231" s="639"/>
    </row>
    <row r="232" spans="1:38" ht="13" hidden="1" x14ac:dyDescent="0.3">
      <c r="A232" s="860"/>
      <c r="B232" s="603">
        <v>7</v>
      </c>
      <c r="C232" s="666">
        <f>C71</f>
        <v>15</v>
      </c>
      <c r="D232" s="666">
        <f>D71</f>
        <v>0.1</v>
      </c>
      <c r="E232" s="666">
        <f>E71</f>
        <v>0.3</v>
      </c>
      <c r="F232" s="666" t="str">
        <f>F71</f>
        <v>-</v>
      </c>
      <c r="G232" s="666">
        <f>G71</f>
        <v>9.9999999999999992E-2</v>
      </c>
      <c r="I232" s="860"/>
      <c r="J232" s="603">
        <v>7</v>
      </c>
      <c r="K232" s="666">
        <f>J71</f>
        <v>30</v>
      </c>
      <c r="L232" s="666">
        <f>K71</f>
        <v>-1.9</v>
      </c>
      <c r="M232" s="666">
        <f>L71</f>
        <v>1.8</v>
      </c>
      <c r="N232" s="666" t="str">
        <f>M71</f>
        <v>-</v>
      </c>
      <c r="O232" s="666">
        <f>N71</f>
        <v>1.85</v>
      </c>
      <c r="Q232" s="881"/>
      <c r="R232" s="603">
        <v>7</v>
      </c>
      <c r="S232" s="666">
        <f>Q71</f>
        <v>750</v>
      </c>
      <c r="T232" s="666">
        <f>R71</f>
        <v>9.9999999999999995E-7</v>
      </c>
      <c r="U232" s="666">
        <f>S71</f>
        <v>3.2</v>
      </c>
      <c r="V232" s="666" t="str">
        <f>T71</f>
        <v>-</v>
      </c>
      <c r="W232" s="665">
        <f>U71</f>
        <v>1.5999995</v>
      </c>
      <c r="Y232" s="660">
        <v>8</v>
      </c>
      <c r="Z232" s="661">
        <f>X80</f>
        <v>0.3</v>
      </c>
      <c r="AE232" s="639"/>
    </row>
    <row r="233" spans="1:38" ht="13" hidden="1" x14ac:dyDescent="0.3">
      <c r="A233" s="860"/>
      <c r="B233" s="603">
        <v>8</v>
      </c>
      <c r="C233" s="666">
        <f>C82</f>
        <v>15</v>
      </c>
      <c r="D233" s="666">
        <f>D82</f>
        <v>0.1</v>
      </c>
      <c r="E233" s="666">
        <f>E82</f>
        <v>9.9999999999999995E-7</v>
      </c>
      <c r="F233" s="666" t="str">
        <f>F82</f>
        <v>-</v>
      </c>
      <c r="G233" s="666">
        <f>G82</f>
        <v>4.9999500000000002E-2</v>
      </c>
      <c r="I233" s="860"/>
      <c r="J233" s="603">
        <v>8</v>
      </c>
      <c r="K233" s="666">
        <f>J82</f>
        <v>30</v>
      </c>
      <c r="L233" s="666">
        <f>K82</f>
        <v>-4</v>
      </c>
      <c r="M233" s="666">
        <f>L82</f>
        <v>-1.4</v>
      </c>
      <c r="N233" s="666" t="str">
        <f>M82</f>
        <v>-</v>
      </c>
      <c r="O233" s="666">
        <f>N82</f>
        <v>1.3</v>
      </c>
      <c r="Q233" s="881"/>
      <c r="R233" s="603">
        <v>8</v>
      </c>
      <c r="S233" s="666">
        <f>Q82</f>
        <v>750</v>
      </c>
      <c r="T233" s="666">
        <f>R82</f>
        <v>9.9999999999999995E-7</v>
      </c>
      <c r="U233" s="666">
        <f>S82</f>
        <v>9.9999999999999995E-7</v>
      </c>
      <c r="V233" s="666" t="str">
        <f>T82</f>
        <v>-</v>
      </c>
      <c r="W233" s="665">
        <f>U82</f>
        <v>0</v>
      </c>
      <c r="Y233" s="660">
        <v>9</v>
      </c>
      <c r="Z233" s="661">
        <f>X91</f>
        <v>0.3</v>
      </c>
      <c r="AE233" s="639"/>
    </row>
    <row r="234" spans="1:38" ht="13" hidden="1" x14ac:dyDescent="0.3">
      <c r="A234" s="860"/>
      <c r="B234" s="603">
        <v>9</v>
      </c>
      <c r="C234" s="666">
        <f>C93</f>
        <v>15</v>
      </c>
      <c r="D234" s="666">
        <f>D93</f>
        <v>9.9999999999999995E-7</v>
      </c>
      <c r="E234" s="666" t="str">
        <f>E93</f>
        <v>-</v>
      </c>
      <c r="F234" s="666" t="str">
        <f>F93</f>
        <v>-</v>
      </c>
      <c r="G234" s="666">
        <f>G93</f>
        <v>0</v>
      </c>
      <c r="I234" s="860"/>
      <c r="J234" s="603">
        <v>9</v>
      </c>
      <c r="K234" s="666">
        <f>J93</f>
        <v>30</v>
      </c>
      <c r="L234" s="666">
        <f>K93</f>
        <v>-1.2</v>
      </c>
      <c r="M234" s="666" t="str">
        <f>L93</f>
        <v>-</v>
      </c>
      <c r="N234" s="666" t="str">
        <f>M93</f>
        <v>-</v>
      </c>
      <c r="O234" s="666">
        <f>N93</f>
        <v>0</v>
      </c>
      <c r="Q234" s="881"/>
      <c r="R234" s="603">
        <v>9</v>
      </c>
      <c r="S234" s="666">
        <f>Q93</f>
        <v>750</v>
      </c>
      <c r="T234" s="666">
        <f>R93</f>
        <v>9.9999999999999995E-7</v>
      </c>
      <c r="U234" s="666" t="str">
        <f>S93</f>
        <v>-</v>
      </c>
      <c r="V234" s="666" t="str">
        <f>T93</f>
        <v>-</v>
      </c>
      <c r="W234" s="665">
        <f>U93</f>
        <v>0</v>
      </c>
      <c r="Y234" s="660">
        <v>10</v>
      </c>
      <c r="Z234" s="661">
        <f>X102</f>
        <v>0.3</v>
      </c>
      <c r="AE234" s="639"/>
    </row>
    <row r="235" spans="1:38" ht="13" hidden="1" x14ac:dyDescent="0.3">
      <c r="A235" s="860"/>
      <c r="B235" s="603">
        <v>10</v>
      </c>
      <c r="C235" s="666">
        <f>C104</f>
        <v>15</v>
      </c>
      <c r="D235" s="666">
        <f>D104</f>
        <v>0.2</v>
      </c>
      <c r="E235" s="666">
        <f>E104</f>
        <v>0.2</v>
      </c>
      <c r="F235" s="666" t="str">
        <f>F104</f>
        <v>-</v>
      </c>
      <c r="G235" s="666">
        <f>G104</f>
        <v>0</v>
      </c>
      <c r="I235" s="860"/>
      <c r="J235" s="603">
        <v>10</v>
      </c>
      <c r="K235" s="666">
        <f>J104</f>
        <v>30</v>
      </c>
      <c r="L235" s="666">
        <f>K104</f>
        <v>-2.9</v>
      </c>
      <c r="M235" s="666">
        <f>L104</f>
        <v>-5.8</v>
      </c>
      <c r="N235" s="666" t="str">
        <f>M104</f>
        <v>-</v>
      </c>
      <c r="O235" s="666">
        <f>N104</f>
        <v>1.45</v>
      </c>
      <c r="Q235" s="881"/>
      <c r="R235" s="603">
        <v>10</v>
      </c>
      <c r="S235" s="666">
        <f>Q104</f>
        <v>750</v>
      </c>
      <c r="T235" s="666" t="str">
        <f>R104</f>
        <v>-</v>
      </c>
      <c r="U235" s="666" t="str">
        <f>S104</f>
        <v>-</v>
      </c>
      <c r="V235" s="666" t="str">
        <f>T104</f>
        <v>-</v>
      </c>
      <c r="W235" s="665">
        <f>U104</f>
        <v>0</v>
      </c>
      <c r="Y235" s="660">
        <v>11</v>
      </c>
      <c r="Z235" s="661">
        <f>X113</f>
        <v>0.3</v>
      </c>
      <c r="AE235" s="639"/>
    </row>
    <row r="236" spans="1:38" ht="13" hidden="1" x14ac:dyDescent="0.3">
      <c r="A236" s="860"/>
      <c r="B236" s="603">
        <v>11</v>
      </c>
      <c r="C236" s="666">
        <f>C115</f>
        <v>15</v>
      </c>
      <c r="D236" s="666">
        <f>D115</f>
        <v>0.3</v>
      </c>
      <c r="E236" s="666">
        <f>E115</f>
        <v>0.3</v>
      </c>
      <c r="F236" s="666" t="str">
        <f>F115</f>
        <v>-</v>
      </c>
      <c r="G236" s="666">
        <f>G115</f>
        <v>0</v>
      </c>
      <c r="I236" s="860"/>
      <c r="J236" s="603">
        <v>11</v>
      </c>
      <c r="K236" s="666">
        <f>J115</f>
        <v>30</v>
      </c>
      <c r="L236" s="666">
        <f>K115</f>
        <v>-5.2</v>
      </c>
      <c r="M236" s="666">
        <f>L115</f>
        <v>-6.4</v>
      </c>
      <c r="N236" s="666" t="str">
        <f>M115</f>
        <v>-</v>
      </c>
      <c r="O236" s="666">
        <f>N115</f>
        <v>0.60000000000000009</v>
      </c>
      <c r="Q236" s="881"/>
      <c r="R236" s="603">
        <v>11</v>
      </c>
      <c r="S236" s="666">
        <f>Q115</f>
        <v>750</v>
      </c>
      <c r="T236" s="666" t="str">
        <f>R115</f>
        <v>-</v>
      </c>
      <c r="U236" s="666" t="str">
        <f>S115</f>
        <v>-</v>
      </c>
      <c r="V236" s="666" t="str">
        <f>T115</f>
        <v>-</v>
      </c>
      <c r="W236" s="665">
        <f>U115</f>
        <v>0</v>
      </c>
      <c r="Y236" s="660">
        <v>12</v>
      </c>
      <c r="Z236" s="661">
        <f>X124</f>
        <v>0.3</v>
      </c>
      <c r="AE236" s="639"/>
    </row>
    <row r="237" spans="1:38" ht="13" hidden="1" x14ac:dyDescent="0.3">
      <c r="A237" s="860"/>
      <c r="B237" s="603">
        <v>12</v>
      </c>
      <c r="C237" s="666">
        <f>C126</f>
        <v>15</v>
      </c>
      <c r="D237" s="666">
        <f>D126</f>
        <v>9.9999999999999995E-7</v>
      </c>
      <c r="E237" s="666" t="str">
        <f>E126</f>
        <v>-</v>
      </c>
      <c r="F237" s="666" t="str">
        <f>F126</f>
        <v>-</v>
      </c>
      <c r="G237" s="666">
        <f>G126</f>
        <v>0</v>
      </c>
      <c r="I237" s="860"/>
      <c r="J237" s="603">
        <v>12</v>
      </c>
      <c r="K237" s="666">
        <f>J126</f>
        <v>30</v>
      </c>
      <c r="L237" s="666">
        <f>K126</f>
        <v>-0.4</v>
      </c>
      <c r="M237" s="666" t="str">
        <f>L126</f>
        <v>-</v>
      </c>
      <c r="N237" s="666" t="str">
        <f>M126</f>
        <v>-</v>
      </c>
      <c r="O237" s="666">
        <f>N126</f>
        <v>0</v>
      </c>
      <c r="Q237" s="881"/>
      <c r="R237" s="603">
        <v>12</v>
      </c>
      <c r="S237" s="666">
        <f>Q126</f>
        <v>800</v>
      </c>
      <c r="T237" s="666">
        <f>R126</f>
        <v>-0.4</v>
      </c>
      <c r="U237" s="666" t="str">
        <f>S126</f>
        <v>-</v>
      </c>
      <c r="V237" s="666" t="str">
        <f>T126</f>
        <v>-</v>
      </c>
      <c r="W237" s="665">
        <f>U126</f>
        <v>0</v>
      </c>
      <c r="Y237" s="660">
        <v>13</v>
      </c>
      <c r="Z237" s="659">
        <f>X135</f>
        <v>0.5</v>
      </c>
      <c r="AE237" s="639"/>
      <c r="AL237" s="639"/>
    </row>
    <row r="238" spans="1:38" ht="13" hidden="1" x14ac:dyDescent="0.3">
      <c r="A238" s="860"/>
      <c r="B238" s="603">
        <v>13</v>
      </c>
      <c r="C238" s="666">
        <f>C137</f>
        <v>15</v>
      </c>
      <c r="D238" s="666">
        <f>D137</f>
        <v>0.5</v>
      </c>
      <c r="E238" s="666">
        <f>E137</f>
        <v>-0.7</v>
      </c>
      <c r="F238" s="666" t="str">
        <f>F137</f>
        <v>-</v>
      </c>
      <c r="G238" s="666">
        <f>G137</f>
        <v>0.6</v>
      </c>
      <c r="I238" s="860"/>
      <c r="J238" s="603">
        <v>13</v>
      </c>
      <c r="K238" s="666">
        <f>J137</f>
        <v>30</v>
      </c>
      <c r="L238" s="666">
        <f>K137</f>
        <v>-2.2000000000000002</v>
      </c>
      <c r="M238" s="666">
        <f>L137</f>
        <v>-1.4</v>
      </c>
      <c r="N238" s="666" t="str">
        <f>M137</f>
        <v>-</v>
      </c>
      <c r="O238" s="666">
        <f>N137</f>
        <v>0.40000000000000013</v>
      </c>
      <c r="Q238" s="881"/>
      <c r="R238" s="603">
        <v>13</v>
      </c>
      <c r="S238" s="666">
        <f>Q137</f>
        <v>985</v>
      </c>
      <c r="T238" s="666">
        <f>R137</f>
        <v>3.8</v>
      </c>
      <c r="U238" s="666">
        <f>S137</f>
        <v>0.9</v>
      </c>
      <c r="V238" s="666" t="str">
        <f>T137</f>
        <v>-</v>
      </c>
      <c r="W238" s="665">
        <f>U137</f>
        <v>1.45</v>
      </c>
      <c r="Y238" s="660">
        <v>14</v>
      </c>
      <c r="Z238" s="659">
        <f>X146</f>
        <v>0.5</v>
      </c>
      <c r="AE238" s="639"/>
      <c r="AL238" s="639"/>
    </row>
    <row r="239" spans="1:38" ht="13" hidden="1" x14ac:dyDescent="0.3">
      <c r="A239" s="860"/>
      <c r="B239" s="603">
        <v>14</v>
      </c>
      <c r="C239" s="666">
        <f>C148</f>
        <v>15</v>
      </c>
      <c r="D239" s="666">
        <f>D148</f>
        <v>0.5</v>
      </c>
      <c r="E239" s="666">
        <f>E148</f>
        <v>-0.2</v>
      </c>
      <c r="F239" s="666" t="str">
        <f>F148</f>
        <v>-</v>
      </c>
      <c r="G239" s="666">
        <f>G148</f>
        <v>0.35</v>
      </c>
      <c r="I239" s="860"/>
      <c r="J239" s="603">
        <v>14</v>
      </c>
      <c r="K239" s="666">
        <f>J148</f>
        <v>30</v>
      </c>
      <c r="L239" s="666">
        <f>K148</f>
        <v>-0.8</v>
      </c>
      <c r="M239" s="666">
        <f>L148</f>
        <v>0.6</v>
      </c>
      <c r="N239" s="666" t="str">
        <f>M148</f>
        <v>-</v>
      </c>
      <c r="O239" s="666">
        <f>N148</f>
        <v>0.7</v>
      </c>
      <c r="Q239" s="881"/>
      <c r="R239" s="603">
        <v>14</v>
      </c>
      <c r="S239" s="666">
        <f>Q148</f>
        <v>985</v>
      </c>
      <c r="T239" s="666">
        <f>R148</f>
        <v>3.9</v>
      </c>
      <c r="U239" s="666">
        <f>S148</f>
        <v>0.9</v>
      </c>
      <c r="V239" s="666" t="str">
        <f>T148</f>
        <v>-</v>
      </c>
      <c r="W239" s="665">
        <f>U148</f>
        <v>1.5</v>
      </c>
      <c r="Y239" s="660">
        <v>15</v>
      </c>
      <c r="Z239" s="659">
        <f>X157</f>
        <v>0.5</v>
      </c>
      <c r="AE239" s="639"/>
      <c r="AL239" s="639"/>
    </row>
    <row r="240" spans="1:38" ht="13" hidden="1" x14ac:dyDescent="0.3">
      <c r="A240" s="860"/>
      <c r="B240" s="603">
        <v>15</v>
      </c>
      <c r="C240" s="666">
        <f>C159</f>
        <v>15</v>
      </c>
      <c r="D240" s="666">
        <f>D159</f>
        <v>0.6</v>
      </c>
      <c r="E240" s="666">
        <f>E159</f>
        <v>-0.6</v>
      </c>
      <c r="F240" s="666" t="str">
        <f>F159</f>
        <v>-</v>
      </c>
      <c r="G240" s="666">
        <f>G159</f>
        <v>0.6</v>
      </c>
      <c r="I240" s="860"/>
      <c r="J240" s="603">
        <v>15</v>
      </c>
      <c r="K240" s="666">
        <f>J159</f>
        <v>30</v>
      </c>
      <c r="L240" s="666">
        <f>K159</f>
        <v>-2</v>
      </c>
      <c r="M240" s="666">
        <f>L159</f>
        <v>-0.4</v>
      </c>
      <c r="N240" s="666" t="str">
        <f>M159</f>
        <v>-</v>
      </c>
      <c r="O240" s="666">
        <f>N159</f>
        <v>0.8</v>
      </c>
      <c r="Q240" s="881"/>
      <c r="R240" s="603">
        <v>15</v>
      </c>
      <c r="S240" s="666">
        <f>Q159</f>
        <v>985</v>
      </c>
      <c r="T240" s="666">
        <f>R159</f>
        <v>4.3</v>
      </c>
      <c r="U240" s="666">
        <f>S159</f>
        <v>0.9</v>
      </c>
      <c r="V240" s="666" t="str">
        <f>T159</f>
        <v>-</v>
      </c>
      <c r="W240" s="665">
        <f>U159</f>
        <v>1.7</v>
      </c>
      <c r="Y240" s="660">
        <v>16</v>
      </c>
      <c r="Z240" s="659">
        <f>X168</f>
        <v>0.4</v>
      </c>
      <c r="AE240" s="639"/>
      <c r="AL240" s="639"/>
    </row>
    <row r="241" spans="1:38" ht="13" hidden="1" x14ac:dyDescent="0.3">
      <c r="A241" s="860"/>
      <c r="B241" s="603">
        <v>16</v>
      </c>
      <c r="C241" s="666">
        <f>C170</f>
        <v>15</v>
      </c>
      <c r="D241" s="666">
        <f>D170</f>
        <v>0.1</v>
      </c>
      <c r="E241" s="666" t="str">
        <f>E170</f>
        <v>-</v>
      </c>
      <c r="F241" s="666" t="str">
        <f>F170</f>
        <v>-</v>
      </c>
      <c r="G241" s="666">
        <f>G170</f>
        <v>0</v>
      </c>
      <c r="I241" s="860"/>
      <c r="J241" s="603">
        <v>16</v>
      </c>
      <c r="K241" s="666">
        <f>J170</f>
        <v>30</v>
      </c>
      <c r="L241" s="666">
        <f>K170</f>
        <v>-1.6</v>
      </c>
      <c r="M241" s="666" t="str">
        <f>L170</f>
        <v>-</v>
      </c>
      <c r="N241" s="666" t="str">
        <f>M170</f>
        <v>-</v>
      </c>
      <c r="O241" s="666">
        <f>N170</f>
        <v>0</v>
      </c>
      <c r="Q241" s="881"/>
      <c r="R241" s="603">
        <v>16</v>
      </c>
      <c r="S241" s="666">
        <f>Q170</f>
        <v>800</v>
      </c>
      <c r="T241" s="666">
        <f>R170</f>
        <v>-2.9</v>
      </c>
      <c r="U241" s="666" t="str">
        <f>S170</f>
        <v>-</v>
      </c>
      <c r="V241" s="666" t="str">
        <f>T170</f>
        <v>-</v>
      </c>
      <c r="W241" s="665">
        <f>U170</f>
        <v>0</v>
      </c>
      <c r="Y241" s="660">
        <v>17</v>
      </c>
      <c r="Z241" s="659">
        <f>X179</f>
        <v>0.3</v>
      </c>
      <c r="AE241" s="639"/>
      <c r="AL241" s="639"/>
    </row>
    <row r="242" spans="1:38" ht="13" hidden="1" x14ac:dyDescent="0.3">
      <c r="A242" s="860"/>
      <c r="B242" s="603">
        <v>17</v>
      </c>
      <c r="C242" s="666">
        <f>C181</f>
        <v>15</v>
      </c>
      <c r="D242" s="666">
        <f>D181</f>
        <v>0.1</v>
      </c>
      <c r="E242" s="666" t="str">
        <f>E181</f>
        <v>-</v>
      </c>
      <c r="F242" s="666" t="str">
        <f>F181</f>
        <v>-</v>
      </c>
      <c r="G242" s="666">
        <f>G181</f>
        <v>0</v>
      </c>
      <c r="I242" s="860"/>
      <c r="J242" s="603">
        <v>17</v>
      </c>
      <c r="K242" s="666">
        <f>J181</f>
        <v>30</v>
      </c>
      <c r="L242" s="666">
        <f>K181</f>
        <v>0.1</v>
      </c>
      <c r="M242" s="666" t="str">
        <f>L181</f>
        <v>-</v>
      </c>
      <c r="N242" s="666" t="str">
        <f>M181</f>
        <v>-</v>
      </c>
      <c r="O242" s="666">
        <f>N181</f>
        <v>0</v>
      </c>
      <c r="Q242" s="881"/>
      <c r="R242" s="603">
        <v>17</v>
      </c>
      <c r="S242" s="666">
        <f>Q181</f>
        <v>960</v>
      </c>
      <c r="T242" s="666">
        <f>R181</f>
        <v>-0.6</v>
      </c>
      <c r="U242" s="666" t="str">
        <f>S181</f>
        <v>-</v>
      </c>
      <c r="V242" s="666" t="str">
        <f>T181</f>
        <v>-</v>
      </c>
      <c r="W242" s="665">
        <f>U181</f>
        <v>0</v>
      </c>
      <c r="Y242" s="660">
        <v>18</v>
      </c>
      <c r="Z242" s="659">
        <f>X190</f>
        <v>0.3</v>
      </c>
      <c r="AE242" s="639"/>
      <c r="AL242" s="639"/>
    </row>
    <row r="243" spans="1:38" ht="13" hidden="1" x14ac:dyDescent="0.3">
      <c r="A243" s="860"/>
      <c r="B243" s="603">
        <v>18</v>
      </c>
      <c r="C243" s="666">
        <f>C192</f>
        <v>15</v>
      </c>
      <c r="D243" s="666">
        <f>D192</f>
        <v>9.9999999999999995E-7</v>
      </c>
      <c r="E243" s="666" t="str">
        <f>E192</f>
        <v>-</v>
      </c>
      <c r="F243" s="666" t="str">
        <f>F192</f>
        <v>-</v>
      </c>
      <c r="G243" s="666">
        <f>G192</f>
        <v>0</v>
      </c>
      <c r="I243" s="860"/>
      <c r="J243" s="603">
        <v>18</v>
      </c>
      <c r="K243" s="666">
        <f>J192</f>
        <v>30</v>
      </c>
      <c r="L243" s="666">
        <f>K192</f>
        <v>-0.4</v>
      </c>
      <c r="M243" s="666" t="str">
        <f>L192</f>
        <v>-</v>
      </c>
      <c r="N243" s="666" t="str">
        <f>M192</f>
        <v>-</v>
      </c>
      <c r="O243" s="666">
        <f>N192</f>
        <v>0</v>
      </c>
      <c r="Q243" s="881"/>
      <c r="R243" s="603">
        <v>18</v>
      </c>
      <c r="S243" s="666">
        <f>Q192</f>
        <v>800</v>
      </c>
      <c r="T243" s="666">
        <f>R192</f>
        <v>-1.5</v>
      </c>
      <c r="U243" s="666" t="str">
        <f>S192</f>
        <v>-</v>
      </c>
      <c r="V243" s="666" t="str">
        <f>T192</f>
        <v>-</v>
      </c>
      <c r="W243" s="665">
        <f>U192</f>
        <v>0</v>
      </c>
      <c r="Y243" s="660">
        <v>19</v>
      </c>
      <c r="Z243" s="659">
        <f>X201</f>
        <v>0.1</v>
      </c>
      <c r="AE243" s="639"/>
      <c r="AL243" s="639"/>
    </row>
    <row r="244" spans="1:38" ht="13.5" hidden="1" thickBot="1" x14ac:dyDescent="0.35">
      <c r="A244" s="860"/>
      <c r="B244" s="603">
        <v>19</v>
      </c>
      <c r="C244" s="666">
        <f>C203</f>
        <v>15</v>
      </c>
      <c r="D244" s="666">
        <f>D203</f>
        <v>9.9999999999999995E-7</v>
      </c>
      <c r="E244" s="666" t="str">
        <f>E203</f>
        <v>-</v>
      </c>
      <c r="F244" s="666" t="str">
        <f>F203</f>
        <v>-</v>
      </c>
      <c r="G244" s="666">
        <f>G203</f>
        <v>0</v>
      </c>
      <c r="I244" s="860"/>
      <c r="J244" s="603">
        <v>19</v>
      </c>
      <c r="K244" s="666">
        <f>J203</f>
        <v>30</v>
      </c>
      <c r="L244" s="666">
        <f>K203</f>
        <v>-1.5</v>
      </c>
      <c r="M244" s="666" t="str">
        <f>L203</f>
        <v>-</v>
      </c>
      <c r="N244" s="666" t="str">
        <f>M203</f>
        <v>-</v>
      </c>
      <c r="O244" s="666">
        <f>N203</f>
        <v>0</v>
      </c>
      <c r="Q244" s="881"/>
      <c r="R244" s="603">
        <v>19</v>
      </c>
      <c r="S244" s="666">
        <f>Q203</f>
        <v>750</v>
      </c>
      <c r="T244" s="666">
        <f>R203</f>
        <v>2.5</v>
      </c>
      <c r="U244" s="666" t="str">
        <f>S203</f>
        <v>-</v>
      </c>
      <c r="V244" s="666" t="str">
        <f>T203</f>
        <v>-</v>
      </c>
      <c r="W244" s="665">
        <f>U203</f>
        <v>0</v>
      </c>
      <c r="Y244" s="658">
        <v>20</v>
      </c>
      <c r="Z244" s="657">
        <f>X212</f>
        <v>0</v>
      </c>
      <c r="AE244" s="639"/>
      <c r="AL244" s="639"/>
    </row>
    <row r="245" spans="1:38" ht="13.5" hidden="1" thickBot="1" x14ac:dyDescent="0.35">
      <c r="A245" s="860"/>
      <c r="B245" s="603">
        <v>20</v>
      </c>
      <c r="C245" s="666">
        <f>C214</f>
        <v>14.8</v>
      </c>
      <c r="D245" s="666">
        <f>D214</f>
        <v>9.9999999999999995E-7</v>
      </c>
      <c r="E245" s="666" t="str">
        <f>E214</f>
        <v>-</v>
      </c>
      <c r="F245" s="666" t="str">
        <f>F214</f>
        <v>-</v>
      </c>
      <c r="G245" s="666">
        <f>G214</f>
        <v>0</v>
      </c>
      <c r="I245" s="860"/>
      <c r="J245" s="603">
        <v>20</v>
      </c>
      <c r="K245" s="666">
        <f>J214</f>
        <v>45.7</v>
      </c>
      <c r="L245" s="666">
        <f>K214</f>
        <v>9.9999999999999995E-7</v>
      </c>
      <c r="M245" s="666" t="str">
        <f>L214</f>
        <v>-</v>
      </c>
      <c r="N245" s="666" t="str">
        <f>M214</f>
        <v>-</v>
      </c>
      <c r="O245" s="666">
        <f>N214</f>
        <v>0</v>
      </c>
      <c r="Q245" s="882"/>
      <c r="R245" s="645">
        <v>20</v>
      </c>
      <c r="S245" s="672">
        <f>Q214</f>
        <v>750</v>
      </c>
      <c r="T245" s="672">
        <f>R214</f>
        <v>9.9999999999999995E-7</v>
      </c>
      <c r="U245" s="672" t="str">
        <f>S214</f>
        <v>-</v>
      </c>
      <c r="V245" s="672" t="str">
        <f>T214</f>
        <v>-</v>
      </c>
      <c r="W245" s="671">
        <f>U214</f>
        <v>0</v>
      </c>
      <c r="Y245" s="641"/>
      <c r="AE245" s="643"/>
      <c r="AL245" s="639"/>
    </row>
    <row r="246" spans="1:38" ht="13" hidden="1" x14ac:dyDescent="0.3">
      <c r="A246" s="620"/>
      <c r="B246" s="620"/>
      <c r="C246" s="631"/>
      <c r="D246" s="631"/>
      <c r="E246" s="631"/>
      <c r="F246" s="654"/>
      <c r="G246" s="631"/>
      <c r="I246" s="620"/>
      <c r="J246" s="620"/>
      <c r="K246" s="631"/>
      <c r="L246" s="631"/>
      <c r="M246" s="631"/>
      <c r="N246" s="654"/>
      <c r="O246" s="631"/>
      <c r="Q246" s="652"/>
      <c r="R246" s="652"/>
      <c r="S246" s="670"/>
      <c r="T246" s="670"/>
      <c r="U246" s="670"/>
      <c r="W246" s="669"/>
      <c r="Y246" s="614"/>
      <c r="AE246" s="614"/>
      <c r="AL246" s="614"/>
    </row>
    <row r="247" spans="1:38" ht="13" hidden="1" x14ac:dyDescent="0.3">
      <c r="A247" s="860">
        <v>2</v>
      </c>
      <c r="B247" s="603">
        <v>1</v>
      </c>
      <c r="C247" s="666">
        <f>C6</f>
        <v>20</v>
      </c>
      <c r="D247" s="666">
        <f>D6</f>
        <v>-0.2</v>
      </c>
      <c r="E247" s="666">
        <f>E6</f>
        <v>0.2</v>
      </c>
      <c r="F247" s="666" t="str">
        <f>F6</f>
        <v>-</v>
      </c>
      <c r="G247" s="666">
        <f>G6</f>
        <v>0.2</v>
      </c>
      <c r="I247" s="860">
        <v>2</v>
      </c>
      <c r="J247" s="603">
        <v>1</v>
      </c>
      <c r="K247" s="666">
        <f>J6</f>
        <v>40</v>
      </c>
      <c r="L247" s="666">
        <f>K6</f>
        <v>-6</v>
      </c>
      <c r="M247" s="666">
        <f>L6</f>
        <v>-8.6</v>
      </c>
      <c r="N247" s="666" t="str">
        <f>M6</f>
        <v>-</v>
      </c>
      <c r="O247" s="666">
        <f>N6</f>
        <v>1.2999999999999998</v>
      </c>
      <c r="Q247" s="861">
        <v>2</v>
      </c>
      <c r="R247" s="649">
        <v>1</v>
      </c>
      <c r="S247" s="668">
        <f>Q6</f>
        <v>800</v>
      </c>
      <c r="T247" s="668" t="str">
        <f>R6</f>
        <v>-</v>
      </c>
      <c r="U247" s="668" t="str">
        <f>S6</f>
        <v>-</v>
      </c>
      <c r="V247" s="668" t="str">
        <f>T6</f>
        <v>-</v>
      </c>
      <c r="W247" s="667">
        <f>U6</f>
        <v>0</v>
      </c>
      <c r="Y247" s="885" t="s">
        <v>537</v>
      </c>
      <c r="Z247" s="886"/>
      <c r="AE247" s="647"/>
    </row>
    <row r="248" spans="1:38" ht="13" hidden="1" x14ac:dyDescent="0.3">
      <c r="A248" s="860"/>
      <c r="B248" s="603">
        <v>2</v>
      </c>
      <c r="C248" s="666">
        <f>C17</f>
        <v>20</v>
      </c>
      <c r="D248" s="666">
        <f>D17</f>
        <v>0.7</v>
      </c>
      <c r="E248" s="666">
        <f>E17</f>
        <v>-0.1</v>
      </c>
      <c r="F248" s="666" t="str">
        <f>F17</f>
        <v>-</v>
      </c>
      <c r="G248" s="666">
        <f>G17</f>
        <v>0.39999999999999997</v>
      </c>
      <c r="I248" s="860"/>
      <c r="J248" s="603">
        <v>2</v>
      </c>
      <c r="K248" s="666">
        <f>J17</f>
        <v>40</v>
      </c>
      <c r="L248" s="666">
        <f>K17</f>
        <v>-6.2</v>
      </c>
      <c r="M248" s="666">
        <f>L17</f>
        <v>-1.6</v>
      </c>
      <c r="N248" s="666" t="str">
        <f>M17</f>
        <v>-</v>
      </c>
      <c r="O248" s="666">
        <f>N17</f>
        <v>2.2999999999999998</v>
      </c>
      <c r="Q248" s="860"/>
      <c r="R248" s="603">
        <v>2</v>
      </c>
      <c r="S248" s="666">
        <f>Q17</f>
        <v>800</v>
      </c>
      <c r="T248" s="666" t="str">
        <f>R17</f>
        <v>-</v>
      </c>
      <c r="U248" s="666" t="str">
        <f>S17</f>
        <v>-</v>
      </c>
      <c r="V248" s="666" t="str">
        <f>T17</f>
        <v>-</v>
      </c>
      <c r="W248" s="665">
        <f>U17</f>
        <v>0</v>
      </c>
      <c r="Y248" s="889" t="s">
        <v>565</v>
      </c>
      <c r="Z248" s="890"/>
      <c r="AE248" s="639"/>
    </row>
    <row r="249" spans="1:38" ht="13" hidden="1" x14ac:dyDescent="0.3">
      <c r="A249" s="860"/>
      <c r="B249" s="603">
        <v>3</v>
      </c>
      <c r="C249" s="603">
        <f>C28</f>
        <v>20</v>
      </c>
      <c r="D249" s="603">
        <f>D28</f>
        <v>1</v>
      </c>
      <c r="E249" s="603">
        <f>E28</f>
        <v>9.9999999999999995E-7</v>
      </c>
      <c r="F249" s="603" t="str">
        <f>F28</f>
        <v>-</v>
      </c>
      <c r="G249" s="603">
        <f>G28</f>
        <v>0.49999949999999999</v>
      </c>
      <c r="I249" s="860"/>
      <c r="J249" s="603">
        <v>3</v>
      </c>
      <c r="K249" s="603">
        <f>J28</f>
        <v>40</v>
      </c>
      <c r="L249" s="603">
        <f>K28</f>
        <v>-5.9</v>
      </c>
      <c r="M249" s="603">
        <f>L28</f>
        <v>-5.3</v>
      </c>
      <c r="N249" s="603" t="str">
        <f>M28</f>
        <v>-</v>
      </c>
      <c r="O249" s="603">
        <f>N28</f>
        <v>0.30000000000000027</v>
      </c>
      <c r="Q249" s="860"/>
      <c r="R249" s="603">
        <v>3</v>
      </c>
      <c r="S249" s="603">
        <f>Q28</f>
        <v>800</v>
      </c>
      <c r="T249" s="603" t="str">
        <f>R28</f>
        <v>-</v>
      </c>
      <c r="U249" s="603" t="str">
        <f>S28</f>
        <v>-</v>
      </c>
      <c r="V249" s="603" t="str">
        <f>T28</f>
        <v>-</v>
      </c>
      <c r="W249" s="646">
        <f>U28</f>
        <v>0</v>
      </c>
      <c r="Y249" s="660">
        <v>1</v>
      </c>
      <c r="Z249" s="661">
        <f>X4</f>
        <v>3.1</v>
      </c>
      <c r="AE249" s="639"/>
    </row>
    <row r="250" spans="1:38" ht="13" hidden="1" x14ac:dyDescent="0.3">
      <c r="A250" s="860"/>
      <c r="B250" s="603">
        <v>4</v>
      </c>
      <c r="C250" s="603">
        <f>C39</f>
        <v>20</v>
      </c>
      <c r="D250" s="603">
        <f>D39</f>
        <v>-0.1</v>
      </c>
      <c r="E250" s="603">
        <f>E39</f>
        <v>-0.3</v>
      </c>
      <c r="F250" s="603" t="str">
        <f>F39</f>
        <v>-</v>
      </c>
      <c r="G250" s="603">
        <f>G39</f>
        <v>9.9999999999999992E-2</v>
      </c>
      <c r="I250" s="860"/>
      <c r="J250" s="603">
        <v>4</v>
      </c>
      <c r="K250" s="603">
        <f>J39</f>
        <v>40</v>
      </c>
      <c r="L250" s="603">
        <f>K39</f>
        <v>-4.4000000000000004</v>
      </c>
      <c r="M250" s="603">
        <f>L39</f>
        <v>-1.5</v>
      </c>
      <c r="N250" s="603" t="str">
        <f>M39</f>
        <v>-</v>
      </c>
      <c r="O250" s="603">
        <f>N39</f>
        <v>1.4500000000000002</v>
      </c>
      <c r="Q250" s="860"/>
      <c r="R250" s="603">
        <v>4</v>
      </c>
      <c r="S250" s="603">
        <f>Q39</f>
        <v>800</v>
      </c>
      <c r="T250" s="603" t="str">
        <f>R39</f>
        <v>-</v>
      </c>
      <c r="U250" s="603" t="str">
        <f>S39</f>
        <v>-</v>
      </c>
      <c r="V250" s="603" t="str">
        <f>T39</f>
        <v>-</v>
      </c>
      <c r="W250" s="646">
        <f>U39</f>
        <v>0</v>
      </c>
      <c r="Y250" s="664">
        <v>2</v>
      </c>
      <c r="Z250" s="661">
        <f>X15</f>
        <v>2.2000000000000002</v>
      </c>
      <c r="AE250" s="639"/>
    </row>
    <row r="251" spans="1:38" ht="13" hidden="1" x14ac:dyDescent="0.3">
      <c r="A251" s="860"/>
      <c r="B251" s="603">
        <v>5</v>
      </c>
      <c r="C251" s="603">
        <f>C50</f>
        <v>20</v>
      </c>
      <c r="D251" s="603">
        <f>D50</f>
        <v>0.1</v>
      </c>
      <c r="E251" s="603">
        <f>E50</f>
        <v>0.3</v>
      </c>
      <c r="F251" s="603" t="str">
        <f>F50</f>
        <v>-</v>
      </c>
      <c r="G251" s="603">
        <f>G50</f>
        <v>9.9999999999999992E-2</v>
      </c>
      <c r="I251" s="860"/>
      <c r="J251" s="603">
        <v>5</v>
      </c>
      <c r="K251" s="603">
        <f>J50</f>
        <v>40</v>
      </c>
      <c r="L251" s="603">
        <f>K50</f>
        <v>-7.2</v>
      </c>
      <c r="M251" s="603">
        <f>L50</f>
        <v>-8</v>
      </c>
      <c r="N251" s="603" t="str">
        <f>M50</f>
        <v>-</v>
      </c>
      <c r="O251" s="603">
        <f>N50</f>
        <v>0.39999999999999991</v>
      </c>
      <c r="Q251" s="860"/>
      <c r="R251" s="603">
        <v>5</v>
      </c>
      <c r="S251" s="603">
        <f>Q50</f>
        <v>800</v>
      </c>
      <c r="T251" s="603" t="str">
        <f>R50</f>
        <v>-</v>
      </c>
      <c r="U251" s="603" t="str">
        <f>S50</f>
        <v>-</v>
      </c>
      <c r="V251" s="603" t="str">
        <f>T50</f>
        <v>-</v>
      </c>
      <c r="W251" s="646">
        <f>U50</f>
        <v>0</v>
      </c>
      <c r="Y251" s="664">
        <v>3</v>
      </c>
      <c r="Z251" s="663">
        <f>X26</f>
        <v>3.1</v>
      </c>
      <c r="AE251" s="639"/>
    </row>
    <row r="252" spans="1:38" ht="13" hidden="1" x14ac:dyDescent="0.3">
      <c r="A252" s="860"/>
      <c r="B252" s="603">
        <v>6</v>
      </c>
      <c r="C252" s="603">
        <f>C61</f>
        <v>20</v>
      </c>
      <c r="D252" s="603">
        <f>D61</f>
        <v>0.3</v>
      </c>
      <c r="E252" s="603">
        <f>E61</f>
        <v>0.2</v>
      </c>
      <c r="F252" s="603" t="str">
        <f>F61</f>
        <v>-</v>
      </c>
      <c r="G252" s="603">
        <f>G61</f>
        <v>4.9999999999999989E-2</v>
      </c>
      <c r="I252" s="860"/>
      <c r="J252" s="603">
        <v>6</v>
      </c>
      <c r="K252" s="603">
        <f>J61</f>
        <v>40</v>
      </c>
      <c r="L252" s="603">
        <f>K61</f>
        <v>-3.8</v>
      </c>
      <c r="M252" s="603">
        <f>L61</f>
        <v>1.5</v>
      </c>
      <c r="N252" s="603" t="str">
        <f>M61</f>
        <v>-</v>
      </c>
      <c r="O252" s="603">
        <f>N61</f>
        <v>2.65</v>
      </c>
      <c r="Q252" s="860"/>
      <c r="R252" s="603">
        <v>6</v>
      </c>
      <c r="S252" s="603">
        <f>Q61</f>
        <v>800</v>
      </c>
      <c r="T252" s="603">
        <f>R61</f>
        <v>0.9</v>
      </c>
      <c r="U252" s="603">
        <f>S61</f>
        <v>1.6</v>
      </c>
      <c r="V252" s="603" t="str">
        <f>T61</f>
        <v>-</v>
      </c>
      <c r="W252" s="646">
        <f>U61</f>
        <v>0.35000000000000003</v>
      </c>
      <c r="Y252" s="664">
        <v>4</v>
      </c>
      <c r="Z252" s="663">
        <f>X37</f>
        <v>1.3</v>
      </c>
      <c r="AE252" s="639"/>
    </row>
    <row r="253" spans="1:38" ht="13" hidden="1" x14ac:dyDescent="0.3">
      <c r="A253" s="860"/>
      <c r="B253" s="603">
        <v>7</v>
      </c>
      <c r="C253" s="603">
        <f>C72</f>
        <v>20</v>
      </c>
      <c r="D253" s="603">
        <f>D72</f>
        <v>9.9999999999999995E-7</v>
      </c>
      <c r="E253" s="603">
        <f>E72</f>
        <v>0.1</v>
      </c>
      <c r="F253" s="603" t="str">
        <f>F72</f>
        <v>-</v>
      </c>
      <c r="G253" s="603">
        <f>G72</f>
        <v>4.9999500000000002E-2</v>
      </c>
      <c r="I253" s="860"/>
      <c r="J253" s="603">
        <v>7</v>
      </c>
      <c r="K253" s="603">
        <f>J72</f>
        <v>40</v>
      </c>
      <c r="L253" s="603">
        <f>K72</f>
        <v>-1.9</v>
      </c>
      <c r="M253" s="603">
        <f>L72</f>
        <v>1.2</v>
      </c>
      <c r="N253" s="603" t="str">
        <f>M72</f>
        <v>-</v>
      </c>
      <c r="O253" s="603">
        <f>N72</f>
        <v>1.5499999999999998</v>
      </c>
      <c r="Q253" s="860"/>
      <c r="R253" s="603">
        <v>7</v>
      </c>
      <c r="S253" s="603">
        <f>Q72</f>
        <v>800</v>
      </c>
      <c r="T253" s="603">
        <f>R72</f>
        <v>9.9999999999999995E-7</v>
      </c>
      <c r="U253" s="603">
        <f>S72</f>
        <v>2.5</v>
      </c>
      <c r="V253" s="603" t="str">
        <f>T72</f>
        <v>-</v>
      </c>
      <c r="W253" s="646">
        <f>U72</f>
        <v>1.2499994999999999</v>
      </c>
      <c r="Y253" s="664">
        <v>5</v>
      </c>
      <c r="Z253" s="663">
        <f>X48</f>
        <v>2.8</v>
      </c>
      <c r="AE253" s="639"/>
    </row>
    <row r="254" spans="1:38" ht="13" hidden="1" x14ac:dyDescent="0.3">
      <c r="A254" s="860"/>
      <c r="B254" s="603">
        <v>8</v>
      </c>
      <c r="C254" s="603">
        <f>C83</f>
        <v>20</v>
      </c>
      <c r="D254" s="603">
        <f>D83</f>
        <v>9.9999999999999995E-7</v>
      </c>
      <c r="E254" s="603">
        <f>E83</f>
        <v>-0.2</v>
      </c>
      <c r="F254" s="603" t="str">
        <f>F83</f>
        <v>-</v>
      </c>
      <c r="G254" s="603">
        <f>G83</f>
        <v>0.10000050000000001</v>
      </c>
      <c r="I254" s="860"/>
      <c r="J254" s="603">
        <v>8</v>
      </c>
      <c r="K254" s="603">
        <f>J83</f>
        <v>40</v>
      </c>
      <c r="L254" s="603">
        <f>K83</f>
        <v>-3.8</v>
      </c>
      <c r="M254" s="603">
        <f>L83</f>
        <v>-1.2</v>
      </c>
      <c r="N254" s="603" t="str">
        <f>M83</f>
        <v>-</v>
      </c>
      <c r="O254" s="603">
        <f>N83</f>
        <v>1.2999999999999998</v>
      </c>
      <c r="Q254" s="860"/>
      <c r="R254" s="603">
        <v>8</v>
      </c>
      <c r="S254" s="603">
        <f>Q83</f>
        <v>800</v>
      </c>
      <c r="T254" s="603">
        <f>R83</f>
        <v>9.9999999999999995E-7</v>
      </c>
      <c r="U254" s="603">
        <f>S83</f>
        <v>9.9999999999999995E-7</v>
      </c>
      <c r="V254" s="603" t="str">
        <f>T83</f>
        <v>-</v>
      </c>
      <c r="W254" s="646">
        <f>U83</f>
        <v>0</v>
      </c>
      <c r="Y254" s="660">
        <v>6</v>
      </c>
      <c r="Z254" s="661">
        <f>X59</f>
        <v>2.6</v>
      </c>
      <c r="AE254" s="639"/>
    </row>
    <row r="255" spans="1:38" ht="13" hidden="1" x14ac:dyDescent="0.3">
      <c r="A255" s="860"/>
      <c r="B255" s="603">
        <v>9</v>
      </c>
      <c r="C255" s="603">
        <f>C94</f>
        <v>20</v>
      </c>
      <c r="D255" s="603">
        <f>D94</f>
        <v>-0.2</v>
      </c>
      <c r="E255" s="603" t="str">
        <f>E94</f>
        <v>-</v>
      </c>
      <c r="F255" s="603" t="str">
        <f>F94</f>
        <v>-</v>
      </c>
      <c r="G255" s="603">
        <f>G94</f>
        <v>0</v>
      </c>
      <c r="I255" s="860"/>
      <c r="J255" s="603">
        <v>9</v>
      </c>
      <c r="K255" s="603">
        <f>J94</f>
        <v>40</v>
      </c>
      <c r="L255" s="603">
        <f>K94</f>
        <v>-1</v>
      </c>
      <c r="M255" s="603" t="str">
        <f>L94</f>
        <v>-</v>
      </c>
      <c r="N255" s="603" t="str">
        <f>M94</f>
        <v>-</v>
      </c>
      <c r="O255" s="603">
        <f>N94</f>
        <v>0</v>
      </c>
      <c r="Q255" s="860"/>
      <c r="R255" s="603">
        <v>9</v>
      </c>
      <c r="S255" s="603">
        <f>Q94</f>
        <v>800</v>
      </c>
      <c r="T255" s="603">
        <f>R94</f>
        <v>9.9999999999999995E-7</v>
      </c>
      <c r="U255" s="603" t="str">
        <f>S94</f>
        <v>-</v>
      </c>
      <c r="V255" s="603" t="str">
        <f>T94</f>
        <v>-</v>
      </c>
      <c r="W255" s="646">
        <f>U94</f>
        <v>0</v>
      </c>
      <c r="Y255" s="660">
        <v>7</v>
      </c>
      <c r="Z255" s="661">
        <f>X70</f>
        <v>2.4</v>
      </c>
      <c r="AE255" s="639"/>
    </row>
    <row r="256" spans="1:38" ht="13" hidden="1" x14ac:dyDescent="0.3">
      <c r="A256" s="860"/>
      <c r="B256" s="603">
        <v>10</v>
      </c>
      <c r="C256" s="603">
        <f>C105</f>
        <v>20</v>
      </c>
      <c r="D256" s="603">
        <f>D105</f>
        <v>0.2</v>
      </c>
      <c r="E256" s="603">
        <f>E105</f>
        <v>-0.7</v>
      </c>
      <c r="F256" s="603" t="str">
        <f>F105</f>
        <v>-</v>
      </c>
      <c r="G256" s="603">
        <f>G105</f>
        <v>0.44999999999999996</v>
      </c>
      <c r="I256" s="860"/>
      <c r="J256" s="603">
        <v>10</v>
      </c>
      <c r="K256" s="603">
        <f>J105</f>
        <v>40</v>
      </c>
      <c r="L256" s="603">
        <f>K105</f>
        <v>-3.3</v>
      </c>
      <c r="M256" s="603">
        <f>L105</f>
        <v>-6.4</v>
      </c>
      <c r="N256" s="603" t="str">
        <f>M105</f>
        <v>-</v>
      </c>
      <c r="O256" s="603">
        <f>N105</f>
        <v>1.5500000000000003</v>
      </c>
      <c r="Q256" s="860"/>
      <c r="R256" s="603">
        <v>10</v>
      </c>
      <c r="S256" s="603">
        <f>Q105</f>
        <v>800</v>
      </c>
      <c r="T256" s="603" t="str">
        <f>R105</f>
        <v>-</v>
      </c>
      <c r="U256" s="603" t="str">
        <f>S105</f>
        <v>-</v>
      </c>
      <c r="V256" s="603" t="str">
        <f>T105</f>
        <v>-</v>
      </c>
      <c r="W256" s="646">
        <f>U105</f>
        <v>0</v>
      </c>
      <c r="Y256" s="660">
        <v>8</v>
      </c>
      <c r="Z256" s="661">
        <f>X81</f>
        <v>2.5</v>
      </c>
      <c r="AE256" s="639"/>
    </row>
    <row r="257" spans="1:31" ht="13" hidden="1" x14ac:dyDescent="0.3">
      <c r="A257" s="860"/>
      <c r="B257" s="603">
        <v>11</v>
      </c>
      <c r="C257" s="603">
        <f>C116</f>
        <v>20</v>
      </c>
      <c r="D257" s="603">
        <f>D116</f>
        <v>0.4</v>
      </c>
      <c r="E257" s="603">
        <f>E116</f>
        <v>0.5</v>
      </c>
      <c r="F257" s="603" t="str">
        <f>F116</f>
        <v>-</v>
      </c>
      <c r="G257" s="603">
        <f>G116</f>
        <v>4.9999999999999989E-2</v>
      </c>
      <c r="I257" s="860"/>
      <c r="J257" s="603">
        <v>11</v>
      </c>
      <c r="K257" s="603">
        <f>J116</f>
        <v>40</v>
      </c>
      <c r="L257" s="603">
        <f>K116</f>
        <v>-5.5</v>
      </c>
      <c r="M257" s="603">
        <f>L116</f>
        <v>-5.9</v>
      </c>
      <c r="N257" s="603" t="str">
        <f>M116</f>
        <v>-</v>
      </c>
      <c r="O257" s="603">
        <f>N116</f>
        <v>0.20000000000000018</v>
      </c>
      <c r="Q257" s="860"/>
      <c r="R257" s="603">
        <v>11</v>
      </c>
      <c r="S257" s="603">
        <f>Q116</f>
        <v>800</v>
      </c>
      <c r="T257" s="603" t="str">
        <f>R116</f>
        <v>-</v>
      </c>
      <c r="U257" s="603" t="str">
        <f>S116</f>
        <v>-</v>
      </c>
      <c r="V257" s="603" t="str">
        <f>T116</f>
        <v>-</v>
      </c>
      <c r="W257" s="646">
        <f>U116</f>
        <v>0</v>
      </c>
      <c r="Y257" s="660">
        <v>9</v>
      </c>
      <c r="Z257" s="661">
        <f>X92</f>
        <v>2.4</v>
      </c>
      <c r="AE257" s="639"/>
    </row>
    <row r="258" spans="1:31" ht="13" hidden="1" x14ac:dyDescent="0.3">
      <c r="A258" s="860"/>
      <c r="B258" s="603">
        <v>12</v>
      </c>
      <c r="C258" s="603">
        <f>C127</f>
        <v>20</v>
      </c>
      <c r="D258" s="603">
        <f>D127</f>
        <v>9.9999999999999995E-7</v>
      </c>
      <c r="E258" s="603" t="str">
        <f>E127</f>
        <v>-</v>
      </c>
      <c r="F258" s="603" t="str">
        <f>F127</f>
        <v>-</v>
      </c>
      <c r="G258" s="603">
        <f>G127</f>
        <v>0</v>
      </c>
      <c r="I258" s="860"/>
      <c r="J258" s="603">
        <v>12</v>
      </c>
      <c r="K258" s="603">
        <f>J127</f>
        <v>40</v>
      </c>
      <c r="L258" s="603">
        <f>K127</f>
        <v>-0.1</v>
      </c>
      <c r="M258" s="603" t="str">
        <f>L127</f>
        <v>-</v>
      </c>
      <c r="N258" s="603" t="str">
        <f>M127</f>
        <v>-</v>
      </c>
      <c r="O258" s="603">
        <f>N127</f>
        <v>0</v>
      </c>
      <c r="Q258" s="860"/>
      <c r="R258" s="603">
        <v>12</v>
      </c>
      <c r="S258" s="603">
        <f>Q127</f>
        <v>850</v>
      </c>
      <c r="T258" s="603">
        <f>R127</f>
        <v>-0.5</v>
      </c>
      <c r="U258" s="603" t="str">
        <f>S127</f>
        <v>-</v>
      </c>
      <c r="V258" s="603" t="str">
        <f>T127</f>
        <v>-</v>
      </c>
      <c r="W258" s="646">
        <f>U127</f>
        <v>0</v>
      </c>
      <c r="Y258" s="660">
        <v>10</v>
      </c>
      <c r="Z258" s="661">
        <f>X103</f>
        <v>1.5</v>
      </c>
      <c r="AE258" s="639"/>
    </row>
    <row r="259" spans="1:31" ht="13" hidden="1" x14ac:dyDescent="0.3">
      <c r="A259" s="860"/>
      <c r="B259" s="603">
        <v>13</v>
      </c>
      <c r="C259" s="603">
        <f>C138</f>
        <v>20</v>
      </c>
      <c r="D259" s="603">
        <f>D138</f>
        <v>0.2</v>
      </c>
      <c r="E259" s="603">
        <f>E138</f>
        <v>-0.4</v>
      </c>
      <c r="F259" s="603" t="str">
        <f>F138</f>
        <v>-</v>
      </c>
      <c r="G259" s="603">
        <f>G138</f>
        <v>0.30000000000000004</v>
      </c>
      <c r="I259" s="860"/>
      <c r="J259" s="603">
        <v>13</v>
      </c>
      <c r="K259" s="603">
        <f>J138</f>
        <v>40</v>
      </c>
      <c r="L259" s="603">
        <f>K138</f>
        <v>-2</v>
      </c>
      <c r="M259" s="603">
        <f>L138</f>
        <v>-1.3</v>
      </c>
      <c r="N259" s="603" t="str">
        <f>M138</f>
        <v>-</v>
      </c>
      <c r="O259" s="603">
        <f>N138</f>
        <v>0.35</v>
      </c>
      <c r="Q259" s="860"/>
      <c r="R259" s="603">
        <v>13</v>
      </c>
      <c r="S259" s="603">
        <f>Q138</f>
        <v>990</v>
      </c>
      <c r="T259" s="603">
        <f>R138</f>
        <v>3.8</v>
      </c>
      <c r="U259" s="603">
        <f>S138</f>
        <v>1</v>
      </c>
      <c r="V259" s="603" t="str">
        <f>T138</f>
        <v>-</v>
      </c>
      <c r="W259" s="646">
        <f>U138</f>
        <v>1.4</v>
      </c>
      <c r="Y259" s="660">
        <v>11</v>
      </c>
      <c r="Z259" s="661">
        <f>X114</f>
        <v>1.8</v>
      </c>
      <c r="AE259" s="639"/>
    </row>
    <row r="260" spans="1:31" ht="13" hidden="1" x14ac:dyDescent="0.3">
      <c r="A260" s="860"/>
      <c r="B260" s="603">
        <v>14</v>
      </c>
      <c r="C260" s="603">
        <f>C149</f>
        <v>20</v>
      </c>
      <c r="D260" s="603">
        <f>D149</f>
        <v>0.2</v>
      </c>
      <c r="E260" s="603">
        <f>E149</f>
        <v>-0.1</v>
      </c>
      <c r="F260" s="603" t="str">
        <f>F149</f>
        <v>-</v>
      </c>
      <c r="G260" s="603">
        <f>G149</f>
        <v>0.15000000000000002</v>
      </c>
      <c r="I260" s="860"/>
      <c r="J260" s="603">
        <v>14</v>
      </c>
      <c r="K260" s="603">
        <f>J149</f>
        <v>40</v>
      </c>
      <c r="L260" s="603">
        <f>K149</f>
        <v>-0.4</v>
      </c>
      <c r="M260" s="603">
        <f>L149</f>
        <v>0.3</v>
      </c>
      <c r="N260" s="603" t="str">
        <f>M149</f>
        <v>-</v>
      </c>
      <c r="O260" s="603">
        <f>N149</f>
        <v>0.35</v>
      </c>
      <c r="Q260" s="860"/>
      <c r="R260" s="603">
        <v>14</v>
      </c>
      <c r="S260" s="603">
        <f>Q149</f>
        <v>990</v>
      </c>
      <c r="T260" s="603">
        <f>R149</f>
        <v>3.9</v>
      </c>
      <c r="U260" s="603">
        <f>S149</f>
        <v>1</v>
      </c>
      <c r="V260" s="603" t="str">
        <f>T149</f>
        <v>-</v>
      </c>
      <c r="W260" s="646">
        <f>U149</f>
        <v>1.45</v>
      </c>
      <c r="Y260" s="660">
        <v>12</v>
      </c>
      <c r="Z260" s="662">
        <f>X125</f>
        <v>2</v>
      </c>
      <c r="AE260" s="639"/>
    </row>
    <row r="261" spans="1:31" ht="13" hidden="1" x14ac:dyDescent="0.3">
      <c r="A261" s="860"/>
      <c r="B261" s="603">
        <v>15</v>
      </c>
      <c r="C261" s="603">
        <f>C160</f>
        <v>20</v>
      </c>
      <c r="D261" s="603">
        <f>D160</f>
        <v>0.3</v>
      </c>
      <c r="E261" s="603">
        <f>E160</f>
        <v>-0.5</v>
      </c>
      <c r="F261" s="603" t="str">
        <f>F160</f>
        <v>-</v>
      </c>
      <c r="G261" s="603">
        <f>G160</f>
        <v>0.4</v>
      </c>
      <c r="I261" s="860"/>
      <c r="J261" s="603">
        <v>15</v>
      </c>
      <c r="K261" s="603">
        <f>J160</f>
        <v>40</v>
      </c>
      <c r="L261" s="603">
        <f>K160</f>
        <v>-1.7</v>
      </c>
      <c r="M261" s="603">
        <f>L160</f>
        <v>-0.3</v>
      </c>
      <c r="N261" s="603" t="str">
        <f>M160</f>
        <v>-</v>
      </c>
      <c r="O261" s="603">
        <f>N160</f>
        <v>0.7</v>
      </c>
      <c r="Q261" s="860"/>
      <c r="R261" s="603">
        <v>15</v>
      </c>
      <c r="S261" s="603">
        <f>Q160</f>
        <v>990</v>
      </c>
      <c r="T261" s="603">
        <f>R160</f>
        <v>4.2</v>
      </c>
      <c r="U261" s="603">
        <f>S160</f>
        <v>1</v>
      </c>
      <c r="V261" s="603" t="str">
        <f>T160</f>
        <v>-</v>
      </c>
      <c r="W261" s="646">
        <f>U160</f>
        <v>1.6</v>
      </c>
      <c r="Y261" s="660">
        <v>13</v>
      </c>
      <c r="Z261" s="661">
        <f>X136</f>
        <v>2.2999999999999998</v>
      </c>
      <c r="AE261" s="639"/>
    </row>
    <row r="262" spans="1:31" ht="13" hidden="1" x14ac:dyDescent="0.3">
      <c r="A262" s="860"/>
      <c r="B262" s="603">
        <v>16</v>
      </c>
      <c r="C262" s="603">
        <f>C171</f>
        <v>20</v>
      </c>
      <c r="D262" s="603">
        <f>D171</f>
        <v>0.2</v>
      </c>
      <c r="E262" s="603" t="str">
        <f>E171</f>
        <v>-</v>
      </c>
      <c r="F262" s="603" t="str">
        <f>F171</f>
        <v>-</v>
      </c>
      <c r="G262" s="603">
        <f>G171</f>
        <v>0</v>
      </c>
      <c r="I262" s="860"/>
      <c r="J262" s="603">
        <v>16</v>
      </c>
      <c r="K262" s="603">
        <f>J171</f>
        <v>40</v>
      </c>
      <c r="L262" s="603">
        <f>K171</f>
        <v>-1.4</v>
      </c>
      <c r="M262" s="603" t="str">
        <f>L171</f>
        <v>-</v>
      </c>
      <c r="N262" s="603" t="str">
        <f>M171</f>
        <v>-</v>
      </c>
      <c r="O262" s="603">
        <f>N171</f>
        <v>0</v>
      </c>
      <c r="Q262" s="860"/>
      <c r="R262" s="603">
        <v>16</v>
      </c>
      <c r="S262" s="603">
        <f>Q171</f>
        <v>850</v>
      </c>
      <c r="T262" s="603">
        <f>R171</f>
        <v>-2.2999999999999998</v>
      </c>
      <c r="U262" s="603" t="str">
        <f>S171</f>
        <v>-</v>
      </c>
      <c r="V262" s="603" t="str">
        <f>T171</f>
        <v>-</v>
      </c>
      <c r="W262" s="646">
        <f>U171</f>
        <v>0</v>
      </c>
      <c r="Y262" s="660">
        <v>14</v>
      </c>
      <c r="Z262" s="661">
        <f>X147</f>
        <v>2.7</v>
      </c>
      <c r="AE262" s="639"/>
    </row>
    <row r="263" spans="1:31" ht="13" hidden="1" x14ac:dyDescent="0.3">
      <c r="A263" s="860"/>
      <c r="B263" s="603">
        <v>17</v>
      </c>
      <c r="C263" s="603">
        <f>C182</f>
        <v>20</v>
      </c>
      <c r="D263" s="603">
        <f>D182</f>
        <v>0.1</v>
      </c>
      <c r="E263" s="603" t="str">
        <f>E182</f>
        <v>-</v>
      </c>
      <c r="F263" s="603" t="str">
        <f>F182</f>
        <v>-</v>
      </c>
      <c r="G263" s="603">
        <f>G182</f>
        <v>0</v>
      </c>
      <c r="I263" s="860"/>
      <c r="J263" s="603">
        <v>17</v>
      </c>
      <c r="K263" s="603">
        <f>J182</f>
        <v>40</v>
      </c>
      <c r="L263" s="603">
        <f>K182</f>
        <v>0.2</v>
      </c>
      <c r="M263" s="603" t="str">
        <f>L182</f>
        <v>-</v>
      </c>
      <c r="N263" s="603" t="str">
        <f>M182</f>
        <v>-</v>
      </c>
      <c r="O263" s="603">
        <f>N182</f>
        <v>0</v>
      </c>
      <c r="Q263" s="860"/>
      <c r="R263" s="603">
        <v>17</v>
      </c>
      <c r="S263" s="603">
        <f>Q182</f>
        <v>970</v>
      </c>
      <c r="T263" s="603">
        <f>R182</f>
        <v>-0.6</v>
      </c>
      <c r="U263" s="603" t="str">
        <f>S182</f>
        <v>-</v>
      </c>
      <c r="V263" s="603" t="str">
        <f>T182</f>
        <v>-</v>
      </c>
      <c r="W263" s="646">
        <f>U182</f>
        <v>0</v>
      </c>
      <c r="Y263" s="660">
        <v>15</v>
      </c>
      <c r="Z263" s="661">
        <f>X158</f>
        <v>2.6</v>
      </c>
      <c r="AE263" s="639"/>
    </row>
    <row r="264" spans="1:31" ht="13" hidden="1" x14ac:dyDescent="0.3">
      <c r="A264" s="860"/>
      <c r="B264" s="603">
        <v>18</v>
      </c>
      <c r="C264" s="603">
        <f>C193</f>
        <v>20</v>
      </c>
      <c r="D264" s="603">
        <f>D193</f>
        <v>-0.1</v>
      </c>
      <c r="E264" s="603" t="str">
        <f>E193</f>
        <v>-</v>
      </c>
      <c r="F264" s="603" t="str">
        <f>F193</f>
        <v>-</v>
      </c>
      <c r="G264" s="603">
        <f>G193</f>
        <v>0</v>
      </c>
      <c r="I264" s="860"/>
      <c r="J264" s="603">
        <v>18</v>
      </c>
      <c r="K264" s="603">
        <f>J193</f>
        <v>40</v>
      </c>
      <c r="L264" s="603">
        <f>K193</f>
        <v>-0.2</v>
      </c>
      <c r="M264" s="603" t="str">
        <f>L193</f>
        <v>-</v>
      </c>
      <c r="N264" s="603" t="str">
        <f>M193</f>
        <v>-</v>
      </c>
      <c r="O264" s="603">
        <f>N193</f>
        <v>0</v>
      </c>
      <c r="Q264" s="860"/>
      <c r="R264" s="603">
        <v>18</v>
      </c>
      <c r="S264" s="603">
        <f>Q193</f>
        <v>850</v>
      </c>
      <c r="T264" s="603">
        <f>R193</f>
        <v>-1.3</v>
      </c>
      <c r="U264" s="603" t="str">
        <f>S193</f>
        <v>-</v>
      </c>
      <c r="V264" s="603" t="str">
        <f>T193</f>
        <v>-</v>
      </c>
      <c r="W264" s="646">
        <f>U193</f>
        <v>0</v>
      </c>
      <c r="Y264" s="660">
        <v>16</v>
      </c>
      <c r="Z264" s="661">
        <f>X169</f>
        <v>2.2000000000000002</v>
      </c>
      <c r="AE264" s="639"/>
    </row>
    <row r="265" spans="1:31" ht="13" hidden="1" x14ac:dyDescent="0.3">
      <c r="A265" s="860"/>
      <c r="B265" s="603">
        <v>19</v>
      </c>
      <c r="C265" s="603">
        <f>C204</f>
        <v>20</v>
      </c>
      <c r="D265" s="603">
        <f>D204</f>
        <v>0.1</v>
      </c>
      <c r="E265" s="603" t="str">
        <f>E204</f>
        <v>-</v>
      </c>
      <c r="F265" s="603" t="str">
        <f>F204</f>
        <v>-</v>
      </c>
      <c r="G265" s="603">
        <f>G204</f>
        <v>0</v>
      </c>
      <c r="I265" s="860"/>
      <c r="J265" s="603">
        <v>19</v>
      </c>
      <c r="K265" s="603">
        <f>J204</f>
        <v>40</v>
      </c>
      <c r="L265" s="603">
        <f>K204</f>
        <v>-0.8</v>
      </c>
      <c r="M265" s="603" t="str">
        <f>L204</f>
        <v>-</v>
      </c>
      <c r="N265" s="603" t="str">
        <f>M204</f>
        <v>-</v>
      </c>
      <c r="O265" s="603">
        <f>N204</f>
        <v>0</v>
      </c>
      <c r="Q265" s="860"/>
      <c r="R265" s="603">
        <v>19</v>
      </c>
      <c r="S265" s="603">
        <f>Q204</f>
        <v>800</v>
      </c>
      <c r="T265" s="603">
        <f>R204</f>
        <v>2.5</v>
      </c>
      <c r="U265" s="603" t="str">
        <f>S204</f>
        <v>-</v>
      </c>
      <c r="V265" s="603" t="str">
        <f>T204</f>
        <v>-</v>
      </c>
      <c r="W265" s="646">
        <f>U204</f>
        <v>0</v>
      </c>
      <c r="Y265" s="660">
        <v>17</v>
      </c>
      <c r="Z265" s="661">
        <f>X180</f>
        <v>2.8</v>
      </c>
      <c r="AE265" s="639"/>
    </row>
    <row r="266" spans="1:31" ht="13.5" hidden="1" thickBot="1" x14ac:dyDescent="0.35">
      <c r="A266" s="860"/>
      <c r="B266" s="603">
        <v>20</v>
      </c>
      <c r="C266" s="603">
        <f>C215</f>
        <v>19.7</v>
      </c>
      <c r="D266" s="603">
        <f>D215</f>
        <v>9.9999999999999995E-7</v>
      </c>
      <c r="E266" s="603" t="str">
        <f>E215</f>
        <v>-</v>
      </c>
      <c r="F266" s="603" t="str">
        <f>F215</f>
        <v>-</v>
      </c>
      <c r="G266" s="603">
        <f>G215</f>
        <v>0</v>
      </c>
      <c r="I266" s="860"/>
      <c r="J266" s="603">
        <v>20</v>
      </c>
      <c r="K266" s="603">
        <f>J215</f>
        <v>54.3</v>
      </c>
      <c r="L266" s="603">
        <f>K215</f>
        <v>9.9999999999999995E-7</v>
      </c>
      <c r="M266" s="603" t="str">
        <f>L215</f>
        <v>-</v>
      </c>
      <c r="N266" s="603" t="str">
        <f>M215</f>
        <v>-</v>
      </c>
      <c r="O266" s="603">
        <f>N215</f>
        <v>0</v>
      </c>
      <c r="Q266" s="862"/>
      <c r="R266" s="645">
        <v>20</v>
      </c>
      <c r="S266" s="645">
        <f>Q215</f>
        <v>800</v>
      </c>
      <c r="T266" s="645">
        <f>R215</f>
        <v>9.9999999999999995E-7</v>
      </c>
      <c r="U266" s="645" t="str">
        <f>S215</f>
        <v>-</v>
      </c>
      <c r="V266" s="645" t="str">
        <f>T215</f>
        <v>-</v>
      </c>
      <c r="W266" s="644">
        <f>U215</f>
        <v>0</v>
      </c>
      <c r="Y266" s="660">
        <v>18</v>
      </c>
      <c r="Z266" s="661">
        <f>X191</f>
        <v>1.6</v>
      </c>
      <c r="AE266" s="643"/>
    </row>
    <row r="267" spans="1:31" ht="13" hidden="1" x14ac:dyDescent="0.3">
      <c r="A267" s="620"/>
      <c r="B267" s="620"/>
      <c r="C267" s="620"/>
      <c r="D267" s="620"/>
      <c r="E267" s="620"/>
      <c r="F267" s="654"/>
      <c r="G267" s="620"/>
      <c r="I267" s="620"/>
      <c r="J267" s="620"/>
      <c r="K267" s="620"/>
      <c r="L267" s="620"/>
      <c r="M267" s="620"/>
      <c r="N267" s="654"/>
      <c r="O267" s="620"/>
      <c r="Q267" s="655"/>
      <c r="R267" s="652"/>
      <c r="S267" s="651"/>
      <c r="T267" s="651"/>
      <c r="U267" s="651"/>
      <c r="W267" s="650"/>
      <c r="Y267" s="660">
        <v>19</v>
      </c>
      <c r="Z267" s="659">
        <f>X202</f>
        <v>1.5</v>
      </c>
      <c r="AE267" s="639"/>
    </row>
    <row r="268" spans="1:31" ht="13.5" hidden="1" thickBot="1" x14ac:dyDescent="0.35">
      <c r="A268" s="860">
        <v>3</v>
      </c>
      <c r="B268" s="603">
        <v>1</v>
      </c>
      <c r="C268" s="603">
        <f>C7</f>
        <v>25</v>
      </c>
      <c r="D268" s="603">
        <f>D7</f>
        <v>9.9999999999999995E-7</v>
      </c>
      <c r="E268" s="603">
        <f>E7</f>
        <v>0.1</v>
      </c>
      <c r="F268" s="603" t="str">
        <f>F7</f>
        <v>-</v>
      </c>
      <c r="G268" s="603">
        <f>G7</f>
        <v>4.9999500000000002E-2</v>
      </c>
      <c r="I268" s="860">
        <v>3</v>
      </c>
      <c r="J268" s="603">
        <v>1</v>
      </c>
      <c r="K268" s="603">
        <f>J7</f>
        <v>50</v>
      </c>
      <c r="L268" s="603">
        <f>K7</f>
        <v>-5.8</v>
      </c>
      <c r="M268" s="603">
        <f>L7</f>
        <v>-7.2</v>
      </c>
      <c r="N268" s="603" t="str">
        <f>M7</f>
        <v>-</v>
      </c>
      <c r="O268" s="603">
        <f>N7</f>
        <v>0.70000000000000018</v>
      </c>
      <c r="Q268" s="861">
        <v>3</v>
      </c>
      <c r="R268" s="649">
        <v>1</v>
      </c>
      <c r="S268" s="649">
        <f>Q7</f>
        <v>850</v>
      </c>
      <c r="T268" s="649" t="str">
        <f>R7</f>
        <v>-</v>
      </c>
      <c r="U268" s="649" t="str">
        <f>S7</f>
        <v>-</v>
      </c>
      <c r="V268" s="649" t="str">
        <f>T7</f>
        <v>-</v>
      </c>
      <c r="W268" s="648">
        <f>U7</f>
        <v>0</v>
      </c>
      <c r="Y268" s="658">
        <v>20</v>
      </c>
      <c r="Z268" s="657">
        <f>X213</f>
        <v>0</v>
      </c>
      <c r="AE268" s="647"/>
    </row>
    <row r="269" spans="1:31" ht="13" hidden="1" x14ac:dyDescent="0.3">
      <c r="A269" s="860"/>
      <c r="B269" s="603">
        <v>2</v>
      </c>
      <c r="C269" s="603">
        <f>C18</f>
        <v>25</v>
      </c>
      <c r="D269" s="603">
        <f>D18</f>
        <v>0.5</v>
      </c>
      <c r="E269" s="603">
        <f>E18</f>
        <v>-0.2</v>
      </c>
      <c r="F269" s="603" t="str">
        <f>F18</f>
        <v>-</v>
      </c>
      <c r="G269" s="603">
        <f>G18</f>
        <v>0.35</v>
      </c>
      <c r="I269" s="860"/>
      <c r="J269" s="603">
        <v>2</v>
      </c>
      <c r="K269" s="603">
        <f>J18</f>
        <v>50</v>
      </c>
      <c r="L269" s="603">
        <f>K18</f>
        <v>-5.3</v>
      </c>
      <c r="M269" s="603">
        <f>L18</f>
        <v>-1.5</v>
      </c>
      <c r="N269" s="603" t="str">
        <f>M18</f>
        <v>-</v>
      </c>
      <c r="O269" s="603">
        <f>N18</f>
        <v>1.9</v>
      </c>
      <c r="Q269" s="860"/>
      <c r="R269" s="603">
        <v>2</v>
      </c>
      <c r="S269" s="603">
        <f>Q18</f>
        <v>850</v>
      </c>
      <c r="T269" s="603" t="str">
        <f>R18</f>
        <v>-</v>
      </c>
      <c r="U269" s="603" t="str">
        <f>S18</f>
        <v>-</v>
      </c>
      <c r="V269" s="603" t="str">
        <f>T18</f>
        <v>-</v>
      </c>
      <c r="W269" s="646">
        <f>U18</f>
        <v>0</v>
      </c>
      <c r="AE269" s="639"/>
    </row>
    <row r="270" spans="1:31" ht="13" hidden="1" x14ac:dyDescent="0.3">
      <c r="A270" s="860"/>
      <c r="B270" s="603">
        <v>3</v>
      </c>
      <c r="C270" s="603">
        <f>C29</f>
        <v>25</v>
      </c>
      <c r="D270" s="603">
        <f>D29</f>
        <v>0.7</v>
      </c>
      <c r="E270" s="603">
        <f>E29</f>
        <v>-0.1</v>
      </c>
      <c r="F270" s="603" t="str">
        <f>F29</f>
        <v>-</v>
      </c>
      <c r="G270" s="603">
        <f>G29</f>
        <v>0.39999999999999997</v>
      </c>
      <c r="I270" s="860"/>
      <c r="J270" s="603">
        <v>3</v>
      </c>
      <c r="K270" s="603">
        <f>J29</f>
        <v>50</v>
      </c>
      <c r="L270" s="603">
        <f>K29</f>
        <v>-4.5</v>
      </c>
      <c r="M270" s="603">
        <f>L29</f>
        <v>-4.9000000000000004</v>
      </c>
      <c r="N270" s="603" t="str">
        <f>M29</f>
        <v>-</v>
      </c>
      <c r="O270" s="603">
        <f>N29</f>
        <v>0.20000000000000018</v>
      </c>
      <c r="Q270" s="860"/>
      <c r="R270" s="603">
        <v>3</v>
      </c>
      <c r="S270" s="603">
        <f>Q29</f>
        <v>850</v>
      </c>
      <c r="T270" s="603" t="str">
        <f>R29</f>
        <v>-</v>
      </c>
      <c r="U270" s="603" t="str">
        <f>S29</f>
        <v>-</v>
      </c>
      <c r="V270" s="603" t="str">
        <f>T29</f>
        <v>-</v>
      </c>
      <c r="W270" s="646">
        <f>U29</f>
        <v>0</v>
      </c>
      <c r="AE270" s="639"/>
    </row>
    <row r="271" spans="1:31" ht="13" hidden="1" x14ac:dyDescent="0.3">
      <c r="A271" s="860"/>
      <c r="B271" s="603">
        <v>4</v>
      </c>
      <c r="C271" s="603">
        <f>C40</f>
        <v>25</v>
      </c>
      <c r="D271" s="603">
        <f>D40</f>
        <v>-0.1</v>
      </c>
      <c r="E271" s="603">
        <f>E40</f>
        <v>-0.5</v>
      </c>
      <c r="F271" s="603" t="str">
        <f>F40</f>
        <v>-</v>
      </c>
      <c r="G271" s="603">
        <f>G40</f>
        <v>0.2</v>
      </c>
      <c r="I271" s="860"/>
      <c r="J271" s="603">
        <v>4</v>
      </c>
      <c r="K271" s="603">
        <f>J40</f>
        <v>50</v>
      </c>
      <c r="L271" s="603">
        <f>K40</f>
        <v>-4.3</v>
      </c>
      <c r="M271" s="603">
        <f>L40</f>
        <v>-1</v>
      </c>
      <c r="N271" s="603" t="str">
        <f>M40</f>
        <v>-</v>
      </c>
      <c r="O271" s="603">
        <f>N40</f>
        <v>1.65</v>
      </c>
      <c r="Q271" s="860"/>
      <c r="R271" s="603">
        <v>4</v>
      </c>
      <c r="S271" s="603">
        <f>Q40</f>
        <v>850</v>
      </c>
      <c r="T271" s="603" t="str">
        <f>R40</f>
        <v>-</v>
      </c>
      <c r="U271" s="603" t="str">
        <f>S40</f>
        <v>-</v>
      </c>
      <c r="V271" s="603" t="str">
        <f>T40</f>
        <v>-</v>
      </c>
      <c r="W271" s="646">
        <f>U40</f>
        <v>0</v>
      </c>
      <c r="Y271" s="885" t="s">
        <v>537</v>
      </c>
      <c r="Z271" s="886"/>
      <c r="AE271" s="639"/>
    </row>
    <row r="272" spans="1:31" ht="13" hidden="1" x14ac:dyDescent="0.3">
      <c r="A272" s="860"/>
      <c r="B272" s="603">
        <v>5</v>
      </c>
      <c r="C272" s="603">
        <f>C51</f>
        <v>25</v>
      </c>
      <c r="D272" s="603">
        <f>D51</f>
        <v>0.4</v>
      </c>
      <c r="E272" s="603">
        <f>E51</f>
        <v>0.2</v>
      </c>
      <c r="F272" s="603" t="str">
        <f>F51</f>
        <v>-</v>
      </c>
      <c r="G272" s="603">
        <f>G51</f>
        <v>0.1</v>
      </c>
      <c r="I272" s="860"/>
      <c r="J272" s="603">
        <v>5</v>
      </c>
      <c r="K272" s="603">
        <f>J51</f>
        <v>50</v>
      </c>
      <c r="L272" s="603">
        <f>K51</f>
        <v>-6.2</v>
      </c>
      <c r="M272" s="603">
        <f>L51</f>
        <v>-6.2</v>
      </c>
      <c r="N272" s="603" t="str">
        <f>M51</f>
        <v>-</v>
      </c>
      <c r="O272" s="603">
        <f>N51</f>
        <v>0</v>
      </c>
      <c r="Q272" s="860"/>
      <c r="R272" s="603">
        <v>5</v>
      </c>
      <c r="S272" s="603">
        <f>Q51</f>
        <v>850</v>
      </c>
      <c r="T272" s="603" t="str">
        <f>R51</f>
        <v>-</v>
      </c>
      <c r="U272" s="603" t="str">
        <f>S51</f>
        <v>-</v>
      </c>
      <c r="V272" s="603" t="str">
        <f>T51</f>
        <v>-</v>
      </c>
      <c r="W272" s="646">
        <f>U51</f>
        <v>0</v>
      </c>
      <c r="Y272" s="889" t="s">
        <v>696</v>
      </c>
      <c r="Z272" s="890"/>
      <c r="AE272" s="639"/>
    </row>
    <row r="273" spans="1:31" ht="13" hidden="1" x14ac:dyDescent="0.3">
      <c r="A273" s="860"/>
      <c r="B273" s="603">
        <v>6</v>
      </c>
      <c r="C273" s="603">
        <f>C62</f>
        <v>25</v>
      </c>
      <c r="D273" s="603">
        <f>D62</f>
        <v>0.2</v>
      </c>
      <c r="E273" s="603">
        <f>E62</f>
        <v>-0.1</v>
      </c>
      <c r="F273" s="603" t="str">
        <f>F62</f>
        <v>-</v>
      </c>
      <c r="G273" s="603">
        <f>G62</f>
        <v>0.15000000000000002</v>
      </c>
      <c r="I273" s="860"/>
      <c r="J273" s="603">
        <v>6</v>
      </c>
      <c r="K273" s="603">
        <f>J62</f>
        <v>50</v>
      </c>
      <c r="L273" s="603">
        <f>K62</f>
        <v>-5.4</v>
      </c>
      <c r="M273" s="603">
        <f>L62</f>
        <v>1.2</v>
      </c>
      <c r="N273" s="603" t="str">
        <f>M62</f>
        <v>-</v>
      </c>
      <c r="O273" s="603">
        <f>N62</f>
        <v>3.3000000000000003</v>
      </c>
      <c r="Q273" s="860"/>
      <c r="R273" s="603">
        <v>6</v>
      </c>
      <c r="S273" s="603">
        <f>Q62</f>
        <v>850</v>
      </c>
      <c r="T273" s="603">
        <f>R62</f>
        <v>0.9</v>
      </c>
      <c r="U273" s="603">
        <f>S62</f>
        <v>1.1000000000000001</v>
      </c>
      <c r="V273" s="603" t="str">
        <f>T62</f>
        <v>-</v>
      </c>
      <c r="W273" s="646">
        <f>U62</f>
        <v>0.10000000000000003</v>
      </c>
      <c r="Y273" s="660">
        <v>1</v>
      </c>
      <c r="Z273" s="661">
        <f>X5</f>
        <v>0</v>
      </c>
      <c r="AE273" s="639"/>
    </row>
    <row r="274" spans="1:31" ht="13" hidden="1" x14ac:dyDescent="0.3">
      <c r="A274" s="860"/>
      <c r="B274" s="603">
        <v>7</v>
      </c>
      <c r="C274" s="603">
        <f>C73</f>
        <v>25</v>
      </c>
      <c r="D274" s="603">
        <f>D73</f>
        <v>9.9999999999999995E-7</v>
      </c>
      <c r="E274" s="603">
        <f>E73</f>
        <v>-0.2</v>
      </c>
      <c r="F274" s="603" t="str">
        <f>F73</f>
        <v>-</v>
      </c>
      <c r="G274" s="603">
        <f>G73</f>
        <v>0.10000050000000001</v>
      </c>
      <c r="I274" s="860"/>
      <c r="J274" s="603">
        <v>7</v>
      </c>
      <c r="K274" s="603">
        <f>J73</f>
        <v>50</v>
      </c>
      <c r="L274" s="603">
        <f>K73</f>
        <v>-1.9</v>
      </c>
      <c r="M274" s="603">
        <f>L73</f>
        <v>0.8</v>
      </c>
      <c r="N274" s="603" t="str">
        <f>M73</f>
        <v>-</v>
      </c>
      <c r="O274" s="603">
        <f>N73</f>
        <v>1.35</v>
      </c>
      <c r="Q274" s="860"/>
      <c r="R274" s="603">
        <v>7</v>
      </c>
      <c r="S274" s="603">
        <f>Q73</f>
        <v>850</v>
      </c>
      <c r="T274" s="603">
        <f>R73</f>
        <v>9.9999999999999995E-7</v>
      </c>
      <c r="U274" s="603">
        <f>S73</f>
        <v>1.7</v>
      </c>
      <c r="V274" s="603" t="str">
        <f>T73</f>
        <v>-</v>
      </c>
      <c r="W274" s="646">
        <f>U73</f>
        <v>0.84999950000000002</v>
      </c>
      <c r="Y274" s="664">
        <v>2</v>
      </c>
      <c r="Z274" s="661">
        <f>X16</f>
        <v>0</v>
      </c>
      <c r="AE274" s="639"/>
    </row>
    <row r="275" spans="1:31" ht="13" hidden="1" x14ac:dyDescent="0.3">
      <c r="A275" s="860"/>
      <c r="B275" s="603">
        <v>8</v>
      </c>
      <c r="C275" s="603">
        <f>C84</f>
        <v>25</v>
      </c>
      <c r="D275" s="603">
        <f>D84</f>
        <v>-0.1</v>
      </c>
      <c r="E275" s="603">
        <f>E84</f>
        <v>-0.4</v>
      </c>
      <c r="F275" s="603" t="str">
        <f>F84</f>
        <v>-</v>
      </c>
      <c r="G275" s="603">
        <f>G84</f>
        <v>0.15000000000000002</v>
      </c>
      <c r="I275" s="860"/>
      <c r="J275" s="603">
        <v>8</v>
      </c>
      <c r="K275" s="603">
        <f>J84</f>
        <v>50</v>
      </c>
      <c r="L275" s="603">
        <f>K84</f>
        <v>-3.8</v>
      </c>
      <c r="M275" s="603">
        <f>L84</f>
        <v>-1.2</v>
      </c>
      <c r="N275" s="603" t="str">
        <f>M84</f>
        <v>-</v>
      </c>
      <c r="O275" s="603">
        <f>N84</f>
        <v>1.2999999999999998</v>
      </c>
      <c r="Q275" s="860"/>
      <c r="R275" s="603">
        <v>8</v>
      </c>
      <c r="S275" s="603">
        <f>Q84</f>
        <v>850</v>
      </c>
      <c r="T275" s="603">
        <f>R84</f>
        <v>9.9999999999999995E-7</v>
      </c>
      <c r="U275" s="603">
        <f>S84</f>
        <v>9.9999999999999995E-7</v>
      </c>
      <c r="V275" s="603" t="str">
        <f>T84</f>
        <v>-</v>
      </c>
      <c r="W275" s="646">
        <f>U84</f>
        <v>0</v>
      </c>
      <c r="Y275" s="664">
        <v>3</v>
      </c>
      <c r="Z275" s="663">
        <f>X27</f>
        <v>0</v>
      </c>
      <c r="AE275" s="639"/>
    </row>
    <row r="276" spans="1:31" ht="13" hidden="1" x14ac:dyDescent="0.3">
      <c r="A276" s="860"/>
      <c r="B276" s="603">
        <v>9</v>
      </c>
      <c r="C276" s="603">
        <f>C95</f>
        <v>25</v>
      </c>
      <c r="D276" s="603">
        <f>D95</f>
        <v>-0.4</v>
      </c>
      <c r="E276" s="603" t="str">
        <f>E95</f>
        <v>-</v>
      </c>
      <c r="F276" s="603" t="str">
        <f>F95</f>
        <v>-</v>
      </c>
      <c r="G276" s="603">
        <f>G95</f>
        <v>0</v>
      </c>
      <c r="I276" s="860"/>
      <c r="J276" s="603">
        <v>9</v>
      </c>
      <c r="K276" s="603">
        <f>J95</f>
        <v>50</v>
      </c>
      <c r="L276" s="603">
        <f>K95</f>
        <v>-0.9</v>
      </c>
      <c r="M276" s="603" t="str">
        <f>L95</f>
        <v>-</v>
      </c>
      <c r="N276" s="603" t="str">
        <f>M95</f>
        <v>-</v>
      </c>
      <c r="O276" s="603">
        <f>N95</f>
        <v>0</v>
      </c>
      <c r="Q276" s="860"/>
      <c r="R276" s="603">
        <v>9</v>
      </c>
      <c r="S276" s="603">
        <f>Q95</f>
        <v>850</v>
      </c>
      <c r="T276" s="603">
        <f>R95</f>
        <v>9.9999999999999995E-7</v>
      </c>
      <c r="U276" s="603" t="str">
        <f>S95</f>
        <v>-</v>
      </c>
      <c r="V276" s="603" t="str">
        <f>T95</f>
        <v>-</v>
      </c>
      <c r="W276" s="646">
        <f>U95</f>
        <v>0</v>
      </c>
      <c r="Y276" s="664">
        <v>4</v>
      </c>
      <c r="Z276" s="663">
        <f>X38</f>
        <v>0</v>
      </c>
      <c r="AE276" s="639"/>
    </row>
    <row r="277" spans="1:31" ht="13" hidden="1" x14ac:dyDescent="0.3">
      <c r="A277" s="860"/>
      <c r="B277" s="603">
        <v>10</v>
      </c>
      <c r="C277" s="603">
        <f>C106</f>
        <v>25</v>
      </c>
      <c r="D277" s="603">
        <f>D106</f>
        <v>0.1</v>
      </c>
      <c r="E277" s="603">
        <f>E106</f>
        <v>-0.5</v>
      </c>
      <c r="F277" s="603" t="str">
        <f>F106</f>
        <v>-</v>
      </c>
      <c r="G277" s="603">
        <f>G106</f>
        <v>0.3</v>
      </c>
      <c r="I277" s="860"/>
      <c r="J277" s="603">
        <v>10</v>
      </c>
      <c r="K277" s="603">
        <f>J106</f>
        <v>50</v>
      </c>
      <c r="L277" s="603">
        <f>K106</f>
        <v>-3.1</v>
      </c>
      <c r="M277" s="603">
        <f>L106</f>
        <v>-6.1</v>
      </c>
      <c r="N277" s="603" t="str">
        <f>M106</f>
        <v>-</v>
      </c>
      <c r="O277" s="603">
        <f>N106</f>
        <v>1.4999999999999998</v>
      </c>
      <c r="Q277" s="860"/>
      <c r="R277" s="603">
        <v>10</v>
      </c>
      <c r="S277" s="603">
        <f>Q106</f>
        <v>850</v>
      </c>
      <c r="T277" s="603" t="str">
        <f>R106</f>
        <v>-</v>
      </c>
      <c r="U277" s="603" t="str">
        <f>S106</f>
        <v>-</v>
      </c>
      <c r="V277" s="603" t="str">
        <f>T106</f>
        <v>-</v>
      </c>
      <c r="W277" s="646">
        <f>U106</f>
        <v>0</v>
      </c>
      <c r="Y277" s="664">
        <v>5</v>
      </c>
      <c r="Z277" s="663">
        <f>X49</f>
        <v>0</v>
      </c>
      <c r="AE277" s="639"/>
    </row>
    <row r="278" spans="1:31" ht="13" hidden="1" x14ac:dyDescent="0.3">
      <c r="A278" s="860"/>
      <c r="B278" s="603">
        <v>11</v>
      </c>
      <c r="C278" s="603">
        <f>C117</f>
        <v>25</v>
      </c>
      <c r="D278" s="603">
        <f>D117</f>
        <v>0.4</v>
      </c>
      <c r="E278" s="603">
        <f>E117</f>
        <v>0.5</v>
      </c>
      <c r="F278" s="603" t="str">
        <f>F117</f>
        <v>-</v>
      </c>
      <c r="G278" s="603">
        <f>G117</f>
        <v>4.9999999999999989E-2</v>
      </c>
      <c r="I278" s="860"/>
      <c r="J278" s="603">
        <v>11</v>
      </c>
      <c r="K278" s="603">
        <f>J117</f>
        <v>50</v>
      </c>
      <c r="L278" s="603">
        <f>K117</f>
        <v>-5.5</v>
      </c>
      <c r="M278" s="603">
        <f>L117</f>
        <v>-5.6</v>
      </c>
      <c r="N278" s="603" t="str">
        <f>M117</f>
        <v>-</v>
      </c>
      <c r="O278" s="603">
        <f>N117</f>
        <v>4.9999999999999822E-2</v>
      </c>
      <c r="Q278" s="860"/>
      <c r="R278" s="603">
        <v>11</v>
      </c>
      <c r="S278" s="603">
        <f>Q117</f>
        <v>850</v>
      </c>
      <c r="T278" s="603" t="str">
        <f>R117</f>
        <v>-</v>
      </c>
      <c r="U278" s="603" t="str">
        <f>S117</f>
        <v>-</v>
      </c>
      <c r="V278" s="603" t="str">
        <f>T117</f>
        <v>-</v>
      </c>
      <c r="W278" s="646">
        <f>U117</f>
        <v>0</v>
      </c>
      <c r="Y278" s="660">
        <v>6</v>
      </c>
      <c r="Z278" s="661">
        <f>X60</f>
        <v>1.6</v>
      </c>
      <c r="AE278" s="639"/>
    </row>
    <row r="279" spans="1:31" ht="13" hidden="1" x14ac:dyDescent="0.3">
      <c r="A279" s="860"/>
      <c r="B279" s="603">
        <v>12</v>
      </c>
      <c r="C279" s="603">
        <f>C128</f>
        <v>25</v>
      </c>
      <c r="D279" s="603">
        <f>D128</f>
        <v>9.9999999999999995E-7</v>
      </c>
      <c r="E279" s="603" t="str">
        <f>E128</f>
        <v>-</v>
      </c>
      <c r="F279" s="603" t="str">
        <f>F128</f>
        <v>-</v>
      </c>
      <c r="G279" s="603">
        <f>G128</f>
        <v>0</v>
      </c>
      <c r="I279" s="860"/>
      <c r="J279" s="603">
        <v>12</v>
      </c>
      <c r="K279" s="603">
        <f>J128</f>
        <v>50</v>
      </c>
      <c r="L279" s="603">
        <f>K128</f>
        <v>9.9999999999999995E-7</v>
      </c>
      <c r="M279" s="603" t="str">
        <f>L128</f>
        <v>-</v>
      </c>
      <c r="N279" s="603" t="str">
        <f>M128</f>
        <v>-</v>
      </c>
      <c r="O279" s="603">
        <f>N128</f>
        <v>0</v>
      </c>
      <c r="Q279" s="860"/>
      <c r="R279" s="603">
        <v>12</v>
      </c>
      <c r="S279" s="603">
        <f>Q128</f>
        <v>900</v>
      </c>
      <c r="T279" s="603">
        <f>R128</f>
        <v>-0.6</v>
      </c>
      <c r="U279" s="603" t="str">
        <f>S128</f>
        <v>-</v>
      </c>
      <c r="V279" s="603" t="str">
        <f>T128</f>
        <v>-</v>
      </c>
      <c r="W279" s="646">
        <f>U128</f>
        <v>0</v>
      </c>
      <c r="Y279" s="660">
        <v>7</v>
      </c>
      <c r="Z279" s="661">
        <f>X71</f>
        <v>2.4</v>
      </c>
      <c r="AE279" s="639"/>
    </row>
    <row r="280" spans="1:31" ht="13" hidden="1" x14ac:dyDescent="0.3">
      <c r="A280" s="860"/>
      <c r="B280" s="603">
        <v>13</v>
      </c>
      <c r="C280" s="603">
        <f>C139</f>
        <v>25</v>
      </c>
      <c r="D280" s="603">
        <f>D139</f>
        <v>0.1</v>
      </c>
      <c r="E280" s="603">
        <f>E139</f>
        <v>-0.2</v>
      </c>
      <c r="F280" s="603" t="str">
        <f>F139</f>
        <v>-</v>
      </c>
      <c r="G280" s="603">
        <f>G139</f>
        <v>0.15000000000000002</v>
      </c>
      <c r="I280" s="860"/>
      <c r="J280" s="603">
        <v>13</v>
      </c>
      <c r="K280" s="603">
        <f>J139</f>
        <v>50</v>
      </c>
      <c r="L280" s="603">
        <f>K139</f>
        <v>-1.8</v>
      </c>
      <c r="M280" s="603">
        <f>L139</f>
        <v>-1.3</v>
      </c>
      <c r="N280" s="603" t="str">
        <f>M139</f>
        <v>-</v>
      </c>
      <c r="O280" s="603">
        <f>N139</f>
        <v>0.25</v>
      </c>
      <c r="Q280" s="860"/>
      <c r="R280" s="603">
        <v>13</v>
      </c>
      <c r="S280" s="603">
        <f>Q139</f>
        <v>995</v>
      </c>
      <c r="T280" s="603">
        <f>R139</f>
        <v>3.7</v>
      </c>
      <c r="U280" s="603">
        <f>S139</f>
        <v>1</v>
      </c>
      <c r="V280" s="603" t="str">
        <f>T139</f>
        <v>-</v>
      </c>
      <c r="W280" s="646">
        <f>U139</f>
        <v>1.35</v>
      </c>
      <c r="Y280" s="660">
        <v>8</v>
      </c>
      <c r="Z280" s="661">
        <f>X82</f>
        <v>2.1</v>
      </c>
      <c r="AE280" s="639"/>
    </row>
    <row r="281" spans="1:31" ht="13" hidden="1" x14ac:dyDescent="0.3">
      <c r="A281" s="860"/>
      <c r="B281" s="603">
        <v>14</v>
      </c>
      <c r="C281" s="603">
        <f>C150</f>
        <v>25</v>
      </c>
      <c r="D281" s="603">
        <f>D150</f>
        <v>-0.1</v>
      </c>
      <c r="E281" s="603">
        <f>E150</f>
        <v>-0.1</v>
      </c>
      <c r="F281" s="603" t="str">
        <f>F150</f>
        <v>-</v>
      </c>
      <c r="G281" s="603">
        <f>G150</f>
        <v>0</v>
      </c>
      <c r="I281" s="860"/>
      <c r="J281" s="603">
        <v>14</v>
      </c>
      <c r="K281" s="603">
        <f>J151</f>
        <v>60</v>
      </c>
      <c r="L281" s="603">
        <f>K151</f>
        <v>0.3</v>
      </c>
      <c r="M281" s="603">
        <f>L151</f>
        <v>-0.6</v>
      </c>
      <c r="N281" s="603" t="str">
        <f>M151</f>
        <v>-</v>
      </c>
      <c r="O281" s="603">
        <f>N151</f>
        <v>0.44999999999999996</v>
      </c>
      <c r="Q281" s="860"/>
      <c r="R281" s="603">
        <v>14</v>
      </c>
      <c r="S281" s="603">
        <f>Q150</f>
        <v>995</v>
      </c>
      <c r="T281" s="603">
        <f>R150</f>
        <v>3.8</v>
      </c>
      <c r="U281" s="603">
        <f>S150</f>
        <v>1</v>
      </c>
      <c r="V281" s="603" t="str">
        <f>T150</f>
        <v>-</v>
      </c>
      <c r="W281" s="646">
        <f>U150</f>
        <v>1.4</v>
      </c>
      <c r="Y281" s="660">
        <v>9</v>
      </c>
      <c r="Z281" s="661">
        <f>X93</f>
        <v>2.2000000000000002</v>
      </c>
      <c r="AE281" s="639"/>
    </row>
    <row r="282" spans="1:31" ht="13" hidden="1" x14ac:dyDescent="0.3">
      <c r="A282" s="860"/>
      <c r="B282" s="603">
        <v>15</v>
      </c>
      <c r="C282" s="603">
        <f>C161</f>
        <v>25</v>
      </c>
      <c r="D282" s="603">
        <f>D161</f>
        <v>0.2</v>
      </c>
      <c r="E282" s="603">
        <f>E161</f>
        <v>-0.4</v>
      </c>
      <c r="F282" s="603" t="str">
        <f>F161</f>
        <v>-</v>
      </c>
      <c r="G282" s="603">
        <f>G161</f>
        <v>0.30000000000000004</v>
      </c>
      <c r="I282" s="860"/>
      <c r="J282" s="603">
        <v>15</v>
      </c>
      <c r="K282" s="603">
        <f>J161</f>
        <v>50</v>
      </c>
      <c r="L282" s="603">
        <f>K161</f>
        <v>-1.4</v>
      </c>
      <c r="M282" s="603">
        <f>L161</f>
        <v>-0.3</v>
      </c>
      <c r="N282" s="603" t="str">
        <f>M161</f>
        <v>-</v>
      </c>
      <c r="O282" s="603">
        <f>N161</f>
        <v>0.54999999999999993</v>
      </c>
      <c r="Q282" s="860"/>
      <c r="R282" s="603">
        <v>15</v>
      </c>
      <c r="S282" s="603">
        <f>Q161</f>
        <v>995</v>
      </c>
      <c r="T282" s="603">
        <f>R161</f>
        <v>4.0999999999999996</v>
      </c>
      <c r="U282" s="603">
        <f>S161</f>
        <v>1</v>
      </c>
      <c r="V282" s="603" t="str">
        <f>T161</f>
        <v>-</v>
      </c>
      <c r="W282" s="646">
        <f>U161</f>
        <v>1.5499999999999998</v>
      </c>
      <c r="Y282" s="660">
        <v>10</v>
      </c>
      <c r="Z282" s="661">
        <f>X104</f>
        <v>0</v>
      </c>
      <c r="AE282" s="639"/>
    </row>
    <row r="283" spans="1:31" ht="13" hidden="1" x14ac:dyDescent="0.3">
      <c r="A283" s="860"/>
      <c r="B283" s="603">
        <v>16</v>
      </c>
      <c r="C283" s="603">
        <f>C172</f>
        <v>25</v>
      </c>
      <c r="D283" s="603">
        <f>D172</f>
        <v>0.2</v>
      </c>
      <c r="E283" s="603" t="str">
        <f>E172</f>
        <v>-</v>
      </c>
      <c r="F283" s="603" t="str">
        <f>F172</f>
        <v>-</v>
      </c>
      <c r="G283" s="603">
        <f>G172</f>
        <v>0</v>
      </c>
      <c r="I283" s="860"/>
      <c r="J283" s="603">
        <v>16</v>
      </c>
      <c r="K283" s="603">
        <f>J172</f>
        <v>50</v>
      </c>
      <c r="L283" s="603">
        <f>K172</f>
        <v>-1.4</v>
      </c>
      <c r="M283" s="603" t="str">
        <f>L172</f>
        <v>-</v>
      </c>
      <c r="N283" s="603" t="str">
        <f>M172</f>
        <v>-</v>
      </c>
      <c r="O283" s="603">
        <f>N172</f>
        <v>0</v>
      </c>
      <c r="Q283" s="860"/>
      <c r="R283" s="603">
        <v>16</v>
      </c>
      <c r="S283" s="603">
        <f>Q172</f>
        <v>900</v>
      </c>
      <c r="T283" s="603">
        <f>R172</f>
        <v>-1.7</v>
      </c>
      <c r="U283" s="603" t="str">
        <f>S172</f>
        <v>-</v>
      </c>
      <c r="V283" s="603" t="str">
        <f>T172</f>
        <v>-</v>
      </c>
      <c r="W283" s="646">
        <f>U172</f>
        <v>0</v>
      </c>
      <c r="Y283" s="660">
        <v>11</v>
      </c>
      <c r="Z283" s="661">
        <f>X115</f>
        <v>0</v>
      </c>
      <c r="AE283" s="639"/>
    </row>
    <row r="284" spans="1:31" ht="13" hidden="1" x14ac:dyDescent="0.3">
      <c r="A284" s="860"/>
      <c r="B284" s="603">
        <v>17</v>
      </c>
      <c r="C284" s="603">
        <f>C183</f>
        <v>25</v>
      </c>
      <c r="D284" s="603">
        <f>D183</f>
        <v>9.9999999999999995E-7</v>
      </c>
      <c r="E284" s="603" t="str">
        <f>E183</f>
        <v>-</v>
      </c>
      <c r="F284" s="603" t="str">
        <f>F183</f>
        <v>-</v>
      </c>
      <c r="G284" s="603">
        <f>G183</f>
        <v>0</v>
      </c>
      <c r="I284" s="860"/>
      <c r="J284" s="603">
        <v>17</v>
      </c>
      <c r="K284" s="603">
        <f>J183</f>
        <v>50</v>
      </c>
      <c r="L284" s="603">
        <f>K183</f>
        <v>0.2</v>
      </c>
      <c r="M284" s="603" t="str">
        <f>L183</f>
        <v>-</v>
      </c>
      <c r="N284" s="603" t="str">
        <f>M183</f>
        <v>-</v>
      </c>
      <c r="O284" s="603">
        <f>N183</f>
        <v>0</v>
      </c>
      <c r="Q284" s="860"/>
      <c r="R284" s="603">
        <v>17</v>
      </c>
      <c r="S284" s="603">
        <f>Q183</f>
        <v>980</v>
      </c>
      <c r="T284" s="603">
        <f>R183</f>
        <v>-0.6</v>
      </c>
      <c r="U284" s="603" t="str">
        <f>S183</f>
        <v>-</v>
      </c>
      <c r="V284" s="603" t="str">
        <f>T183</f>
        <v>-</v>
      </c>
      <c r="W284" s="646">
        <f>U183</f>
        <v>0</v>
      </c>
      <c r="Y284" s="660">
        <v>12</v>
      </c>
      <c r="Z284" s="662">
        <f>X126</f>
        <v>2.4</v>
      </c>
      <c r="AE284" s="639"/>
    </row>
    <row r="285" spans="1:31" ht="13" hidden="1" x14ac:dyDescent="0.3">
      <c r="A285" s="860"/>
      <c r="B285" s="603">
        <v>18</v>
      </c>
      <c r="C285" s="603">
        <f>C194</f>
        <v>25</v>
      </c>
      <c r="D285" s="603">
        <f>D194</f>
        <v>-0.2</v>
      </c>
      <c r="E285" s="603" t="str">
        <f>E194</f>
        <v>-</v>
      </c>
      <c r="F285" s="603" t="str">
        <f>F194</f>
        <v>-</v>
      </c>
      <c r="G285" s="603">
        <f>G194</f>
        <v>0</v>
      </c>
      <c r="I285" s="860"/>
      <c r="J285" s="603">
        <v>18</v>
      </c>
      <c r="K285" s="603">
        <f>J194</f>
        <v>50</v>
      </c>
      <c r="L285" s="603">
        <f>K194</f>
        <v>-0.2</v>
      </c>
      <c r="M285" s="603" t="str">
        <f>L194</f>
        <v>-</v>
      </c>
      <c r="N285" s="603" t="str">
        <f>M194</f>
        <v>-</v>
      </c>
      <c r="O285" s="603">
        <f>N194</f>
        <v>0</v>
      </c>
      <c r="Q285" s="860"/>
      <c r="R285" s="603">
        <v>18</v>
      </c>
      <c r="S285" s="603">
        <f>Q194</f>
        <v>900</v>
      </c>
      <c r="T285" s="603">
        <f>R194</f>
        <v>-1.1000000000000001</v>
      </c>
      <c r="U285" s="603" t="str">
        <f>S194</f>
        <v>-</v>
      </c>
      <c r="V285" s="603" t="str">
        <f>T194</f>
        <v>-</v>
      </c>
      <c r="W285" s="646">
        <f>U194</f>
        <v>0</v>
      </c>
      <c r="Y285" s="660">
        <v>13</v>
      </c>
      <c r="Z285" s="661">
        <f>X137</f>
        <v>2.4</v>
      </c>
      <c r="AE285" s="639"/>
    </row>
    <row r="286" spans="1:31" ht="13" hidden="1" x14ac:dyDescent="0.3">
      <c r="A286" s="860"/>
      <c r="B286" s="603">
        <v>19</v>
      </c>
      <c r="C286" s="603">
        <f>C194</f>
        <v>25</v>
      </c>
      <c r="D286" s="603">
        <f>D194</f>
        <v>-0.2</v>
      </c>
      <c r="E286" s="603" t="str">
        <f>E194</f>
        <v>-</v>
      </c>
      <c r="F286" s="603" t="str">
        <f>F194</f>
        <v>-</v>
      </c>
      <c r="G286" s="603">
        <f>G194</f>
        <v>0</v>
      </c>
      <c r="I286" s="860"/>
      <c r="J286" s="603">
        <v>19</v>
      </c>
      <c r="K286" s="603">
        <f>J205</f>
        <v>50</v>
      </c>
      <c r="L286" s="603">
        <f>K205</f>
        <v>-0.2</v>
      </c>
      <c r="M286" s="603" t="str">
        <f>L205</f>
        <v>-</v>
      </c>
      <c r="N286" s="603" t="str">
        <f>M205</f>
        <v>-</v>
      </c>
      <c r="O286" s="603">
        <f>N205</f>
        <v>0</v>
      </c>
      <c r="Q286" s="860"/>
      <c r="R286" s="603">
        <v>19</v>
      </c>
      <c r="S286" s="603">
        <f>Q205</f>
        <v>850</v>
      </c>
      <c r="T286" s="603">
        <f>R205</f>
        <v>2.4</v>
      </c>
      <c r="U286" s="603" t="str">
        <f>S205</f>
        <v>-</v>
      </c>
      <c r="V286" s="603" t="str">
        <f>T205</f>
        <v>-</v>
      </c>
      <c r="W286" s="646">
        <f>U205</f>
        <v>0</v>
      </c>
      <c r="Y286" s="660">
        <v>14</v>
      </c>
      <c r="Z286" s="661">
        <f>X148</f>
        <v>2.4</v>
      </c>
      <c r="AE286" s="639"/>
    </row>
    <row r="287" spans="1:31" ht="13.5" hidden="1" thickBot="1" x14ac:dyDescent="0.35">
      <c r="A287" s="860"/>
      <c r="B287" s="603">
        <v>20</v>
      </c>
      <c r="C287" s="603">
        <f>C216</f>
        <v>24.6</v>
      </c>
      <c r="D287" s="603">
        <f>D216</f>
        <v>9.9999999999999995E-7</v>
      </c>
      <c r="E287" s="603" t="str">
        <f>E216</f>
        <v>-</v>
      </c>
      <c r="F287" s="603" t="str">
        <f>F216</f>
        <v>-</v>
      </c>
      <c r="G287" s="603">
        <f>G216</f>
        <v>0</v>
      </c>
      <c r="I287" s="860"/>
      <c r="J287" s="603">
        <v>20</v>
      </c>
      <c r="K287" s="603">
        <f>J216</f>
        <v>62.5</v>
      </c>
      <c r="L287" s="603">
        <f>K216</f>
        <v>9.9999999999999995E-7</v>
      </c>
      <c r="M287" s="603" t="str">
        <f>L216</f>
        <v>-</v>
      </c>
      <c r="N287" s="603" t="str">
        <f>M216</f>
        <v>-</v>
      </c>
      <c r="O287" s="603">
        <f>N216</f>
        <v>0</v>
      </c>
      <c r="Q287" s="862"/>
      <c r="R287" s="645">
        <v>20</v>
      </c>
      <c r="S287" s="645">
        <f>Q216</f>
        <v>850</v>
      </c>
      <c r="T287" s="645">
        <f>R216</f>
        <v>9.9999999999999995E-7</v>
      </c>
      <c r="U287" s="645" t="str">
        <f>S216</f>
        <v>-</v>
      </c>
      <c r="V287" s="645" t="str">
        <f>T216</f>
        <v>-</v>
      </c>
      <c r="W287" s="644">
        <f>U216</f>
        <v>0</v>
      </c>
      <c r="Y287" s="660">
        <v>15</v>
      </c>
      <c r="Z287" s="661">
        <f>X159</f>
        <v>2.6</v>
      </c>
      <c r="AE287" s="643"/>
    </row>
    <row r="288" spans="1:31" ht="13" hidden="1" x14ac:dyDescent="0.3">
      <c r="A288" s="620"/>
      <c r="B288" s="620"/>
      <c r="C288" s="620"/>
      <c r="D288" s="620"/>
      <c r="E288" s="620"/>
      <c r="F288" s="654"/>
      <c r="G288" s="620"/>
      <c r="I288" s="620"/>
      <c r="J288" s="620"/>
      <c r="K288" s="620"/>
      <c r="L288" s="620"/>
      <c r="M288" s="620"/>
      <c r="N288" s="654"/>
      <c r="O288" s="620"/>
      <c r="Q288" s="655"/>
      <c r="R288" s="656"/>
      <c r="S288" s="651"/>
      <c r="T288" s="651"/>
      <c r="U288" s="651"/>
      <c r="W288" s="650"/>
      <c r="Y288" s="660">
        <v>16</v>
      </c>
      <c r="Z288" s="659">
        <f>X170</f>
        <v>2.2999999999999998</v>
      </c>
      <c r="AE288" s="639"/>
    </row>
    <row r="289" spans="1:31" ht="13" hidden="1" x14ac:dyDescent="0.3">
      <c r="A289" s="860">
        <v>4</v>
      </c>
      <c r="B289" s="603">
        <v>1</v>
      </c>
      <c r="C289" s="603">
        <f>C8</f>
        <v>30</v>
      </c>
      <c r="D289" s="603">
        <f>D8</f>
        <v>9.9999999999999995E-7</v>
      </c>
      <c r="E289" s="603">
        <f>E8</f>
        <v>-0.2</v>
      </c>
      <c r="F289" s="603" t="str">
        <f>F8</f>
        <v>-</v>
      </c>
      <c r="G289" s="603">
        <f>G8</f>
        <v>0.10000050000000001</v>
      </c>
      <c r="I289" s="860">
        <v>4</v>
      </c>
      <c r="J289" s="603">
        <v>1</v>
      </c>
      <c r="K289" s="603">
        <f>J8</f>
        <v>60</v>
      </c>
      <c r="L289" s="603">
        <f>K8</f>
        <v>-5.3</v>
      </c>
      <c r="M289" s="603">
        <f>L8</f>
        <v>-5.2</v>
      </c>
      <c r="N289" s="603" t="str">
        <f>M8</f>
        <v>-</v>
      </c>
      <c r="O289" s="603">
        <f>N8</f>
        <v>4.9999999999999822E-2</v>
      </c>
      <c r="Q289" s="861">
        <v>4</v>
      </c>
      <c r="R289" s="649">
        <v>1</v>
      </c>
      <c r="S289" s="649">
        <f>Q8</f>
        <v>900</v>
      </c>
      <c r="T289" s="649" t="str">
        <f>R8</f>
        <v>-</v>
      </c>
      <c r="U289" s="649" t="str">
        <f>S8</f>
        <v>-</v>
      </c>
      <c r="V289" s="649" t="str">
        <f>T8</f>
        <v>-</v>
      </c>
      <c r="W289" s="648">
        <f>U8</f>
        <v>0</v>
      </c>
      <c r="Y289" s="660">
        <v>17</v>
      </c>
      <c r="Z289" s="659">
        <f>X181</f>
        <v>2.1</v>
      </c>
      <c r="AE289" s="647"/>
    </row>
    <row r="290" spans="1:31" ht="13" hidden="1" x14ac:dyDescent="0.3">
      <c r="A290" s="860"/>
      <c r="B290" s="603">
        <v>2</v>
      </c>
      <c r="C290" s="603">
        <f>C19</f>
        <v>30</v>
      </c>
      <c r="D290" s="603">
        <f>D19</f>
        <v>0.2</v>
      </c>
      <c r="E290" s="603">
        <f>E19</f>
        <v>-0.3</v>
      </c>
      <c r="F290" s="603" t="str">
        <f>F19</f>
        <v>-</v>
      </c>
      <c r="G290" s="603">
        <f>G19</f>
        <v>0.25</v>
      </c>
      <c r="I290" s="860"/>
      <c r="J290" s="603">
        <v>2</v>
      </c>
      <c r="K290" s="603">
        <f>J19</f>
        <v>60</v>
      </c>
      <c r="L290" s="603">
        <f>K19</f>
        <v>-4</v>
      </c>
      <c r="M290" s="603">
        <f>L19</f>
        <v>-1.3</v>
      </c>
      <c r="N290" s="603" t="str">
        <f>M19</f>
        <v>-</v>
      </c>
      <c r="O290" s="603">
        <f>N19</f>
        <v>1.35</v>
      </c>
      <c r="Q290" s="860"/>
      <c r="R290" s="603">
        <v>2</v>
      </c>
      <c r="S290" s="603">
        <f>Q19</f>
        <v>900</v>
      </c>
      <c r="T290" s="603" t="str">
        <f>R19</f>
        <v>-</v>
      </c>
      <c r="U290" s="603" t="str">
        <f>S19</f>
        <v>-</v>
      </c>
      <c r="V290" s="603" t="str">
        <f>T19</f>
        <v>-</v>
      </c>
      <c r="W290" s="646">
        <f>U19</f>
        <v>0</v>
      </c>
      <c r="Y290" s="660">
        <v>18</v>
      </c>
      <c r="Z290" s="659">
        <f>X192</f>
        <v>2.4</v>
      </c>
      <c r="AE290" s="639"/>
    </row>
    <row r="291" spans="1:31" ht="13" hidden="1" x14ac:dyDescent="0.3">
      <c r="A291" s="860"/>
      <c r="B291" s="603">
        <v>3</v>
      </c>
      <c r="C291" s="603">
        <f>C30</f>
        <v>30</v>
      </c>
      <c r="D291" s="603">
        <f>D30</f>
        <v>9.9999999999999995E-7</v>
      </c>
      <c r="E291" s="603">
        <f>E30</f>
        <v>-0.3</v>
      </c>
      <c r="F291" s="603" t="str">
        <f>F30</f>
        <v>-</v>
      </c>
      <c r="G291" s="603">
        <f>G30</f>
        <v>0.15000049999999998</v>
      </c>
      <c r="I291" s="860"/>
      <c r="J291" s="603">
        <v>3</v>
      </c>
      <c r="K291" s="603">
        <f>J30</f>
        <v>60</v>
      </c>
      <c r="L291" s="603">
        <f>K30</f>
        <v>-3.2</v>
      </c>
      <c r="M291" s="603">
        <f>L30</f>
        <v>-4.3</v>
      </c>
      <c r="N291" s="603" t="str">
        <f>M30</f>
        <v>-</v>
      </c>
      <c r="O291" s="603">
        <f>N30</f>
        <v>0.54999999999999982</v>
      </c>
      <c r="Q291" s="860"/>
      <c r="R291" s="603">
        <v>3</v>
      </c>
      <c r="S291" s="603">
        <f>Q30</f>
        <v>900</v>
      </c>
      <c r="T291" s="603" t="str">
        <f>R30</f>
        <v>-</v>
      </c>
      <c r="U291" s="603" t="str">
        <f>S30</f>
        <v>-</v>
      </c>
      <c r="V291" s="603" t="str">
        <f>T30</f>
        <v>-</v>
      </c>
      <c r="W291" s="646">
        <f>U30</f>
        <v>0</v>
      </c>
      <c r="Y291" s="660">
        <v>19</v>
      </c>
      <c r="Z291" s="659">
        <f>X203</f>
        <v>0.4</v>
      </c>
      <c r="AE291" s="639"/>
    </row>
    <row r="292" spans="1:31" ht="13.5" hidden="1" thickBot="1" x14ac:dyDescent="0.35">
      <c r="A292" s="860"/>
      <c r="B292" s="603">
        <v>4</v>
      </c>
      <c r="C292" s="603">
        <f>C41</f>
        <v>30</v>
      </c>
      <c r="D292" s="603">
        <f>D41</f>
        <v>-0.1</v>
      </c>
      <c r="E292" s="603">
        <f>E41</f>
        <v>-0.6</v>
      </c>
      <c r="F292" s="603" t="str">
        <f>F41</f>
        <v>-</v>
      </c>
      <c r="G292" s="603">
        <f>G41</f>
        <v>0.25</v>
      </c>
      <c r="I292" s="860"/>
      <c r="J292" s="603">
        <v>4</v>
      </c>
      <c r="K292" s="603">
        <f>J41</f>
        <v>60</v>
      </c>
      <c r="L292" s="603">
        <f>K41</f>
        <v>-4.2</v>
      </c>
      <c r="M292" s="603">
        <f>L41</f>
        <v>-0.3</v>
      </c>
      <c r="N292" s="603" t="str">
        <f>M41</f>
        <v>-</v>
      </c>
      <c r="O292" s="603">
        <f>N41</f>
        <v>1.9500000000000002</v>
      </c>
      <c r="Q292" s="860"/>
      <c r="R292" s="603">
        <v>4</v>
      </c>
      <c r="S292" s="603">
        <f>Q41</f>
        <v>900</v>
      </c>
      <c r="T292" s="603" t="str">
        <f>R41</f>
        <v>-</v>
      </c>
      <c r="U292" s="603" t="str">
        <f>S41</f>
        <v>-</v>
      </c>
      <c r="V292" s="603" t="str">
        <f>T41</f>
        <v>-</v>
      </c>
      <c r="W292" s="646">
        <f>U41</f>
        <v>0</v>
      </c>
      <c r="Y292" s="658">
        <v>20</v>
      </c>
      <c r="Z292" s="657">
        <f>X214</f>
        <v>0</v>
      </c>
      <c r="AE292" s="639"/>
    </row>
    <row r="293" spans="1:31" ht="13" hidden="1" x14ac:dyDescent="0.3">
      <c r="A293" s="860"/>
      <c r="B293" s="603">
        <v>5</v>
      </c>
      <c r="C293" s="603">
        <f>C52</f>
        <v>30</v>
      </c>
      <c r="D293" s="603">
        <f>D52</f>
        <v>0.6</v>
      </c>
      <c r="E293" s="603">
        <f>E52</f>
        <v>0.1</v>
      </c>
      <c r="F293" s="603" t="str">
        <f>F52</f>
        <v>-</v>
      </c>
      <c r="G293" s="603">
        <f>G52</f>
        <v>0.25</v>
      </c>
      <c r="I293" s="860"/>
      <c r="J293" s="603">
        <v>5</v>
      </c>
      <c r="K293" s="603">
        <f>J52</f>
        <v>60</v>
      </c>
      <c r="L293" s="603">
        <f>K52</f>
        <v>-5.2</v>
      </c>
      <c r="M293" s="603">
        <f>L52</f>
        <v>-4.2</v>
      </c>
      <c r="N293" s="603" t="str">
        <f>M52</f>
        <v>-</v>
      </c>
      <c r="O293" s="603">
        <f>N52</f>
        <v>0.5</v>
      </c>
      <c r="Q293" s="860"/>
      <c r="R293" s="603">
        <v>5</v>
      </c>
      <c r="S293" s="603">
        <f>Q52</f>
        <v>900</v>
      </c>
      <c r="T293" s="603" t="str">
        <f>R52</f>
        <v>-</v>
      </c>
      <c r="U293" s="603" t="str">
        <f>S52</f>
        <v>-</v>
      </c>
      <c r="V293" s="603" t="str">
        <f>T52</f>
        <v>-</v>
      </c>
      <c r="W293" s="646">
        <f>U52</f>
        <v>0</v>
      </c>
      <c r="AE293" s="639"/>
    </row>
    <row r="294" spans="1:31" ht="13" hidden="1" x14ac:dyDescent="0.3">
      <c r="A294" s="860"/>
      <c r="B294" s="603">
        <v>6</v>
      </c>
      <c r="C294" s="603">
        <f>C63</f>
        <v>30</v>
      </c>
      <c r="D294" s="603">
        <f>D63</f>
        <v>0.1</v>
      </c>
      <c r="E294" s="603">
        <f>E63</f>
        <v>-0.5</v>
      </c>
      <c r="F294" s="603" t="str">
        <f>F63</f>
        <v>-</v>
      </c>
      <c r="G294" s="603">
        <f>G63</f>
        <v>0.3</v>
      </c>
      <c r="I294" s="860"/>
      <c r="J294" s="603">
        <v>6</v>
      </c>
      <c r="K294" s="603">
        <f>J63</f>
        <v>60</v>
      </c>
      <c r="L294" s="603">
        <f>K63</f>
        <v>-6.4</v>
      </c>
      <c r="M294" s="603">
        <f>L63</f>
        <v>1.1000000000000001</v>
      </c>
      <c r="N294" s="603" t="str">
        <f>M63</f>
        <v>-</v>
      </c>
      <c r="O294" s="603">
        <f>N63</f>
        <v>3.75</v>
      </c>
      <c r="Q294" s="860"/>
      <c r="R294" s="603">
        <v>6</v>
      </c>
      <c r="S294" s="603">
        <f>Q63</f>
        <v>900</v>
      </c>
      <c r="T294" s="603">
        <f>R63</f>
        <v>0.9</v>
      </c>
      <c r="U294" s="603">
        <f>S63</f>
        <v>0.7</v>
      </c>
      <c r="V294" s="603" t="str">
        <f>T63</f>
        <v>-</v>
      </c>
      <c r="W294" s="646">
        <f>U63</f>
        <v>0.10000000000000003</v>
      </c>
      <c r="AE294" s="639"/>
    </row>
    <row r="295" spans="1:31" ht="13" hidden="1" x14ac:dyDescent="0.3">
      <c r="A295" s="860"/>
      <c r="B295" s="603">
        <v>7</v>
      </c>
      <c r="C295" s="603">
        <f>C74</f>
        <v>30</v>
      </c>
      <c r="D295" s="603">
        <f>D74</f>
        <v>9.9999999999999995E-7</v>
      </c>
      <c r="E295" s="603">
        <f>E74</f>
        <v>-0.6</v>
      </c>
      <c r="F295" s="603" t="str">
        <f>F74</f>
        <v>-</v>
      </c>
      <c r="G295" s="603">
        <f>G74</f>
        <v>0.3000005</v>
      </c>
      <c r="I295" s="860"/>
      <c r="J295" s="603">
        <v>7</v>
      </c>
      <c r="K295" s="603">
        <f>J74</f>
        <v>60</v>
      </c>
      <c r="L295" s="603">
        <f>K74</f>
        <v>-2.1</v>
      </c>
      <c r="M295" s="603">
        <f>L74</f>
        <v>0.7</v>
      </c>
      <c r="N295" s="603" t="str">
        <f>M74</f>
        <v>-</v>
      </c>
      <c r="O295" s="603">
        <f>N74</f>
        <v>1.4</v>
      </c>
      <c r="Q295" s="860"/>
      <c r="R295" s="603">
        <v>7</v>
      </c>
      <c r="S295" s="603">
        <f>Q74</f>
        <v>900</v>
      </c>
      <c r="T295" s="603">
        <f>R74</f>
        <v>9.9999999999999995E-7</v>
      </c>
      <c r="U295" s="603">
        <f>S74</f>
        <v>1</v>
      </c>
      <c r="V295" s="603" t="str">
        <f>T74</f>
        <v>-</v>
      </c>
      <c r="W295" s="646">
        <f>U74</f>
        <v>0.49999949999999999</v>
      </c>
      <c r="AE295" s="639"/>
    </row>
    <row r="296" spans="1:31" ht="13" hidden="1" x14ac:dyDescent="0.3">
      <c r="A296" s="860"/>
      <c r="B296" s="603">
        <v>8</v>
      </c>
      <c r="C296" s="603">
        <f>C85</f>
        <v>30</v>
      </c>
      <c r="D296" s="603">
        <f>D85</f>
        <v>-0.2</v>
      </c>
      <c r="E296" s="603">
        <f>E85</f>
        <v>-0.4</v>
      </c>
      <c r="F296" s="603" t="str">
        <f>F85</f>
        <v>-</v>
      </c>
      <c r="G296" s="603">
        <f>G85</f>
        <v>0.1</v>
      </c>
      <c r="I296" s="860"/>
      <c r="J296" s="603">
        <v>8</v>
      </c>
      <c r="K296" s="603">
        <f>J85</f>
        <v>60</v>
      </c>
      <c r="L296" s="603">
        <f>K85</f>
        <v>-3.9</v>
      </c>
      <c r="M296" s="603">
        <f>L85</f>
        <v>-1.1000000000000001</v>
      </c>
      <c r="N296" s="603" t="str">
        <f>M85</f>
        <v>-</v>
      </c>
      <c r="O296" s="603">
        <f>N85</f>
        <v>1.4</v>
      </c>
      <c r="Q296" s="860"/>
      <c r="R296" s="603">
        <v>8</v>
      </c>
      <c r="S296" s="603">
        <f>Q85</f>
        <v>900</v>
      </c>
      <c r="T296" s="603">
        <f>R85</f>
        <v>-4.4000000000000004</v>
      </c>
      <c r="U296" s="603">
        <f>S85</f>
        <v>9.9999999999999995E-7</v>
      </c>
      <c r="V296" s="603" t="str">
        <f>T85</f>
        <v>-</v>
      </c>
      <c r="W296" s="646">
        <f>U85</f>
        <v>2.2000005000000002</v>
      </c>
      <c r="AE296" s="639"/>
    </row>
    <row r="297" spans="1:31" ht="13" hidden="1" x14ac:dyDescent="0.3">
      <c r="A297" s="860"/>
      <c r="B297" s="603">
        <v>9</v>
      </c>
      <c r="C297" s="603">
        <f>C96</f>
        <v>30</v>
      </c>
      <c r="D297" s="603">
        <f>D96</f>
        <v>-0.5</v>
      </c>
      <c r="E297" s="603" t="str">
        <f>E96</f>
        <v>-</v>
      </c>
      <c r="F297" s="603" t="str">
        <f>F96</f>
        <v>-</v>
      </c>
      <c r="G297" s="603">
        <f>G96</f>
        <v>0</v>
      </c>
      <c r="I297" s="860"/>
      <c r="J297" s="603">
        <v>9</v>
      </c>
      <c r="K297" s="603">
        <f>J96</f>
        <v>60</v>
      </c>
      <c r="L297" s="603">
        <f>K96</f>
        <v>-0.8</v>
      </c>
      <c r="M297" s="603" t="str">
        <f>L96</f>
        <v>-</v>
      </c>
      <c r="N297" s="603" t="str">
        <f>M96</f>
        <v>-</v>
      </c>
      <c r="O297" s="603">
        <f>N96</f>
        <v>0</v>
      </c>
      <c r="Q297" s="860"/>
      <c r="R297" s="603">
        <v>9</v>
      </c>
      <c r="S297" s="603">
        <f>Q96</f>
        <v>900</v>
      </c>
      <c r="T297" s="603">
        <f>R96</f>
        <v>9.9999999999999995E-7</v>
      </c>
      <c r="U297" s="603" t="str">
        <f>S96</f>
        <v>-</v>
      </c>
      <c r="V297" s="603" t="str">
        <f>T96</f>
        <v>-</v>
      </c>
      <c r="W297" s="646">
        <f>U96</f>
        <v>0</v>
      </c>
      <c r="AE297" s="639"/>
    </row>
    <row r="298" spans="1:31" ht="13" hidden="1" x14ac:dyDescent="0.3">
      <c r="A298" s="860"/>
      <c r="B298" s="603">
        <v>10</v>
      </c>
      <c r="C298" s="603">
        <f>C107</f>
        <v>30</v>
      </c>
      <c r="D298" s="603">
        <f>D107</f>
        <v>0.1</v>
      </c>
      <c r="E298" s="603">
        <f>E107</f>
        <v>0.2</v>
      </c>
      <c r="F298" s="603" t="str">
        <f>F107</f>
        <v>-</v>
      </c>
      <c r="G298" s="603">
        <f>G107</f>
        <v>0.05</v>
      </c>
      <c r="I298" s="860"/>
      <c r="J298" s="603">
        <v>10</v>
      </c>
      <c r="K298" s="603">
        <f>J107</f>
        <v>60</v>
      </c>
      <c r="L298" s="603">
        <f>K107</f>
        <v>-2.1</v>
      </c>
      <c r="M298" s="603">
        <f>L107</f>
        <v>-5.6</v>
      </c>
      <c r="N298" s="603" t="str">
        <f>M107</f>
        <v>-</v>
      </c>
      <c r="O298" s="603">
        <f>N107</f>
        <v>1.7499999999999998</v>
      </c>
      <c r="Q298" s="860"/>
      <c r="R298" s="603">
        <v>10</v>
      </c>
      <c r="S298" s="603">
        <f>Q107</f>
        <v>900</v>
      </c>
      <c r="T298" s="603" t="str">
        <f>R107</f>
        <v>-</v>
      </c>
      <c r="U298" s="603" t="str">
        <f>S107</f>
        <v>-</v>
      </c>
      <c r="V298" s="603" t="str">
        <f>T107</f>
        <v>-</v>
      </c>
      <c r="W298" s="646">
        <f>U107</f>
        <v>0</v>
      </c>
      <c r="AE298" s="639"/>
    </row>
    <row r="299" spans="1:31" ht="13" hidden="1" x14ac:dyDescent="0.3">
      <c r="A299" s="860"/>
      <c r="B299" s="603">
        <v>11</v>
      </c>
      <c r="C299" s="603">
        <f>C118</f>
        <v>30</v>
      </c>
      <c r="D299" s="603">
        <f>D118</f>
        <v>0.5</v>
      </c>
      <c r="E299" s="603">
        <f>E118</f>
        <v>0.4</v>
      </c>
      <c r="F299" s="603" t="str">
        <f>F118</f>
        <v>-</v>
      </c>
      <c r="G299" s="603">
        <f>G118</f>
        <v>4.9999999999999989E-2</v>
      </c>
      <c r="I299" s="860"/>
      <c r="J299" s="603">
        <v>11</v>
      </c>
      <c r="K299" s="603">
        <f>J118</f>
        <v>60</v>
      </c>
      <c r="L299" s="603">
        <f>K118</f>
        <v>-4.8</v>
      </c>
      <c r="M299" s="603">
        <f>L118</f>
        <v>-4.5</v>
      </c>
      <c r="N299" s="603" t="str">
        <f>M118</f>
        <v>-</v>
      </c>
      <c r="O299" s="603">
        <f>N118</f>
        <v>0.14999999999999991</v>
      </c>
      <c r="Q299" s="860"/>
      <c r="R299" s="603">
        <v>11</v>
      </c>
      <c r="S299" s="603">
        <f>Q118</f>
        <v>900</v>
      </c>
      <c r="T299" s="603" t="str">
        <f>R118</f>
        <v>-</v>
      </c>
      <c r="U299" s="603" t="str">
        <f>S118</f>
        <v>-</v>
      </c>
      <c r="V299" s="603" t="str">
        <f>T118</f>
        <v>-</v>
      </c>
      <c r="W299" s="646">
        <f>U118</f>
        <v>0</v>
      </c>
      <c r="AE299" s="639"/>
    </row>
    <row r="300" spans="1:31" ht="13" hidden="1" x14ac:dyDescent="0.3">
      <c r="A300" s="860"/>
      <c r="B300" s="603">
        <v>12</v>
      </c>
      <c r="C300" s="603">
        <f>C129</f>
        <v>30</v>
      </c>
      <c r="D300" s="603">
        <f>D129</f>
        <v>-0.1</v>
      </c>
      <c r="E300" s="603" t="str">
        <f>E129</f>
        <v>-</v>
      </c>
      <c r="F300" s="603" t="str">
        <f>F129</f>
        <v>-</v>
      </c>
      <c r="G300" s="603">
        <f>G129</f>
        <v>0</v>
      </c>
      <c r="I300" s="860"/>
      <c r="J300" s="603">
        <v>12</v>
      </c>
      <c r="K300" s="603">
        <f>J129</f>
        <v>60</v>
      </c>
      <c r="L300" s="603">
        <f>K129</f>
        <v>9.9999999999999995E-7</v>
      </c>
      <c r="M300" s="603" t="str">
        <f>L129</f>
        <v>-</v>
      </c>
      <c r="N300" s="603" t="str">
        <f>M129</f>
        <v>-</v>
      </c>
      <c r="O300" s="603">
        <f>N129</f>
        <v>0</v>
      </c>
      <c r="Q300" s="860"/>
      <c r="R300" s="603">
        <v>12</v>
      </c>
      <c r="S300" s="603">
        <f>Q129</f>
        <v>950</v>
      </c>
      <c r="T300" s="603">
        <f>R129</f>
        <v>-0.7</v>
      </c>
      <c r="U300" s="603" t="str">
        <f>S129</f>
        <v>-</v>
      </c>
      <c r="V300" s="603" t="str">
        <f>T129</f>
        <v>-</v>
      </c>
      <c r="W300" s="646">
        <f>U129</f>
        <v>0</v>
      </c>
      <c r="AE300" s="639"/>
    </row>
    <row r="301" spans="1:31" ht="13" hidden="1" x14ac:dyDescent="0.3">
      <c r="A301" s="860"/>
      <c r="B301" s="603">
        <v>13</v>
      </c>
      <c r="C301" s="603">
        <f>C151</f>
        <v>30</v>
      </c>
      <c r="D301" s="603">
        <f>D151</f>
        <v>-0.4</v>
      </c>
      <c r="E301" s="603">
        <f>E151</f>
        <v>-0.3</v>
      </c>
      <c r="F301" s="603" t="str">
        <f>F151</f>
        <v>-</v>
      </c>
      <c r="G301" s="603">
        <f>G151</f>
        <v>5.0000000000000017E-2</v>
      </c>
      <c r="I301" s="860"/>
      <c r="J301" s="603">
        <v>13</v>
      </c>
      <c r="K301" s="603">
        <f>J140</f>
        <v>60</v>
      </c>
      <c r="L301" s="603">
        <f>K140</f>
        <v>-1.6</v>
      </c>
      <c r="M301" s="603">
        <f>L140</f>
        <v>-1.5</v>
      </c>
      <c r="N301" s="603" t="str">
        <f>M140</f>
        <v>-</v>
      </c>
      <c r="O301" s="603">
        <f>N140</f>
        <v>5.0000000000000044E-2</v>
      </c>
      <c r="Q301" s="860"/>
      <c r="R301" s="603">
        <v>13</v>
      </c>
      <c r="S301" s="603">
        <f>Q140</f>
        <v>1000</v>
      </c>
      <c r="T301" s="603">
        <f>R140</f>
        <v>3.7</v>
      </c>
      <c r="U301" s="603">
        <f>S140</f>
        <v>1.1000000000000001</v>
      </c>
      <c r="V301" s="603" t="str">
        <f>T140</f>
        <v>-</v>
      </c>
      <c r="W301" s="646">
        <f>U140</f>
        <v>1.3</v>
      </c>
      <c r="AE301" s="639"/>
    </row>
    <row r="302" spans="1:31" ht="13" hidden="1" x14ac:dyDescent="0.3">
      <c r="A302" s="860"/>
      <c r="B302" s="603">
        <v>14</v>
      </c>
      <c r="C302" s="603">
        <f>C151</f>
        <v>30</v>
      </c>
      <c r="D302" s="603">
        <f>D151</f>
        <v>-0.4</v>
      </c>
      <c r="E302" s="603">
        <f>E151</f>
        <v>-0.3</v>
      </c>
      <c r="F302" s="603" t="str">
        <f>F151</f>
        <v>-</v>
      </c>
      <c r="G302" s="603">
        <f>G151</f>
        <v>5.0000000000000017E-2</v>
      </c>
      <c r="I302" s="860"/>
      <c r="J302" s="603">
        <v>14</v>
      </c>
      <c r="K302" s="603">
        <f>J151</f>
        <v>60</v>
      </c>
      <c r="L302" s="603">
        <f>K151</f>
        <v>0.3</v>
      </c>
      <c r="M302" s="603">
        <f>L151</f>
        <v>-0.6</v>
      </c>
      <c r="N302" s="603" t="str">
        <f>M151</f>
        <v>-</v>
      </c>
      <c r="O302" s="603">
        <f>N151</f>
        <v>0.44999999999999996</v>
      </c>
      <c r="Q302" s="860"/>
      <c r="R302" s="603">
        <v>14</v>
      </c>
      <c r="S302" s="603">
        <f>Q151</f>
        <v>1000</v>
      </c>
      <c r="T302" s="603">
        <f>R151</f>
        <v>3.8</v>
      </c>
      <c r="U302" s="603">
        <f>S151</f>
        <v>1.1000000000000001</v>
      </c>
      <c r="V302" s="603" t="str">
        <f>T151</f>
        <v>-</v>
      </c>
      <c r="W302" s="646">
        <f>U151</f>
        <v>1.3499999999999999</v>
      </c>
      <c r="AE302" s="639"/>
    </row>
    <row r="303" spans="1:31" ht="13" hidden="1" x14ac:dyDescent="0.3">
      <c r="A303" s="860"/>
      <c r="B303" s="603">
        <v>15</v>
      </c>
      <c r="C303" s="603">
        <f>C162</f>
        <v>30</v>
      </c>
      <c r="D303" s="603">
        <f>D162</f>
        <v>0.4</v>
      </c>
      <c r="E303" s="603">
        <f>E162</f>
        <v>-0.2</v>
      </c>
      <c r="F303" s="603" t="str">
        <f>F162</f>
        <v>-</v>
      </c>
      <c r="G303" s="603">
        <f>G162</f>
        <v>0.30000000000000004</v>
      </c>
      <c r="I303" s="860"/>
      <c r="J303" s="603">
        <v>15</v>
      </c>
      <c r="K303" s="603">
        <f>J162</f>
        <v>60</v>
      </c>
      <c r="L303" s="603">
        <f>K162</f>
        <v>-1.1000000000000001</v>
      </c>
      <c r="M303" s="603">
        <f>L162</f>
        <v>-0.5</v>
      </c>
      <c r="N303" s="603" t="str">
        <f>M162</f>
        <v>-</v>
      </c>
      <c r="O303" s="603">
        <f>N162</f>
        <v>0.30000000000000004</v>
      </c>
      <c r="Q303" s="860"/>
      <c r="R303" s="603">
        <v>15</v>
      </c>
      <c r="S303" s="603">
        <f>Q162</f>
        <v>1000</v>
      </c>
      <c r="T303" s="603">
        <f>R162</f>
        <v>4.0999999999999996</v>
      </c>
      <c r="U303" s="603">
        <f>S162</f>
        <v>1.1000000000000001</v>
      </c>
      <c r="V303" s="603" t="str">
        <f>T162</f>
        <v>-</v>
      </c>
      <c r="W303" s="646">
        <f>U162</f>
        <v>1.4999999999999998</v>
      </c>
      <c r="AE303" s="639"/>
    </row>
    <row r="304" spans="1:31" ht="13" hidden="1" x14ac:dyDescent="0.3">
      <c r="A304" s="860"/>
      <c r="B304" s="603">
        <v>16</v>
      </c>
      <c r="C304" s="603">
        <f>C173</f>
        <v>30</v>
      </c>
      <c r="D304" s="603">
        <f>D173</f>
        <v>0.2</v>
      </c>
      <c r="E304" s="603" t="str">
        <f>E173</f>
        <v>-</v>
      </c>
      <c r="F304" s="603" t="str">
        <f>F173</f>
        <v>-</v>
      </c>
      <c r="G304" s="603">
        <f>G173</f>
        <v>0</v>
      </c>
      <c r="I304" s="860"/>
      <c r="J304" s="603">
        <v>16</v>
      </c>
      <c r="K304" s="603">
        <f>J173</f>
        <v>60</v>
      </c>
      <c r="L304" s="603">
        <f>K173</f>
        <v>-1.5</v>
      </c>
      <c r="M304" s="603" t="str">
        <f>L173</f>
        <v>-</v>
      </c>
      <c r="N304" s="603" t="str">
        <f>M173</f>
        <v>-</v>
      </c>
      <c r="O304" s="603">
        <f>N173</f>
        <v>0</v>
      </c>
      <c r="Q304" s="860"/>
      <c r="R304" s="603">
        <v>16</v>
      </c>
      <c r="S304" s="603">
        <f>Q173</f>
        <v>950</v>
      </c>
      <c r="T304" s="603">
        <f>R173</f>
        <v>-1.1000000000000001</v>
      </c>
      <c r="U304" s="603" t="str">
        <f>S173</f>
        <v>-</v>
      </c>
      <c r="V304" s="603" t="str">
        <f>T173</f>
        <v>-</v>
      </c>
      <c r="W304" s="646">
        <f>U173</f>
        <v>0</v>
      </c>
      <c r="AE304" s="639"/>
    </row>
    <row r="305" spans="1:31" ht="13" hidden="1" x14ac:dyDescent="0.3">
      <c r="A305" s="860"/>
      <c r="B305" s="603">
        <v>17</v>
      </c>
      <c r="C305" s="603">
        <f>C184</f>
        <v>30</v>
      </c>
      <c r="D305" s="603">
        <f>D184</f>
        <v>-0.2</v>
      </c>
      <c r="E305" s="603" t="str">
        <f>E184</f>
        <v>-</v>
      </c>
      <c r="F305" s="603" t="str">
        <f>F184</f>
        <v>-</v>
      </c>
      <c r="G305" s="603">
        <f>G184</f>
        <v>0</v>
      </c>
      <c r="I305" s="860"/>
      <c r="J305" s="603">
        <v>17</v>
      </c>
      <c r="K305" s="603">
        <f>J184</f>
        <v>60</v>
      </c>
      <c r="L305" s="603">
        <f>K184</f>
        <v>9.9999999999999995E-7</v>
      </c>
      <c r="M305" s="603" t="str">
        <f>L184</f>
        <v>-</v>
      </c>
      <c r="N305" s="603" t="str">
        <f>M184</f>
        <v>-</v>
      </c>
      <c r="O305" s="603">
        <f>N184</f>
        <v>0</v>
      </c>
      <c r="Q305" s="860"/>
      <c r="R305" s="603">
        <v>17</v>
      </c>
      <c r="S305" s="603">
        <f>Q184</f>
        <v>990</v>
      </c>
      <c r="T305" s="603">
        <f>R184</f>
        <v>-0.6</v>
      </c>
      <c r="U305" s="603" t="str">
        <f>S184</f>
        <v>-</v>
      </c>
      <c r="V305" s="603" t="str">
        <f>T184</f>
        <v>-</v>
      </c>
      <c r="W305" s="646">
        <f>U184</f>
        <v>0</v>
      </c>
      <c r="AE305" s="639"/>
    </row>
    <row r="306" spans="1:31" ht="13" hidden="1" x14ac:dyDescent="0.3">
      <c r="A306" s="860"/>
      <c r="B306" s="603">
        <v>18</v>
      </c>
      <c r="C306" s="603">
        <f>C195</f>
        <v>30</v>
      </c>
      <c r="D306" s="603">
        <f>D195</f>
        <v>-0.2</v>
      </c>
      <c r="E306" s="603" t="str">
        <f>E195</f>
        <v>-</v>
      </c>
      <c r="F306" s="603" t="str">
        <f>F195</f>
        <v>-</v>
      </c>
      <c r="G306" s="603">
        <f>G195</f>
        <v>0</v>
      </c>
      <c r="I306" s="860"/>
      <c r="J306" s="603">
        <v>18</v>
      </c>
      <c r="K306" s="603">
        <f>J195</f>
        <v>60</v>
      </c>
      <c r="L306" s="603">
        <f>K195</f>
        <v>-0.2</v>
      </c>
      <c r="M306" s="603" t="str">
        <f>L195</f>
        <v>-</v>
      </c>
      <c r="N306" s="603" t="str">
        <f>M195</f>
        <v>-</v>
      </c>
      <c r="O306" s="603">
        <f>N195</f>
        <v>0</v>
      </c>
      <c r="Q306" s="860"/>
      <c r="R306" s="603">
        <v>18</v>
      </c>
      <c r="S306" s="603">
        <f>Q195</f>
        <v>950</v>
      </c>
      <c r="T306" s="603">
        <f>R195</f>
        <v>-0.9</v>
      </c>
      <c r="U306" s="603" t="str">
        <f>S195</f>
        <v>-</v>
      </c>
      <c r="V306" s="603" t="str">
        <f>T195</f>
        <v>-</v>
      </c>
      <c r="W306" s="646">
        <f>U195</f>
        <v>0</v>
      </c>
      <c r="AE306" s="639"/>
    </row>
    <row r="307" spans="1:31" ht="13" hidden="1" x14ac:dyDescent="0.3">
      <c r="A307" s="860"/>
      <c r="B307" s="603">
        <v>19</v>
      </c>
      <c r="C307" s="603">
        <f>C206</f>
        <v>30</v>
      </c>
      <c r="D307" s="603">
        <f>D206</f>
        <v>-0.1</v>
      </c>
      <c r="E307" s="603" t="str">
        <f>E206</f>
        <v>-</v>
      </c>
      <c r="F307" s="603" t="str">
        <f>F206</f>
        <v>-</v>
      </c>
      <c r="G307" s="603">
        <f>G206</f>
        <v>0</v>
      </c>
      <c r="I307" s="860"/>
      <c r="J307" s="603">
        <v>19</v>
      </c>
      <c r="K307" s="603">
        <f>J206</f>
        <v>60</v>
      </c>
      <c r="L307" s="603">
        <f>K206</f>
        <v>0.4</v>
      </c>
      <c r="M307" s="603" t="str">
        <f>L206</f>
        <v>-</v>
      </c>
      <c r="N307" s="603" t="str">
        <f>M206</f>
        <v>-</v>
      </c>
      <c r="O307" s="603">
        <f>N206</f>
        <v>0</v>
      </c>
      <c r="Q307" s="860"/>
      <c r="R307" s="603">
        <v>19</v>
      </c>
      <c r="S307" s="603">
        <f>Q206</f>
        <v>900</v>
      </c>
      <c r="T307" s="603">
        <f>R206</f>
        <v>2.2999999999999998</v>
      </c>
      <c r="U307" s="603" t="str">
        <f>S206</f>
        <v>-</v>
      </c>
      <c r="V307" s="603" t="str">
        <f>T206</f>
        <v>-</v>
      </c>
      <c r="W307" s="646">
        <f>U206</f>
        <v>0</v>
      </c>
      <c r="AE307" s="639"/>
    </row>
    <row r="308" spans="1:31" ht="13.5" hidden="1" thickBot="1" x14ac:dyDescent="0.35">
      <c r="A308" s="860"/>
      <c r="B308" s="603">
        <v>20</v>
      </c>
      <c r="C308" s="603">
        <f>C217</f>
        <v>29.5</v>
      </c>
      <c r="D308" s="603">
        <f>D217</f>
        <v>9.9999999999999995E-7</v>
      </c>
      <c r="E308" s="603" t="str">
        <f>E217</f>
        <v>-</v>
      </c>
      <c r="F308" s="603" t="str">
        <f>F217</f>
        <v>-</v>
      </c>
      <c r="G308" s="603">
        <f>G217</f>
        <v>0</v>
      </c>
      <c r="I308" s="860"/>
      <c r="J308" s="603">
        <v>20</v>
      </c>
      <c r="K308" s="603">
        <f>J217</f>
        <v>71.5</v>
      </c>
      <c r="L308" s="603">
        <f>K217</f>
        <v>9.9999999999999995E-7</v>
      </c>
      <c r="M308" s="603" t="str">
        <f>L217</f>
        <v>-</v>
      </c>
      <c r="N308" s="603" t="str">
        <f>M217</f>
        <v>-</v>
      </c>
      <c r="O308" s="603">
        <f>N217</f>
        <v>0</v>
      </c>
      <c r="Q308" s="862"/>
      <c r="R308" s="645">
        <v>20</v>
      </c>
      <c r="S308" s="645">
        <f>Q217</f>
        <v>900</v>
      </c>
      <c r="T308" s="645">
        <f>R217</f>
        <v>9.9999999999999995E-7</v>
      </c>
      <c r="U308" s="645" t="str">
        <f>S217</f>
        <v>-</v>
      </c>
      <c r="V308" s="645" t="str">
        <f>T217</f>
        <v>-</v>
      </c>
      <c r="W308" s="644">
        <f>U217</f>
        <v>0</v>
      </c>
      <c r="AE308" s="643"/>
    </row>
    <row r="309" spans="1:31" ht="13" hidden="1" x14ac:dyDescent="0.3">
      <c r="A309" s="620"/>
      <c r="B309" s="620"/>
      <c r="C309" s="620"/>
      <c r="D309" s="620"/>
      <c r="E309" s="620"/>
      <c r="F309" s="654"/>
      <c r="G309" s="620"/>
      <c r="I309" s="620"/>
      <c r="J309" s="620"/>
      <c r="K309" s="620"/>
      <c r="L309" s="620"/>
      <c r="M309" s="620"/>
      <c r="N309" s="654"/>
      <c r="O309" s="620"/>
      <c r="Q309" s="655"/>
      <c r="R309" s="656"/>
      <c r="S309" s="651"/>
      <c r="T309" s="651"/>
      <c r="U309" s="651"/>
      <c r="W309" s="650"/>
      <c r="AE309" s="639"/>
    </row>
    <row r="310" spans="1:31" ht="13" hidden="1" x14ac:dyDescent="0.3">
      <c r="A310" s="860">
        <v>5</v>
      </c>
      <c r="B310" s="603">
        <v>1</v>
      </c>
      <c r="C310" s="603">
        <f>C9</f>
        <v>35</v>
      </c>
      <c r="D310" s="603">
        <f>D9</f>
        <v>-0.1</v>
      </c>
      <c r="E310" s="603">
        <f>E9</f>
        <v>-0.5</v>
      </c>
      <c r="F310" s="603" t="str">
        <f>F9</f>
        <v>-</v>
      </c>
      <c r="G310" s="603">
        <f>G9</f>
        <v>0.2</v>
      </c>
      <c r="I310" s="860">
        <v>5</v>
      </c>
      <c r="J310" s="603">
        <v>1</v>
      </c>
      <c r="K310" s="603">
        <f>J20</f>
        <v>70</v>
      </c>
      <c r="L310" s="603">
        <f>K20</f>
        <v>-2.4</v>
      </c>
      <c r="M310" s="603">
        <f>L20</f>
        <v>-1.1000000000000001</v>
      </c>
      <c r="N310" s="603" t="str">
        <f>M20</f>
        <v>-</v>
      </c>
      <c r="O310" s="603">
        <f>N20</f>
        <v>0.64999999999999991</v>
      </c>
      <c r="Q310" s="861">
        <v>5</v>
      </c>
      <c r="R310" s="649">
        <v>1</v>
      </c>
      <c r="S310" s="649">
        <f>Q9</f>
        <v>1000</v>
      </c>
      <c r="T310" s="649" t="str">
        <f>R9</f>
        <v>-</v>
      </c>
      <c r="U310" s="649" t="str">
        <f>S9</f>
        <v>-</v>
      </c>
      <c r="V310" s="649" t="str">
        <f>T9</f>
        <v>-</v>
      </c>
      <c r="W310" s="648">
        <f>U9</f>
        <v>0</v>
      </c>
      <c r="AE310" s="647"/>
    </row>
    <row r="311" spans="1:31" ht="13" hidden="1" x14ac:dyDescent="0.3">
      <c r="A311" s="860"/>
      <c r="B311" s="603">
        <v>2</v>
      </c>
      <c r="C311" s="603">
        <f>C20</f>
        <v>35</v>
      </c>
      <c r="D311" s="603">
        <f>D20</f>
        <v>-0.1</v>
      </c>
      <c r="E311" s="603">
        <f>E20</f>
        <v>-0.3</v>
      </c>
      <c r="F311" s="603" t="str">
        <f>F20</f>
        <v>-</v>
      </c>
      <c r="G311" s="603">
        <f>G20</f>
        <v>9.9999999999999992E-2</v>
      </c>
      <c r="I311" s="860"/>
      <c r="J311" s="603">
        <v>2</v>
      </c>
      <c r="K311" s="603">
        <f>J20</f>
        <v>70</v>
      </c>
      <c r="L311" s="603">
        <f>K20</f>
        <v>-2.4</v>
      </c>
      <c r="M311" s="603">
        <f>L20</f>
        <v>-1.1000000000000001</v>
      </c>
      <c r="N311" s="603" t="str">
        <f>M20</f>
        <v>-</v>
      </c>
      <c r="O311" s="603">
        <f>N20</f>
        <v>0.64999999999999991</v>
      </c>
      <c r="Q311" s="860"/>
      <c r="R311" s="603">
        <v>2</v>
      </c>
      <c r="S311" s="603">
        <f>Q20</f>
        <v>1000</v>
      </c>
      <c r="T311" s="603" t="str">
        <f>R20</f>
        <v>-</v>
      </c>
      <c r="U311" s="603" t="str">
        <f>S20</f>
        <v>-</v>
      </c>
      <c r="V311" s="603" t="str">
        <f>T20</f>
        <v>-</v>
      </c>
      <c r="W311" s="646">
        <f>U20</f>
        <v>0</v>
      </c>
      <c r="AE311" s="639"/>
    </row>
    <row r="312" spans="1:31" ht="13" hidden="1" x14ac:dyDescent="0.3">
      <c r="A312" s="860"/>
      <c r="B312" s="603">
        <v>3</v>
      </c>
      <c r="C312" s="603">
        <f>C31</f>
        <v>35</v>
      </c>
      <c r="D312" s="603">
        <f>D31</f>
        <v>-0.3</v>
      </c>
      <c r="E312" s="603">
        <f>E31</f>
        <v>-0.5</v>
      </c>
      <c r="F312" s="603" t="str">
        <f>F31</f>
        <v>-</v>
      </c>
      <c r="G312" s="603">
        <f>G31</f>
        <v>0.1</v>
      </c>
      <c r="I312" s="860"/>
      <c r="J312" s="603">
        <v>3</v>
      </c>
      <c r="K312" s="603">
        <f>J31</f>
        <v>70</v>
      </c>
      <c r="L312" s="603">
        <f>K31</f>
        <v>-2</v>
      </c>
      <c r="M312" s="603">
        <f>L31</f>
        <v>-3.6</v>
      </c>
      <c r="N312" s="603" t="str">
        <f>M31</f>
        <v>-</v>
      </c>
      <c r="O312" s="603">
        <f>N31</f>
        <v>0.8</v>
      </c>
      <c r="Q312" s="860"/>
      <c r="R312" s="603">
        <v>3</v>
      </c>
      <c r="S312" s="603">
        <f>Q31</f>
        <v>1000</v>
      </c>
      <c r="T312" s="603" t="str">
        <f>R31</f>
        <v>-</v>
      </c>
      <c r="U312" s="603" t="str">
        <f>S31</f>
        <v>-</v>
      </c>
      <c r="V312" s="603" t="str">
        <f>T31</f>
        <v>-</v>
      </c>
      <c r="W312" s="646">
        <f>U31</f>
        <v>0</v>
      </c>
      <c r="AE312" s="639"/>
    </row>
    <row r="313" spans="1:31" ht="13" hidden="1" x14ac:dyDescent="0.3">
      <c r="A313" s="860"/>
      <c r="B313" s="603">
        <v>4</v>
      </c>
      <c r="C313" s="603">
        <f>C42</f>
        <v>35</v>
      </c>
      <c r="D313" s="603">
        <f>D42</f>
        <v>-0.3</v>
      </c>
      <c r="E313" s="603">
        <f>E42</f>
        <v>-0.6</v>
      </c>
      <c r="F313" s="603" t="str">
        <f>F42</f>
        <v>-</v>
      </c>
      <c r="G313" s="603">
        <f>G42</f>
        <v>0.15</v>
      </c>
      <c r="I313" s="860"/>
      <c r="J313" s="603">
        <v>4</v>
      </c>
      <c r="K313" s="603">
        <f>J42</f>
        <v>70</v>
      </c>
      <c r="L313" s="603">
        <f>K42</f>
        <v>-4</v>
      </c>
      <c r="M313" s="603">
        <f>L42</f>
        <v>0.7</v>
      </c>
      <c r="N313" s="603" t="str">
        <f>M42</f>
        <v>-</v>
      </c>
      <c r="O313" s="603">
        <f>N42</f>
        <v>2.35</v>
      </c>
      <c r="Q313" s="860"/>
      <c r="R313" s="603">
        <v>4</v>
      </c>
      <c r="S313" s="603">
        <f>Q42</f>
        <v>1000</v>
      </c>
      <c r="T313" s="603" t="str">
        <f>R42</f>
        <v>-</v>
      </c>
      <c r="U313" s="603" t="str">
        <f>S42</f>
        <v>-</v>
      </c>
      <c r="V313" s="603" t="str">
        <f>T42</f>
        <v>-</v>
      </c>
      <c r="W313" s="646">
        <f>U42</f>
        <v>0</v>
      </c>
      <c r="AE313" s="639"/>
    </row>
    <row r="314" spans="1:31" ht="13" hidden="1" x14ac:dyDescent="0.3">
      <c r="A314" s="860"/>
      <c r="B314" s="603">
        <v>5</v>
      </c>
      <c r="C314" s="603">
        <f>C53</f>
        <v>35</v>
      </c>
      <c r="D314" s="603">
        <f>D53</f>
        <v>0.7</v>
      </c>
      <c r="E314" s="603">
        <f>E53</f>
        <v>9.9999999999999995E-7</v>
      </c>
      <c r="F314" s="603" t="str">
        <f>F53</f>
        <v>-</v>
      </c>
      <c r="G314" s="603">
        <f>G53</f>
        <v>0.34999949999999996</v>
      </c>
      <c r="I314" s="860"/>
      <c r="J314" s="603">
        <v>5</v>
      </c>
      <c r="K314" s="603">
        <f>J53</f>
        <v>70</v>
      </c>
      <c r="L314" s="603">
        <f>K53</f>
        <v>-4.0999999999999996</v>
      </c>
      <c r="M314" s="603">
        <f>L53</f>
        <v>-2.1</v>
      </c>
      <c r="N314" s="603" t="str">
        <f>M53</f>
        <v>-</v>
      </c>
      <c r="O314" s="603">
        <f>N53</f>
        <v>0.99999999999999978</v>
      </c>
      <c r="Q314" s="860"/>
      <c r="R314" s="603">
        <v>5</v>
      </c>
      <c r="S314" s="603">
        <f>Q53</f>
        <v>1000</v>
      </c>
      <c r="T314" s="603" t="str">
        <f>R53</f>
        <v>-</v>
      </c>
      <c r="U314" s="603" t="str">
        <f>S53</f>
        <v>-</v>
      </c>
      <c r="V314" s="603" t="str">
        <f>T53</f>
        <v>-</v>
      </c>
      <c r="W314" s="646">
        <f>U53</f>
        <v>0</v>
      </c>
      <c r="AE314" s="639"/>
    </row>
    <row r="315" spans="1:31" ht="13" hidden="1" x14ac:dyDescent="0.3">
      <c r="A315" s="860"/>
      <c r="B315" s="603">
        <v>6</v>
      </c>
      <c r="C315" s="603">
        <f>C64</f>
        <v>35</v>
      </c>
      <c r="D315" s="603">
        <f>D64</f>
        <v>0.1</v>
      </c>
      <c r="E315" s="603">
        <f>E64</f>
        <v>-0.9</v>
      </c>
      <c r="F315" s="603" t="str">
        <f>F64</f>
        <v>-</v>
      </c>
      <c r="G315" s="603">
        <f>G64</f>
        <v>0.5</v>
      </c>
      <c r="I315" s="860"/>
      <c r="J315" s="603">
        <v>6</v>
      </c>
      <c r="K315" s="603">
        <f>J64</f>
        <v>70</v>
      </c>
      <c r="L315" s="603">
        <f>K64</f>
        <v>-6.7</v>
      </c>
      <c r="M315" s="603">
        <f>L64</f>
        <v>0.9</v>
      </c>
      <c r="N315" s="603" t="str">
        <f>M64</f>
        <v>-</v>
      </c>
      <c r="O315" s="603">
        <f>N64</f>
        <v>3.8000000000000003</v>
      </c>
      <c r="Q315" s="860"/>
      <c r="R315" s="603">
        <v>6</v>
      </c>
      <c r="S315" s="603">
        <f>Q64</f>
        <v>1000</v>
      </c>
      <c r="T315" s="603">
        <f>R64</f>
        <v>0.9</v>
      </c>
      <c r="U315" s="603">
        <f>S64</f>
        <v>-0.3</v>
      </c>
      <c r="V315" s="603" t="str">
        <f>T64</f>
        <v>-</v>
      </c>
      <c r="W315" s="646">
        <f>U64</f>
        <v>0.6</v>
      </c>
      <c r="AE315" s="639"/>
    </row>
    <row r="316" spans="1:31" ht="13" hidden="1" x14ac:dyDescent="0.3">
      <c r="A316" s="860"/>
      <c r="B316" s="603">
        <v>7</v>
      </c>
      <c r="C316" s="603">
        <f>C75</f>
        <v>35</v>
      </c>
      <c r="D316" s="603">
        <f>D75</f>
        <v>9.9999999999999995E-7</v>
      </c>
      <c r="E316" s="603">
        <f>E75</f>
        <v>-1.1000000000000001</v>
      </c>
      <c r="F316" s="603" t="str">
        <f>F75</f>
        <v>-</v>
      </c>
      <c r="G316" s="603">
        <f>G75</f>
        <v>0.5500005</v>
      </c>
      <c r="I316" s="860"/>
      <c r="J316" s="603">
        <v>7</v>
      </c>
      <c r="K316" s="603">
        <f>J75</f>
        <v>70</v>
      </c>
      <c r="L316" s="603">
        <f>K75</f>
        <v>-2.2999999999999998</v>
      </c>
      <c r="M316" s="603">
        <f>L75</f>
        <v>0.9</v>
      </c>
      <c r="N316" s="603" t="str">
        <f>M75</f>
        <v>-</v>
      </c>
      <c r="O316" s="603">
        <f>N75</f>
        <v>1.5999999999999999</v>
      </c>
      <c r="Q316" s="860"/>
      <c r="R316" s="603">
        <v>7</v>
      </c>
      <c r="S316" s="603">
        <f>Q75</f>
        <v>1000</v>
      </c>
      <c r="T316" s="603">
        <f>R75</f>
        <v>-3.9</v>
      </c>
      <c r="U316" s="603">
        <f>S75</f>
        <v>-0.4</v>
      </c>
      <c r="V316" s="603" t="str">
        <f>T75</f>
        <v>-</v>
      </c>
      <c r="W316" s="646">
        <f>U75</f>
        <v>1.75</v>
      </c>
      <c r="AE316" s="639"/>
    </row>
    <row r="317" spans="1:31" ht="13" hidden="1" x14ac:dyDescent="0.3">
      <c r="A317" s="860"/>
      <c r="B317" s="603">
        <v>8</v>
      </c>
      <c r="C317" s="603">
        <f>C86</f>
        <v>35</v>
      </c>
      <c r="D317" s="603">
        <f>D86</f>
        <v>-0.1</v>
      </c>
      <c r="E317" s="603">
        <f>E86</f>
        <v>-0.5</v>
      </c>
      <c r="F317" s="603" t="str">
        <f>F86</f>
        <v>-</v>
      </c>
      <c r="G317" s="603">
        <f>G86</f>
        <v>0.2</v>
      </c>
      <c r="I317" s="860"/>
      <c r="J317" s="603">
        <v>8</v>
      </c>
      <c r="K317" s="603">
        <f>J86</f>
        <v>70</v>
      </c>
      <c r="L317" s="603">
        <f>K86</f>
        <v>-4.0999999999999996</v>
      </c>
      <c r="M317" s="603">
        <f>L86</f>
        <v>-1.2</v>
      </c>
      <c r="N317" s="603" t="str">
        <f>M86</f>
        <v>-</v>
      </c>
      <c r="O317" s="603">
        <f>N86</f>
        <v>1.4499999999999997</v>
      </c>
      <c r="Q317" s="860"/>
      <c r="R317" s="603">
        <v>8</v>
      </c>
      <c r="S317" s="603">
        <f>Q86</f>
        <v>1000</v>
      </c>
      <c r="T317" s="603">
        <f>R86</f>
        <v>-3.5</v>
      </c>
      <c r="U317" s="603">
        <f>S86</f>
        <v>0.2</v>
      </c>
      <c r="V317" s="603" t="str">
        <f>T86</f>
        <v>-</v>
      </c>
      <c r="W317" s="646">
        <f>U86</f>
        <v>1.85</v>
      </c>
      <c r="AE317" s="639"/>
    </row>
    <row r="318" spans="1:31" ht="13" hidden="1" x14ac:dyDescent="0.3">
      <c r="A318" s="860"/>
      <c r="B318" s="603">
        <v>9</v>
      </c>
      <c r="C318" s="603">
        <f>C97</f>
        <v>35</v>
      </c>
      <c r="D318" s="603">
        <f>D97</f>
        <v>-0.5</v>
      </c>
      <c r="E318" s="603" t="str">
        <f>E97</f>
        <v>-</v>
      </c>
      <c r="F318" s="603" t="str">
        <f>F97</f>
        <v>-</v>
      </c>
      <c r="G318" s="603">
        <f>G97</f>
        <v>0</v>
      </c>
      <c r="I318" s="860"/>
      <c r="J318" s="603">
        <v>9</v>
      </c>
      <c r="K318" s="603">
        <f>J97</f>
        <v>70</v>
      </c>
      <c r="L318" s="603">
        <f>K97</f>
        <v>-0.6</v>
      </c>
      <c r="M318" s="603" t="str">
        <f>L97</f>
        <v>-</v>
      </c>
      <c r="N318" s="603" t="str">
        <f>M97</f>
        <v>-</v>
      </c>
      <c r="O318" s="603">
        <f>N97</f>
        <v>0</v>
      </c>
      <c r="Q318" s="860"/>
      <c r="R318" s="603">
        <v>9</v>
      </c>
      <c r="S318" s="603">
        <f>Q97</f>
        <v>1000</v>
      </c>
      <c r="T318" s="603">
        <f>R97</f>
        <v>0.2</v>
      </c>
      <c r="U318" s="603" t="str">
        <f>S97</f>
        <v>-</v>
      </c>
      <c r="V318" s="603" t="str">
        <f>T97</f>
        <v>-</v>
      </c>
      <c r="W318" s="646">
        <f>U97</f>
        <v>0</v>
      </c>
      <c r="AE318" s="639"/>
    </row>
    <row r="319" spans="1:31" ht="13" hidden="1" x14ac:dyDescent="0.3">
      <c r="A319" s="860"/>
      <c r="B319" s="603">
        <v>10</v>
      </c>
      <c r="C319" s="603">
        <f>C108</f>
        <v>35</v>
      </c>
      <c r="D319" s="603">
        <f>D108</f>
        <v>0.2</v>
      </c>
      <c r="E319" s="603">
        <f>E108</f>
        <v>0.8</v>
      </c>
      <c r="F319" s="603" t="str">
        <f>F108</f>
        <v>-</v>
      </c>
      <c r="G319" s="603">
        <f>G108</f>
        <v>0.30000000000000004</v>
      </c>
      <c r="I319" s="860"/>
      <c r="J319" s="603">
        <v>10</v>
      </c>
      <c r="K319" s="603">
        <f>J108</f>
        <v>70</v>
      </c>
      <c r="L319" s="603">
        <f>K108</f>
        <v>-0.3</v>
      </c>
      <c r="M319" s="603">
        <f>L108</f>
        <v>-5.0999999999999996</v>
      </c>
      <c r="N319" s="603" t="str">
        <f>M108</f>
        <v>-</v>
      </c>
      <c r="O319" s="603">
        <f>N108</f>
        <v>2.4</v>
      </c>
      <c r="Q319" s="860"/>
      <c r="R319" s="603">
        <v>10</v>
      </c>
      <c r="S319" s="603">
        <f>Q108</f>
        <v>1000</v>
      </c>
      <c r="T319" s="603" t="str">
        <f>R108</f>
        <v>-</v>
      </c>
      <c r="U319" s="603" t="str">
        <f>S108</f>
        <v>-</v>
      </c>
      <c r="V319" s="603" t="str">
        <f>T108</f>
        <v>-</v>
      </c>
      <c r="W319" s="646">
        <f>U108</f>
        <v>0</v>
      </c>
      <c r="AE319" s="639"/>
    </row>
    <row r="320" spans="1:31" ht="13" hidden="1" x14ac:dyDescent="0.3">
      <c r="A320" s="860"/>
      <c r="B320" s="603">
        <v>11</v>
      </c>
      <c r="C320" s="603">
        <f>C119</f>
        <v>35</v>
      </c>
      <c r="D320" s="603">
        <f>D119</f>
        <v>0.5</v>
      </c>
      <c r="E320" s="603">
        <f>E119</f>
        <v>0.4</v>
      </c>
      <c r="F320" s="603" t="str">
        <f>F119</f>
        <v>-</v>
      </c>
      <c r="G320" s="603">
        <f>G119</f>
        <v>4.9999999999999989E-2</v>
      </c>
      <c r="I320" s="860"/>
      <c r="J320" s="603">
        <v>11</v>
      </c>
      <c r="K320" s="603">
        <f>J119</f>
        <v>70</v>
      </c>
      <c r="L320" s="603">
        <f>K119</f>
        <v>-3.4</v>
      </c>
      <c r="M320" s="603">
        <f>L119</f>
        <v>-1.7</v>
      </c>
      <c r="N320" s="603" t="str">
        <f>M119</f>
        <v>-</v>
      </c>
      <c r="O320" s="603">
        <f>N119</f>
        <v>0.85</v>
      </c>
      <c r="Q320" s="860"/>
      <c r="R320" s="603">
        <v>11</v>
      </c>
      <c r="S320" s="603">
        <f>Q119</f>
        <v>1000</v>
      </c>
      <c r="T320" s="603" t="str">
        <f>R119</f>
        <v>-</v>
      </c>
      <c r="U320" s="603" t="str">
        <f>S119</f>
        <v>-</v>
      </c>
      <c r="V320" s="603" t="str">
        <f>T119</f>
        <v>-</v>
      </c>
      <c r="W320" s="646">
        <f>U119</f>
        <v>0</v>
      </c>
      <c r="AE320" s="639"/>
    </row>
    <row r="321" spans="1:31" ht="13" hidden="1" x14ac:dyDescent="0.3">
      <c r="A321" s="860"/>
      <c r="B321" s="603">
        <v>12</v>
      </c>
      <c r="C321" s="603">
        <f>C130</f>
        <v>35</v>
      </c>
      <c r="D321" s="603">
        <f>D130</f>
        <v>-0.2</v>
      </c>
      <c r="E321" s="603" t="str">
        <f>E130</f>
        <v>-</v>
      </c>
      <c r="F321" s="603" t="str">
        <f>F130</f>
        <v>-</v>
      </c>
      <c r="G321" s="603">
        <f>G130</f>
        <v>0</v>
      </c>
      <c r="I321" s="860"/>
      <c r="J321" s="603">
        <v>12</v>
      </c>
      <c r="K321" s="603">
        <f>J130</f>
        <v>70</v>
      </c>
      <c r="L321" s="603">
        <f>K130</f>
        <v>-0.1</v>
      </c>
      <c r="M321" s="603" t="str">
        <f>L130</f>
        <v>-</v>
      </c>
      <c r="N321" s="603" t="str">
        <f>M130</f>
        <v>-</v>
      </c>
      <c r="O321" s="603">
        <f>N130</f>
        <v>0</v>
      </c>
      <c r="Q321" s="860"/>
      <c r="R321" s="603">
        <v>12</v>
      </c>
      <c r="S321" s="603">
        <f>Q130</f>
        <v>1000</v>
      </c>
      <c r="T321" s="603">
        <f>R130</f>
        <v>-0.8</v>
      </c>
      <c r="U321" s="603" t="str">
        <f>S130</f>
        <v>-</v>
      </c>
      <c r="V321" s="603" t="str">
        <f>T130</f>
        <v>-</v>
      </c>
      <c r="W321" s="646">
        <f>U130</f>
        <v>0</v>
      </c>
      <c r="AE321" s="639"/>
    </row>
    <row r="322" spans="1:31" ht="13" hidden="1" x14ac:dyDescent="0.3">
      <c r="A322" s="860"/>
      <c r="B322" s="603">
        <v>13</v>
      </c>
      <c r="C322" s="603">
        <f>C141</f>
        <v>35</v>
      </c>
      <c r="D322" s="603">
        <f>D141</f>
        <v>-0.2</v>
      </c>
      <c r="E322" s="603">
        <f>E141</f>
        <v>0.3</v>
      </c>
      <c r="F322" s="603" t="str">
        <f>F141</f>
        <v>-</v>
      </c>
      <c r="G322" s="603">
        <f>G141</f>
        <v>0.25</v>
      </c>
      <c r="I322" s="860"/>
      <c r="J322" s="603">
        <v>13</v>
      </c>
      <c r="K322" s="603">
        <f>J141</f>
        <v>70</v>
      </c>
      <c r="L322" s="603">
        <f>K141</f>
        <v>-1.4</v>
      </c>
      <c r="M322" s="603">
        <f>L141</f>
        <v>-1.9</v>
      </c>
      <c r="N322" s="603" t="str">
        <f>M141</f>
        <v>-</v>
      </c>
      <c r="O322" s="603">
        <f>N141</f>
        <v>0.25</v>
      </c>
      <c r="Q322" s="860"/>
      <c r="R322" s="603">
        <v>13</v>
      </c>
      <c r="S322" s="603">
        <f>Q141</f>
        <v>1005</v>
      </c>
      <c r="T322" s="603">
        <f>R141</f>
        <v>3.6</v>
      </c>
      <c r="U322" s="603">
        <f>S141</f>
        <v>1.1000000000000001</v>
      </c>
      <c r="V322" s="603" t="str">
        <f>T141</f>
        <v>-</v>
      </c>
      <c r="W322" s="646">
        <f>U141</f>
        <v>1.25</v>
      </c>
      <c r="AE322" s="639"/>
    </row>
    <row r="323" spans="1:31" ht="13" hidden="1" x14ac:dyDescent="0.3">
      <c r="A323" s="860"/>
      <c r="B323" s="603">
        <v>14</v>
      </c>
      <c r="C323" s="603">
        <f>C152</f>
        <v>35</v>
      </c>
      <c r="D323" s="603">
        <f>D152</f>
        <v>-0.6</v>
      </c>
      <c r="E323" s="603">
        <f>E152</f>
        <v>-0.6</v>
      </c>
      <c r="F323" s="603" t="str">
        <f>F152</f>
        <v>-</v>
      </c>
      <c r="G323" s="603">
        <f>G152</f>
        <v>0</v>
      </c>
      <c r="I323" s="860"/>
      <c r="J323" s="603">
        <v>14</v>
      </c>
      <c r="K323" s="603">
        <f>J152</f>
        <v>70</v>
      </c>
      <c r="L323" s="603">
        <f>K152</f>
        <v>0.7</v>
      </c>
      <c r="M323" s="603">
        <f>L152</f>
        <v>-0.8</v>
      </c>
      <c r="N323" s="603" t="str">
        <f>M152</f>
        <v>-</v>
      </c>
      <c r="O323" s="603">
        <f>N152</f>
        <v>0.75</v>
      </c>
      <c r="Q323" s="860"/>
      <c r="R323" s="603">
        <v>14</v>
      </c>
      <c r="S323" s="603">
        <f>Q152</f>
        <v>1005</v>
      </c>
      <c r="T323" s="603">
        <f>R152</f>
        <v>3.8</v>
      </c>
      <c r="U323" s="603">
        <f>S152</f>
        <v>1.1000000000000001</v>
      </c>
      <c r="V323" s="603" t="str">
        <f>T152</f>
        <v>-</v>
      </c>
      <c r="W323" s="646">
        <f>U152</f>
        <v>1.3499999999999999</v>
      </c>
      <c r="AE323" s="639"/>
    </row>
    <row r="324" spans="1:31" ht="13" hidden="1" x14ac:dyDescent="0.3">
      <c r="A324" s="860"/>
      <c r="B324" s="603">
        <v>15</v>
      </c>
      <c r="C324" s="603">
        <f>C163</f>
        <v>35</v>
      </c>
      <c r="D324" s="603">
        <f>D163</f>
        <v>0.8</v>
      </c>
      <c r="E324" s="603">
        <f>E163</f>
        <v>-0.1</v>
      </c>
      <c r="F324" s="603" t="str">
        <f>F163</f>
        <v>-</v>
      </c>
      <c r="G324" s="603">
        <f>G163</f>
        <v>0.45</v>
      </c>
      <c r="I324" s="860"/>
      <c r="J324" s="603">
        <v>15</v>
      </c>
      <c r="K324" s="603">
        <f>J163</f>
        <v>70</v>
      </c>
      <c r="L324" s="603">
        <f>K163</f>
        <v>-0.7</v>
      </c>
      <c r="M324" s="603">
        <f>L163</f>
        <v>-0.8</v>
      </c>
      <c r="N324" s="603" t="str">
        <f>M163</f>
        <v>-</v>
      </c>
      <c r="O324" s="603">
        <f>N163</f>
        <v>5.0000000000000044E-2</v>
      </c>
      <c r="Q324" s="860"/>
      <c r="R324" s="603">
        <v>15</v>
      </c>
      <c r="S324" s="603">
        <f>Q163</f>
        <v>1005</v>
      </c>
      <c r="T324" s="603">
        <f>R163</f>
        <v>4</v>
      </c>
      <c r="U324" s="603">
        <f>S163</f>
        <v>1.1000000000000001</v>
      </c>
      <c r="V324" s="603" t="str">
        <f>T163</f>
        <v>-</v>
      </c>
      <c r="W324" s="646">
        <f>U163</f>
        <v>1.45</v>
      </c>
      <c r="AE324" s="639"/>
    </row>
    <row r="325" spans="1:31" ht="13" hidden="1" x14ac:dyDescent="0.3">
      <c r="A325" s="860"/>
      <c r="B325" s="603">
        <v>16</v>
      </c>
      <c r="C325" s="603">
        <f>C174</f>
        <v>35</v>
      </c>
      <c r="D325" s="603">
        <f>D174</f>
        <v>0.1</v>
      </c>
      <c r="E325" s="603" t="str">
        <f>E174</f>
        <v>-</v>
      </c>
      <c r="F325" s="603" t="str">
        <f>F174</f>
        <v>-</v>
      </c>
      <c r="G325" s="603">
        <f>G174</f>
        <v>0</v>
      </c>
      <c r="I325" s="860"/>
      <c r="J325" s="603">
        <v>16</v>
      </c>
      <c r="K325" s="603">
        <f>J174</f>
        <v>70</v>
      </c>
      <c r="L325" s="603">
        <f>K174</f>
        <v>-1.8</v>
      </c>
      <c r="M325" s="603" t="str">
        <f>L174</f>
        <v>-</v>
      </c>
      <c r="N325" s="603" t="str">
        <f>M174</f>
        <v>-</v>
      </c>
      <c r="O325" s="603">
        <f>N174</f>
        <v>0</v>
      </c>
      <c r="Q325" s="860"/>
      <c r="R325" s="603">
        <v>16</v>
      </c>
      <c r="S325" s="603">
        <f>Q174</f>
        <v>1000</v>
      </c>
      <c r="T325" s="603">
        <f>R174</f>
        <v>-0.4</v>
      </c>
      <c r="U325" s="603" t="str">
        <f>S174</f>
        <v>-</v>
      </c>
      <c r="V325" s="603" t="str">
        <f>T174</f>
        <v>-</v>
      </c>
      <c r="W325" s="646">
        <f>U174</f>
        <v>0</v>
      </c>
      <c r="AE325" s="639"/>
    </row>
    <row r="326" spans="1:31" ht="13" hidden="1" x14ac:dyDescent="0.3">
      <c r="A326" s="860"/>
      <c r="B326" s="603">
        <v>17</v>
      </c>
      <c r="C326" s="603">
        <f>C185</f>
        <v>35</v>
      </c>
      <c r="D326" s="603">
        <f>D185</f>
        <v>-0.5</v>
      </c>
      <c r="E326" s="603" t="str">
        <f>E185</f>
        <v>-</v>
      </c>
      <c r="F326" s="603" t="str">
        <f>F185</f>
        <v>-</v>
      </c>
      <c r="G326" s="603">
        <f>G185</f>
        <v>0</v>
      </c>
      <c r="I326" s="860"/>
      <c r="J326" s="603">
        <v>17</v>
      </c>
      <c r="K326" s="603">
        <f>J185</f>
        <v>70</v>
      </c>
      <c r="L326" s="603">
        <f>K185</f>
        <v>-0.3</v>
      </c>
      <c r="M326" s="603" t="str">
        <f>L185</f>
        <v>-</v>
      </c>
      <c r="N326" s="603" t="str">
        <f>M185</f>
        <v>-</v>
      </c>
      <c r="O326" s="603">
        <f>N185</f>
        <v>0</v>
      </c>
      <c r="Q326" s="860"/>
      <c r="R326" s="603">
        <v>17</v>
      </c>
      <c r="S326" s="603">
        <f>Q185</f>
        <v>1000</v>
      </c>
      <c r="T326" s="603">
        <f>R185</f>
        <v>-0.6</v>
      </c>
      <c r="U326" s="603" t="str">
        <f>S185</f>
        <v>-</v>
      </c>
      <c r="V326" s="603" t="str">
        <f>T185</f>
        <v>-</v>
      </c>
      <c r="W326" s="646">
        <f>U185</f>
        <v>0</v>
      </c>
      <c r="AE326" s="639"/>
    </row>
    <row r="327" spans="1:31" ht="13" hidden="1" x14ac:dyDescent="0.3">
      <c r="A327" s="860"/>
      <c r="B327" s="603">
        <v>18</v>
      </c>
      <c r="C327" s="603">
        <f>C196</f>
        <v>35</v>
      </c>
      <c r="D327" s="603">
        <f>D196</f>
        <v>-0.3</v>
      </c>
      <c r="E327" s="603" t="str">
        <f>E196</f>
        <v>-</v>
      </c>
      <c r="F327" s="603" t="str">
        <f>F196</f>
        <v>-</v>
      </c>
      <c r="G327" s="603">
        <f>G196</f>
        <v>0</v>
      </c>
      <c r="I327" s="860"/>
      <c r="J327" s="603">
        <v>18</v>
      </c>
      <c r="K327" s="603">
        <f>J196</f>
        <v>70</v>
      </c>
      <c r="L327" s="603">
        <f>K196</f>
        <v>-0.3</v>
      </c>
      <c r="M327" s="603" t="str">
        <f>L196</f>
        <v>-</v>
      </c>
      <c r="N327" s="603" t="str">
        <f>M196</f>
        <v>-</v>
      </c>
      <c r="O327" s="603">
        <f>N196</f>
        <v>0</v>
      </c>
      <c r="Q327" s="860"/>
      <c r="R327" s="603">
        <v>18</v>
      </c>
      <c r="S327" s="603">
        <f>Q196</f>
        <v>1000</v>
      </c>
      <c r="T327" s="603">
        <f>R196</f>
        <v>-0.8</v>
      </c>
      <c r="U327" s="603" t="str">
        <f>S196</f>
        <v>-</v>
      </c>
      <c r="V327" s="603" t="str">
        <f>T196</f>
        <v>-</v>
      </c>
      <c r="W327" s="646">
        <f>U196</f>
        <v>0</v>
      </c>
      <c r="AE327" s="639"/>
    </row>
    <row r="328" spans="1:31" ht="13" hidden="1" x14ac:dyDescent="0.3">
      <c r="A328" s="860"/>
      <c r="B328" s="603">
        <v>19</v>
      </c>
      <c r="C328" s="603">
        <f>C207</f>
        <v>35</v>
      </c>
      <c r="D328" s="603">
        <f>D207</f>
        <v>-0.1</v>
      </c>
      <c r="E328" s="603" t="str">
        <f>E207</f>
        <v>-</v>
      </c>
      <c r="F328" s="603" t="str">
        <f>F207</f>
        <v>-</v>
      </c>
      <c r="G328" s="603">
        <f>G207</f>
        <v>0</v>
      </c>
      <c r="I328" s="860"/>
      <c r="J328" s="603">
        <v>19</v>
      </c>
      <c r="K328" s="603">
        <f>J207</f>
        <v>70</v>
      </c>
      <c r="L328" s="603">
        <f>K207</f>
        <v>-0.7</v>
      </c>
      <c r="M328" s="603" t="str">
        <f>L207</f>
        <v>-</v>
      </c>
      <c r="N328" s="603" t="str">
        <f>M207</f>
        <v>-</v>
      </c>
      <c r="O328" s="603">
        <f>N207</f>
        <v>0</v>
      </c>
      <c r="Q328" s="860"/>
      <c r="R328" s="603">
        <v>19</v>
      </c>
      <c r="S328" s="603">
        <f>Q207</f>
        <v>1000</v>
      </c>
      <c r="T328" s="603">
        <f>R207</f>
        <v>2.2000000000000002</v>
      </c>
      <c r="U328" s="603" t="str">
        <f>S207</f>
        <v>-</v>
      </c>
      <c r="V328" s="603" t="str">
        <f>T207</f>
        <v>-</v>
      </c>
      <c r="W328" s="646">
        <f>U207</f>
        <v>0</v>
      </c>
      <c r="AE328" s="639"/>
    </row>
    <row r="329" spans="1:31" ht="13.5" hidden="1" thickBot="1" x14ac:dyDescent="0.35">
      <c r="A329" s="860"/>
      <c r="B329" s="603">
        <v>20</v>
      </c>
      <c r="C329" s="603">
        <f>C218</f>
        <v>34.5</v>
      </c>
      <c r="D329" s="603">
        <f>D218</f>
        <v>9.9999999999999995E-7</v>
      </c>
      <c r="E329" s="603" t="str">
        <f>E218</f>
        <v>-</v>
      </c>
      <c r="F329" s="603" t="str">
        <f>F218</f>
        <v>-</v>
      </c>
      <c r="G329" s="603">
        <f>G218</f>
        <v>0</v>
      </c>
      <c r="I329" s="860"/>
      <c r="J329" s="603">
        <v>20</v>
      </c>
      <c r="K329" s="603">
        <f>J218</f>
        <v>80.8</v>
      </c>
      <c r="L329" s="603">
        <f>K218</f>
        <v>9.9999999999999995E-7</v>
      </c>
      <c r="M329" s="603" t="str">
        <f>L218</f>
        <v>-</v>
      </c>
      <c r="N329" s="603" t="str">
        <f>M218</f>
        <v>-</v>
      </c>
      <c r="O329" s="603">
        <f>N218</f>
        <v>0</v>
      </c>
      <c r="Q329" s="862"/>
      <c r="R329" s="645">
        <v>20</v>
      </c>
      <c r="S329" s="645">
        <f>Q218</f>
        <v>1000</v>
      </c>
      <c r="T329" s="645">
        <f>R218</f>
        <v>9.9999999999999995E-7</v>
      </c>
      <c r="U329" s="645" t="str">
        <f>S218</f>
        <v>-</v>
      </c>
      <c r="V329" s="645" t="str">
        <f>T218</f>
        <v>-</v>
      </c>
      <c r="W329" s="644">
        <f>U218</f>
        <v>0</v>
      </c>
      <c r="AE329" s="643"/>
    </row>
    <row r="330" spans="1:31" ht="13" hidden="1" x14ac:dyDescent="0.3">
      <c r="A330" s="620"/>
      <c r="B330" s="620"/>
      <c r="C330" s="620"/>
      <c r="D330" s="620"/>
      <c r="E330" s="620"/>
      <c r="F330" s="654"/>
      <c r="G330" s="620"/>
      <c r="I330" s="620"/>
      <c r="J330" s="620"/>
      <c r="K330" s="620"/>
      <c r="L330" s="620"/>
      <c r="M330" s="620"/>
      <c r="N330" s="654"/>
      <c r="O330" s="620"/>
      <c r="Q330" s="655"/>
      <c r="R330" s="652"/>
      <c r="S330" s="651"/>
      <c r="T330" s="651"/>
      <c r="U330" s="651"/>
      <c r="W330" s="650"/>
      <c r="AE330" s="639"/>
    </row>
    <row r="331" spans="1:31" ht="13" hidden="1" x14ac:dyDescent="0.3">
      <c r="A331" s="860">
        <v>6</v>
      </c>
      <c r="B331" s="603">
        <v>1</v>
      </c>
      <c r="C331" s="603">
        <f>C10</f>
        <v>37</v>
      </c>
      <c r="D331" s="603">
        <f>D10</f>
        <v>-0.2</v>
      </c>
      <c r="E331" s="603">
        <f>E10</f>
        <v>-0.6</v>
      </c>
      <c r="F331" s="603" t="str">
        <f>F10</f>
        <v>-</v>
      </c>
      <c r="G331" s="603">
        <f>G10</f>
        <v>0.19999999999999998</v>
      </c>
      <c r="I331" s="860">
        <v>6</v>
      </c>
      <c r="J331" s="603">
        <v>1</v>
      </c>
      <c r="K331" s="603">
        <f>J10</f>
        <v>80</v>
      </c>
      <c r="L331" s="603">
        <f>K10</f>
        <v>-3.2</v>
      </c>
      <c r="M331" s="603">
        <f>L10</f>
        <v>0.7</v>
      </c>
      <c r="N331" s="603" t="str">
        <f>M10</f>
        <v>-</v>
      </c>
      <c r="O331" s="603">
        <f>N10</f>
        <v>1.9500000000000002</v>
      </c>
      <c r="Q331" s="861">
        <v>6</v>
      </c>
      <c r="R331" s="649">
        <v>1</v>
      </c>
      <c r="S331" s="649">
        <f>Q10</f>
        <v>1005</v>
      </c>
      <c r="T331" s="649" t="str">
        <f>R10</f>
        <v>-</v>
      </c>
      <c r="U331" s="649" t="str">
        <f>S10</f>
        <v>-</v>
      </c>
      <c r="V331" s="649" t="str">
        <f>T10</f>
        <v>-</v>
      </c>
      <c r="W331" s="648">
        <f>U10</f>
        <v>0</v>
      </c>
      <c r="AE331" s="647"/>
    </row>
    <row r="332" spans="1:31" ht="13" hidden="1" x14ac:dyDescent="0.3">
      <c r="A332" s="860"/>
      <c r="B332" s="603">
        <v>2</v>
      </c>
      <c r="C332" s="603">
        <f>C21</f>
        <v>37</v>
      </c>
      <c r="D332" s="603">
        <f>D21</f>
        <v>-0.2</v>
      </c>
      <c r="E332" s="603">
        <f>E21</f>
        <v>-0.3</v>
      </c>
      <c r="F332" s="603" t="str">
        <f>F21</f>
        <v>-</v>
      </c>
      <c r="G332" s="603">
        <f>G21</f>
        <v>4.9999999999999989E-2</v>
      </c>
      <c r="I332" s="860"/>
      <c r="J332" s="603">
        <v>2</v>
      </c>
      <c r="K332" s="603">
        <f>J21</f>
        <v>80</v>
      </c>
      <c r="L332" s="603">
        <f>K21</f>
        <v>-0.5</v>
      </c>
      <c r="M332" s="603">
        <f>L21</f>
        <v>-0.7</v>
      </c>
      <c r="N332" s="603" t="str">
        <f>M21</f>
        <v>-</v>
      </c>
      <c r="O332" s="603">
        <f>N21</f>
        <v>9.9999999999999978E-2</v>
      </c>
      <c r="Q332" s="860"/>
      <c r="R332" s="603">
        <v>2</v>
      </c>
      <c r="S332" s="603">
        <f>Q21</f>
        <v>1005</v>
      </c>
      <c r="T332" s="603" t="str">
        <f>R21</f>
        <v>-</v>
      </c>
      <c r="U332" s="603" t="str">
        <f>S21</f>
        <v>-</v>
      </c>
      <c r="V332" s="603" t="str">
        <f>T21</f>
        <v>-</v>
      </c>
      <c r="W332" s="646">
        <f>U21</f>
        <v>0</v>
      </c>
      <c r="AE332" s="639"/>
    </row>
    <row r="333" spans="1:31" ht="13" hidden="1" x14ac:dyDescent="0.3">
      <c r="A333" s="860"/>
      <c r="B333" s="603">
        <v>3</v>
      </c>
      <c r="C333" s="603">
        <f>C32</f>
        <v>37</v>
      </c>
      <c r="D333" s="603">
        <f>D32</f>
        <v>-0.2</v>
      </c>
      <c r="E333" s="603">
        <f>E32</f>
        <v>-0.6</v>
      </c>
      <c r="F333" s="603" t="str">
        <f>F32</f>
        <v>-</v>
      </c>
      <c r="G333" s="603">
        <f>G32</f>
        <v>0.19999999999999998</v>
      </c>
      <c r="I333" s="860"/>
      <c r="J333" s="603">
        <v>3</v>
      </c>
      <c r="K333" s="603">
        <f>J32</f>
        <v>80</v>
      </c>
      <c r="L333" s="603">
        <f>K32</f>
        <v>-0.8</v>
      </c>
      <c r="M333" s="603">
        <f>L32</f>
        <v>-2.9</v>
      </c>
      <c r="N333" s="603" t="str">
        <f>M32</f>
        <v>-</v>
      </c>
      <c r="O333" s="603">
        <f>N32</f>
        <v>1.0499999999999998</v>
      </c>
      <c r="Q333" s="860"/>
      <c r="R333" s="603">
        <v>3</v>
      </c>
      <c r="S333" s="603">
        <f>Q32</f>
        <v>1005</v>
      </c>
      <c r="T333" s="603" t="str">
        <f>R32</f>
        <v>-</v>
      </c>
      <c r="U333" s="603" t="str">
        <f>S32</f>
        <v>-</v>
      </c>
      <c r="V333" s="603" t="str">
        <f>T32</f>
        <v>-</v>
      </c>
      <c r="W333" s="646">
        <f>U32</f>
        <v>0</v>
      </c>
      <c r="AE333" s="639"/>
    </row>
    <row r="334" spans="1:31" ht="13" hidden="1" x14ac:dyDescent="0.3">
      <c r="A334" s="860"/>
      <c r="B334" s="603">
        <v>4</v>
      </c>
      <c r="C334" s="603">
        <f>C43</f>
        <v>37</v>
      </c>
      <c r="D334" s="603">
        <f>D43</f>
        <v>-0.4</v>
      </c>
      <c r="E334" s="603">
        <f>E43</f>
        <v>-0.6</v>
      </c>
      <c r="F334" s="603" t="str">
        <f>F43</f>
        <v>-</v>
      </c>
      <c r="G334" s="603">
        <f>G43</f>
        <v>9.9999999999999978E-2</v>
      </c>
      <c r="I334" s="860"/>
      <c r="J334" s="603">
        <v>4</v>
      </c>
      <c r="K334" s="603">
        <f>J43</f>
        <v>80</v>
      </c>
      <c r="L334" s="603">
        <f>K43</f>
        <v>-3.8</v>
      </c>
      <c r="M334" s="603">
        <f>L43</f>
        <v>1.9</v>
      </c>
      <c r="N334" s="603" t="str">
        <f>M43</f>
        <v>-</v>
      </c>
      <c r="O334" s="603">
        <f>N43</f>
        <v>2.8499999999999996</v>
      </c>
      <c r="Q334" s="860"/>
      <c r="R334" s="603">
        <v>4</v>
      </c>
      <c r="S334" s="603">
        <f>Q43</f>
        <v>1005</v>
      </c>
      <c r="T334" s="603" t="str">
        <f>R43</f>
        <v>-</v>
      </c>
      <c r="U334" s="603" t="str">
        <f>S43</f>
        <v>-</v>
      </c>
      <c r="V334" s="603" t="str">
        <f>T43</f>
        <v>-</v>
      </c>
      <c r="W334" s="646">
        <f>U43</f>
        <v>0</v>
      </c>
      <c r="AE334" s="639"/>
    </row>
    <row r="335" spans="1:31" ht="13" hidden="1" x14ac:dyDescent="0.3">
      <c r="A335" s="860"/>
      <c r="B335" s="603">
        <v>5</v>
      </c>
      <c r="C335" s="603">
        <f>C54</f>
        <v>37</v>
      </c>
      <c r="D335" s="603">
        <f>D54</f>
        <v>0.7</v>
      </c>
      <c r="E335" s="603">
        <f>E54</f>
        <v>9.9999999999999995E-7</v>
      </c>
      <c r="F335" s="603" t="str">
        <f>F54</f>
        <v>-</v>
      </c>
      <c r="G335" s="603">
        <f>G54</f>
        <v>0.34999949999999996</v>
      </c>
      <c r="I335" s="860"/>
      <c r="J335" s="603">
        <v>5</v>
      </c>
      <c r="K335" s="603">
        <f>J54</f>
        <v>80</v>
      </c>
      <c r="L335" s="603">
        <f>K54</f>
        <v>-3</v>
      </c>
      <c r="M335" s="603">
        <f>L54</f>
        <v>0.2</v>
      </c>
      <c r="N335" s="603" t="str">
        <f>M54</f>
        <v>-</v>
      </c>
      <c r="O335" s="603">
        <f>N54</f>
        <v>1.6</v>
      </c>
      <c r="Q335" s="860"/>
      <c r="R335" s="603">
        <v>5</v>
      </c>
      <c r="S335" s="603">
        <f>Q54</f>
        <v>1005</v>
      </c>
      <c r="T335" s="603" t="str">
        <f>R54</f>
        <v>-</v>
      </c>
      <c r="U335" s="603" t="str">
        <f>S54</f>
        <v>-</v>
      </c>
      <c r="V335" s="603" t="str">
        <f>T54</f>
        <v>-</v>
      </c>
      <c r="W335" s="646">
        <f>U54</f>
        <v>0</v>
      </c>
      <c r="AE335" s="639"/>
    </row>
    <row r="336" spans="1:31" ht="13" hidden="1" x14ac:dyDescent="0.3">
      <c r="A336" s="860"/>
      <c r="B336" s="603">
        <v>6</v>
      </c>
      <c r="C336" s="603">
        <f>C65</f>
        <v>37</v>
      </c>
      <c r="D336" s="603">
        <f>D65</f>
        <v>0.1</v>
      </c>
      <c r="E336" s="603">
        <f>E65</f>
        <v>-1.1000000000000001</v>
      </c>
      <c r="F336" s="603" t="str">
        <f>F65</f>
        <v>-</v>
      </c>
      <c r="G336" s="603">
        <f>G65</f>
        <v>0.60000000000000009</v>
      </c>
      <c r="I336" s="860"/>
      <c r="J336" s="603">
        <v>6</v>
      </c>
      <c r="K336" s="603">
        <f>J65</f>
        <v>80</v>
      </c>
      <c r="L336" s="603">
        <f>K65</f>
        <v>-6.3</v>
      </c>
      <c r="M336" s="603">
        <f>L65</f>
        <v>0.8</v>
      </c>
      <c r="N336" s="603" t="str">
        <f>M65</f>
        <v>-</v>
      </c>
      <c r="O336" s="603">
        <f>N65</f>
        <v>3.55</v>
      </c>
      <c r="Q336" s="860"/>
      <c r="R336" s="603">
        <v>6</v>
      </c>
      <c r="S336" s="603">
        <f>Q65</f>
        <v>1005</v>
      </c>
      <c r="T336" s="603">
        <f>R65</f>
        <v>0.9</v>
      </c>
      <c r="U336" s="603">
        <f>S65</f>
        <v>-0.3</v>
      </c>
      <c r="V336" s="603" t="str">
        <f>T65</f>
        <v>-</v>
      </c>
      <c r="W336" s="646">
        <f>U65</f>
        <v>0.6</v>
      </c>
      <c r="AE336" s="639"/>
    </row>
    <row r="337" spans="1:31" ht="13" hidden="1" x14ac:dyDescent="0.3">
      <c r="A337" s="860"/>
      <c r="B337" s="603">
        <v>7</v>
      </c>
      <c r="C337" s="603">
        <f>C76</f>
        <v>37</v>
      </c>
      <c r="D337" s="603">
        <f>D76</f>
        <v>9.9999999999999995E-7</v>
      </c>
      <c r="E337" s="603">
        <f>E76</f>
        <v>-1.4</v>
      </c>
      <c r="F337" s="603" t="str">
        <f>F76</f>
        <v>-</v>
      </c>
      <c r="G337" s="603">
        <f>G76</f>
        <v>0.70000049999999991</v>
      </c>
      <c r="I337" s="860"/>
      <c r="J337" s="603">
        <v>7</v>
      </c>
      <c r="K337" s="603">
        <f>J76</f>
        <v>80</v>
      </c>
      <c r="L337" s="603">
        <f>K76</f>
        <v>-2.6</v>
      </c>
      <c r="M337" s="603">
        <f>L76</f>
        <v>1.2</v>
      </c>
      <c r="N337" s="603" t="str">
        <f>M76</f>
        <v>-</v>
      </c>
      <c r="O337" s="603">
        <f>N76</f>
        <v>1.9</v>
      </c>
      <c r="Q337" s="860"/>
      <c r="R337" s="603">
        <v>7</v>
      </c>
      <c r="S337" s="603">
        <f>Q76</f>
        <v>1005</v>
      </c>
      <c r="T337" s="603">
        <f>R76</f>
        <v>-3.8</v>
      </c>
      <c r="U337" s="603">
        <f>S76</f>
        <v>-0.5</v>
      </c>
      <c r="V337" s="603" t="str">
        <f>T76</f>
        <v>-</v>
      </c>
      <c r="W337" s="646">
        <f>U76</f>
        <v>1.65</v>
      </c>
      <c r="AE337" s="639"/>
    </row>
    <row r="338" spans="1:31" ht="13" hidden="1" x14ac:dyDescent="0.3">
      <c r="A338" s="860"/>
      <c r="B338" s="603">
        <v>8</v>
      </c>
      <c r="C338" s="603">
        <f>C87</f>
        <v>37</v>
      </c>
      <c r="D338" s="603">
        <f>D87</f>
        <v>-0.1</v>
      </c>
      <c r="E338" s="603">
        <f>E87</f>
        <v>-0.5</v>
      </c>
      <c r="F338" s="603" t="str">
        <f>F87</f>
        <v>-</v>
      </c>
      <c r="G338" s="603">
        <f>G87</f>
        <v>0.2</v>
      </c>
      <c r="I338" s="860"/>
      <c r="J338" s="603">
        <v>8</v>
      </c>
      <c r="K338" s="603">
        <f>J87</f>
        <v>80</v>
      </c>
      <c r="L338" s="603">
        <f>K87</f>
        <v>-4.5</v>
      </c>
      <c r="M338" s="603">
        <f>L87</f>
        <v>-1.2</v>
      </c>
      <c r="N338" s="603" t="str">
        <f>M87</f>
        <v>-</v>
      </c>
      <c r="O338" s="603">
        <f>N87</f>
        <v>1.65</v>
      </c>
      <c r="Q338" s="860"/>
      <c r="R338" s="603">
        <v>8</v>
      </c>
      <c r="S338" s="603">
        <f>Q87</f>
        <v>1005</v>
      </c>
      <c r="T338" s="603">
        <f>R87</f>
        <v>-3.4</v>
      </c>
      <c r="U338" s="603">
        <f>S87</f>
        <v>0.2</v>
      </c>
      <c r="V338" s="603" t="str">
        <f>T87</f>
        <v>-</v>
      </c>
      <c r="W338" s="646">
        <f>U87</f>
        <v>1.8</v>
      </c>
      <c r="AE338" s="639"/>
    </row>
    <row r="339" spans="1:31" ht="13" hidden="1" x14ac:dyDescent="0.3">
      <c r="A339" s="860"/>
      <c r="B339" s="603">
        <v>9</v>
      </c>
      <c r="C339" s="603">
        <f>C98</f>
        <v>37</v>
      </c>
      <c r="D339" s="603">
        <f>D98</f>
        <v>-0.5</v>
      </c>
      <c r="E339" s="603" t="str">
        <f>E98</f>
        <v>-</v>
      </c>
      <c r="F339" s="603" t="str">
        <f>F98</f>
        <v>-</v>
      </c>
      <c r="G339" s="603">
        <f>G98</f>
        <v>0</v>
      </c>
      <c r="I339" s="860"/>
      <c r="J339" s="603">
        <v>9</v>
      </c>
      <c r="K339" s="603">
        <f>J98</f>
        <v>80</v>
      </c>
      <c r="L339" s="603">
        <f>K98</f>
        <v>-0.5</v>
      </c>
      <c r="M339" s="603" t="str">
        <f>L98</f>
        <v>-</v>
      </c>
      <c r="N339" s="603" t="str">
        <f>M98</f>
        <v>-</v>
      </c>
      <c r="O339" s="603">
        <f>N98</f>
        <v>0</v>
      </c>
      <c r="Q339" s="860"/>
      <c r="R339" s="603">
        <v>9</v>
      </c>
      <c r="S339" s="603">
        <f>Q98</f>
        <v>1005</v>
      </c>
      <c r="T339" s="603">
        <f>R98</f>
        <v>0.2</v>
      </c>
      <c r="U339" s="603" t="str">
        <f>S98</f>
        <v>-</v>
      </c>
      <c r="V339" s="603" t="str">
        <f>T98</f>
        <v>-</v>
      </c>
      <c r="W339" s="646">
        <f>U98</f>
        <v>0</v>
      </c>
      <c r="AE339" s="639"/>
    </row>
    <row r="340" spans="1:31" ht="13" hidden="1" x14ac:dyDescent="0.3">
      <c r="A340" s="860"/>
      <c r="B340" s="603">
        <v>10</v>
      </c>
      <c r="C340" s="603">
        <f>C109</f>
        <v>37</v>
      </c>
      <c r="D340" s="603">
        <f>D109</f>
        <v>0.2</v>
      </c>
      <c r="E340" s="603">
        <f>E109</f>
        <v>0.4</v>
      </c>
      <c r="F340" s="603" t="str">
        <f>F109</f>
        <v>-</v>
      </c>
      <c r="G340" s="603">
        <f>G109</f>
        <v>0.1</v>
      </c>
      <c r="I340" s="860"/>
      <c r="J340" s="603">
        <v>10</v>
      </c>
      <c r="K340" s="603">
        <f>J109</f>
        <v>80</v>
      </c>
      <c r="L340" s="603">
        <f>K109</f>
        <v>2.2000000000000002</v>
      </c>
      <c r="M340" s="603">
        <f>L109</f>
        <v>-4.7</v>
      </c>
      <c r="N340" s="603" t="str">
        <f>M109</f>
        <v>-</v>
      </c>
      <c r="O340" s="603">
        <f>N109</f>
        <v>3.45</v>
      </c>
      <c r="Q340" s="860"/>
      <c r="R340" s="603">
        <v>10</v>
      </c>
      <c r="S340" s="603">
        <f>Q109</f>
        <v>1005</v>
      </c>
      <c r="T340" s="603" t="str">
        <f>R109</f>
        <v>-</v>
      </c>
      <c r="U340" s="603" t="str">
        <f>S109</f>
        <v>-</v>
      </c>
      <c r="V340" s="603" t="str">
        <f>T109</f>
        <v>-</v>
      </c>
      <c r="W340" s="646">
        <f>U109</f>
        <v>0</v>
      </c>
      <c r="AE340" s="639"/>
    </row>
    <row r="341" spans="1:31" ht="13" hidden="1" x14ac:dyDescent="0.3">
      <c r="A341" s="860"/>
      <c r="B341" s="603">
        <v>11</v>
      </c>
      <c r="C341" s="603">
        <f>C120</f>
        <v>37</v>
      </c>
      <c r="D341" s="603">
        <f>D120</f>
        <v>0.5</v>
      </c>
      <c r="E341" s="603">
        <f>E120</f>
        <v>0.5</v>
      </c>
      <c r="F341" s="603" t="str">
        <f>F120</f>
        <v>-</v>
      </c>
      <c r="G341" s="603">
        <f>G120</f>
        <v>0</v>
      </c>
      <c r="I341" s="860"/>
      <c r="J341" s="603">
        <v>11</v>
      </c>
      <c r="K341" s="603">
        <f>J120</f>
        <v>80</v>
      </c>
      <c r="L341" s="603">
        <f>K120</f>
        <v>-1.4</v>
      </c>
      <c r="M341" s="603">
        <f>L120</f>
        <v>2.6</v>
      </c>
      <c r="N341" s="603" t="str">
        <f>M120</f>
        <v>-</v>
      </c>
      <c r="O341" s="603">
        <f>N120</f>
        <v>2</v>
      </c>
      <c r="Q341" s="860"/>
      <c r="R341" s="603">
        <v>11</v>
      </c>
      <c r="S341" s="603">
        <f>Q120</f>
        <v>1005</v>
      </c>
      <c r="T341" s="603" t="str">
        <f>R120</f>
        <v>-</v>
      </c>
      <c r="U341" s="603" t="str">
        <f>S120</f>
        <v>-</v>
      </c>
      <c r="V341" s="603" t="str">
        <f>T120</f>
        <v>-</v>
      </c>
      <c r="W341" s="646">
        <f>U120</f>
        <v>0</v>
      </c>
      <c r="AE341" s="639"/>
    </row>
    <row r="342" spans="1:31" ht="13" hidden="1" x14ac:dyDescent="0.3">
      <c r="A342" s="860"/>
      <c r="B342" s="603">
        <v>12</v>
      </c>
      <c r="C342" s="603">
        <f>C131</f>
        <v>37</v>
      </c>
      <c r="D342" s="603">
        <f>D131</f>
        <v>-0.3</v>
      </c>
      <c r="E342" s="603" t="str">
        <f>E131</f>
        <v>-</v>
      </c>
      <c r="F342" s="603" t="str">
        <f>F131</f>
        <v>-</v>
      </c>
      <c r="G342" s="603">
        <f>G131</f>
        <v>0</v>
      </c>
      <c r="I342" s="860"/>
      <c r="J342" s="603">
        <v>12</v>
      </c>
      <c r="K342" s="603">
        <f>J131</f>
        <v>80</v>
      </c>
      <c r="L342" s="603">
        <f>K131</f>
        <v>-0.5</v>
      </c>
      <c r="M342" s="603" t="str">
        <f>L131</f>
        <v>-</v>
      </c>
      <c r="N342" s="603" t="str">
        <f>M131</f>
        <v>-</v>
      </c>
      <c r="O342" s="603">
        <f>N131</f>
        <v>0</v>
      </c>
      <c r="Q342" s="860"/>
      <c r="R342" s="603">
        <v>12</v>
      </c>
      <c r="S342" s="603">
        <f>Q131</f>
        <v>1005</v>
      </c>
      <c r="T342" s="603">
        <f>R131</f>
        <v>-0.8</v>
      </c>
      <c r="U342" s="603" t="str">
        <f>S131</f>
        <v>-</v>
      </c>
      <c r="V342" s="603" t="str">
        <f>T131</f>
        <v>-</v>
      </c>
      <c r="W342" s="646">
        <f>U131</f>
        <v>0</v>
      </c>
      <c r="AE342" s="639"/>
    </row>
    <row r="343" spans="1:31" ht="13" hidden="1" x14ac:dyDescent="0.3">
      <c r="A343" s="860"/>
      <c r="B343" s="603">
        <v>13</v>
      </c>
      <c r="C343" s="603">
        <f>C142</f>
        <v>37</v>
      </c>
      <c r="D343" s="603">
        <f>D142</f>
        <v>-0.2</v>
      </c>
      <c r="E343" s="603">
        <f>E142</f>
        <v>0.4</v>
      </c>
      <c r="F343" s="603" t="str">
        <f>F142</f>
        <v>-</v>
      </c>
      <c r="G343" s="603">
        <f>G142</f>
        <v>0.30000000000000004</v>
      </c>
      <c r="I343" s="860"/>
      <c r="J343" s="603">
        <v>13</v>
      </c>
      <c r="K343" s="603">
        <f>J142</f>
        <v>80</v>
      </c>
      <c r="L343" s="603">
        <f>K142</f>
        <v>-1.2</v>
      </c>
      <c r="M343" s="603">
        <f>L142</f>
        <v>-2.5</v>
      </c>
      <c r="N343" s="603" t="str">
        <f>M142</f>
        <v>-</v>
      </c>
      <c r="O343" s="603">
        <f>N142</f>
        <v>0.65</v>
      </c>
      <c r="Q343" s="860"/>
      <c r="R343" s="603">
        <v>13</v>
      </c>
      <c r="S343" s="603">
        <f>Q142</f>
        <v>1010</v>
      </c>
      <c r="T343" s="603">
        <f>R142</f>
        <v>3.5</v>
      </c>
      <c r="U343" s="603">
        <f>S142</f>
        <v>1.1000000000000001</v>
      </c>
      <c r="V343" s="603" t="str">
        <f>T142</f>
        <v>-</v>
      </c>
      <c r="W343" s="646">
        <f>U142</f>
        <v>1.2</v>
      </c>
      <c r="AE343" s="639"/>
    </row>
    <row r="344" spans="1:31" ht="13" hidden="1" x14ac:dyDescent="0.3">
      <c r="A344" s="860"/>
      <c r="B344" s="603">
        <v>14</v>
      </c>
      <c r="C344" s="603">
        <f>C153</f>
        <v>37</v>
      </c>
      <c r="D344" s="603">
        <f>D153</f>
        <v>-0.7</v>
      </c>
      <c r="E344" s="603">
        <f>E153</f>
        <v>-0.8</v>
      </c>
      <c r="F344" s="603" t="str">
        <f>F153</f>
        <v>-</v>
      </c>
      <c r="G344" s="603">
        <f>G153</f>
        <v>5.0000000000000044E-2</v>
      </c>
      <c r="I344" s="860"/>
      <c r="J344" s="603">
        <v>14</v>
      </c>
      <c r="K344" s="603">
        <f>J153</f>
        <v>80</v>
      </c>
      <c r="L344" s="603">
        <f>K153</f>
        <v>1.1000000000000001</v>
      </c>
      <c r="M344" s="603">
        <f>L153</f>
        <v>-0.9</v>
      </c>
      <c r="N344" s="603" t="str">
        <f>M153</f>
        <v>-</v>
      </c>
      <c r="O344" s="603">
        <f>N153</f>
        <v>1</v>
      </c>
      <c r="Q344" s="860"/>
      <c r="R344" s="603">
        <v>14</v>
      </c>
      <c r="S344" s="603">
        <f>Q153</f>
        <v>1010</v>
      </c>
      <c r="T344" s="603">
        <f>R153</f>
        <v>3.7</v>
      </c>
      <c r="U344" s="603">
        <f>S153</f>
        <v>1.1000000000000001</v>
      </c>
      <c r="V344" s="603" t="str">
        <f>T153</f>
        <v>-</v>
      </c>
      <c r="W344" s="646">
        <f>U153</f>
        <v>1.3</v>
      </c>
      <c r="AE344" s="639"/>
    </row>
    <row r="345" spans="1:31" ht="13" hidden="1" x14ac:dyDescent="0.3">
      <c r="A345" s="860"/>
      <c r="B345" s="603">
        <v>15</v>
      </c>
      <c r="C345" s="603">
        <f>C164</f>
        <v>37</v>
      </c>
      <c r="D345" s="603">
        <f>D164</f>
        <v>1</v>
      </c>
      <c r="E345" s="603">
        <f>E164</f>
        <v>-0.1</v>
      </c>
      <c r="F345" s="603" t="str">
        <f>F164</f>
        <v>-</v>
      </c>
      <c r="G345" s="603">
        <f>G164</f>
        <v>0.55000000000000004</v>
      </c>
      <c r="I345" s="860"/>
      <c r="J345" s="603">
        <v>15</v>
      </c>
      <c r="K345" s="603">
        <f>J164</f>
        <v>80</v>
      </c>
      <c r="L345" s="603">
        <f>K164</f>
        <v>-0.4</v>
      </c>
      <c r="M345" s="603">
        <f>L164</f>
        <v>-1.3</v>
      </c>
      <c r="N345" s="603" t="str">
        <f>M164</f>
        <v>-</v>
      </c>
      <c r="O345" s="603">
        <f>N164</f>
        <v>0.45</v>
      </c>
      <c r="Q345" s="860"/>
      <c r="R345" s="603">
        <v>15</v>
      </c>
      <c r="S345" s="603">
        <f>Q164</f>
        <v>1010</v>
      </c>
      <c r="T345" s="603">
        <f>R164</f>
        <v>3.9</v>
      </c>
      <c r="U345" s="603">
        <f>S164</f>
        <v>1.1000000000000001</v>
      </c>
      <c r="V345" s="603" t="str">
        <f>T164</f>
        <v>-</v>
      </c>
      <c r="W345" s="646">
        <f>U164</f>
        <v>1.4</v>
      </c>
      <c r="AE345" s="639"/>
    </row>
    <row r="346" spans="1:31" ht="13" hidden="1" x14ac:dyDescent="0.3">
      <c r="A346" s="860"/>
      <c r="B346" s="603">
        <v>16</v>
      </c>
      <c r="C346" s="603">
        <f>C175</f>
        <v>37</v>
      </c>
      <c r="D346" s="603">
        <f>D175</f>
        <v>9.9999999999999995E-7</v>
      </c>
      <c r="E346" s="603" t="str">
        <f>E175</f>
        <v>-</v>
      </c>
      <c r="F346" s="603" t="str">
        <f>F175</f>
        <v>-</v>
      </c>
      <c r="G346" s="603">
        <f>G175</f>
        <v>0</v>
      </c>
      <c r="I346" s="860"/>
      <c r="J346" s="603">
        <v>16</v>
      </c>
      <c r="K346" s="603">
        <f>J175</f>
        <v>80</v>
      </c>
      <c r="L346" s="603">
        <f>K175</f>
        <v>-2.2999999999999998</v>
      </c>
      <c r="M346" s="603" t="str">
        <f>L175</f>
        <v>-</v>
      </c>
      <c r="N346" s="603" t="str">
        <f>M175</f>
        <v>-</v>
      </c>
      <c r="O346" s="603">
        <f>N175</f>
        <v>0</v>
      </c>
      <c r="Q346" s="860"/>
      <c r="R346" s="603">
        <v>16</v>
      </c>
      <c r="S346" s="603">
        <f>Q175</f>
        <v>1005</v>
      </c>
      <c r="T346" s="603">
        <f>R175</f>
        <v>-0.4</v>
      </c>
      <c r="U346" s="603" t="str">
        <f>S175</f>
        <v>-</v>
      </c>
      <c r="V346" s="603" t="str">
        <f>T175</f>
        <v>-</v>
      </c>
      <c r="W346" s="646">
        <f>U175</f>
        <v>0</v>
      </c>
      <c r="AE346" s="639"/>
    </row>
    <row r="347" spans="1:31" ht="13" hidden="1" x14ac:dyDescent="0.3">
      <c r="A347" s="860"/>
      <c r="B347" s="603">
        <v>17</v>
      </c>
      <c r="C347" s="603">
        <f>C186</f>
        <v>37</v>
      </c>
      <c r="D347" s="603">
        <f>D186</f>
        <v>-0.6</v>
      </c>
      <c r="E347" s="603" t="str">
        <f>E186</f>
        <v>-</v>
      </c>
      <c r="F347" s="603" t="str">
        <f>F186</f>
        <v>-</v>
      </c>
      <c r="G347" s="603">
        <f>G186</f>
        <v>0</v>
      </c>
      <c r="I347" s="860"/>
      <c r="J347" s="603">
        <v>17</v>
      </c>
      <c r="K347" s="603">
        <f>J186</f>
        <v>80</v>
      </c>
      <c r="L347" s="603">
        <f>K186</f>
        <v>-0.8</v>
      </c>
      <c r="M347" s="603" t="str">
        <f>L186</f>
        <v>-</v>
      </c>
      <c r="N347" s="603" t="str">
        <f>M186</f>
        <v>-</v>
      </c>
      <c r="O347" s="603">
        <f>N186</f>
        <v>0</v>
      </c>
      <c r="Q347" s="860"/>
      <c r="R347" s="603">
        <v>17</v>
      </c>
      <c r="S347" s="603">
        <f>Q186</f>
        <v>1005</v>
      </c>
      <c r="T347" s="603">
        <f>R186</f>
        <v>-0.6</v>
      </c>
      <c r="U347" s="603" t="str">
        <f>S186</f>
        <v>-</v>
      </c>
      <c r="V347" s="603" t="str">
        <f>T186</f>
        <v>-</v>
      </c>
      <c r="W347" s="646">
        <f>U186</f>
        <v>0</v>
      </c>
      <c r="AE347" s="639"/>
    </row>
    <row r="348" spans="1:31" ht="13" hidden="1" x14ac:dyDescent="0.3">
      <c r="A348" s="860"/>
      <c r="B348" s="603">
        <v>18</v>
      </c>
      <c r="C348" s="603">
        <f>C197</f>
        <v>37</v>
      </c>
      <c r="D348" s="603">
        <f>D197</f>
        <v>-0.3</v>
      </c>
      <c r="E348" s="603" t="str">
        <f>E197</f>
        <v>-</v>
      </c>
      <c r="F348" s="603" t="str">
        <f>F197</f>
        <v>-</v>
      </c>
      <c r="G348" s="603">
        <f>G197</f>
        <v>0</v>
      </c>
      <c r="I348" s="860"/>
      <c r="J348" s="603">
        <v>18</v>
      </c>
      <c r="K348" s="603">
        <f>J197</f>
        <v>80</v>
      </c>
      <c r="L348" s="603">
        <f>K197</f>
        <v>-0.5</v>
      </c>
      <c r="M348" s="603" t="str">
        <f>L197</f>
        <v>-</v>
      </c>
      <c r="N348" s="603" t="str">
        <f>M197</f>
        <v>-</v>
      </c>
      <c r="O348" s="603">
        <f>N197</f>
        <v>0</v>
      </c>
      <c r="Q348" s="860"/>
      <c r="R348" s="603">
        <v>18</v>
      </c>
      <c r="S348" s="603">
        <f>Q197</f>
        <v>1005</v>
      </c>
      <c r="T348" s="603">
        <f>R197</f>
        <v>-0.7</v>
      </c>
      <c r="U348" s="603" t="str">
        <f>S197</f>
        <v>-</v>
      </c>
      <c r="V348" s="603" t="str">
        <f>T197</f>
        <v>-</v>
      </c>
      <c r="W348" s="646">
        <f>U197</f>
        <v>0</v>
      </c>
      <c r="AE348" s="639"/>
    </row>
    <row r="349" spans="1:31" ht="13" hidden="1" x14ac:dyDescent="0.3">
      <c r="A349" s="860"/>
      <c r="B349" s="603">
        <v>19</v>
      </c>
      <c r="C349" s="603">
        <f>C208</f>
        <v>37</v>
      </c>
      <c r="D349" s="603">
        <f>D208</f>
        <v>9.9999999999999995E-7</v>
      </c>
      <c r="E349" s="603" t="str">
        <f>E208</f>
        <v>-</v>
      </c>
      <c r="F349" s="603" t="str">
        <f>F208</f>
        <v>-</v>
      </c>
      <c r="G349" s="603">
        <f>G208</f>
        <v>0</v>
      </c>
      <c r="I349" s="860"/>
      <c r="J349" s="603">
        <v>19</v>
      </c>
      <c r="K349" s="603">
        <f>J208</f>
        <v>80</v>
      </c>
      <c r="L349" s="603">
        <f>K208</f>
        <v>-0.9</v>
      </c>
      <c r="M349" s="603" t="str">
        <f>L208</f>
        <v>-</v>
      </c>
      <c r="N349" s="603" t="str">
        <f>M208</f>
        <v>-</v>
      </c>
      <c r="O349" s="603">
        <f>N208</f>
        <v>0</v>
      </c>
      <c r="Q349" s="860"/>
      <c r="R349" s="603">
        <v>19</v>
      </c>
      <c r="S349" s="603">
        <f>Q208</f>
        <v>1005</v>
      </c>
      <c r="T349" s="603">
        <f>R208</f>
        <v>2.2000000000000002</v>
      </c>
      <c r="U349" s="603" t="str">
        <f>S208</f>
        <v>-</v>
      </c>
      <c r="V349" s="603" t="str">
        <f>T208</f>
        <v>-</v>
      </c>
      <c r="W349" s="646">
        <f>U208</f>
        <v>0</v>
      </c>
      <c r="AE349" s="639"/>
    </row>
    <row r="350" spans="1:31" ht="13.5" hidden="1" thickBot="1" x14ac:dyDescent="0.35">
      <c r="A350" s="860"/>
      <c r="B350" s="603">
        <v>20</v>
      </c>
      <c r="C350" s="603">
        <f>C219</f>
        <v>39.5</v>
      </c>
      <c r="D350" s="603">
        <f>D219</f>
        <v>9.9999999999999995E-7</v>
      </c>
      <c r="E350" s="603" t="str">
        <f>E219</f>
        <v>-</v>
      </c>
      <c r="F350" s="603" t="str">
        <f>F219</f>
        <v>-</v>
      </c>
      <c r="G350" s="603">
        <f>G219</f>
        <v>0</v>
      </c>
      <c r="I350" s="860"/>
      <c r="J350" s="603">
        <v>20</v>
      </c>
      <c r="K350" s="603">
        <f>J219</f>
        <v>88.7</v>
      </c>
      <c r="L350" s="603">
        <f>K219</f>
        <v>9.9999999999999995E-7</v>
      </c>
      <c r="M350" s="603" t="str">
        <f>L219</f>
        <v>-</v>
      </c>
      <c r="N350" s="603" t="str">
        <f>M219</f>
        <v>-</v>
      </c>
      <c r="O350" s="603">
        <f>N219</f>
        <v>0</v>
      </c>
      <c r="Q350" s="862"/>
      <c r="R350" s="645">
        <v>20</v>
      </c>
      <c r="S350" s="645">
        <f>Q219</f>
        <v>1005</v>
      </c>
      <c r="T350" s="645">
        <f>R219</f>
        <v>9.9999999999999995E-7</v>
      </c>
      <c r="U350" s="645" t="str">
        <f>S219</f>
        <v>-</v>
      </c>
      <c r="V350" s="645" t="str">
        <f>T219</f>
        <v>-</v>
      </c>
      <c r="W350" s="644">
        <f>U219</f>
        <v>0</v>
      </c>
      <c r="AE350" s="643"/>
    </row>
    <row r="351" spans="1:31" ht="13" hidden="1" x14ac:dyDescent="0.3">
      <c r="A351" s="620"/>
      <c r="B351" s="620"/>
      <c r="C351" s="620"/>
      <c r="D351" s="620"/>
      <c r="E351" s="620"/>
      <c r="F351" s="654"/>
      <c r="G351" s="620"/>
      <c r="I351" s="620"/>
      <c r="J351" s="620"/>
      <c r="K351" s="620"/>
      <c r="L351" s="620"/>
      <c r="M351" s="620"/>
      <c r="N351" s="654"/>
      <c r="O351" s="620"/>
      <c r="Q351" s="653"/>
      <c r="R351" s="652"/>
      <c r="S351" s="651"/>
      <c r="T351" s="651"/>
      <c r="U351" s="651"/>
      <c r="W351" s="650"/>
      <c r="AE351" s="639"/>
    </row>
    <row r="352" spans="1:31" ht="13" hidden="1" x14ac:dyDescent="0.3">
      <c r="A352" s="860">
        <v>7</v>
      </c>
      <c r="B352" s="603">
        <v>1</v>
      </c>
      <c r="C352" s="603">
        <f>C11</f>
        <v>40</v>
      </c>
      <c r="D352" s="603">
        <f>D11</f>
        <v>-0.3</v>
      </c>
      <c r="E352" s="603">
        <f>E11</f>
        <v>-0.8</v>
      </c>
      <c r="F352" s="603" t="str">
        <f>F11</f>
        <v>-</v>
      </c>
      <c r="G352" s="603">
        <f>G11</f>
        <v>0.25</v>
      </c>
      <c r="I352" s="860">
        <v>7</v>
      </c>
      <c r="J352" s="603">
        <v>1</v>
      </c>
      <c r="K352" s="603">
        <f>J11</f>
        <v>90</v>
      </c>
      <c r="L352" s="603">
        <f>K11</f>
        <v>-1.6</v>
      </c>
      <c r="M352" s="603">
        <f>L11</f>
        <v>4.5</v>
      </c>
      <c r="N352" s="603" t="str">
        <f>M11</f>
        <v>-</v>
      </c>
      <c r="O352" s="603">
        <f>N11</f>
        <v>3.05</v>
      </c>
      <c r="Q352" s="891">
        <v>7</v>
      </c>
      <c r="R352" s="649">
        <v>1</v>
      </c>
      <c r="S352" s="649">
        <f>Q11</f>
        <v>1020</v>
      </c>
      <c r="T352" s="649" t="str">
        <f>R11</f>
        <v>-</v>
      </c>
      <c r="U352" s="649" t="str">
        <f>S11</f>
        <v>-</v>
      </c>
      <c r="V352" s="649" t="str">
        <f>T11</f>
        <v>-</v>
      </c>
      <c r="W352" s="648">
        <f>U11</f>
        <v>0</v>
      </c>
      <c r="AE352" s="647"/>
    </row>
    <row r="353" spans="1:31" ht="13" hidden="1" x14ac:dyDescent="0.3">
      <c r="A353" s="860"/>
      <c r="B353" s="603">
        <v>2</v>
      </c>
      <c r="C353" s="603">
        <f>C22</f>
        <v>40</v>
      </c>
      <c r="D353" s="603">
        <f>D22</f>
        <v>-0.1</v>
      </c>
      <c r="E353" s="603">
        <f>E22</f>
        <v>-0.3</v>
      </c>
      <c r="F353" s="603" t="str">
        <f>F22</f>
        <v>-</v>
      </c>
      <c r="G353" s="603">
        <f>G22</f>
        <v>9.9999999999999992E-2</v>
      </c>
      <c r="I353" s="860"/>
      <c r="J353" s="603">
        <v>2</v>
      </c>
      <c r="K353" s="603">
        <f>J22</f>
        <v>90</v>
      </c>
      <c r="L353" s="603">
        <f>K22</f>
        <v>1.7</v>
      </c>
      <c r="M353" s="603">
        <f>L22</f>
        <v>-0.3</v>
      </c>
      <c r="N353" s="603" t="str">
        <f>M22</f>
        <v>-</v>
      </c>
      <c r="O353" s="603">
        <f>N22</f>
        <v>1</v>
      </c>
      <c r="Q353" s="881"/>
      <c r="R353" s="603">
        <v>2</v>
      </c>
      <c r="S353" s="603">
        <f>Q22</f>
        <v>1020</v>
      </c>
      <c r="T353" s="603" t="str">
        <f>R22</f>
        <v>-</v>
      </c>
      <c r="U353" s="603" t="str">
        <f>S22</f>
        <v>-</v>
      </c>
      <c r="V353" s="603" t="str">
        <f>T22</f>
        <v>-</v>
      </c>
      <c r="W353" s="646">
        <f>U22</f>
        <v>0</v>
      </c>
      <c r="AE353" s="639"/>
    </row>
    <row r="354" spans="1:31" ht="13" hidden="1" x14ac:dyDescent="0.3">
      <c r="A354" s="860"/>
      <c r="B354" s="603">
        <v>3</v>
      </c>
      <c r="C354" s="603">
        <f>C33</f>
        <v>40</v>
      </c>
      <c r="D354" s="603">
        <f>D33</f>
        <v>0.2</v>
      </c>
      <c r="E354" s="603">
        <f>E33</f>
        <v>-0.7</v>
      </c>
      <c r="F354" s="603" t="str">
        <f>F33</f>
        <v>-</v>
      </c>
      <c r="G354" s="603">
        <f>G33</f>
        <v>0.44999999999999996</v>
      </c>
      <c r="I354" s="860"/>
      <c r="J354" s="603">
        <v>3</v>
      </c>
      <c r="K354" s="603">
        <f>J33</f>
        <v>90</v>
      </c>
      <c r="L354" s="603">
        <f>K33</f>
        <v>0.3</v>
      </c>
      <c r="M354" s="603">
        <f>L33</f>
        <v>-2</v>
      </c>
      <c r="N354" s="603" t="str">
        <f>M33</f>
        <v>-</v>
      </c>
      <c r="O354" s="603">
        <f>N33</f>
        <v>1.1499999999999999</v>
      </c>
      <c r="Q354" s="881"/>
      <c r="R354" s="603">
        <v>3</v>
      </c>
      <c r="S354" s="603">
        <f>Q33</f>
        <v>1020</v>
      </c>
      <c r="T354" s="603" t="str">
        <f>R33</f>
        <v>-</v>
      </c>
      <c r="U354" s="603" t="str">
        <f>S33</f>
        <v>-</v>
      </c>
      <c r="V354" s="603" t="str">
        <f>T33</f>
        <v>-</v>
      </c>
      <c r="W354" s="646">
        <f>U33</f>
        <v>0</v>
      </c>
      <c r="AE354" s="639"/>
    </row>
    <row r="355" spans="1:31" ht="13" hidden="1" x14ac:dyDescent="0.3">
      <c r="A355" s="860"/>
      <c r="B355" s="603">
        <v>4</v>
      </c>
      <c r="C355" s="603">
        <f>C44</f>
        <v>40</v>
      </c>
      <c r="D355" s="603">
        <f>D44</f>
        <v>-0.5</v>
      </c>
      <c r="E355" s="603">
        <f>E44</f>
        <v>-0.6</v>
      </c>
      <c r="F355" s="603" t="str">
        <f>F44</f>
        <v>-</v>
      </c>
      <c r="G355" s="603">
        <f>G44</f>
        <v>4.9999999999999989E-2</v>
      </c>
      <c r="I355" s="860"/>
      <c r="J355" s="603">
        <v>4</v>
      </c>
      <c r="K355" s="603">
        <f>J44</f>
        <v>90</v>
      </c>
      <c r="L355" s="603">
        <f>K44</f>
        <v>-3.5</v>
      </c>
      <c r="M355" s="603">
        <f>L44</f>
        <v>3.3</v>
      </c>
      <c r="N355" s="603" t="str">
        <f>M44</f>
        <v>-</v>
      </c>
      <c r="O355" s="603">
        <f>N44</f>
        <v>3.4</v>
      </c>
      <c r="Q355" s="881"/>
      <c r="R355" s="603">
        <v>4</v>
      </c>
      <c r="S355" s="603">
        <f>Q44</f>
        <v>1020</v>
      </c>
      <c r="T355" s="603" t="str">
        <f>R44</f>
        <v>-</v>
      </c>
      <c r="U355" s="603" t="str">
        <f>S44</f>
        <v>-</v>
      </c>
      <c r="V355" s="603" t="str">
        <f>T44</f>
        <v>-</v>
      </c>
      <c r="W355" s="646">
        <f>U44</f>
        <v>0</v>
      </c>
      <c r="AE355" s="639"/>
    </row>
    <row r="356" spans="1:31" ht="13" hidden="1" x14ac:dyDescent="0.3">
      <c r="A356" s="860"/>
      <c r="B356" s="603">
        <v>5</v>
      </c>
      <c r="C356" s="603">
        <f>C55</f>
        <v>40</v>
      </c>
      <c r="D356" s="603">
        <f>D55</f>
        <v>0.7</v>
      </c>
      <c r="E356" s="603">
        <f>E55</f>
        <v>-0.1</v>
      </c>
      <c r="F356" s="603" t="str">
        <f>F55</f>
        <v>-</v>
      </c>
      <c r="G356" s="603">
        <f>G55</f>
        <v>0.39999999999999997</v>
      </c>
      <c r="I356" s="860"/>
      <c r="J356" s="603">
        <v>5</v>
      </c>
      <c r="K356" s="603">
        <f>J55</f>
        <v>90</v>
      </c>
      <c r="L356" s="603">
        <f>K55</f>
        <v>-1.8</v>
      </c>
      <c r="M356" s="603">
        <f>L55</f>
        <v>2.7</v>
      </c>
      <c r="N356" s="603" t="str">
        <f>M55</f>
        <v>-</v>
      </c>
      <c r="O356" s="603">
        <f>N55</f>
        <v>2.25</v>
      </c>
      <c r="Q356" s="881"/>
      <c r="R356" s="603">
        <v>5</v>
      </c>
      <c r="S356" s="603">
        <f>Q55</f>
        <v>1020</v>
      </c>
      <c r="T356" s="603" t="str">
        <f>R55</f>
        <v>-</v>
      </c>
      <c r="U356" s="603" t="str">
        <f>S55</f>
        <v>-</v>
      </c>
      <c r="V356" s="603" t="str">
        <f>T55</f>
        <v>-</v>
      </c>
      <c r="W356" s="646">
        <f>U55</f>
        <v>0</v>
      </c>
      <c r="AE356" s="639"/>
    </row>
    <row r="357" spans="1:31" ht="13" hidden="1" x14ac:dyDescent="0.3">
      <c r="A357" s="860"/>
      <c r="B357" s="603">
        <v>6</v>
      </c>
      <c r="C357" s="603">
        <f>C66</f>
        <v>40</v>
      </c>
      <c r="D357" s="603">
        <f>D66</f>
        <v>0.1</v>
      </c>
      <c r="E357" s="603">
        <f>E66</f>
        <v>-1.4</v>
      </c>
      <c r="F357" s="603" t="str">
        <f>F66</f>
        <v>-</v>
      </c>
      <c r="G357" s="603">
        <f>G66</f>
        <v>0.75</v>
      </c>
      <c r="I357" s="860"/>
      <c r="J357" s="603">
        <v>6</v>
      </c>
      <c r="K357" s="603">
        <f>J66</f>
        <v>90</v>
      </c>
      <c r="L357" s="603">
        <f>K66</f>
        <v>-5.2</v>
      </c>
      <c r="M357" s="603">
        <f>L66</f>
        <v>0.7</v>
      </c>
      <c r="N357" s="603" t="str">
        <f>M66</f>
        <v>-</v>
      </c>
      <c r="O357" s="603">
        <f>N66</f>
        <v>2.95</v>
      </c>
      <c r="Q357" s="881"/>
      <c r="R357" s="603">
        <v>6</v>
      </c>
      <c r="S357" s="603">
        <f>Q66</f>
        <v>1020</v>
      </c>
      <c r="T357" s="603">
        <f>R66</f>
        <v>0.9</v>
      </c>
      <c r="U357" s="603">
        <f>S66</f>
        <v>9.9999999999999995E-7</v>
      </c>
      <c r="V357" s="603" t="str">
        <f>T66</f>
        <v>-</v>
      </c>
      <c r="W357" s="646">
        <f>U66</f>
        <v>0.4499995</v>
      </c>
      <c r="AE357" s="639"/>
    </row>
    <row r="358" spans="1:31" ht="13" hidden="1" x14ac:dyDescent="0.3">
      <c r="A358" s="860"/>
      <c r="B358" s="603">
        <v>7</v>
      </c>
      <c r="C358" s="603">
        <f>C77</f>
        <v>40</v>
      </c>
      <c r="D358" s="603">
        <f>D77</f>
        <v>0.1</v>
      </c>
      <c r="E358" s="603">
        <f>E77</f>
        <v>-1.7</v>
      </c>
      <c r="F358" s="603" t="str">
        <f>F77</f>
        <v>-</v>
      </c>
      <c r="G358" s="603">
        <f>G77</f>
        <v>0.9</v>
      </c>
      <c r="I358" s="860"/>
      <c r="J358" s="603">
        <v>7</v>
      </c>
      <c r="K358" s="603">
        <f>J77</f>
        <v>90</v>
      </c>
      <c r="L358" s="603">
        <f>K77</f>
        <v>-3</v>
      </c>
      <c r="M358" s="603">
        <f>L77</f>
        <v>1.8</v>
      </c>
      <c r="N358" s="603" t="str">
        <f>M77</f>
        <v>-</v>
      </c>
      <c r="O358" s="603">
        <f>N77</f>
        <v>2.4</v>
      </c>
      <c r="Q358" s="881"/>
      <c r="R358" s="603">
        <v>7</v>
      </c>
      <c r="S358" s="603">
        <f>Q77</f>
        <v>1020</v>
      </c>
      <c r="T358" s="603">
        <f>R77</f>
        <v>-3.8</v>
      </c>
      <c r="U358" s="603">
        <f>S77</f>
        <v>9.9999999999999995E-7</v>
      </c>
      <c r="V358" s="603" t="str">
        <f>T77</f>
        <v>-</v>
      </c>
      <c r="W358" s="646">
        <f>U77</f>
        <v>1.9000005</v>
      </c>
      <c r="AE358" s="639"/>
    </row>
    <row r="359" spans="1:31" ht="13" hidden="1" x14ac:dyDescent="0.3">
      <c r="A359" s="860"/>
      <c r="B359" s="603">
        <v>8</v>
      </c>
      <c r="C359" s="603">
        <f>C88</f>
        <v>40</v>
      </c>
      <c r="D359" s="603">
        <f>D88</f>
        <v>9.9999999999999995E-7</v>
      </c>
      <c r="E359" s="603">
        <f>E88</f>
        <v>-0.4</v>
      </c>
      <c r="F359" s="603" t="str">
        <f>F88</f>
        <v>-</v>
      </c>
      <c r="G359" s="603">
        <f>G88</f>
        <v>0.2000005</v>
      </c>
      <c r="I359" s="860"/>
      <c r="J359" s="603">
        <v>8</v>
      </c>
      <c r="K359" s="603">
        <f>J88</f>
        <v>90</v>
      </c>
      <c r="L359" s="603">
        <f>K88</f>
        <v>-4.9000000000000004</v>
      </c>
      <c r="M359" s="603">
        <f>L88</f>
        <v>-1.3</v>
      </c>
      <c r="N359" s="603" t="str">
        <f>M88</f>
        <v>-</v>
      </c>
      <c r="O359" s="603">
        <f>N88</f>
        <v>1.8000000000000003</v>
      </c>
      <c r="Q359" s="881"/>
      <c r="R359" s="603">
        <v>8</v>
      </c>
      <c r="S359" s="603">
        <f>Q88</f>
        <v>1020</v>
      </c>
      <c r="T359" s="603">
        <f>R88</f>
        <v>-3.4</v>
      </c>
      <c r="U359" s="603">
        <f>S88</f>
        <v>9.9999999999999995E-7</v>
      </c>
      <c r="V359" s="603" t="str">
        <f>T88</f>
        <v>-</v>
      </c>
      <c r="W359" s="646">
        <f>U88</f>
        <v>1.7000005</v>
      </c>
      <c r="AE359" s="639"/>
    </row>
    <row r="360" spans="1:31" ht="13" hidden="1" x14ac:dyDescent="0.3">
      <c r="A360" s="860"/>
      <c r="B360" s="603">
        <v>9</v>
      </c>
      <c r="C360" s="603">
        <f>C99</f>
        <v>40</v>
      </c>
      <c r="D360" s="603">
        <f>D99</f>
        <v>-0.4</v>
      </c>
      <c r="E360" s="603" t="str">
        <f>E99</f>
        <v>-</v>
      </c>
      <c r="F360" s="603" t="str">
        <f>F99</f>
        <v>-</v>
      </c>
      <c r="G360" s="603">
        <f>G99</f>
        <v>0</v>
      </c>
      <c r="I360" s="860"/>
      <c r="J360" s="603">
        <v>9</v>
      </c>
      <c r="K360" s="603">
        <f>J99</f>
        <v>90</v>
      </c>
      <c r="L360" s="603">
        <f>K99</f>
        <v>-0.2</v>
      </c>
      <c r="M360" s="603" t="str">
        <f>L99</f>
        <v>-</v>
      </c>
      <c r="N360" s="603" t="str">
        <f>M99</f>
        <v>-</v>
      </c>
      <c r="O360" s="603">
        <f>N99</f>
        <v>0</v>
      </c>
      <c r="Q360" s="881"/>
      <c r="R360" s="603">
        <v>9</v>
      </c>
      <c r="S360" s="603">
        <f>Q99</f>
        <v>1020</v>
      </c>
      <c r="T360" s="603">
        <f>R99</f>
        <v>9.9999999999999995E-7</v>
      </c>
      <c r="U360" s="603" t="str">
        <f>S99</f>
        <v>-</v>
      </c>
      <c r="V360" s="603" t="str">
        <f>T99</f>
        <v>-</v>
      </c>
      <c r="W360" s="646">
        <f>U99</f>
        <v>0</v>
      </c>
      <c r="AE360" s="639"/>
    </row>
    <row r="361" spans="1:31" ht="13" hidden="1" x14ac:dyDescent="0.3">
      <c r="A361" s="860"/>
      <c r="B361" s="603">
        <v>10</v>
      </c>
      <c r="C361" s="603">
        <f>C110</f>
        <v>40</v>
      </c>
      <c r="D361" s="603">
        <f>D110</f>
        <v>0.2</v>
      </c>
      <c r="E361" s="603">
        <f>E110</f>
        <v>9.9999999999999995E-7</v>
      </c>
      <c r="F361" s="603" t="str">
        <f>F110</f>
        <v>-</v>
      </c>
      <c r="G361" s="603">
        <f>G110</f>
        <v>9.9999500000000005E-2</v>
      </c>
      <c r="I361" s="860"/>
      <c r="J361" s="603">
        <v>10</v>
      </c>
      <c r="K361" s="603">
        <f>J110</f>
        <v>90</v>
      </c>
      <c r="L361" s="603">
        <f>K110</f>
        <v>5.4</v>
      </c>
      <c r="M361" s="603">
        <f>L110</f>
        <v>9.9999999999999995E-7</v>
      </c>
      <c r="N361" s="603" t="str">
        <f>M110</f>
        <v>-</v>
      </c>
      <c r="O361" s="603">
        <f>N110</f>
        <v>2.6999995000000001</v>
      </c>
      <c r="Q361" s="881"/>
      <c r="R361" s="603">
        <v>10</v>
      </c>
      <c r="S361" s="603">
        <f>Q110</f>
        <v>1020</v>
      </c>
      <c r="T361" s="603" t="str">
        <f>R110</f>
        <v>-</v>
      </c>
      <c r="U361" s="603" t="str">
        <f>S110</f>
        <v>-</v>
      </c>
      <c r="V361" s="603" t="str">
        <f>T110</f>
        <v>-</v>
      </c>
      <c r="W361" s="646">
        <f>U110</f>
        <v>0</v>
      </c>
      <c r="AE361" s="639"/>
    </row>
    <row r="362" spans="1:31" ht="13" hidden="1" x14ac:dyDescent="0.3">
      <c r="A362" s="860"/>
      <c r="B362" s="603">
        <v>11</v>
      </c>
      <c r="C362" s="603">
        <f>C121</f>
        <v>40</v>
      </c>
      <c r="D362" s="603">
        <f>D121</f>
        <v>0.5</v>
      </c>
      <c r="E362" s="603">
        <f>E121</f>
        <v>9.9999999999999995E-7</v>
      </c>
      <c r="F362" s="603" t="str">
        <f>F121</f>
        <v>-</v>
      </c>
      <c r="G362" s="603">
        <f>G121</f>
        <v>0.24999950000000001</v>
      </c>
      <c r="I362" s="860"/>
      <c r="J362" s="603">
        <v>11</v>
      </c>
      <c r="K362" s="603">
        <f>J121</f>
        <v>90</v>
      </c>
      <c r="L362" s="603">
        <f>K121</f>
        <v>1.3</v>
      </c>
      <c r="M362" s="603">
        <f>L121</f>
        <v>9.9999999999999995E-7</v>
      </c>
      <c r="N362" s="603" t="str">
        <f>M121</f>
        <v>-</v>
      </c>
      <c r="O362" s="603">
        <f>N121</f>
        <v>0.64999950000000006</v>
      </c>
      <c r="Q362" s="881"/>
      <c r="R362" s="603">
        <v>11</v>
      </c>
      <c r="S362" s="603">
        <f>Q121</f>
        <v>1020</v>
      </c>
      <c r="T362" s="603" t="str">
        <f>R121</f>
        <v>-</v>
      </c>
      <c r="U362" s="603" t="str">
        <f>S121</f>
        <v>-</v>
      </c>
      <c r="V362" s="603" t="str">
        <f>T121</f>
        <v>-</v>
      </c>
      <c r="W362" s="646">
        <f>U121</f>
        <v>0</v>
      </c>
      <c r="AE362" s="639"/>
    </row>
    <row r="363" spans="1:31" ht="13" hidden="1" x14ac:dyDescent="0.3">
      <c r="A363" s="860"/>
      <c r="B363" s="603">
        <v>12</v>
      </c>
      <c r="C363" s="603">
        <f>C132</f>
        <v>40</v>
      </c>
      <c r="D363" s="603">
        <f>D132</f>
        <v>-0.4</v>
      </c>
      <c r="E363" s="603" t="str">
        <f>E132</f>
        <v>-</v>
      </c>
      <c r="F363" s="603" t="str">
        <f>F132</f>
        <v>-</v>
      </c>
      <c r="G363" s="603">
        <f>G132</f>
        <v>0</v>
      </c>
      <c r="I363" s="860"/>
      <c r="J363" s="603">
        <v>12</v>
      </c>
      <c r="K363" s="603">
        <f>J132</f>
        <v>90</v>
      </c>
      <c r="L363" s="603">
        <f>K132</f>
        <v>-0.9</v>
      </c>
      <c r="M363" s="603" t="str">
        <f>L132</f>
        <v>-</v>
      </c>
      <c r="N363" s="603" t="str">
        <f>M132</f>
        <v>-</v>
      </c>
      <c r="O363" s="603">
        <f>N132</f>
        <v>0</v>
      </c>
      <c r="Q363" s="881"/>
      <c r="R363" s="603">
        <v>12</v>
      </c>
      <c r="S363" s="603">
        <f>Q132</f>
        <v>1020</v>
      </c>
      <c r="T363" s="603">
        <f>R132</f>
        <v>9.9999999999999995E-7</v>
      </c>
      <c r="U363" s="603" t="str">
        <f>S132</f>
        <v>-</v>
      </c>
      <c r="V363" s="603" t="str">
        <f>T132</f>
        <v>-</v>
      </c>
      <c r="W363" s="646">
        <f>U132</f>
        <v>0</v>
      </c>
      <c r="AE363" s="639"/>
    </row>
    <row r="364" spans="1:31" ht="13" hidden="1" x14ac:dyDescent="0.3">
      <c r="A364" s="860"/>
      <c r="B364" s="603">
        <v>13</v>
      </c>
      <c r="C364" s="603">
        <f>C143</f>
        <v>40</v>
      </c>
      <c r="D364" s="603">
        <f>D143</f>
        <v>-0.2</v>
      </c>
      <c r="E364" s="603">
        <f>E143</f>
        <v>0.5</v>
      </c>
      <c r="F364" s="603" t="str">
        <f>F143</f>
        <v>-</v>
      </c>
      <c r="G364" s="603">
        <f>G143</f>
        <v>0.35</v>
      </c>
      <c r="I364" s="860"/>
      <c r="J364" s="603">
        <v>13</v>
      </c>
      <c r="K364" s="603">
        <f>J143</f>
        <v>90</v>
      </c>
      <c r="L364" s="603">
        <f>K143</f>
        <v>-1</v>
      </c>
      <c r="M364" s="603">
        <f>L143</f>
        <v>-3.2</v>
      </c>
      <c r="N364" s="603" t="str">
        <f>M143</f>
        <v>-</v>
      </c>
      <c r="O364" s="603">
        <f>N143</f>
        <v>1.1000000000000001</v>
      </c>
      <c r="Q364" s="881"/>
      <c r="R364" s="603">
        <v>13</v>
      </c>
      <c r="S364" s="603">
        <f>Q143</f>
        <v>1020</v>
      </c>
      <c r="T364" s="603">
        <f>R143</f>
        <v>9.9999999999999995E-7</v>
      </c>
      <c r="U364" s="603">
        <f>S143</f>
        <v>9.9999999999999995E-7</v>
      </c>
      <c r="V364" s="603" t="str">
        <f>T143</f>
        <v>-</v>
      </c>
      <c r="W364" s="646">
        <f>U143</f>
        <v>0</v>
      </c>
      <c r="AE364" s="639"/>
    </row>
    <row r="365" spans="1:31" ht="13" hidden="1" x14ac:dyDescent="0.3">
      <c r="A365" s="860"/>
      <c r="B365" s="603">
        <v>14</v>
      </c>
      <c r="C365" s="603">
        <f>C154</f>
        <v>40</v>
      </c>
      <c r="D365" s="603">
        <f>D154</f>
        <v>-0.8</v>
      </c>
      <c r="E365" s="603">
        <f>E154</f>
        <v>-1.1000000000000001</v>
      </c>
      <c r="F365" s="603" t="str">
        <f>F154</f>
        <v>-</v>
      </c>
      <c r="G365" s="603">
        <f>G154</f>
        <v>0.15000000000000002</v>
      </c>
      <c r="I365" s="860"/>
      <c r="J365" s="603">
        <v>14</v>
      </c>
      <c r="K365" s="603">
        <f>J154</f>
        <v>90</v>
      </c>
      <c r="L365" s="603">
        <f>K154</f>
        <v>1.5</v>
      </c>
      <c r="M365" s="603">
        <f>L154</f>
        <v>-0.8</v>
      </c>
      <c r="N365" s="603" t="str">
        <f>M154</f>
        <v>-</v>
      </c>
      <c r="O365" s="603">
        <f>N154</f>
        <v>1.1499999999999999</v>
      </c>
      <c r="Q365" s="881"/>
      <c r="R365" s="603">
        <v>14</v>
      </c>
      <c r="S365" s="603">
        <f>Q154</f>
        <v>1020</v>
      </c>
      <c r="T365" s="603">
        <f>R154</f>
        <v>9.9999999999999995E-7</v>
      </c>
      <c r="U365" s="603">
        <f>S154</f>
        <v>9.9999999999999995E-7</v>
      </c>
      <c r="V365" s="603" t="str">
        <f>T154</f>
        <v>-</v>
      </c>
      <c r="W365" s="646">
        <f>U154</f>
        <v>0</v>
      </c>
      <c r="AE365" s="639"/>
    </row>
    <row r="366" spans="1:31" ht="13" hidden="1" x14ac:dyDescent="0.3">
      <c r="A366" s="860"/>
      <c r="B366" s="603">
        <v>15</v>
      </c>
      <c r="C366" s="603">
        <f>C165</f>
        <v>40</v>
      </c>
      <c r="D366" s="603">
        <f>D165</f>
        <v>1.4</v>
      </c>
      <c r="E366" s="603">
        <f>E165</f>
        <v>9.9999999999999995E-7</v>
      </c>
      <c r="F366" s="603" t="str">
        <f>F165</f>
        <v>-</v>
      </c>
      <c r="G366" s="603">
        <f>G165</f>
        <v>0.6999995</v>
      </c>
      <c r="I366" s="860"/>
      <c r="J366" s="603">
        <v>15</v>
      </c>
      <c r="K366" s="603">
        <f>J165</f>
        <v>90</v>
      </c>
      <c r="L366" s="603">
        <f>K165</f>
        <v>-0.1</v>
      </c>
      <c r="M366" s="603">
        <f>L165</f>
        <v>-2</v>
      </c>
      <c r="N366" s="603" t="str">
        <f>M165</f>
        <v>-</v>
      </c>
      <c r="O366" s="603">
        <f>N165</f>
        <v>0.95</v>
      </c>
      <c r="Q366" s="881"/>
      <c r="R366" s="603">
        <v>15</v>
      </c>
      <c r="S366" s="603">
        <f>Q165</f>
        <v>1020</v>
      </c>
      <c r="T366" s="603">
        <f>R165</f>
        <v>9.9999999999999995E-7</v>
      </c>
      <c r="U366" s="603">
        <f>S165</f>
        <v>9.9999999999999995E-7</v>
      </c>
      <c r="V366" s="603" t="str">
        <f>T165</f>
        <v>-</v>
      </c>
      <c r="W366" s="646">
        <f>U165</f>
        <v>0</v>
      </c>
      <c r="AE366" s="639"/>
    </row>
    <row r="367" spans="1:31" ht="13" hidden="1" x14ac:dyDescent="0.3">
      <c r="A367" s="860"/>
      <c r="B367" s="603">
        <v>16</v>
      </c>
      <c r="C367" s="603">
        <f>C176</f>
        <v>40</v>
      </c>
      <c r="D367" s="603">
        <f>D176</f>
        <v>9.9999999999999995E-7</v>
      </c>
      <c r="E367" s="603" t="str">
        <f>E176</f>
        <v>-</v>
      </c>
      <c r="F367" s="603" t="str">
        <f>F176</f>
        <v>-</v>
      </c>
      <c r="G367" s="603">
        <f>G176</f>
        <v>0</v>
      </c>
      <c r="I367" s="860"/>
      <c r="J367" s="603">
        <v>16</v>
      </c>
      <c r="K367" s="603">
        <f>J176</f>
        <v>90</v>
      </c>
      <c r="L367" s="603">
        <f>K176</f>
        <v>-3</v>
      </c>
      <c r="M367" s="603" t="str">
        <f>L176</f>
        <v>-</v>
      </c>
      <c r="N367" s="603" t="str">
        <f>M176</f>
        <v>-</v>
      </c>
      <c r="O367" s="603">
        <f>N176</f>
        <v>0</v>
      </c>
      <c r="Q367" s="881"/>
      <c r="R367" s="603">
        <v>16</v>
      </c>
      <c r="S367" s="603">
        <f>Q176</f>
        <v>1020</v>
      </c>
      <c r="T367" s="603">
        <f>R176</f>
        <v>9.9999999999999995E-7</v>
      </c>
      <c r="U367" s="603" t="str">
        <f>S176</f>
        <v>-</v>
      </c>
      <c r="V367" s="603" t="str">
        <f>T176</f>
        <v>-</v>
      </c>
      <c r="W367" s="646">
        <f>U176</f>
        <v>0</v>
      </c>
      <c r="AE367" s="639"/>
    </row>
    <row r="368" spans="1:31" ht="13" hidden="1" x14ac:dyDescent="0.3">
      <c r="A368" s="860"/>
      <c r="B368" s="603">
        <v>17</v>
      </c>
      <c r="C368" s="603">
        <f>C187</f>
        <v>40</v>
      </c>
      <c r="D368" s="603">
        <f>D187</f>
        <v>-0.8</v>
      </c>
      <c r="E368" s="603" t="str">
        <f>E187</f>
        <v>-</v>
      </c>
      <c r="F368" s="603" t="str">
        <f>F187</f>
        <v>-</v>
      </c>
      <c r="G368" s="603">
        <f>G187</f>
        <v>0</v>
      </c>
      <c r="I368" s="860"/>
      <c r="J368" s="603">
        <v>17</v>
      </c>
      <c r="K368" s="603">
        <f>J187</f>
        <v>90</v>
      </c>
      <c r="L368" s="603">
        <f>K187</f>
        <v>-1.4</v>
      </c>
      <c r="M368" s="603" t="str">
        <f>L187</f>
        <v>-</v>
      </c>
      <c r="N368" s="603" t="str">
        <f>M187</f>
        <v>-</v>
      </c>
      <c r="O368" s="603">
        <f>N187</f>
        <v>0</v>
      </c>
      <c r="Q368" s="881"/>
      <c r="R368" s="603">
        <v>17</v>
      </c>
      <c r="S368" s="603">
        <f>Q187</f>
        <v>1020</v>
      </c>
      <c r="T368" s="603">
        <f>R187</f>
        <v>9.9999999999999995E-7</v>
      </c>
      <c r="U368" s="603" t="str">
        <f>S187</f>
        <v>-</v>
      </c>
      <c r="V368" s="603" t="str">
        <f>T187</f>
        <v>-</v>
      </c>
      <c r="W368" s="646">
        <f>U187</f>
        <v>0</v>
      </c>
      <c r="AE368" s="639"/>
    </row>
    <row r="369" spans="1:31" ht="13" hidden="1" x14ac:dyDescent="0.3">
      <c r="A369" s="860"/>
      <c r="B369" s="603">
        <v>18</v>
      </c>
      <c r="C369" s="603">
        <f>C198</f>
        <v>40</v>
      </c>
      <c r="D369" s="603">
        <f>D198</f>
        <v>-0.4</v>
      </c>
      <c r="E369" s="603" t="str">
        <f>E198</f>
        <v>-</v>
      </c>
      <c r="F369" s="603" t="str">
        <f>F198</f>
        <v>-</v>
      </c>
      <c r="G369" s="603">
        <f>G198</f>
        <v>0</v>
      </c>
      <c r="I369" s="860"/>
      <c r="J369" s="603">
        <v>18</v>
      </c>
      <c r="K369" s="603">
        <f>J198</f>
        <v>90</v>
      </c>
      <c r="L369" s="603">
        <f>K198</f>
        <v>-0.8</v>
      </c>
      <c r="M369" s="603" t="str">
        <f>L198</f>
        <v>-</v>
      </c>
      <c r="N369" s="603" t="str">
        <f>M198</f>
        <v>-</v>
      </c>
      <c r="O369" s="603">
        <f>N198</f>
        <v>0</v>
      </c>
      <c r="Q369" s="881"/>
      <c r="R369" s="603">
        <v>18</v>
      </c>
      <c r="S369" s="603">
        <f>Q198</f>
        <v>1020</v>
      </c>
      <c r="T369" s="603">
        <f>R198</f>
        <v>9.9999999999999995E-7</v>
      </c>
      <c r="U369" s="603" t="str">
        <f>S198</f>
        <v>-</v>
      </c>
      <c r="V369" s="603" t="str">
        <f>T198</f>
        <v>-</v>
      </c>
      <c r="W369" s="646">
        <f>U198</f>
        <v>0</v>
      </c>
      <c r="AE369" s="639"/>
    </row>
    <row r="370" spans="1:31" ht="13" hidden="1" x14ac:dyDescent="0.3">
      <c r="A370" s="860"/>
      <c r="B370" s="603">
        <v>19</v>
      </c>
      <c r="C370" s="603">
        <f>C209</f>
        <v>40</v>
      </c>
      <c r="D370" s="603">
        <f>D209</f>
        <v>0.2</v>
      </c>
      <c r="E370" s="603" t="str">
        <f>E209</f>
        <v>-</v>
      </c>
      <c r="F370" s="603" t="str">
        <f>F209</f>
        <v>-</v>
      </c>
      <c r="G370" s="603">
        <f>G209</f>
        <v>0</v>
      </c>
      <c r="I370" s="860"/>
      <c r="J370" s="603">
        <v>19</v>
      </c>
      <c r="K370" s="603">
        <f>J209</f>
        <v>90</v>
      </c>
      <c r="L370" s="603">
        <f>K209</f>
        <v>-0.6</v>
      </c>
      <c r="M370" s="603" t="str">
        <f>L209</f>
        <v>-</v>
      </c>
      <c r="N370" s="603" t="str">
        <f>M209</f>
        <v>-</v>
      </c>
      <c r="O370" s="603">
        <f>N209</f>
        <v>0</v>
      </c>
      <c r="Q370" s="881"/>
      <c r="R370" s="603">
        <v>19</v>
      </c>
      <c r="S370" s="603">
        <f>Q209</f>
        <v>1020</v>
      </c>
      <c r="T370" s="603">
        <f>R209</f>
        <v>2.2999999999999998</v>
      </c>
      <c r="U370" s="603" t="str">
        <f>S209</f>
        <v>-</v>
      </c>
      <c r="V370" s="603" t="str">
        <f>T209</f>
        <v>-</v>
      </c>
      <c r="W370" s="646">
        <f>U209</f>
        <v>0</v>
      </c>
      <c r="AE370" s="639"/>
    </row>
    <row r="371" spans="1:31" ht="13.5" hidden="1" thickBot="1" x14ac:dyDescent="0.35">
      <c r="A371" s="860"/>
      <c r="B371" s="603">
        <v>20</v>
      </c>
      <c r="C371" s="603">
        <f>C220</f>
        <v>40</v>
      </c>
      <c r="D371" s="603">
        <f>D220</f>
        <v>9.9999999999999995E-7</v>
      </c>
      <c r="E371" s="603" t="str">
        <f>E220</f>
        <v>-</v>
      </c>
      <c r="F371" s="603" t="str">
        <f>F220</f>
        <v>-</v>
      </c>
      <c r="G371" s="603">
        <f>G220</f>
        <v>0</v>
      </c>
      <c r="I371" s="860"/>
      <c r="J371" s="603">
        <v>20</v>
      </c>
      <c r="K371" s="603">
        <f>J220</f>
        <v>90</v>
      </c>
      <c r="L371" s="603">
        <f>K220</f>
        <v>9.9999999999999995E-7</v>
      </c>
      <c r="M371" s="603" t="str">
        <f>L220</f>
        <v>-</v>
      </c>
      <c r="N371" s="603" t="str">
        <f>M220</f>
        <v>-</v>
      </c>
      <c r="O371" s="603">
        <f>N220</f>
        <v>0</v>
      </c>
      <c r="Q371" s="882"/>
      <c r="R371" s="645">
        <v>20</v>
      </c>
      <c r="S371" s="645">
        <f>Q220</f>
        <v>1020</v>
      </c>
      <c r="T371" s="645">
        <f>R220</f>
        <v>9.9999999999999995E-7</v>
      </c>
      <c r="U371" s="645" t="str">
        <f>S220</f>
        <v>-</v>
      </c>
      <c r="V371" s="645" t="str">
        <f>T220</f>
        <v>-</v>
      </c>
      <c r="W371" s="644">
        <f>U220</f>
        <v>0</v>
      </c>
      <c r="AE371" s="643"/>
    </row>
    <row r="372" spans="1:31" ht="13.5" thickBot="1" x14ac:dyDescent="0.35">
      <c r="A372" s="642"/>
      <c r="B372" s="640"/>
      <c r="C372" s="614"/>
      <c r="D372" s="614"/>
      <c r="E372" s="614"/>
      <c r="F372" s="614"/>
      <c r="G372" s="614"/>
      <c r="H372" s="639"/>
      <c r="I372" s="641"/>
      <c r="J372" s="640"/>
      <c r="K372" s="614"/>
      <c r="L372" s="614"/>
      <c r="M372" s="614"/>
      <c r="N372" s="614"/>
      <c r="O372" s="614"/>
      <c r="P372" s="639"/>
    </row>
    <row r="373" spans="1:31" ht="29.25" customHeight="1" x14ac:dyDescent="0.25">
      <c r="A373" s="638">
        <f>A410</f>
        <v>3</v>
      </c>
      <c r="B373" s="894" t="str">
        <f>A389</f>
        <v>Thermohygrolight, Merek : KIMO, Model : KH-210-AO, SN : 14082463</v>
      </c>
      <c r="C373" s="894"/>
      <c r="D373" s="894"/>
      <c r="E373" s="894"/>
      <c r="G373" s="638">
        <f>A373</f>
        <v>3</v>
      </c>
      <c r="H373" s="894" t="str">
        <f>B373</f>
        <v>Thermohygrolight, Merek : KIMO, Model : KH-210-AO, SN : 14082463</v>
      </c>
      <c r="I373" s="894"/>
      <c r="J373" s="894"/>
      <c r="K373" s="894"/>
      <c r="M373" s="638">
        <f>G373</f>
        <v>3</v>
      </c>
      <c r="N373" s="894" t="str">
        <f>H373</f>
        <v>Thermohygrolight, Merek : KIMO, Model : KH-210-AO, SN : 14082463</v>
      </c>
      <c r="O373" s="894"/>
      <c r="P373" s="894"/>
      <c r="Q373" s="894"/>
      <c r="S373" s="637">
        <f>A373</f>
        <v>3</v>
      </c>
      <c r="T373" s="904" t="str">
        <f>H373</f>
        <v>Thermohygrolight, Merek : KIMO, Model : KH-210-AO, SN : 14082463</v>
      </c>
      <c r="U373" s="904"/>
      <c r="V373" s="904"/>
      <c r="W373" s="905"/>
      <c r="Z373" s="636"/>
      <c r="AE373" s="623"/>
    </row>
    <row r="374" spans="1:31" ht="13" x14ac:dyDescent="0.3">
      <c r="A374" s="633" t="s">
        <v>563</v>
      </c>
      <c r="B374" s="895" t="s">
        <v>299</v>
      </c>
      <c r="C374" s="895"/>
      <c r="D374" s="895"/>
      <c r="E374" s="895" t="s">
        <v>564</v>
      </c>
      <c r="G374" s="633" t="s">
        <v>565</v>
      </c>
      <c r="H374" s="895" t="s">
        <v>299</v>
      </c>
      <c r="I374" s="895"/>
      <c r="J374" s="895"/>
      <c r="K374" s="895" t="s">
        <v>564</v>
      </c>
      <c r="M374" s="633" t="s">
        <v>696</v>
      </c>
      <c r="N374" s="895" t="s">
        <v>299</v>
      </c>
      <c r="O374" s="895"/>
      <c r="P374" s="895"/>
      <c r="Q374" s="895" t="s">
        <v>564</v>
      </c>
      <c r="S374" s="906"/>
      <c r="T374" s="892" t="s">
        <v>578</v>
      </c>
      <c r="U374" s="892" t="s">
        <v>579</v>
      </c>
      <c r="V374" s="892" t="s">
        <v>580</v>
      </c>
      <c r="W374" s="893" t="s">
        <v>537</v>
      </c>
      <c r="Z374" s="614"/>
    </row>
    <row r="375" spans="1:31" ht="14" x14ac:dyDescent="0.3">
      <c r="A375" s="635" t="s">
        <v>716</v>
      </c>
      <c r="B375" s="634">
        <f>VLOOKUP(B373,A390:L409,9,FALSE)</f>
        <v>2021</v>
      </c>
      <c r="C375" s="634">
        <f>VLOOKUP(B373,A390:L409,10,FALSE)</f>
        <v>2018</v>
      </c>
      <c r="D375" s="634" t="str">
        <f>VLOOKUP(B373,A390:L409,11,FALSE)</f>
        <v>-</v>
      </c>
      <c r="E375" s="895"/>
      <c r="G375" s="547" t="s">
        <v>566</v>
      </c>
      <c r="H375" s="634">
        <f>B375</f>
        <v>2021</v>
      </c>
      <c r="I375" s="634">
        <f>C375</f>
        <v>2018</v>
      </c>
      <c r="J375" s="634" t="str">
        <f>D375</f>
        <v>-</v>
      </c>
      <c r="K375" s="895"/>
      <c r="M375" s="547" t="s">
        <v>695</v>
      </c>
      <c r="N375" s="634">
        <f>H375</f>
        <v>2021</v>
      </c>
      <c r="O375" s="634">
        <f>I375</f>
        <v>2018</v>
      </c>
      <c r="P375" s="634" t="str">
        <f>J375</f>
        <v>-</v>
      </c>
      <c r="Q375" s="895"/>
      <c r="S375" s="906"/>
      <c r="T375" s="892"/>
      <c r="U375" s="892"/>
      <c r="V375" s="892"/>
      <c r="W375" s="893"/>
      <c r="Z375" s="614"/>
    </row>
    <row r="376" spans="1:31" ht="13" x14ac:dyDescent="0.3">
      <c r="A376" s="620">
        <f>VLOOKUP($A$373,$B$226:$G$245,2,FALSE)</f>
        <v>15</v>
      </c>
      <c r="B376" s="620">
        <f>VLOOKUP($A$373,$B$226:$G$245,3,FALSE)</f>
        <v>0.4</v>
      </c>
      <c r="C376" s="620">
        <f>VLOOKUP($A$373,$B$226:$G$245,4,FALSE)</f>
        <v>9.9999999999999995E-7</v>
      </c>
      <c r="D376" s="620" t="str">
        <f>VLOOKUP($A$373,$B$226:$G$245,5,FALSE)</f>
        <v>-</v>
      </c>
      <c r="E376" s="620">
        <f>VLOOKUP($A$373,$B$226:$G$245,6,FALSE)</f>
        <v>0.19999950000000002</v>
      </c>
      <c r="G376" s="620">
        <f>VLOOKUP($G$373,$J$226:$O$245,2,FALSE)</f>
        <v>30</v>
      </c>
      <c r="H376" s="620">
        <f>VLOOKUP($G$373,$J$226:$O$245,3,FALSE)</f>
        <v>-7.3</v>
      </c>
      <c r="I376" s="620">
        <f>VLOOKUP($G$373,$J$226:$O$245,4,FALSE)</f>
        <v>-5.7</v>
      </c>
      <c r="J376" s="620" t="str">
        <f>VLOOKUP($G$373,$J$226:$O$245,5,FALSE)</f>
        <v>-</v>
      </c>
      <c r="K376" s="620">
        <f>VLOOKUP($G$373,$J$226:$O$245,6,FALSE)</f>
        <v>0.79999999999999982</v>
      </c>
      <c r="M376" s="620">
        <f>VLOOKUP($M$373,$R$226:$W$245,2,FALSE)</f>
        <v>750</v>
      </c>
      <c r="N376" s="620" t="str">
        <f>VLOOKUP($M$373,$R$226:$W$245,3,FALSE)</f>
        <v>-</v>
      </c>
      <c r="O376" s="620" t="str">
        <f>VLOOKUP($M$373,$R$226:$W$245,4,FALSE)</f>
        <v>-</v>
      </c>
      <c r="P376" s="620" t="str">
        <f>VLOOKUP($M$373,$R$226:$W$245,5,FALSE)</f>
        <v>-</v>
      </c>
      <c r="Q376" s="620">
        <f>VLOOKUP($M$373,$R$226:$W$245,6,FALSE)</f>
        <v>0</v>
      </c>
      <c r="S376" s="906"/>
      <c r="T376" s="892"/>
      <c r="U376" s="892"/>
      <c r="V376" s="892"/>
      <c r="W376" s="893"/>
      <c r="Z376" s="614"/>
    </row>
    <row r="377" spans="1:31" ht="13" x14ac:dyDescent="0.3">
      <c r="A377" s="620">
        <f>VLOOKUP($A$373,$B$247:$G$266,2,FALSE)</f>
        <v>20</v>
      </c>
      <c r="B377" s="620">
        <f>VLOOKUP($A$373,$B$247:$G$266,3,FALSE)</f>
        <v>1</v>
      </c>
      <c r="C377" s="620">
        <f>VLOOKUP($A$373,$B$247:$G$266,4,FALSE)</f>
        <v>9.9999999999999995E-7</v>
      </c>
      <c r="D377" s="620" t="str">
        <f>VLOOKUP($A$373,$B$247:$G$266,5,FALSE)</f>
        <v>-</v>
      </c>
      <c r="E377" s="620">
        <f>VLOOKUP($A$373,$B$247:$G$266,6,FALSE)</f>
        <v>0.49999949999999999</v>
      </c>
      <c r="G377" s="620">
        <f>VLOOKUP($G$373,$J$247:$O$266,2,FALSE)</f>
        <v>40</v>
      </c>
      <c r="H377" s="620">
        <f>VLOOKUP($G$373,$J$247:$O$266,3,FALSE)</f>
        <v>-5.9</v>
      </c>
      <c r="I377" s="620">
        <f>VLOOKUP($G$373,$J$247:$O$266,4,FALSE)</f>
        <v>-5.3</v>
      </c>
      <c r="J377" s="620" t="str">
        <f>VLOOKUP($G$373,$J$247:$O$266,5,FALSE)</f>
        <v>-</v>
      </c>
      <c r="K377" s="620">
        <f>VLOOKUP($G$373,$J$247:$O$266,6,FALSE)</f>
        <v>0.30000000000000027</v>
      </c>
      <c r="M377" s="620">
        <f>VLOOKUP($M$373,$R$247:$W$266,2,FALSE)</f>
        <v>800</v>
      </c>
      <c r="N377" s="620" t="str">
        <f>VLOOKUP($M$373,$R$247:$W$266,3,FALSE)</f>
        <v>-</v>
      </c>
      <c r="O377" s="620" t="str">
        <f>VLOOKUP($M$373,$R$247:$W$266,4,FALSE)</f>
        <v>-</v>
      </c>
      <c r="P377" s="620" t="str">
        <f>VLOOKUP($M$373,$R$247:$W$266,5,FALSE)</f>
        <v>-</v>
      </c>
      <c r="Q377" s="620">
        <f>VLOOKUP($M$373,$R$247:$W$266,6,FALSE)</f>
        <v>0</v>
      </c>
      <c r="S377" s="632" t="s">
        <v>563</v>
      </c>
      <c r="T377" s="630">
        <f>AVERAGE(ID!E15:F15)</f>
        <v>26.65</v>
      </c>
      <c r="U377" s="631">
        <f>T377+S386</f>
        <v>26.985777052497223</v>
      </c>
      <c r="V377" s="630">
        <f>STDEV([1]ID!E17:F17)</f>
        <v>0.28284271247461801</v>
      </c>
      <c r="W377" s="629">
        <f>VLOOKUP(S373,Y225:Z244,2,(FALSE))</f>
        <v>0.5</v>
      </c>
      <c r="Z377" s="614"/>
    </row>
    <row r="378" spans="1:31" ht="13" x14ac:dyDescent="0.3">
      <c r="A378" s="620">
        <f>VLOOKUP($A$373,$B$268:$G$287,2,FALSE)</f>
        <v>25</v>
      </c>
      <c r="B378" s="620">
        <f>VLOOKUP($A$373,$B$268:$G$287,3,FALSE)</f>
        <v>0.7</v>
      </c>
      <c r="C378" s="620">
        <f>VLOOKUP($A$373,$B$268:$G$287,4,FALSE)</f>
        <v>-0.1</v>
      </c>
      <c r="D378" s="620" t="str">
        <f>VLOOKUP($A$373,$B$268:$G$287,5,FALSE)</f>
        <v>-</v>
      </c>
      <c r="E378" s="620">
        <f>VLOOKUP($A$373,$B$268:$G$287,6,FALSE)</f>
        <v>0.39999999999999997</v>
      </c>
      <c r="G378" s="620">
        <f>VLOOKUP($G$373,$J$268:$O$287,2,FALSE)</f>
        <v>50</v>
      </c>
      <c r="H378" s="620">
        <f>VLOOKUP($G$373,$J$268:$O$287,3,FALSE)</f>
        <v>-4.5</v>
      </c>
      <c r="I378" s="620">
        <f>VLOOKUP($G$373,$J$268:$O$287,4,FALSE)</f>
        <v>-4.9000000000000004</v>
      </c>
      <c r="J378" s="620" t="str">
        <f>VLOOKUP($G$373,$J$268:$O$287,5,FALSE)</f>
        <v>-</v>
      </c>
      <c r="K378" s="620">
        <f>VLOOKUP($G$373,$J$268:$O$287,6,FALSE)</f>
        <v>0.20000000000000018</v>
      </c>
      <c r="M378" s="620">
        <f>VLOOKUP($M$373,$R$268:$W$287,2,FALSE)</f>
        <v>850</v>
      </c>
      <c r="N378" s="620" t="str">
        <f>VLOOKUP($M$373,$R$268:$W$287,3,FALSE)</f>
        <v>-</v>
      </c>
      <c r="O378" s="620" t="str">
        <f>VLOOKUP($M$373,$R$268:$W$287,4,FALSE)</f>
        <v>-</v>
      </c>
      <c r="P378" s="620" t="str">
        <f>VLOOKUP($M$373,$R$268:$W$287,5,FALSE)</f>
        <v>-</v>
      </c>
      <c r="Q378" s="620">
        <f>VLOOKUP($M$373,$R$268:$W$287,6,FALSE)</f>
        <v>0</v>
      </c>
      <c r="S378" s="632" t="s">
        <v>566</v>
      </c>
      <c r="T378" s="630">
        <f>AVERAGE(ID!E16:F16)</f>
        <v>75.099999999999994</v>
      </c>
      <c r="U378" s="631">
        <f>T378+T386</f>
        <v>73.671607142857141</v>
      </c>
      <c r="V378" s="630">
        <f>STDEV([1]ID!E18:F18)</f>
        <v>0.49497474683058529</v>
      </c>
      <c r="W378" s="629">
        <f>VLOOKUP(S373,Y249:Z268,2,(FALSE))</f>
        <v>3.1</v>
      </c>
      <c r="Z378" s="614"/>
    </row>
    <row r="379" spans="1:31" ht="13.5" thickBot="1" x14ac:dyDescent="0.35">
      <c r="A379" s="620">
        <f>VLOOKUP($A$373,$B$289:$G$308,2,FALSE)</f>
        <v>30</v>
      </c>
      <c r="B379" s="620">
        <f>VLOOKUP($A$373,$B$289:$G$308,3,FALSE)</f>
        <v>9.9999999999999995E-7</v>
      </c>
      <c r="C379" s="620">
        <f>VLOOKUP($A$373,$B$289:$G$308,4,FALSE)</f>
        <v>-0.3</v>
      </c>
      <c r="D379" s="620" t="str">
        <f>VLOOKUP($A$373,$B$289:$G$308,5,FALSE)</f>
        <v>-</v>
      </c>
      <c r="E379" s="620">
        <f>VLOOKUP($A$373,$B$289:$G$308,6,FALSE)</f>
        <v>0.15000049999999998</v>
      </c>
      <c r="G379" s="620">
        <f>VLOOKUP($G$373,$J$289:$O$308,2,FALSE)</f>
        <v>60</v>
      </c>
      <c r="H379" s="620">
        <f>VLOOKUP($G$373,$J$289:$O$308,3,FALSE)</f>
        <v>-3.2</v>
      </c>
      <c r="I379" s="620">
        <f>VLOOKUP($G$373,$J$289:$O$308,4,FALSE)</f>
        <v>-4.3</v>
      </c>
      <c r="J379" s="620" t="str">
        <f>VLOOKUP($G$373,$J$289:$O$308,5,FALSE)</f>
        <v>-</v>
      </c>
      <c r="K379" s="620">
        <f>VLOOKUP($G$373,$J$289:$O$308,6,FALSE)</f>
        <v>0.54999999999999982</v>
      </c>
      <c r="M379" s="620">
        <f>VLOOKUP($M$373,$R$289:$W$308,2,FALSE)</f>
        <v>900</v>
      </c>
      <c r="N379" s="620" t="str">
        <f>VLOOKUP($M$373,$R$289:$W$308,3,FALSE)</f>
        <v>-</v>
      </c>
      <c r="O379" s="620" t="str">
        <f>VLOOKUP($M$373,$R$289:$W$308,4,FALSE)</f>
        <v>-</v>
      </c>
      <c r="P379" s="620" t="str">
        <f>VLOOKUP($M$373,$R$289:$W$308,5,FALSE)</f>
        <v>-</v>
      </c>
      <c r="Q379" s="620">
        <f>VLOOKUP($M$373,$R$289:$W$308,6,FALSE)</f>
        <v>0</v>
      </c>
      <c r="S379" s="628" t="s">
        <v>695</v>
      </c>
      <c r="T379" s="627">
        <v>1002</v>
      </c>
      <c r="U379" s="626" t="e">
        <f>T379+U386</f>
        <v>#DIV/0!</v>
      </c>
      <c r="V379" s="625">
        <f>STDEV('[2]INPUT DATA'!E17:F17)</f>
        <v>2.0506096654409718</v>
      </c>
      <c r="W379" s="624">
        <f>VLOOKUP(S373,Y273:Z292,2,(FALSE))</f>
        <v>0</v>
      </c>
      <c r="Z379" s="614"/>
      <c r="AE379" s="598"/>
    </row>
    <row r="380" spans="1:31" ht="13.5" thickBot="1" x14ac:dyDescent="0.35">
      <c r="A380" s="620">
        <f>VLOOKUP($A$373,$B$310:$G$329,2,FALSE)</f>
        <v>35</v>
      </c>
      <c r="B380" s="620">
        <f>VLOOKUP($A$373,$B$310:$G$329,3,FALSE)</f>
        <v>-0.3</v>
      </c>
      <c r="C380" s="620">
        <f>VLOOKUP($A$373,$B$310:$G$329,4,FALSE)</f>
        <v>-0.5</v>
      </c>
      <c r="D380" s="620" t="str">
        <f>VLOOKUP($A$373,$B$310:$G$329,5,FALSE)</f>
        <v>-</v>
      </c>
      <c r="E380" s="620">
        <f>VLOOKUP($A$373,$B$310:$G$329,6,FALSE)</f>
        <v>0.1</v>
      </c>
      <c r="G380" s="620">
        <f>VLOOKUP($G$373,$J$310:$O$329,2,FALSE)</f>
        <v>70</v>
      </c>
      <c r="H380" s="620">
        <f>VLOOKUP($G$373,$J$310:$O$329,3,FALSE)</f>
        <v>-2</v>
      </c>
      <c r="I380" s="620">
        <f>VLOOKUP($G$373,$J$310:$O$329,4,FALSE)</f>
        <v>-3.6</v>
      </c>
      <c r="J380" s="620" t="str">
        <f>VLOOKUP($G$373,$J$310:$O$329,5,FALSE)</f>
        <v>-</v>
      </c>
      <c r="K380" s="620">
        <f>VLOOKUP($G$373,$J$310:$O$329,6,FALSE)</f>
        <v>0.8</v>
      </c>
      <c r="M380" s="620">
        <f>VLOOKUP($M$373,$R$310:$W$329,2,FALSE)</f>
        <v>1000</v>
      </c>
      <c r="N380" s="620" t="str">
        <f>VLOOKUP($M$373,$R$310:$W$329,3,FALSE)</f>
        <v>-</v>
      </c>
      <c r="O380" s="620" t="str">
        <f>VLOOKUP($M$373,$R$310:$W$329,4,FALSE)</f>
        <v>-</v>
      </c>
      <c r="P380" s="620" t="str">
        <f>VLOOKUP($M$373,$R$310:$W$329,5,FALSE)</f>
        <v>-</v>
      </c>
      <c r="Q380" s="620">
        <f>VLOOKUP($M$373,$R$310:$W$329,6,FALSE)</f>
        <v>0</v>
      </c>
      <c r="S380" s="623"/>
      <c r="W380" s="623"/>
      <c r="Z380" s="614"/>
      <c r="AE380" s="597"/>
    </row>
    <row r="381" spans="1:31" ht="14" x14ac:dyDescent="0.3">
      <c r="A381" s="620">
        <f>VLOOKUP($A$373,$B$331:$G$350,2,FALSE)</f>
        <v>37</v>
      </c>
      <c r="B381" s="620">
        <f>VLOOKUP($A$373,$B$331:$G$350,3,FALSE)</f>
        <v>-0.2</v>
      </c>
      <c r="C381" s="620">
        <f>VLOOKUP($A$373,$B$331:$G$350,4,FALSE)</f>
        <v>-0.6</v>
      </c>
      <c r="D381" s="620" t="str">
        <f>VLOOKUP($A$373,$B$331:$G$350,5,FALSE)</f>
        <v>-</v>
      </c>
      <c r="E381" s="620">
        <f>VLOOKUP($A$373,$B$331:$G$350,6,FALSE)</f>
        <v>0.19999999999999998</v>
      </c>
      <c r="G381" s="620">
        <f>VLOOKUP($G$373,$J$331:$O$350,2,FALSE)</f>
        <v>80</v>
      </c>
      <c r="H381" s="620">
        <f>VLOOKUP($G$373,$J$331:$O$350,3,FALSE)</f>
        <v>-0.8</v>
      </c>
      <c r="I381" s="620">
        <f>VLOOKUP($G$373,$J$331:$O$350,4,FALSE)</f>
        <v>-2.9</v>
      </c>
      <c r="J381" s="620" t="str">
        <f>VLOOKUP($G$373,$J$331:$O$350,5,FALSE)</f>
        <v>-</v>
      </c>
      <c r="K381" s="620">
        <f>VLOOKUP($G$373,$J$331:$O$350,6,FALSE)</f>
        <v>1.0499999999999998</v>
      </c>
      <c r="M381" s="620">
        <f>VLOOKUP($M$373,$R$331:$W$350,2,FALSE)</f>
        <v>1005</v>
      </c>
      <c r="N381" s="620" t="str">
        <f>VLOOKUP($M$373,$R$331:$W$350,3,FALSE)</f>
        <v>-</v>
      </c>
      <c r="O381" s="620" t="str">
        <f>VLOOKUP($M$373,$R$331:$W$350,4,FALSE)</f>
        <v>-</v>
      </c>
      <c r="P381" s="620" t="str">
        <f>VLOOKUP($M$373,$R$331:$W$350,5,FALSE)</f>
        <v>-</v>
      </c>
      <c r="Q381" s="620">
        <f>VLOOKUP($M$373,$R$331:$W$350,6,FALSE)</f>
        <v>0</v>
      </c>
      <c r="S381" s="896" t="s">
        <v>694</v>
      </c>
      <c r="T381" s="622" t="str">
        <f>N393&amp;N390&amp;O393&amp;O390&amp;P393&amp;P390</f>
        <v>( 27.0 ± 0.5 ) °C</v>
      </c>
      <c r="U381" s="621"/>
      <c r="Z381" s="614"/>
      <c r="AE381" s="613"/>
    </row>
    <row r="382" spans="1:31" ht="14" x14ac:dyDescent="0.3">
      <c r="A382" s="620">
        <f>VLOOKUP($A$373,$B$352:$G$371,2,FALSE)</f>
        <v>40</v>
      </c>
      <c r="B382" s="620">
        <f>VLOOKUP($A$373,$B$352:$G$371,3,FALSE)</f>
        <v>0.2</v>
      </c>
      <c r="C382" s="620">
        <f>VLOOKUP($A$373,$B$352:$G$371,4,FALSE)</f>
        <v>-0.7</v>
      </c>
      <c r="D382" s="620" t="str">
        <f>VLOOKUP($A$373,$B$352:$G$371,5,FALSE)</f>
        <v>-</v>
      </c>
      <c r="E382" s="620">
        <f>VLOOKUP($A$373,$B$352:$G$371,6,FALSE)</f>
        <v>0.44999999999999996</v>
      </c>
      <c r="G382" s="620">
        <f>VLOOKUP($G$373,$J$352:$O$371,2,FALSE)</f>
        <v>90</v>
      </c>
      <c r="H382" s="620">
        <f>VLOOKUP($G$373,$J$352:$O$371,3,FALSE)</f>
        <v>0.3</v>
      </c>
      <c r="I382" s="620">
        <f>VLOOKUP($G$373,$J$352:$O$371,4,FALSE)</f>
        <v>-2</v>
      </c>
      <c r="J382" s="620" t="str">
        <f>VLOOKUP($G$373,$J$352:$O$371,5,FALSE)</f>
        <v>-</v>
      </c>
      <c r="K382" s="620">
        <f>VLOOKUP($G$373,$J$352:$O$371,6,FALSE)</f>
        <v>1.1499999999999999</v>
      </c>
      <c r="M382" s="620">
        <f>VLOOKUP($M$373,$R$352:$W$371,2,FALSE)</f>
        <v>1020</v>
      </c>
      <c r="N382" s="620" t="str">
        <f>VLOOKUP($M$373,$R$352:$W$371,3,FALSE)</f>
        <v>-</v>
      </c>
      <c r="O382" s="620" t="str">
        <f>VLOOKUP($M$373,$R$352:$W$371,4,FALSE)</f>
        <v>-</v>
      </c>
      <c r="P382" s="620" t="str">
        <f>VLOOKUP($M$373,$R$352:$W$371,5,FALSE)</f>
        <v>-</v>
      </c>
      <c r="Q382" s="620">
        <f>VLOOKUP($M$373,$R$352:$W$371,6,FALSE)</f>
        <v>0</v>
      </c>
      <c r="S382" s="897"/>
      <c r="T382" s="619" t="str">
        <f>N393&amp;N391&amp;O393&amp;O391&amp;P393&amp;P391</f>
        <v>( 73.7 ± 3.1 ) %RH</v>
      </c>
      <c r="U382" s="618"/>
      <c r="Z382" s="614"/>
      <c r="AE382" s="613"/>
    </row>
    <row r="383" spans="1:31" ht="14.5" thickBot="1" x14ac:dyDescent="0.35">
      <c r="A383" s="617"/>
      <c r="B383" s="614"/>
      <c r="C383" s="614"/>
      <c r="D383" s="614"/>
      <c r="E383" s="614"/>
      <c r="G383" s="614"/>
      <c r="H383" s="614"/>
      <c r="I383" s="614"/>
      <c r="J383" s="614"/>
      <c r="M383" s="614"/>
      <c r="N383" s="614"/>
      <c r="O383" s="614"/>
      <c r="P383" s="614"/>
      <c r="S383" s="898"/>
      <c r="T383" s="616" t="e">
        <f>N393&amp;N392&amp;O393&amp;O392&amp;P393&amp;P392</f>
        <v>#DIV/0!</v>
      </c>
      <c r="U383" s="615"/>
      <c r="Z383" s="614"/>
      <c r="AE383" s="613"/>
    </row>
    <row r="385" spans="1:22" ht="25" x14ac:dyDescent="0.25">
      <c r="S385" s="612" t="s">
        <v>715</v>
      </c>
      <c r="T385" s="612" t="s">
        <v>714</v>
      </c>
      <c r="U385" s="612" t="s">
        <v>713</v>
      </c>
    </row>
    <row r="386" spans="1:22" x14ac:dyDescent="0.25">
      <c r="S386" s="612">
        <f>_xlfn.FORECAST.LINEAR(T377,B376:B382,A376:A382)</f>
        <v>0.33577705249722534</v>
      </c>
      <c r="T386" s="612">
        <f>_xlfn.FORECAST.LINEAR(T378,H376:H382,G376:G382)</f>
        <v>-1.4283928571428568</v>
      </c>
      <c r="U386" s="612" t="e">
        <f>_xlfn.FORECAST.LINEAR(T379,N376:N382,M376:M382)</f>
        <v>#DIV/0!</v>
      </c>
    </row>
    <row r="388" spans="1:22" ht="13" thickBot="1" x14ac:dyDescent="0.3"/>
    <row r="389" spans="1:22" ht="13" x14ac:dyDescent="0.25">
      <c r="A389" s="903" t="str">
        <f>ID!B52</f>
        <v>Thermohygrolight, Merek : KIMO, Model : KH-210-AO, SN : 14082463</v>
      </c>
      <c r="B389" s="903"/>
      <c r="C389" s="903"/>
      <c r="D389" s="903"/>
      <c r="E389" s="903"/>
      <c r="F389" s="903"/>
      <c r="G389" s="903"/>
      <c r="H389" s="903"/>
      <c r="I389" s="903"/>
      <c r="J389" s="903"/>
      <c r="K389" s="903"/>
      <c r="L389" s="903"/>
      <c r="N389" s="899" t="s">
        <v>581</v>
      </c>
      <c r="O389" s="900"/>
      <c r="P389" s="901"/>
      <c r="S389" s="610">
        <f>U377</f>
        <v>26.985777052497223</v>
      </c>
      <c r="T389" s="610" t="str">
        <f>O393</f>
        <v xml:space="preserve"> ± </v>
      </c>
      <c r="U389" s="610">
        <f>W377</f>
        <v>0.5</v>
      </c>
      <c r="V389" s="600" t="str">
        <f>P390</f>
        <v xml:space="preserve"> °C</v>
      </c>
    </row>
    <row r="390" spans="1:22" ht="15.5" x14ac:dyDescent="0.25">
      <c r="A390" s="602" t="s">
        <v>693</v>
      </c>
      <c r="B390" s="603"/>
      <c r="C390" s="603"/>
      <c r="D390" s="602"/>
      <c r="E390" s="602"/>
      <c r="F390" s="602"/>
      <c r="G390" s="602"/>
      <c r="H390" s="602"/>
      <c r="I390" s="601">
        <f>D4</f>
        <v>2020</v>
      </c>
      <c r="J390" s="601">
        <f>E4</f>
        <v>2017</v>
      </c>
      <c r="K390" s="601" t="str">
        <f>F4</f>
        <v>-</v>
      </c>
      <c r="L390" s="601">
        <v>1</v>
      </c>
      <c r="N390" s="611" t="str">
        <f>TEXT(U377,"0.0")</f>
        <v>27.0</v>
      </c>
      <c r="O390" s="547" t="str">
        <f>TEXT(W377,"0.0")</f>
        <v>0.5</v>
      </c>
      <c r="P390" s="609" t="s">
        <v>582</v>
      </c>
      <c r="S390" s="610">
        <f>U378</f>
        <v>73.671607142857141</v>
      </c>
      <c r="T390" s="610" t="str">
        <f>O393</f>
        <v xml:space="preserve"> ± </v>
      </c>
      <c r="U390" s="610">
        <f>W378</f>
        <v>3.1</v>
      </c>
      <c r="V390" s="600" t="str">
        <f>P391</f>
        <v xml:space="preserve"> %RH</v>
      </c>
    </row>
    <row r="391" spans="1:22" ht="15.5" x14ac:dyDescent="0.25">
      <c r="A391" s="602" t="s">
        <v>692</v>
      </c>
      <c r="B391" s="603"/>
      <c r="C391" s="603"/>
      <c r="D391" s="602"/>
      <c r="E391" s="602"/>
      <c r="F391" s="602"/>
      <c r="G391" s="602"/>
      <c r="H391" s="602"/>
      <c r="I391" s="601">
        <f>D15</f>
        <v>2021</v>
      </c>
      <c r="J391" s="601">
        <f>E15</f>
        <v>2018</v>
      </c>
      <c r="K391" s="601" t="str">
        <f>F15</f>
        <v>-</v>
      </c>
      <c r="L391" s="601">
        <v>2</v>
      </c>
      <c r="N391" s="559" t="str">
        <f>TEXT(U378,"0.0")</f>
        <v>73.7</v>
      </c>
      <c r="O391" s="547" t="str">
        <f>TEXT(W378,"0.0")</f>
        <v>3.1</v>
      </c>
      <c r="P391" s="609" t="s">
        <v>583</v>
      </c>
    </row>
    <row r="392" spans="1:22" ht="15.5" x14ac:dyDescent="0.25">
      <c r="A392" s="602" t="s">
        <v>587</v>
      </c>
      <c r="B392" s="603"/>
      <c r="C392" s="603"/>
      <c r="D392" s="602"/>
      <c r="E392" s="602"/>
      <c r="F392" s="602"/>
      <c r="G392" s="602"/>
      <c r="H392" s="602"/>
      <c r="I392" s="601">
        <f>D26</f>
        <v>2021</v>
      </c>
      <c r="J392" s="601">
        <f>E26</f>
        <v>2018</v>
      </c>
      <c r="K392" s="601" t="str">
        <f>F26</f>
        <v>-</v>
      </c>
      <c r="L392" s="601">
        <v>3</v>
      </c>
      <c r="N392" s="559" t="e">
        <f>TEXT(U379,"0.0")</f>
        <v>#DIV/0!</v>
      </c>
      <c r="O392" s="547" t="str">
        <f>TEXT(W379,"0.0")</f>
        <v>0.0</v>
      </c>
      <c r="P392" s="608" t="s">
        <v>691</v>
      </c>
    </row>
    <row r="393" spans="1:22" ht="16" thickBot="1" x14ac:dyDescent="0.35">
      <c r="A393" s="602" t="s">
        <v>690</v>
      </c>
      <c r="B393" s="603"/>
      <c r="C393" s="603"/>
      <c r="D393" s="602"/>
      <c r="E393" s="602"/>
      <c r="F393" s="602"/>
      <c r="G393" s="602"/>
      <c r="H393" s="602"/>
      <c r="I393" s="601">
        <f>D37</f>
        <v>2019</v>
      </c>
      <c r="J393" s="601">
        <f>E37</f>
        <v>2017</v>
      </c>
      <c r="K393" s="601" t="str">
        <f>F37</f>
        <v>-</v>
      </c>
      <c r="L393" s="601">
        <v>4</v>
      </c>
      <c r="N393" s="607" t="s">
        <v>584</v>
      </c>
      <c r="O393" s="606" t="s">
        <v>585</v>
      </c>
      <c r="P393" s="605" t="s">
        <v>586</v>
      </c>
    </row>
    <row r="394" spans="1:22" ht="13" x14ac:dyDescent="0.25">
      <c r="A394" s="602" t="s">
        <v>689</v>
      </c>
      <c r="B394" s="603"/>
      <c r="C394" s="603"/>
      <c r="D394" s="602"/>
      <c r="E394" s="602"/>
      <c r="F394" s="602"/>
      <c r="G394" s="602"/>
      <c r="H394" s="602"/>
      <c r="I394" s="601">
        <f>D48</f>
        <v>2020</v>
      </c>
      <c r="J394" s="601">
        <f>E48</f>
        <v>2017</v>
      </c>
      <c r="K394" s="601" t="str">
        <f>F48</f>
        <v>-</v>
      </c>
      <c r="L394" s="601">
        <v>5</v>
      </c>
    </row>
    <row r="395" spans="1:22" ht="13" x14ac:dyDescent="0.25">
      <c r="A395" s="602" t="s">
        <v>588</v>
      </c>
      <c r="B395" s="603"/>
      <c r="C395" s="603"/>
      <c r="D395" s="602"/>
      <c r="E395" s="602"/>
      <c r="F395" s="602"/>
      <c r="G395" s="602"/>
      <c r="H395" s="602"/>
      <c r="I395" s="601">
        <f>D59</f>
        <v>2019</v>
      </c>
      <c r="J395" s="601">
        <f>E59</f>
        <v>2018</v>
      </c>
      <c r="K395" s="601" t="str">
        <f>F59</f>
        <v>-</v>
      </c>
      <c r="L395" s="601">
        <v>6</v>
      </c>
    </row>
    <row r="396" spans="1:22" ht="13" x14ac:dyDescent="0.25">
      <c r="A396" s="602" t="s">
        <v>589</v>
      </c>
      <c r="B396" s="603"/>
      <c r="C396" s="603"/>
      <c r="D396" s="602"/>
      <c r="E396" s="602"/>
      <c r="F396" s="602"/>
      <c r="G396" s="602"/>
      <c r="H396" s="602"/>
      <c r="I396" s="601">
        <f>D70</f>
        <v>2021</v>
      </c>
      <c r="J396" s="601">
        <f>E70</f>
        <v>2018</v>
      </c>
      <c r="K396" s="601" t="str">
        <f>F70</f>
        <v>-</v>
      </c>
      <c r="L396" s="601">
        <v>7</v>
      </c>
    </row>
    <row r="397" spans="1:22" ht="13" x14ac:dyDescent="0.25">
      <c r="A397" s="602" t="s">
        <v>590</v>
      </c>
      <c r="B397" s="603"/>
      <c r="C397" s="603"/>
      <c r="D397" s="602"/>
      <c r="E397" s="602"/>
      <c r="F397" s="602"/>
      <c r="G397" s="602"/>
      <c r="H397" s="602"/>
      <c r="I397" s="601">
        <f>D81</f>
        <v>2021</v>
      </c>
      <c r="J397" s="601">
        <f>E81</f>
        <v>2019</v>
      </c>
      <c r="K397" s="601" t="str">
        <f>F81</f>
        <v>-</v>
      </c>
      <c r="L397" s="601">
        <v>8</v>
      </c>
    </row>
    <row r="398" spans="1:22" ht="13" x14ac:dyDescent="0.25">
      <c r="A398" s="602" t="s">
        <v>591</v>
      </c>
      <c r="B398" s="603"/>
      <c r="C398" s="603"/>
      <c r="D398" s="602"/>
      <c r="E398" s="602"/>
      <c r="F398" s="602"/>
      <c r="G398" s="602"/>
      <c r="H398" s="602"/>
      <c r="I398" s="601">
        <f>D92</f>
        <v>2019</v>
      </c>
      <c r="J398" s="601" t="str">
        <f>E92</f>
        <v>-</v>
      </c>
      <c r="K398" s="601" t="str">
        <f>F92</f>
        <v>-</v>
      </c>
      <c r="L398" s="601">
        <v>9</v>
      </c>
    </row>
    <row r="399" spans="1:22" ht="13" x14ac:dyDescent="0.25">
      <c r="A399" s="602" t="s">
        <v>592</v>
      </c>
      <c r="B399" s="603"/>
      <c r="C399" s="603"/>
      <c r="D399" s="602"/>
      <c r="E399" s="602"/>
      <c r="F399" s="602"/>
      <c r="G399" s="602"/>
      <c r="H399" s="602"/>
      <c r="I399" s="601">
        <f>D103</f>
        <v>2019</v>
      </c>
      <c r="J399" s="601">
        <f>E103</f>
        <v>2016</v>
      </c>
      <c r="K399" s="601" t="str">
        <f>F103</f>
        <v>-</v>
      </c>
      <c r="L399" s="601">
        <v>10</v>
      </c>
    </row>
    <row r="400" spans="1:22" ht="13" x14ac:dyDescent="0.25">
      <c r="A400" s="602" t="s">
        <v>593</v>
      </c>
      <c r="B400" s="603"/>
      <c r="C400" s="603"/>
      <c r="D400" s="602"/>
      <c r="E400" s="602"/>
      <c r="F400" s="602"/>
      <c r="G400" s="602"/>
      <c r="H400" s="602"/>
      <c r="I400" s="601">
        <f>D114</f>
        <v>2020</v>
      </c>
      <c r="J400" s="601">
        <f>E114</f>
        <v>2016</v>
      </c>
      <c r="K400" s="601" t="str">
        <f>F114</f>
        <v>-</v>
      </c>
      <c r="L400" s="601">
        <v>11</v>
      </c>
    </row>
    <row r="401" spans="1:12" ht="13" x14ac:dyDescent="0.25">
      <c r="A401" s="602" t="s">
        <v>712</v>
      </c>
      <c r="B401" s="603"/>
      <c r="C401" s="603"/>
      <c r="D401" s="602"/>
      <c r="E401" s="602"/>
      <c r="F401" s="602"/>
      <c r="G401" s="602"/>
      <c r="H401" s="602"/>
      <c r="I401" s="601">
        <f>D125</f>
        <v>2020</v>
      </c>
      <c r="J401" s="601" t="str">
        <f>E125</f>
        <v>-</v>
      </c>
      <c r="K401" s="601" t="str">
        <f>F125</f>
        <v>-</v>
      </c>
      <c r="L401" s="601">
        <v>12</v>
      </c>
    </row>
    <row r="402" spans="1:12" ht="13" x14ac:dyDescent="0.25">
      <c r="A402" s="602" t="s">
        <v>711</v>
      </c>
      <c r="B402" s="603"/>
      <c r="C402" s="603"/>
      <c r="D402" s="602"/>
      <c r="E402" s="602"/>
      <c r="F402" s="602"/>
      <c r="G402" s="602"/>
      <c r="H402" s="602"/>
      <c r="I402" s="601">
        <f>D136</f>
        <v>2022</v>
      </c>
      <c r="J402" s="601">
        <f>E136</f>
        <v>2020</v>
      </c>
      <c r="K402" s="601" t="str">
        <f>F136</f>
        <v>-</v>
      </c>
      <c r="L402" s="601">
        <v>13</v>
      </c>
    </row>
    <row r="403" spans="1:12" ht="13" x14ac:dyDescent="0.25">
      <c r="A403" s="602" t="s">
        <v>710</v>
      </c>
      <c r="B403" s="603"/>
      <c r="C403" s="603"/>
      <c r="D403" s="602"/>
      <c r="E403" s="602"/>
      <c r="F403" s="602"/>
      <c r="G403" s="602"/>
      <c r="H403" s="602"/>
      <c r="I403" s="601">
        <f>D147</f>
        <v>2022</v>
      </c>
      <c r="J403" s="601">
        <f>E147</f>
        <v>2020</v>
      </c>
      <c r="K403" s="601" t="str">
        <f>F147</f>
        <v>-</v>
      </c>
      <c r="L403" s="601">
        <v>14</v>
      </c>
    </row>
    <row r="404" spans="1:12" ht="13" x14ac:dyDescent="0.25">
      <c r="A404" s="602" t="s">
        <v>709</v>
      </c>
      <c r="B404" s="603"/>
      <c r="C404" s="603"/>
      <c r="D404" s="602"/>
      <c r="E404" s="602"/>
      <c r="F404" s="602"/>
      <c r="G404" s="602"/>
      <c r="H404" s="602"/>
      <c r="I404" s="601">
        <f>D158</f>
        <v>2022</v>
      </c>
      <c r="J404" s="601">
        <f>E158</f>
        <v>2020</v>
      </c>
      <c r="K404" s="601" t="str">
        <f>F158</f>
        <v>-</v>
      </c>
      <c r="L404" s="601">
        <v>15</v>
      </c>
    </row>
    <row r="405" spans="1:12" ht="13" x14ac:dyDescent="0.25">
      <c r="A405" s="602" t="s">
        <v>708</v>
      </c>
      <c r="B405" s="603"/>
      <c r="C405" s="603"/>
      <c r="D405" s="602"/>
      <c r="E405" s="602"/>
      <c r="F405" s="602"/>
      <c r="G405" s="602"/>
      <c r="H405" s="602"/>
      <c r="I405" s="601">
        <f>D169</f>
        <v>2020</v>
      </c>
      <c r="J405" s="601" t="str">
        <f>E169</f>
        <v>-</v>
      </c>
      <c r="K405" s="601" t="str">
        <f>F169</f>
        <v>-</v>
      </c>
      <c r="L405" s="601">
        <v>16</v>
      </c>
    </row>
    <row r="406" spans="1:12" ht="13" x14ac:dyDescent="0.25">
      <c r="A406" s="602" t="s">
        <v>707</v>
      </c>
      <c r="B406" s="603"/>
      <c r="C406" s="603"/>
      <c r="D406" s="602"/>
      <c r="E406" s="602"/>
      <c r="F406" s="602"/>
      <c r="G406" s="602"/>
      <c r="H406" s="602"/>
      <c r="I406" s="601">
        <f>D180</f>
        <v>2020</v>
      </c>
      <c r="J406" s="601" t="str">
        <f>E180</f>
        <v>-</v>
      </c>
      <c r="K406" s="601" t="str">
        <f>F180</f>
        <v>-</v>
      </c>
      <c r="L406" s="601">
        <v>17</v>
      </c>
    </row>
    <row r="407" spans="1:12" ht="13" x14ac:dyDescent="0.25">
      <c r="A407" s="602" t="s">
        <v>706</v>
      </c>
      <c r="B407" s="603"/>
      <c r="C407" s="603"/>
      <c r="D407" s="602"/>
      <c r="E407" s="602"/>
      <c r="F407" s="602"/>
      <c r="G407" s="602"/>
      <c r="H407" s="602"/>
      <c r="I407" s="601">
        <f>D191</f>
        <v>2020</v>
      </c>
      <c r="J407" s="601" t="str">
        <f>E191</f>
        <v>-</v>
      </c>
      <c r="K407" s="601" t="str">
        <f>F191</f>
        <v>-</v>
      </c>
      <c r="L407" s="601">
        <v>18</v>
      </c>
    </row>
    <row r="408" spans="1:12" ht="13" x14ac:dyDescent="0.25">
      <c r="A408" s="602" t="s">
        <v>705</v>
      </c>
      <c r="B408" s="603"/>
      <c r="C408" s="603"/>
      <c r="D408" s="602"/>
      <c r="E408" s="602"/>
      <c r="F408" s="602"/>
      <c r="G408" s="602"/>
      <c r="H408" s="602"/>
      <c r="I408" s="601">
        <v>2021</v>
      </c>
      <c r="J408" s="601" t="str">
        <f>E202</f>
        <v>-</v>
      </c>
      <c r="K408" s="601" t="str">
        <f>F202</f>
        <v>-</v>
      </c>
      <c r="L408" s="601">
        <v>19</v>
      </c>
    </row>
    <row r="409" spans="1:12" ht="13" x14ac:dyDescent="0.25">
      <c r="A409" s="604">
        <v>20</v>
      </c>
      <c r="B409" s="603"/>
      <c r="C409" s="603"/>
      <c r="D409" s="602"/>
      <c r="E409" s="602"/>
      <c r="F409" s="602"/>
      <c r="G409" s="602"/>
      <c r="H409" s="602"/>
      <c r="I409" s="601">
        <f>D213</f>
        <v>2017</v>
      </c>
      <c r="J409" s="601" t="str">
        <f>E213</f>
        <v>-</v>
      </c>
      <c r="K409" s="601" t="str">
        <f>F213</f>
        <v>-</v>
      </c>
      <c r="L409" s="601">
        <v>20</v>
      </c>
    </row>
    <row r="410" spans="1:12" ht="13" x14ac:dyDescent="0.25">
      <c r="A410" s="902">
        <f>VLOOKUP(A389,A390:L409,12,(FALSE))</f>
        <v>3</v>
      </c>
      <c r="B410" s="902"/>
      <c r="C410" s="902"/>
      <c r="D410" s="902"/>
      <c r="E410" s="902"/>
      <c r="F410" s="902"/>
      <c r="G410" s="902"/>
      <c r="H410" s="902"/>
      <c r="I410" s="902"/>
      <c r="J410" s="902"/>
      <c r="K410" s="902"/>
      <c r="L410" s="902"/>
    </row>
  </sheetData>
  <sheetProtection formatCells="0" formatColumns="0" formatRows="0" insertColumns="0" insertRows="0" insertHyperlinks="0" deleteColumns="0" deleteRows="0" sort="0" autoFilter="0" pivotTables="0"/>
  <mergeCells count="403">
    <mergeCell ref="S381:S383"/>
    <mergeCell ref="N389:P389"/>
    <mergeCell ref="A410:L410"/>
    <mergeCell ref="A389:L389"/>
    <mergeCell ref="T373:W373"/>
    <mergeCell ref="E374:E375"/>
    <mergeCell ref="K374:K375"/>
    <mergeCell ref="Q374:Q375"/>
    <mergeCell ref="S374:S376"/>
    <mergeCell ref="T374:T376"/>
    <mergeCell ref="U374:U376"/>
    <mergeCell ref="V374:V376"/>
    <mergeCell ref="W374:W376"/>
    <mergeCell ref="B373:E373"/>
    <mergeCell ref="B374:D374"/>
    <mergeCell ref="H373:K373"/>
    <mergeCell ref="H374:J374"/>
    <mergeCell ref="N373:Q373"/>
    <mergeCell ref="N374:P374"/>
    <mergeCell ref="A310:A329"/>
    <mergeCell ref="I310:I329"/>
    <mergeCell ref="Q310:Q329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Y223:Z223"/>
    <mergeCell ref="G224:G225"/>
    <mergeCell ref="O224:O225"/>
    <mergeCell ref="W224:W225"/>
    <mergeCell ref="Y224:Z224"/>
    <mergeCell ref="D224:F224"/>
    <mergeCell ref="L224:N224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S223:V223"/>
    <mergeCell ref="C223:F223"/>
    <mergeCell ref="I223:I225"/>
    <mergeCell ref="J223:J225"/>
    <mergeCell ref="K223:N223"/>
    <mergeCell ref="Q223:Q225"/>
    <mergeCell ref="W200:X200"/>
    <mergeCell ref="B201:C201"/>
    <mergeCell ref="G201:G202"/>
    <mergeCell ref="I201:J201"/>
    <mergeCell ref="N201:N202"/>
    <mergeCell ref="P201:Q201"/>
    <mergeCell ref="P213:Q213"/>
    <mergeCell ref="B211:G211"/>
    <mergeCell ref="I211:N211"/>
    <mergeCell ref="P211:U211"/>
    <mergeCell ref="D212:F212"/>
    <mergeCell ref="K212:M212"/>
    <mergeCell ref="R212:T212"/>
    <mergeCell ref="W211:X211"/>
    <mergeCell ref="B212:C212"/>
    <mergeCell ref="G212:G213"/>
    <mergeCell ref="I212:J212"/>
    <mergeCell ref="N212:N213"/>
    <mergeCell ref="P212:Q212"/>
    <mergeCell ref="U212:U213"/>
    <mergeCell ref="B213:C213"/>
    <mergeCell ref="I213:J213"/>
    <mergeCell ref="W167:X167"/>
    <mergeCell ref="B168:C168"/>
    <mergeCell ref="G168:G169"/>
    <mergeCell ref="I168:J168"/>
    <mergeCell ref="N168:N169"/>
    <mergeCell ref="P168:Q168"/>
    <mergeCell ref="U190:U191"/>
    <mergeCell ref="B191:C191"/>
    <mergeCell ref="I191:J191"/>
    <mergeCell ref="P191:Q191"/>
    <mergeCell ref="W178:X178"/>
    <mergeCell ref="B179:C179"/>
    <mergeCell ref="G179:G180"/>
    <mergeCell ref="I179:J179"/>
    <mergeCell ref="N179:N180"/>
    <mergeCell ref="P179:Q179"/>
    <mergeCell ref="W189:X189"/>
    <mergeCell ref="B190:C190"/>
    <mergeCell ref="G190:G191"/>
    <mergeCell ref="I190:J190"/>
    <mergeCell ref="N190:N191"/>
    <mergeCell ref="P190:Q190"/>
    <mergeCell ref="A167:A176"/>
    <mergeCell ref="A156:A165"/>
    <mergeCell ref="B157:C157"/>
    <mergeCell ref="G157:G158"/>
    <mergeCell ref="I157:J157"/>
    <mergeCell ref="N157:N158"/>
    <mergeCell ref="D157:F157"/>
    <mergeCell ref="K157:M157"/>
    <mergeCell ref="U168:U169"/>
    <mergeCell ref="B169:C169"/>
    <mergeCell ref="I169:J169"/>
    <mergeCell ref="P169:Q169"/>
    <mergeCell ref="B167:G167"/>
    <mergeCell ref="I167:N167"/>
    <mergeCell ref="P167:U167"/>
    <mergeCell ref="D168:F168"/>
    <mergeCell ref="K168:M168"/>
    <mergeCell ref="R168:T168"/>
    <mergeCell ref="A145:A154"/>
    <mergeCell ref="B134:G134"/>
    <mergeCell ref="I134:N134"/>
    <mergeCell ref="P134:U134"/>
    <mergeCell ref="R157:T157"/>
    <mergeCell ref="B156:G156"/>
    <mergeCell ref="I156:N156"/>
    <mergeCell ref="P156:U156"/>
    <mergeCell ref="I147:J147"/>
    <mergeCell ref="P147:Q147"/>
    <mergeCell ref="K146:M146"/>
    <mergeCell ref="P157:Q157"/>
    <mergeCell ref="U157:U158"/>
    <mergeCell ref="B158:C158"/>
    <mergeCell ref="I158:J158"/>
    <mergeCell ref="P158:Q158"/>
    <mergeCell ref="B147:C147"/>
    <mergeCell ref="R146:T146"/>
    <mergeCell ref="A134:A143"/>
    <mergeCell ref="I135:J135"/>
    <mergeCell ref="N135:N136"/>
    <mergeCell ref="B136:C136"/>
    <mergeCell ref="I136:J136"/>
    <mergeCell ref="B146:C146"/>
    <mergeCell ref="W156:X156"/>
    <mergeCell ref="W134:X134"/>
    <mergeCell ref="P135:Q135"/>
    <mergeCell ref="U135:U136"/>
    <mergeCell ref="P123:U123"/>
    <mergeCell ref="D135:F135"/>
    <mergeCell ref="K135:M135"/>
    <mergeCell ref="R135:T135"/>
    <mergeCell ref="B145:G145"/>
    <mergeCell ref="I145:N145"/>
    <mergeCell ref="P145:U145"/>
    <mergeCell ref="B135:C135"/>
    <mergeCell ref="G135:G136"/>
    <mergeCell ref="P136:Q136"/>
    <mergeCell ref="G146:G147"/>
    <mergeCell ref="I146:J146"/>
    <mergeCell ref="N146:N147"/>
    <mergeCell ref="D146:F146"/>
    <mergeCell ref="W101:X101"/>
    <mergeCell ref="P102:Q102"/>
    <mergeCell ref="U102:U103"/>
    <mergeCell ref="P103:Q103"/>
    <mergeCell ref="W145:X145"/>
    <mergeCell ref="P146:Q146"/>
    <mergeCell ref="U146:U147"/>
    <mergeCell ref="W112:X112"/>
    <mergeCell ref="P90:U90"/>
    <mergeCell ref="R91:T91"/>
    <mergeCell ref="P101:U101"/>
    <mergeCell ref="R102:T102"/>
    <mergeCell ref="P112:U112"/>
    <mergeCell ref="W90:X90"/>
    <mergeCell ref="W123:X123"/>
    <mergeCell ref="P124:Q124"/>
    <mergeCell ref="U124:U125"/>
    <mergeCell ref="P125:Q125"/>
    <mergeCell ref="R124:T124"/>
    <mergeCell ref="W79:X79"/>
    <mergeCell ref="U58:U59"/>
    <mergeCell ref="P59:Q59"/>
    <mergeCell ref="W24:X24"/>
    <mergeCell ref="P25:Q25"/>
    <mergeCell ref="U25:U26"/>
    <mergeCell ref="P26:Q26"/>
    <mergeCell ref="W35:X35"/>
    <mergeCell ref="P37:Q37"/>
    <mergeCell ref="W46:X46"/>
    <mergeCell ref="W57:X57"/>
    <mergeCell ref="W68:X68"/>
    <mergeCell ref="P69:Q69"/>
    <mergeCell ref="U69:U70"/>
    <mergeCell ref="P70:Q70"/>
    <mergeCell ref="P58:Q58"/>
    <mergeCell ref="P68:U68"/>
    <mergeCell ref="R69:T69"/>
    <mergeCell ref="P57:U57"/>
    <mergeCell ref="R58:T58"/>
    <mergeCell ref="A1:U1"/>
    <mergeCell ref="B4:C4"/>
    <mergeCell ref="I4:J4"/>
    <mergeCell ref="A13:A22"/>
    <mergeCell ref="A2:A11"/>
    <mergeCell ref="P47:Q47"/>
    <mergeCell ref="U47:U48"/>
    <mergeCell ref="P48:Q48"/>
    <mergeCell ref="P36:Q36"/>
    <mergeCell ref="U36:U37"/>
    <mergeCell ref="W2:X2"/>
    <mergeCell ref="P3:Q3"/>
    <mergeCell ref="U3:U4"/>
    <mergeCell ref="P4:Q4"/>
    <mergeCell ref="W13:X13"/>
    <mergeCell ref="N3:N4"/>
    <mergeCell ref="R25:T25"/>
    <mergeCell ref="B2:G2"/>
    <mergeCell ref="B36:C36"/>
    <mergeCell ref="G36:G37"/>
    <mergeCell ref="B37:C37"/>
    <mergeCell ref="B3:C3"/>
    <mergeCell ref="G3:G4"/>
    <mergeCell ref="B14:C14"/>
    <mergeCell ref="D3:F3"/>
    <mergeCell ref="B15:C15"/>
    <mergeCell ref="I2:N2"/>
    <mergeCell ref="K3:M3"/>
    <mergeCell ref="P2:U2"/>
    <mergeCell ref="R3:T3"/>
    <mergeCell ref="I36:J36"/>
    <mergeCell ref="A24:A33"/>
    <mergeCell ref="B25:C25"/>
    <mergeCell ref="B24:G24"/>
    <mergeCell ref="D25:F25"/>
    <mergeCell ref="A35:A44"/>
    <mergeCell ref="B35:G35"/>
    <mergeCell ref="D36:F36"/>
    <mergeCell ref="I35:N35"/>
    <mergeCell ref="K36:M36"/>
    <mergeCell ref="N36:N37"/>
    <mergeCell ref="I3:J3"/>
    <mergeCell ref="P14:Q14"/>
    <mergeCell ref="U14:U15"/>
    <mergeCell ref="P15:Q15"/>
    <mergeCell ref="I15:J15"/>
    <mergeCell ref="I24:N24"/>
    <mergeCell ref="K25:M25"/>
    <mergeCell ref="I37:J37"/>
    <mergeCell ref="P13:U13"/>
    <mergeCell ref="P24:U24"/>
    <mergeCell ref="P35:U35"/>
    <mergeCell ref="R36:T36"/>
    <mergeCell ref="A46:A55"/>
    <mergeCell ref="B47:C47"/>
    <mergeCell ref="G47:G48"/>
    <mergeCell ref="A101:A110"/>
    <mergeCell ref="B102:C102"/>
    <mergeCell ref="G102:G103"/>
    <mergeCell ref="I102:J102"/>
    <mergeCell ref="A90:A99"/>
    <mergeCell ref="B91:C91"/>
    <mergeCell ref="A57:A66"/>
    <mergeCell ref="B58:C58"/>
    <mergeCell ref="G58:G59"/>
    <mergeCell ref="B46:G46"/>
    <mergeCell ref="D47:F47"/>
    <mergeCell ref="I46:N46"/>
    <mergeCell ref="K47:M47"/>
    <mergeCell ref="I47:J47"/>
    <mergeCell ref="N47:N48"/>
    <mergeCell ref="B48:C48"/>
    <mergeCell ref="A79:A88"/>
    <mergeCell ref="B59:C59"/>
    <mergeCell ref="I59:J59"/>
    <mergeCell ref="A68:A77"/>
    <mergeCell ref="B80:C80"/>
    <mergeCell ref="G80:G81"/>
    <mergeCell ref="G91:G92"/>
    <mergeCell ref="I91:J91"/>
    <mergeCell ref="I58:J58"/>
    <mergeCell ref="B70:C70"/>
    <mergeCell ref="I70:J70"/>
    <mergeCell ref="B68:G68"/>
    <mergeCell ref="D69:F69"/>
    <mergeCell ref="I68:N68"/>
    <mergeCell ref="N80:N81"/>
    <mergeCell ref="B81:C81"/>
    <mergeCell ref="A112:A121"/>
    <mergeCell ref="B113:C113"/>
    <mergeCell ref="G113:G114"/>
    <mergeCell ref="D124:F124"/>
    <mergeCell ref="K124:M124"/>
    <mergeCell ref="B112:G112"/>
    <mergeCell ref="I112:N112"/>
    <mergeCell ref="B123:G123"/>
    <mergeCell ref="I123:N123"/>
    <mergeCell ref="D113:F113"/>
    <mergeCell ref="A123:A132"/>
    <mergeCell ref="B124:C124"/>
    <mergeCell ref="G124:G125"/>
    <mergeCell ref="I124:J124"/>
    <mergeCell ref="N124:N125"/>
    <mergeCell ref="B125:C125"/>
    <mergeCell ref="I125:J125"/>
    <mergeCell ref="A211:A220"/>
    <mergeCell ref="A247:A266"/>
    <mergeCell ref="I247:I266"/>
    <mergeCell ref="Q247:Q266"/>
    <mergeCell ref="A178:A187"/>
    <mergeCell ref="A189:A198"/>
    <mergeCell ref="A200:A209"/>
    <mergeCell ref="B221:U221"/>
    <mergeCell ref="A223:A225"/>
    <mergeCell ref="B223:B225"/>
    <mergeCell ref="U179:U180"/>
    <mergeCell ref="B180:C180"/>
    <mergeCell ref="I180:J180"/>
    <mergeCell ref="P180:Q180"/>
    <mergeCell ref="U201:U202"/>
    <mergeCell ref="B202:C202"/>
    <mergeCell ref="I202:J202"/>
    <mergeCell ref="P202:Q202"/>
    <mergeCell ref="P200:U200"/>
    <mergeCell ref="D201:F201"/>
    <mergeCell ref="K201:M201"/>
    <mergeCell ref="R201:T201"/>
    <mergeCell ref="R223:R225"/>
    <mergeCell ref="T224:V224"/>
    <mergeCell ref="P189:U189"/>
    <mergeCell ref="D190:F190"/>
    <mergeCell ref="K190:M190"/>
    <mergeCell ref="R190:T190"/>
    <mergeCell ref="B178:G178"/>
    <mergeCell ref="I178:N178"/>
    <mergeCell ref="P178:U178"/>
    <mergeCell ref="D179:F179"/>
    <mergeCell ref="K179:M179"/>
    <mergeCell ref="R179:T179"/>
    <mergeCell ref="B200:G200"/>
    <mergeCell ref="I200:N200"/>
    <mergeCell ref="B13:G13"/>
    <mergeCell ref="D14:F14"/>
    <mergeCell ref="I13:N13"/>
    <mergeCell ref="K14:M14"/>
    <mergeCell ref="I57:N57"/>
    <mergeCell ref="B79:G79"/>
    <mergeCell ref="D80:F80"/>
    <mergeCell ref="I79:N79"/>
    <mergeCell ref="B189:G189"/>
    <mergeCell ref="I189:N189"/>
    <mergeCell ref="B101:G101"/>
    <mergeCell ref="D102:F102"/>
    <mergeCell ref="B90:G90"/>
    <mergeCell ref="D91:F91"/>
    <mergeCell ref="I90:N90"/>
    <mergeCell ref="K91:M91"/>
    <mergeCell ref="N91:N92"/>
    <mergeCell ref="I101:N101"/>
    <mergeCell ref="B92:C92"/>
    <mergeCell ref="I92:J92"/>
    <mergeCell ref="I81:J81"/>
    <mergeCell ref="B69:C69"/>
    <mergeCell ref="N58:N59"/>
    <mergeCell ref="N69:N70"/>
    <mergeCell ref="R14:T14"/>
    <mergeCell ref="G14:G15"/>
    <mergeCell ref="I14:J14"/>
    <mergeCell ref="N14:N15"/>
    <mergeCell ref="U80:U81"/>
    <mergeCell ref="P81:Q81"/>
    <mergeCell ref="K69:M69"/>
    <mergeCell ref="B57:G57"/>
    <mergeCell ref="D58:F58"/>
    <mergeCell ref="K58:M58"/>
    <mergeCell ref="G69:G70"/>
    <mergeCell ref="I69:J69"/>
    <mergeCell ref="I48:J48"/>
    <mergeCell ref="G25:G26"/>
    <mergeCell ref="I25:J25"/>
    <mergeCell ref="N25:N26"/>
    <mergeCell ref="B26:C26"/>
    <mergeCell ref="I26:J26"/>
    <mergeCell ref="P46:U46"/>
    <mergeCell ref="R47:T47"/>
    <mergeCell ref="U113:U114"/>
    <mergeCell ref="P114:Q114"/>
    <mergeCell ref="R113:T113"/>
    <mergeCell ref="I113:J113"/>
    <mergeCell ref="N113:N114"/>
    <mergeCell ref="K80:M80"/>
    <mergeCell ref="P79:U79"/>
    <mergeCell ref="R80:T80"/>
    <mergeCell ref="P80:Q80"/>
    <mergeCell ref="P91:Q91"/>
    <mergeCell ref="U91:U92"/>
    <mergeCell ref="P92:Q92"/>
    <mergeCell ref="B114:C114"/>
    <mergeCell ref="I114:J114"/>
    <mergeCell ref="N102:N103"/>
    <mergeCell ref="P113:Q113"/>
    <mergeCell ref="K113:M113"/>
    <mergeCell ref="K102:M102"/>
    <mergeCell ref="B103:C103"/>
    <mergeCell ref="I103:J103"/>
    <mergeCell ref="I80:J80"/>
  </mergeCell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4"/>
  <sheetViews>
    <sheetView showGridLines="0" tabSelected="1" view="pageBreakPreview" topLeftCell="A37" zoomScaleNormal="100" zoomScaleSheetLayoutView="100" workbookViewId="0">
      <selection activeCell="G41" sqref="G41"/>
    </sheetView>
  </sheetViews>
  <sheetFormatPr defaultColWidth="9.1796875" defaultRowHeight="12.5" x14ac:dyDescent="0.25"/>
  <cols>
    <col min="1" max="1" width="4.81640625" style="156" customWidth="1"/>
    <col min="2" max="2" width="4.1796875" style="156" customWidth="1"/>
    <col min="3" max="3" width="16.453125" style="156" customWidth="1"/>
    <col min="4" max="4" width="2.54296875" style="156" customWidth="1"/>
    <col min="5" max="6" width="9.1796875" style="156" customWidth="1"/>
    <col min="7" max="7" width="11" style="156" customWidth="1"/>
    <col min="8" max="8" width="10.54296875" style="156" customWidth="1"/>
    <col min="9" max="9" width="9.54296875" style="156" customWidth="1"/>
    <col min="10" max="10" width="8.1796875" style="513" customWidth="1"/>
    <col min="11" max="11" width="8.81640625" style="156" customWidth="1"/>
    <col min="12" max="12" width="16.1796875" style="156" customWidth="1"/>
    <col min="13" max="13" width="14.1796875" style="156" customWidth="1"/>
    <col min="14" max="14" width="10.1796875" style="156" customWidth="1"/>
    <col min="15" max="15" width="22.453125" style="156" customWidth="1"/>
    <col min="16" max="16" width="86.1796875" style="156" customWidth="1"/>
    <col min="17" max="17" width="37.81640625" style="156" customWidth="1"/>
    <col min="18" max="22" width="4.81640625" style="156" customWidth="1"/>
    <col min="23" max="16384" width="9.1796875" style="156"/>
  </cols>
  <sheetData>
    <row r="1" spans="1:23" ht="18.5" x14ac:dyDescent="0.25">
      <c r="A1" s="781" t="s">
        <v>134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443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14.25" customHeight="1" x14ac:dyDescent="0.25">
      <c r="A2" s="444"/>
      <c r="B2" s="444"/>
      <c r="C2" s="444"/>
      <c r="D2" s="444"/>
      <c r="E2" s="444"/>
      <c r="F2" s="445" t="str">
        <f>IF(PENYELIA!K63&gt;=70,Kesimpulan!G11,Kesimpulan!G12)</f>
        <v>Nomor Sertifikat : 56 /</v>
      </c>
      <c r="I2" s="536" t="s">
        <v>135</v>
      </c>
      <c r="J2" s="446"/>
      <c r="K2" s="444"/>
      <c r="L2" s="444"/>
      <c r="M2" s="447"/>
      <c r="N2" s="356"/>
      <c r="O2" s="356"/>
      <c r="P2" s="356"/>
      <c r="Q2" s="356"/>
      <c r="R2" s="356"/>
      <c r="S2" s="356"/>
      <c r="T2" s="356"/>
      <c r="U2" s="356"/>
      <c r="V2" s="356"/>
      <c r="W2" s="356"/>
    </row>
    <row r="3" spans="1:23" ht="16.5" customHeight="1" x14ac:dyDescent="0.25">
      <c r="A3" s="356"/>
      <c r="B3" s="218"/>
      <c r="C3" s="218"/>
      <c r="D3" s="218"/>
      <c r="E3" s="218"/>
      <c r="F3" s="218"/>
      <c r="G3" s="218"/>
      <c r="H3" s="218"/>
      <c r="I3" s="218"/>
      <c r="J3" s="448"/>
      <c r="K3" s="218"/>
      <c r="L3" s="218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</row>
    <row r="4" spans="1:23" ht="14" x14ac:dyDescent="0.25">
      <c r="A4" s="197" t="s">
        <v>2</v>
      </c>
      <c r="B4" s="223"/>
      <c r="C4" s="197"/>
      <c r="D4" s="198" t="s">
        <v>3</v>
      </c>
      <c r="E4" s="196" t="s">
        <v>136</v>
      </c>
      <c r="F4" s="196"/>
      <c r="G4" s="196"/>
      <c r="H4" s="196"/>
      <c r="I4" s="196"/>
      <c r="J4" s="196"/>
      <c r="K4" s="196"/>
      <c r="L4" s="197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</row>
    <row r="5" spans="1:23" ht="14" x14ac:dyDescent="0.25">
      <c r="A5" s="197" t="s">
        <v>4</v>
      </c>
      <c r="B5" s="223"/>
      <c r="C5" s="197"/>
      <c r="D5" s="198" t="s">
        <v>3</v>
      </c>
      <c r="E5" s="196" t="s">
        <v>137</v>
      </c>
      <c r="F5" s="196"/>
      <c r="G5" s="196"/>
      <c r="H5" s="196"/>
      <c r="I5" s="196"/>
      <c r="J5" s="196"/>
      <c r="K5" s="196"/>
      <c r="L5" s="197"/>
      <c r="M5" s="356"/>
      <c r="N5" s="356" t="s">
        <v>138</v>
      </c>
      <c r="O5" s="356" t="s">
        <v>139</v>
      </c>
      <c r="P5" s="356" t="s">
        <v>140</v>
      </c>
      <c r="Q5" s="356"/>
      <c r="R5" s="356"/>
      <c r="S5" s="356"/>
      <c r="T5" s="356"/>
      <c r="U5" s="356"/>
      <c r="V5" s="356"/>
      <c r="W5" s="356"/>
    </row>
    <row r="6" spans="1:23" ht="14" x14ac:dyDescent="0.25">
      <c r="A6" s="197" t="s">
        <v>5</v>
      </c>
      <c r="B6" s="223"/>
      <c r="C6" s="197"/>
      <c r="D6" s="198" t="s">
        <v>3</v>
      </c>
      <c r="E6" s="508" t="s">
        <v>141</v>
      </c>
      <c r="F6" s="196"/>
      <c r="G6" s="196"/>
      <c r="H6" s="196"/>
      <c r="I6" s="196"/>
      <c r="J6" s="196"/>
      <c r="K6" s="196"/>
      <c r="L6" s="197"/>
      <c r="M6" s="356"/>
      <c r="N6" s="356" t="s">
        <v>142</v>
      </c>
      <c r="O6" s="356" t="s">
        <v>143</v>
      </c>
      <c r="P6" s="356" t="s">
        <v>144</v>
      </c>
      <c r="Q6" s="356"/>
      <c r="R6" s="356"/>
      <c r="S6" s="356"/>
      <c r="T6" s="356"/>
      <c r="U6" s="356"/>
      <c r="V6" s="356"/>
      <c r="W6" s="356"/>
    </row>
    <row r="7" spans="1:23" ht="14" x14ac:dyDescent="0.25">
      <c r="A7" s="197" t="s">
        <v>6</v>
      </c>
      <c r="B7" s="223"/>
      <c r="C7" s="197"/>
      <c r="D7" s="198" t="s">
        <v>3</v>
      </c>
      <c r="E7" s="514">
        <v>0.01</v>
      </c>
      <c r="F7" s="515" t="s">
        <v>142</v>
      </c>
      <c r="G7" s="196"/>
      <c r="H7" s="196"/>
      <c r="I7" s="196"/>
      <c r="J7" s="196"/>
      <c r="K7" s="196"/>
      <c r="L7" s="197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</row>
    <row r="8" spans="1:23" ht="14" x14ac:dyDescent="0.25">
      <c r="A8" s="197" t="s">
        <v>7</v>
      </c>
      <c r="B8" s="223"/>
      <c r="C8" s="197"/>
      <c r="D8" s="198" t="s">
        <v>3</v>
      </c>
      <c r="E8" s="508" t="s">
        <v>145</v>
      </c>
      <c r="F8" s="196"/>
      <c r="G8" s="196"/>
      <c r="H8" s="196"/>
      <c r="I8" s="196"/>
      <c r="J8" s="196"/>
      <c r="K8" s="196"/>
      <c r="L8" s="197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</row>
    <row r="9" spans="1:23" ht="14" x14ac:dyDescent="0.25">
      <c r="A9" s="197" t="s">
        <v>8</v>
      </c>
      <c r="B9" s="223"/>
      <c r="C9" s="197"/>
      <c r="D9" s="198" t="s">
        <v>3</v>
      </c>
      <c r="E9" s="196" t="s">
        <v>146</v>
      </c>
      <c r="F9" s="196"/>
      <c r="G9" s="196"/>
      <c r="H9" s="196"/>
      <c r="I9" s="196"/>
      <c r="J9" s="196"/>
      <c r="K9" s="196"/>
      <c r="L9" s="197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</row>
    <row r="10" spans="1:23" ht="14" x14ac:dyDescent="0.25">
      <c r="A10" s="197" t="s">
        <v>9</v>
      </c>
      <c r="B10" s="223"/>
      <c r="C10" s="197"/>
      <c r="D10" s="198" t="s">
        <v>3</v>
      </c>
      <c r="E10" s="196" t="s">
        <v>146</v>
      </c>
      <c r="F10" s="196"/>
      <c r="G10" s="196"/>
      <c r="H10" s="196"/>
      <c r="I10" s="196"/>
      <c r="J10" s="196"/>
      <c r="K10" s="196"/>
      <c r="L10" s="197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</row>
    <row r="11" spans="1:23" ht="14" x14ac:dyDescent="0.25">
      <c r="A11" s="197" t="s">
        <v>147</v>
      </c>
      <c r="B11" s="223"/>
      <c r="C11" s="197"/>
      <c r="D11" s="198" t="s">
        <v>3</v>
      </c>
      <c r="E11" s="948" t="s">
        <v>148</v>
      </c>
      <c r="F11" s="948"/>
      <c r="G11" s="948"/>
      <c r="H11" s="948"/>
      <c r="I11" s="948"/>
      <c r="J11" s="948"/>
      <c r="K11" s="948"/>
      <c r="L11" s="197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</row>
    <row r="12" spans="1:23" ht="14" x14ac:dyDescent="0.25">
      <c r="A12" s="223"/>
      <c r="B12" s="197"/>
      <c r="C12" s="197"/>
      <c r="D12" s="197"/>
      <c r="E12" s="197"/>
      <c r="F12" s="197"/>
      <c r="G12" s="197"/>
      <c r="H12" s="197"/>
      <c r="I12" s="197"/>
      <c r="J12" s="449"/>
      <c r="K12" s="197"/>
      <c r="L12" s="197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spans="1:23" ht="14" x14ac:dyDescent="0.25">
      <c r="A13" s="220" t="s">
        <v>10</v>
      </c>
      <c r="B13" s="220" t="s">
        <v>11</v>
      </c>
      <c r="C13" s="223"/>
      <c r="D13" s="220"/>
      <c r="E13" s="223"/>
      <c r="F13" s="223"/>
      <c r="G13" s="223"/>
      <c r="H13" s="220"/>
      <c r="I13" s="220"/>
      <c r="J13" s="450"/>
      <c r="K13" s="220"/>
      <c r="L13" s="197"/>
      <c r="M13" s="914"/>
      <c r="N13" s="914"/>
      <c r="O13" s="914"/>
      <c r="P13" s="356"/>
      <c r="Q13" s="356"/>
      <c r="R13" s="356"/>
      <c r="S13" s="356"/>
      <c r="T13" s="356"/>
      <c r="U13" s="356"/>
      <c r="V13" s="356"/>
      <c r="W13" s="356"/>
    </row>
    <row r="14" spans="1:23" ht="17.25" customHeight="1" x14ac:dyDescent="0.35">
      <c r="A14" s="223"/>
      <c r="B14" s="220"/>
      <c r="C14" s="220"/>
      <c r="D14" s="220"/>
      <c r="E14" s="193" t="s">
        <v>12</v>
      </c>
      <c r="F14" s="193" t="s">
        <v>13</v>
      </c>
      <c r="G14" s="451"/>
      <c r="H14" s="220"/>
      <c r="I14" s="220"/>
      <c r="J14" s="450"/>
      <c r="K14" s="220"/>
      <c r="L14" s="197"/>
      <c r="M14" s="256" t="s">
        <v>721</v>
      </c>
      <c r="N14" s="767"/>
      <c r="O14" s="256">
        <v>0</v>
      </c>
      <c r="P14" s="771" t="s">
        <v>721</v>
      </c>
      <c r="Q14" s="356"/>
      <c r="R14" s="356"/>
      <c r="S14" s="356"/>
      <c r="T14" s="356"/>
      <c r="U14" s="356"/>
      <c r="V14" s="356"/>
      <c r="W14" s="356"/>
    </row>
    <row r="15" spans="1:23" ht="16.5" x14ac:dyDescent="0.35">
      <c r="A15" s="223"/>
      <c r="B15" s="197" t="s">
        <v>14</v>
      </c>
      <c r="C15" s="223"/>
      <c r="D15" s="198" t="s">
        <v>3</v>
      </c>
      <c r="E15" s="516">
        <v>26.4</v>
      </c>
      <c r="F15" s="516">
        <v>26.9</v>
      </c>
      <c r="G15" s="222" t="s">
        <v>149</v>
      </c>
      <c r="H15" s="223"/>
      <c r="I15" s="223"/>
      <c r="J15" s="449"/>
      <c r="K15" s="197"/>
      <c r="L15" s="197"/>
      <c r="M15" s="256" t="s">
        <v>722</v>
      </c>
      <c r="N15" s="767"/>
      <c r="O15" s="256">
        <v>1</v>
      </c>
      <c r="P15" s="771" t="s">
        <v>721</v>
      </c>
      <c r="Q15" s="356"/>
      <c r="R15" s="356"/>
      <c r="S15" s="356"/>
      <c r="T15" s="356"/>
      <c r="U15" s="356"/>
      <c r="V15" s="356"/>
      <c r="W15" s="356"/>
    </row>
    <row r="16" spans="1:23" ht="15.5" x14ac:dyDescent="0.35">
      <c r="A16" s="223"/>
      <c r="B16" s="197" t="s">
        <v>16</v>
      </c>
      <c r="C16" s="223"/>
      <c r="D16" s="198" t="s">
        <v>3</v>
      </c>
      <c r="E16" s="516">
        <v>79.400000000000006</v>
      </c>
      <c r="F16" s="516">
        <v>70.8</v>
      </c>
      <c r="G16" s="197" t="s">
        <v>17</v>
      </c>
      <c r="H16" s="223"/>
      <c r="I16" s="223"/>
      <c r="J16" s="449"/>
      <c r="K16" s="197"/>
      <c r="L16" s="197"/>
      <c r="M16" s="768" t="s">
        <v>550</v>
      </c>
      <c r="N16" s="768">
        <f>IF(E17="-",0,1)</f>
        <v>1</v>
      </c>
      <c r="O16" s="767">
        <v>2</v>
      </c>
      <c r="P16" s="771">
        <f>P22</f>
        <v>0</v>
      </c>
      <c r="Q16" s="356"/>
      <c r="R16" s="356"/>
      <c r="S16" s="356"/>
      <c r="T16" s="356"/>
      <c r="U16" s="356"/>
      <c r="V16" s="356"/>
      <c r="W16" s="356"/>
    </row>
    <row r="17" spans="1:27" ht="15.5" x14ac:dyDescent="0.35">
      <c r="A17" s="223"/>
      <c r="B17" s="197" t="s">
        <v>18</v>
      </c>
      <c r="C17" s="223"/>
      <c r="D17" s="198" t="s">
        <v>3</v>
      </c>
      <c r="E17" s="517">
        <v>225.8</v>
      </c>
      <c r="F17" s="194" t="s">
        <v>20</v>
      </c>
      <c r="G17" s="452"/>
      <c r="H17" s="223"/>
      <c r="I17" s="223"/>
      <c r="J17" s="449"/>
      <c r="K17" s="197"/>
      <c r="L17" s="197"/>
      <c r="M17" s="769" t="s">
        <v>35</v>
      </c>
      <c r="N17" s="768">
        <f>IF(J25="-",0,1)</f>
        <v>1</v>
      </c>
      <c r="O17" s="256">
        <v>3</v>
      </c>
      <c r="P17" s="771" t="s">
        <v>721</v>
      </c>
      <c r="Q17" s="356"/>
      <c r="R17" s="356"/>
      <c r="S17" s="356"/>
      <c r="T17" s="356"/>
      <c r="U17" s="356"/>
      <c r="V17" s="356"/>
      <c r="W17" s="356"/>
    </row>
    <row r="18" spans="1:27" ht="15.75" customHeight="1" x14ac:dyDescent="0.35">
      <c r="A18" s="223"/>
      <c r="B18" s="197"/>
      <c r="C18" s="197"/>
      <c r="D18" s="197"/>
      <c r="E18" s="197"/>
      <c r="F18" s="197"/>
      <c r="G18" s="197"/>
      <c r="H18" s="197"/>
      <c r="I18" s="197"/>
      <c r="J18" s="449"/>
      <c r="K18" s="197"/>
      <c r="L18" s="197"/>
      <c r="M18" s="769" t="s">
        <v>38</v>
      </c>
      <c r="N18" s="768">
        <f>IF(J26="-",0,1)</f>
        <v>0</v>
      </c>
      <c r="O18" s="767">
        <v>4</v>
      </c>
      <c r="P18" s="772" t="s">
        <v>723</v>
      </c>
      <c r="Q18" s="356"/>
      <c r="R18" s="356"/>
      <c r="S18" s="356"/>
      <c r="T18" s="356"/>
      <c r="U18" s="356"/>
      <c r="V18" s="356"/>
      <c r="W18" s="356"/>
    </row>
    <row r="19" spans="1:27" ht="15.5" x14ac:dyDescent="0.35">
      <c r="A19" s="220" t="s">
        <v>21</v>
      </c>
      <c r="B19" s="220" t="s">
        <v>22</v>
      </c>
      <c r="C19" s="223"/>
      <c r="D19" s="220"/>
      <c r="E19" s="220"/>
      <c r="F19" s="220"/>
      <c r="G19" s="220"/>
      <c r="H19" s="220"/>
      <c r="I19" s="220"/>
      <c r="J19" s="449"/>
      <c r="K19" s="197"/>
      <c r="L19" s="197"/>
      <c r="M19" s="769" t="s">
        <v>724</v>
      </c>
      <c r="N19" s="768">
        <f>IF(J27="-",0,1)</f>
        <v>1</v>
      </c>
      <c r="O19" s="767"/>
      <c r="P19" s="768"/>
      <c r="Q19" s="356"/>
      <c r="R19" s="356"/>
      <c r="S19" s="356"/>
      <c r="T19" s="356"/>
      <c r="U19" s="356"/>
      <c r="V19" s="356"/>
      <c r="W19" s="356"/>
    </row>
    <row r="20" spans="1:27" ht="15.5" x14ac:dyDescent="0.35">
      <c r="A20" s="223"/>
      <c r="B20" s="197" t="s">
        <v>24</v>
      </c>
      <c r="C20" s="223"/>
      <c r="D20" s="198" t="s">
        <v>3</v>
      </c>
      <c r="E20" s="196" t="s">
        <v>150</v>
      </c>
      <c r="F20" s="197"/>
      <c r="G20" s="197"/>
      <c r="H20" s="197"/>
      <c r="I20" s="197"/>
      <c r="J20" s="449"/>
      <c r="K20" s="197"/>
      <c r="L20" s="197"/>
      <c r="M20" s="770" t="s">
        <v>725</v>
      </c>
      <c r="N20" s="770">
        <f>SUM(N16:N19)</f>
        <v>3</v>
      </c>
      <c r="O20" s="767"/>
      <c r="P20" s="768" t="str">
        <f>VLOOKUP(N20,O14:P18,2,FALSE)</f>
        <v>Tidak terdapat grounding diruangan</v>
      </c>
      <c r="Q20" s="356"/>
      <c r="R20" s="356"/>
      <c r="S20" s="356"/>
      <c r="T20" s="356"/>
      <c r="U20" s="356"/>
      <c r="V20" s="356"/>
      <c r="W20" s="356"/>
    </row>
    <row r="21" spans="1:27" ht="14" customHeight="1" x14ac:dyDescent="0.25">
      <c r="A21" s="223"/>
      <c r="B21" s="197" t="s">
        <v>26</v>
      </c>
      <c r="C21" s="223"/>
      <c r="D21" s="198" t="s">
        <v>3</v>
      </c>
      <c r="E21" s="196" t="s">
        <v>150</v>
      </c>
      <c r="F21" s="197"/>
      <c r="G21" s="197"/>
      <c r="H21" s="197"/>
      <c r="I21" s="197"/>
      <c r="J21" s="449"/>
      <c r="K21" s="197"/>
      <c r="L21" s="197"/>
      <c r="M21" s="356"/>
      <c r="N21" s="356"/>
      <c r="O21" s="356"/>
      <c r="P21" s="10"/>
      <c r="Q21" s="10"/>
      <c r="R21" s="10"/>
      <c r="S21" s="356"/>
      <c r="T21" s="356"/>
      <c r="U21" s="356"/>
      <c r="V21" s="356"/>
      <c r="W21" s="356"/>
    </row>
    <row r="22" spans="1:27" ht="15.75" customHeight="1" x14ac:dyDescent="0.25">
      <c r="A22" s="223"/>
      <c r="B22" s="197"/>
      <c r="C22" s="197"/>
      <c r="D22" s="197"/>
      <c r="E22" s="197"/>
      <c r="F22" s="197"/>
      <c r="G22" s="197"/>
      <c r="H22" s="197"/>
      <c r="I22" s="197"/>
      <c r="J22" s="449"/>
      <c r="K22" s="197"/>
      <c r="L22" s="197"/>
      <c r="M22" s="356"/>
      <c r="N22" s="356"/>
      <c r="O22" s="356"/>
      <c r="P22" s="10"/>
      <c r="Q22" s="10"/>
      <c r="R22" s="10"/>
      <c r="S22" s="356"/>
      <c r="T22" s="356"/>
      <c r="U22" s="356"/>
      <c r="V22" s="356"/>
      <c r="W22" s="356"/>
    </row>
    <row r="23" spans="1:27" ht="14" customHeight="1" x14ac:dyDescent="0.25">
      <c r="A23" s="220" t="s">
        <v>27</v>
      </c>
      <c r="B23" s="220" t="s">
        <v>28</v>
      </c>
      <c r="C23" s="223"/>
      <c r="D23" s="197"/>
      <c r="E23" s="224"/>
      <c r="F23" s="225"/>
      <c r="G23" s="226"/>
      <c r="H23" s="197"/>
      <c r="I23" s="197"/>
      <c r="J23" s="197"/>
      <c r="K23" s="197"/>
      <c r="L23" s="197"/>
      <c r="M23" s="356"/>
      <c r="N23" s="356"/>
      <c r="O23" s="356"/>
      <c r="P23" s="10"/>
      <c r="Q23" s="10"/>
      <c r="R23" s="10"/>
      <c r="S23" s="356"/>
      <c r="T23" s="356"/>
      <c r="U23" s="356"/>
      <c r="V23" s="356"/>
      <c r="W23" s="356"/>
    </row>
    <row r="24" spans="1:27" ht="34.5" customHeight="1" x14ac:dyDescent="0.25">
      <c r="A24" s="223"/>
      <c r="B24" s="193" t="s">
        <v>29</v>
      </c>
      <c r="C24" s="945" t="s">
        <v>30</v>
      </c>
      <c r="D24" s="946"/>
      <c r="E24" s="946"/>
      <c r="F24" s="946"/>
      <c r="G24" s="946"/>
      <c r="H24" s="946"/>
      <c r="I24" s="946"/>
      <c r="J24" s="911" t="s">
        <v>31</v>
      </c>
      <c r="K24" s="911"/>
      <c r="L24" s="436" t="s">
        <v>151</v>
      </c>
      <c r="M24" s="356"/>
      <c r="N24" s="356"/>
      <c r="O24" s="356"/>
      <c r="P24" s="356"/>
      <c r="Q24" s="356"/>
      <c r="R24" s="356"/>
      <c r="S24" s="356"/>
      <c r="T24" s="356"/>
      <c r="U24" s="356"/>
      <c r="V24" s="356"/>
      <c r="W24" s="356"/>
    </row>
    <row r="25" spans="1:27" ht="15" customHeight="1" x14ac:dyDescent="0.25">
      <c r="A25" s="223"/>
      <c r="B25" s="202">
        <v>1</v>
      </c>
      <c r="C25" s="487" t="str">
        <f>LK!C25</f>
        <v>Resistansi isolasi</v>
      </c>
      <c r="D25" s="488"/>
      <c r="E25" s="488"/>
      <c r="F25" s="488"/>
      <c r="G25" s="488"/>
      <c r="H25" s="488"/>
      <c r="I25" s="488"/>
      <c r="J25" s="518" t="s">
        <v>152</v>
      </c>
      <c r="K25" s="433" t="str">
        <f>LK!J25</f>
        <v>MΩ</v>
      </c>
      <c r="L25" s="453" t="str">
        <f>LK!L25</f>
        <v xml:space="preserve"> &gt; 2 MΩ
</v>
      </c>
      <c r="M25" s="356"/>
      <c r="N25" s="356"/>
      <c r="O25" s="356"/>
      <c r="P25" s="920"/>
      <c r="Q25" s="920"/>
      <c r="R25" s="920"/>
      <c r="S25" s="356"/>
      <c r="T25" s="356"/>
      <c r="U25" s="356"/>
      <c r="V25" s="356"/>
      <c r="W25" s="356"/>
    </row>
    <row r="26" spans="1:27" ht="15" customHeight="1" x14ac:dyDescent="0.25">
      <c r="A26" s="223"/>
      <c r="B26" s="203">
        <v>2</v>
      </c>
      <c r="C26" s="487" t="str">
        <f>LK!C26</f>
        <v>Resistansi pembumian protektif</v>
      </c>
      <c r="D26" s="489"/>
      <c r="E26" s="489"/>
      <c r="F26" s="489"/>
      <c r="G26" s="489"/>
      <c r="H26" s="489"/>
      <c r="I26" s="489"/>
      <c r="J26" s="518" t="s">
        <v>102</v>
      </c>
      <c r="K26" s="433" t="str">
        <f>LK!J26</f>
        <v>Ω</v>
      </c>
      <c r="L26" s="453" t="str">
        <f>LK!L26</f>
        <v xml:space="preserve">   ≤ 0.2 Ω</v>
      </c>
      <c r="M26" s="356"/>
      <c r="N26" s="356"/>
      <c r="O26" s="356"/>
      <c r="P26" s="920"/>
      <c r="Q26" s="920"/>
      <c r="R26" s="920"/>
      <c r="S26" s="356"/>
      <c r="T26" s="356"/>
      <c r="U26" s="356"/>
      <c r="V26" s="356"/>
      <c r="W26" s="356"/>
    </row>
    <row r="27" spans="1:27" ht="15" customHeight="1" x14ac:dyDescent="0.25">
      <c r="A27" s="223"/>
      <c r="B27" s="203">
        <v>3</v>
      </c>
      <c r="C27" s="1116" t="s">
        <v>727</v>
      </c>
      <c r="D27" s="489"/>
      <c r="E27" s="489"/>
      <c r="F27" s="489"/>
      <c r="G27" s="489"/>
      <c r="H27" s="489"/>
      <c r="I27" s="1117"/>
      <c r="J27" s="519">
        <v>65.599999999999994</v>
      </c>
      <c r="K27" s="433" t="str">
        <f>LK!J27</f>
        <v>µA</v>
      </c>
      <c r="L27" s="453" t="str">
        <f>VLOOKUP(C27,'List cetik - cetik'!E7:F8,2,TRUE)</f>
        <v>≤ 500 µA</v>
      </c>
      <c r="M27" s="356">
        <f>VLOOKUP(C27,'List cetik - cetik'!E7:G8,3,TRUE)</f>
        <v>500</v>
      </c>
      <c r="N27" s="356"/>
      <c r="O27" s="356"/>
      <c r="P27" s="356"/>
      <c r="Q27" s="356"/>
      <c r="R27" s="356"/>
      <c r="S27" s="356"/>
      <c r="T27" s="356"/>
      <c r="U27" s="356"/>
      <c r="V27" s="356"/>
      <c r="W27" s="356"/>
    </row>
    <row r="28" spans="1:27" ht="15.75" customHeight="1" x14ac:dyDescent="0.25">
      <c r="A28" s="223"/>
      <c r="B28" s="228"/>
      <c r="C28" s="197"/>
      <c r="D28" s="197"/>
      <c r="E28" s="197"/>
      <c r="F28" s="197"/>
      <c r="G28" s="197"/>
      <c r="H28" s="197"/>
      <c r="I28" s="197"/>
      <c r="J28" s="197"/>
      <c r="K28" s="215"/>
      <c r="L28" s="454"/>
      <c r="M28" s="356"/>
      <c r="N28" s="455" t="s">
        <v>153</v>
      </c>
      <c r="O28" s="456">
        <v>120</v>
      </c>
      <c r="P28" s="457"/>
      <c r="Q28" s="457"/>
      <c r="R28" s="458"/>
      <c r="S28" s="459"/>
      <c r="T28" s="460"/>
      <c r="U28" s="457"/>
      <c r="V28" s="457"/>
      <c r="W28" s="457"/>
      <c r="X28" s="76"/>
      <c r="Y28" s="76"/>
      <c r="Z28" s="76"/>
      <c r="AA28" s="76"/>
    </row>
    <row r="29" spans="1:27" ht="14" x14ac:dyDescent="0.25">
      <c r="A29" s="220" t="s">
        <v>43</v>
      </c>
      <c r="B29" s="220" t="s">
        <v>44</v>
      </c>
      <c r="C29" s="223"/>
      <c r="D29" s="220"/>
      <c r="E29" s="220"/>
      <c r="F29" s="228"/>
      <c r="G29" s="197"/>
      <c r="H29" s="197"/>
      <c r="I29" s="197"/>
      <c r="J29" s="449"/>
      <c r="K29" s="197"/>
      <c r="L29" s="197"/>
      <c r="M29" s="356"/>
      <c r="N29" s="356"/>
      <c r="O29" s="919"/>
      <c r="P29" s="919"/>
      <c r="Q29" s="919"/>
      <c r="R29" s="919"/>
      <c r="S29" s="919"/>
      <c r="T29" s="919"/>
      <c r="U29" s="919"/>
      <c r="V29" s="919"/>
      <c r="W29" s="919"/>
      <c r="X29" s="907"/>
      <c r="Y29" s="907"/>
      <c r="Z29" s="907"/>
      <c r="AA29" s="907"/>
    </row>
    <row r="30" spans="1:27" ht="14" x14ac:dyDescent="0.25">
      <c r="A30" s="223"/>
      <c r="B30" s="193" t="s">
        <v>29</v>
      </c>
      <c r="C30" s="911" t="s">
        <v>30</v>
      </c>
      <c r="D30" s="911"/>
      <c r="E30" s="911"/>
      <c r="F30" s="945" t="s">
        <v>45</v>
      </c>
      <c r="G30" s="946"/>
      <c r="H30" s="946"/>
      <c r="I30" s="946"/>
      <c r="J30" s="947"/>
      <c r="K30" s="945" t="s">
        <v>46</v>
      </c>
      <c r="L30" s="947"/>
      <c r="M30" s="356"/>
      <c r="N30" s="356"/>
      <c r="O30" s="461"/>
      <c r="P30" s="461"/>
      <c r="Q30" s="461"/>
      <c r="R30" s="461"/>
      <c r="S30" s="461"/>
      <c r="T30" s="461"/>
      <c r="U30" s="461"/>
      <c r="V30" s="461"/>
      <c r="W30" s="461"/>
      <c r="X30" s="90"/>
      <c r="Y30" s="90"/>
      <c r="Z30" s="90"/>
      <c r="AA30" s="90"/>
    </row>
    <row r="31" spans="1:27" ht="14" x14ac:dyDescent="0.25">
      <c r="A31" s="223"/>
      <c r="B31" s="227">
        <v>1</v>
      </c>
      <c r="C31" s="912" t="s">
        <v>47</v>
      </c>
      <c r="D31" s="912"/>
      <c r="E31" s="912"/>
      <c r="F31" s="509" t="s">
        <v>154</v>
      </c>
      <c r="G31" s="510"/>
      <c r="H31" s="263"/>
      <c r="I31" s="263"/>
      <c r="J31" s="264"/>
      <c r="K31" s="932" t="s">
        <v>49</v>
      </c>
      <c r="L31" s="933"/>
      <c r="M31" s="356"/>
      <c r="N31" s="356"/>
      <c r="O31" s="461"/>
      <c r="P31" s="461"/>
      <c r="Q31" s="461"/>
      <c r="R31" s="461"/>
      <c r="S31" s="461"/>
      <c r="T31" s="461"/>
      <c r="U31" s="461"/>
      <c r="V31" s="461"/>
      <c r="W31" s="461"/>
      <c r="X31" s="90"/>
      <c r="Y31" s="90"/>
      <c r="Z31" s="90"/>
      <c r="AA31" s="90"/>
    </row>
    <row r="32" spans="1:27" ht="14" x14ac:dyDescent="0.25">
      <c r="A32" s="223"/>
      <c r="B32" s="229">
        <v>2</v>
      </c>
      <c r="C32" s="942" t="s">
        <v>155</v>
      </c>
      <c r="D32" s="943"/>
      <c r="E32" s="944"/>
      <c r="F32" s="509" t="s">
        <v>156</v>
      </c>
      <c r="G32" s="510"/>
      <c r="H32" s="510"/>
      <c r="I32" s="510"/>
      <c r="J32" s="264"/>
      <c r="K32" s="932" t="s">
        <v>157</v>
      </c>
      <c r="L32" s="933"/>
      <c r="M32" s="764" t="s">
        <v>102</v>
      </c>
      <c r="N32" s="764" t="s">
        <v>102</v>
      </c>
      <c r="O32" s="461"/>
      <c r="P32" s="461"/>
      <c r="Q32" s="461"/>
      <c r="R32" s="461"/>
      <c r="S32" s="461"/>
      <c r="T32" s="461"/>
      <c r="U32" s="461"/>
      <c r="V32" s="461"/>
      <c r="W32" s="461"/>
      <c r="X32" s="90"/>
      <c r="Y32" s="90"/>
      <c r="Z32" s="90"/>
      <c r="AA32" s="90"/>
    </row>
    <row r="33" spans="1:27" ht="15.5" x14ac:dyDescent="0.25">
      <c r="A33" s="223"/>
      <c r="B33" s="227">
        <v>3</v>
      </c>
      <c r="C33" s="912" t="s">
        <v>55</v>
      </c>
      <c r="D33" s="912"/>
      <c r="E33" s="912"/>
      <c r="F33" s="509" t="s">
        <v>158</v>
      </c>
      <c r="G33" s="510"/>
      <c r="H33" s="263" t="s">
        <v>159</v>
      </c>
      <c r="I33" s="780">
        <v>0.79</v>
      </c>
      <c r="J33" s="264" t="str">
        <f>F7</f>
        <v>cm</v>
      </c>
      <c r="K33" s="924" t="str">
        <f>VLOOKUP(F33,M32:N34,2,FALSE)</f>
        <v>0.8 cm</v>
      </c>
      <c r="L33" s="925"/>
      <c r="M33" s="462" t="s">
        <v>158</v>
      </c>
      <c r="N33" s="413" t="str">
        <f>HLOOKUP(M38,M39:N40,2,0)</f>
        <v>0.8 cm</v>
      </c>
      <c r="O33" s="461" t="s">
        <v>160</v>
      </c>
      <c r="P33" s="189" t="s">
        <v>156</v>
      </c>
      <c r="Q33" s="463">
        <v>20</v>
      </c>
      <c r="R33" s="461"/>
      <c r="S33" s="461"/>
      <c r="T33" s="461"/>
      <c r="U33" s="461"/>
      <c r="V33" s="461"/>
      <c r="W33" s="461"/>
      <c r="X33" s="90"/>
      <c r="Y33" s="90"/>
      <c r="Z33" s="90"/>
      <c r="AA33" s="90"/>
    </row>
    <row r="34" spans="1:27" ht="15.5" x14ac:dyDescent="0.25">
      <c r="A34" s="223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462" t="s">
        <v>161</v>
      </c>
      <c r="N34" s="413" t="str">
        <f>HLOOKUP(M38,M39:N41,3,0)</f>
        <v>1 cm</v>
      </c>
      <c r="O34" s="461" t="s">
        <v>162</v>
      </c>
      <c r="P34" s="189" t="s">
        <v>163</v>
      </c>
      <c r="Q34" s="463">
        <v>0</v>
      </c>
      <c r="R34" s="461"/>
      <c r="S34" s="461"/>
      <c r="T34" s="461"/>
      <c r="U34" s="461"/>
      <c r="V34" s="461"/>
      <c r="W34" s="461"/>
      <c r="X34" s="90"/>
      <c r="Y34" s="90"/>
      <c r="Z34" s="90"/>
      <c r="AA34" s="90"/>
    </row>
    <row r="35" spans="1:27" ht="14" x14ac:dyDescent="0.25">
      <c r="A35" s="223"/>
      <c r="B35" s="228"/>
      <c r="C35" s="228"/>
      <c r="D35" s="228"/>
      <c r="E35" s="228"/>
      <c r="F35" s="215"/>
      <c r="G35" s="215"/>
      <c r="H35" s="215"/>
      <c r="I35" s="215"/>
      <c r="J35" s="215"/>
      <c r="K35" s="228"/>
      <c r="L35" s="228"/>
      <c r="M35" s="914"/>
      <c r="N35" s="914"/>
      <c r="O35" s="461"/>
      <c r="P35" s="461"/>
      <c r="Q35" s="461"/>
      <c r="R35" s="461"/>
      <c r="S35" s="461"/>
      <c r="T35" s="461"/>
      <c r="U35" s="461"/>
      <c r="V35" s="461"/>
      <c r="W35" s="461"/>
      <c r="X35" s="90"/>
      <c r="Y35" s="90"/>
      <c r="Z35" s="90"/>
      <c r="AA35" s="90"/>
    </row>
    <row r="36" spans="1:27" ht="15.75" customHeight="1" x14ac:dyDescent="0.25">
      <c r="A36" s="223"/>
      <c r="B36" s="911" t="s">
        <v>29</v>
      </c>
      <c r="C36" s="926" t="s">
        <v>30</v>
      </c>
      <c r="D36" s="927"/>
      <c r="E36" s="928"/>
      <c r="F36" s="915" t="s">
        <v>60</v>
      </c>
      <c r="G36" s="916"/>
      <c r="H36" s="911" t="s">
        <v>61</v>
      </c>
      <c r="I36" s="911"/>
      <c r="J36" s="911"/>
      <c r="K36" s="911" t="s">
        <v>164</v>
      </c>
      <c r="L36" s="223"/>
      <c r="M36" s="914"/>
      <c r="N36" s="913"/>
      <c r="O36" s="461"/>
      <c r="P36" s="111" t="s">
        <v>154</v>
      </c>
      <c r="Q36" s="463">
        <v>20</v>
      </c>
      <c r="R36" s="461"/>
      <c r="S36" s="461"/>
      <c r="T36" s="461"/>
      <c r="U36" s="461"/>
      <c r="V36" s="461"/>
      <c r="W36" s="461"/>
      <c r="X36" s="90"/>
      <c r="Y36" s="90"/>
      <c r="Z36" s="90"/>
      <c r="AA36" s="90"/>
    </row>
    <row r="37" spans="1:27" ht="14" x14ac:dyDescent="0.25">
      <c r="A37" s="223"/>
      <c r="B37" s="911"/>
      <c r="C37" s="929"/>
      <c r="D37" s="930"/>
      <c r="E37" s="931"/>
      <c r="F37" s="917"/>
      <c r="G37" s="918"/>
      <c r="H37" s="193" t="s">
        <v>63</v>
      </c>
      <c r="I37" s="193" t="s">
        <v>64</v>
      </c>
      <c r="J37" s="193" t="s">
        <v>65</v>
      </c>
      <c r="K37" s="911"/>
      <c r="L37" s="223"/>
      <c r="M37" s="914"/>
      <c r="N37" s="913"/>
      <c r="O37" s="461"/>
      <c r="P37" s="111" t="s">
        <v>165</v>
      </c>
      <c r="Q37" s="463">
        <v>0</v>
      </c>
      <c r="R37" s="461"/>
      <c r="S37" s="461"/>
      <c r="T37" s="461"/>
      <c r="U37" s="461"/>
      <c r="V37" s="461"/>
      <c r="W37" s="461"/>
      <c r="X37" s="90"/>
      <c r="Y37" s="90"/>
      <c r="Z37" s="90"/>
      <c r="AA37" s="90"/>
    </row>
    <row r="38" spans="1:27" ht="14" x14ac:dyDescent="0.25">
      <c r="A38" s="223"/>
      <c r="B38" s="912">
        <f>IF(P50="B",2,4)</f>
        <v>4</v>
      </c>
      <c r="C38" s="934" t="str">
        <f>VLOOKUP(F7,N5:P6,2,0)</f>
        <v>Horizontal Distance (cm)</v>
      </c>
      <c r="D38" s="935"/>
      <c r="E38" s="936"/>
      <c r="F38" s="766">
        <f>IF(F7="cm",1,10)</f>
        <v>1</v>
      </c>
      <c r="G38" s="364" t="str">
        <f>HLOOKUP($P$50,$M$42:$O$46,2,FALSE)</f>
        <v>Pin 4 ke 5</v>
      </c>
      <c r="H38" s="520">
        <v>1</v>
      </c>
      <c r="I38" s="520">
        <v>1</v>
      </c>
      <c r="J38" s="520">
        <v>1</v>
      </c>
      <c r="K38" s="207">
        <f>_xlfn.STDEV.S(H38:J38)</f>
        <v>0</v>
      </c>
      <c r="L38" s="228"/>
      <c r="M38" s="364" t="str">
        <f>F7</f>
        <v>cm</v>
      </c>
      <c r="N38" s="356"/>
      <c r="O38" s="461"/>
      <c r="P38" s="461"/>
      <c r="Q38" s="461"/>
      <c r="R38" s="461"/>
      <c r="S38" s="461"/>
      <c r="T38" s="461"/>
      <c r="U38" s="461"/>
      <c r="V38" s="461"/>
      <c r="W38" s="461"/>
      <c r="X38" s="90"/>
      <c r="Y38" s="90"/>
      <c r="Z38" s="90"/>
      <c r="AA38" s="90"/>
    </row>
    <row r="39" spans="1:27" ht="15.5" x14ac:dyDescent="0.25">
      <c r="A39" s="223"/>
      <c r="B39" s="912"/>
      <c r="C39" s="937"/>
      <c r="D39" s="938"/>
      <c r="E39" s="939"/>
      <c r="F39" s="766">
        <f>IF(F7="cm",2,20)</f>
        <v>2</v>
      </c>
      <c r="G39" s="413" t="str">
        <f>HLOOKUP($P$50,$M$42:$O$46,3,FALSE)</f>
        <v>Pin 4 ke 6</v>
      </c>
      <c r="H39" s="520">
        <v>1.98</v>
      </c>
      <c r="I39" s="520">
        <v>1.98</v>
      </c>
      <c r="J39" s="520">
        <v>1.98</v>
      </c>
      <c r="K39" s="207">
        <f t="shared" ref="K39:K41" si="0">_xlfn.STDEV.S(H39:J39)</f>
        <v>2.7194799110210365E-16</v>
      </c>
      <c r="L39" s="228"/>
      <c r="M39" s="464" t="s">
        <v>142</v>
      </c>
      <c r="N39" s="464" t="s">
        <v>138</v>
      </c>
      <c r="O39" s="461"/>
      <c r="P39" s="765"/>
      <c r="Q39" s="461"/>
      <c r="R39" s="461"/>
      <c r="S39" s="461"/>
      <c r="T39" s="461"/>
      <c r="U39" s="461"/>
      <c r="V39" s="461"/>
      <c r="W39" s="461"/>
      <c r="X39" s="90"/>
      <c r="Y39" s="90"/>
      <c r="Z39" s="90"/>
      <c r="AA39" s="90"/>
    </row>
    <row r="40" spans="1:27" ht="17.5" x14ac:dyDescent="0.3">
      <c r="A40" s="223"/>
      <c r="B40" s="912">
        <f>IF(P50="B",3,5)</f>
        <v>5</v>
      </c>
      <c r="C40" s="934" t="str">
        <f>VLOOKUP(F7,N5:P6,3,0)</f>
        <v>Vertical Distance (cm)</v>
      </c>
      <c r="D40" s="935"/>
      <c r="E40" s="936"/>
      <c r="F40" s="1114">
        <f>IF(F7="cm",1,10)</f>
        <v>1</v>
      </c>
      <c r="G40" s="227" t="str">
        <f>HLOOKUP($P$50,$M$42:$O$46,4,FALSE)</f>
        <v>Pin 1 ke 3</v>
      </c>
      <c r="H40" s="520">
        <v>0.99</v>
      </c>
      <c r="I40" s="520">
        <v>0.99</v>
      </c>
      <c r="J40" s="520">
        <v>0.99</v>
      </c>
      <c r="K40" s="207">
        <f t="shared" si="0"/>
        <v>1.3597399555105182E-16</v>
      </c>
      <c r="L40" s="228"/>
      <c r="M40" s="511" t="s">
        <v>166</v>
      </c>
      <c r="N40" s="511" t="s">
        <v>167</v>
      </c>
      <c r="O40" s="461"/>
      <c r="P40" s="256" t="s">
        <v>168</v>
      </c>
      <c r="Q40" s="465" t="s">
        <v>169</v>
      </c>
      <c r="R40" s="461"/>
      <c r="S40" s="461"/>
      <c r="T40" s="461"/>
      <c r="U40" s="461"/>
      <c r="V40" s="461"/>
      <c r="W40" s="461"/>
      <c r="X40" s="90"/>
      <c r="Y40" s="90"/>
      <c r="Z40" s="90"/>
      <c r="AA40" s="90"/>
    </row>
    <row r="41" spans="1:27" ht="17.5" x14ac:dyDescent="0.3">
      <c r="A41" s="223"/>
      <c r="B41" s="912"/>
      <c r="C41" s="937"/>
      <c r="D41" s="938"/>
      <c r="E41" s="939"/>
      <c r="F41" s="763"/>
      <c r="G41" s="227" t="str">
        <f>HLOOKUP($P$50,$M$42:$O$46,5,FALSE)</f>
        <v>Pin 9 ke 11</v>
      </c>
      <c r="H41" s="520">
        <v>0.99</v>
      </c>
      <c r="I41" s="520">
        <v>0.99</v>
      </c>
      <c r="J41" s="520">
        <v>0.99</v>
      </c>
      <c r="K41" s="207">
        <f t="shared" si="0"/>
        <v>1.3597399555105182E-16</v>
      </c>
      <c r="L41" s="228"/>
      <c r="M41" s="511" t="s">
        <v>170</v>
      </c>
      <c r="N41" s="511" t="s">
        <v>171</v>
      </c>
      <c r="O41" s="461"/>
      <c r="P41" s="256" t="s">
        <v>172</v>
      </c>
      <c r="Q41" s="465" t="s">
        <v>169</v>
      </c>
      <c r="R41" s="461"/>
      <c r="S41" s="461"/>
      <c r="T41" s="461"/>
      <c r="U41" s="461"/>
      <c r="V41" s="461"/>
      <c r="W41" s="461"/>
      <c r="X41" s="90"/>
      <c r="Y41" s="90"/>
      <c r="Z41" s="90"/>
      <c r="AA41" s="90"/>
    </row>
    <row r="42" spans="1:27" ht="15.75" customHeight="1" x14ac:dyDescent="0.3">
      <c r="A42" s="223"/>
      <c r="B42" s="228"/>
      <c r="C42" s="228"/>
      <c r="D42" s="215"/>
      <c r="E42" s="228"/>
      <c r="F42" s="228"/>
      <c r="G42" s="228"/>
      <c r="H42" s="228"/>
      <c r="I42" s="228"/>
      <c r="J42" s="466"/>
      <c r="K42" s="466"/>
      <c r="L42" s="466"/>
      <c r="M42" s="467" t="s">
        <v>169</v>
      </c>
      <c r="N42" s="364" t="s">
        <v>173</v>
      </c>
      <c r="O42" s="468" t="s">
        <v>174</v>
      </c>
      <c r="P42" s="256" t="s">
        <v>175</v>
      </c>
      <c r="Q42" s="469" t="s">
        <v>169</v>
      </c>
      <c r="R42" s="457"/>
      <c r="S42" s="457"/>
      <c r="T42" s="457"/>
      <c r="U42" s="457"/>
      <c r="V42" s="457"/>
      <c r="W42" s="457"/>
      <c r="X42" s="76"/>
      <c r="Y42" s="81"/>
      <c r="Z42" s="908"/>
      <c r="AA42" s="908"/>
    </row>
    <row r="43" spans="1:27" ht="17.5" x14ac:dyDescent="0.3">
      <c r="A43" s="200" t="s">
        <v>77</v>
      </c>
      <c r="B43" s="200" t="s">
        <v>78</v>
      </c>
      <c r="C43" s="195"/>
      <c r="D43" s="194"/>
      <c r="E43" s="194"/>
      <c r="F43" s="194"/>
      <c r="G43" s="194"/>
      <c r="H43" s="194"/>
      <c r="I43" s="194"/>
      <c r="J43" s="199"/>
      <c r="K43" s="194"/>
      <c r="L43" s="194"/>
      <c r="M43" s="227" t="s">
        <v>68</v>
      </c>
      <c r="N43" s="227" t="s">
        <v>68</v>
      </c>
      <c r="O43" s="227" t="s">
        <v>68</v>
      </c>
      <c r="P43" s="256" t="s">
        <v>176</v>
      </c>
      <c r="Q43" s="469" t="s">
        <v>169</v>
      </c>
      <c r="R43" s="457"/>
      <c r="S43" s="457"/>
      <c r="T43" s="457"/>
      <c r="U43" s="457"/>
      <c r="V43" s="457"/>
      <c r="W43" s="457"/>
      <c r="X43" s="76"/>
      <c r="Y43" s="81"/>
      <c r="Z43" s="908"/>
      <c r="AA43" s="908"/>
    </row>
    <row r="44" spans="1:27" ht="17.5" x14ac:dyDescent="0.3">
      <c r="A44" s="195"/>
      <c r="B44" s="194" t="s">
        <v>177</v>
      </c>
      <c r="C44" s="195"/>
      <c r="D44" s="194"/>
      <c r="E44" s="194"/>
      <c r="F44" s="194"/>
      <c r="G44" s="194"/>
      <c r="H44" s="194"/>
      <c r="I44" s="194"/>
      <c r="J44" s="199"/>
      <c r="K44" s="194"/>
      <c r="L44" s="194"/>
      <c r="M44" s="227" t="s">
        <v>178</v>
      </c>
      <c r="N44" s="227" t="s">
        <v>179</v>
      </c>
      <c r="O44" s="227" t="s">
        <v>179</v>
      </c>
      <c r="P44" s="256" t="s">
        <v>180</v>
      </c>
      <c r="Q44" s="469" t="s">
        <v>173</v>
      </c>
      <c r="R44" s="457"/>
      <c r="S44" s="457"/>
      <c r="T44" s="457"/>
      <c r="U44" s="457"/>
      <c r="V44" s="457"/>
      <c r="W44" s="457"/>
      <c r="X44" s="76"/>
      <c r="Y44" s="81"/>
      <c r="Z44" s="908"/>
      <c r="AA44" s="908"/>
    </row>
    <row r="45" spans="1:27" ht="17.5" x14ac:dyDescent="0.3">
      <c r="A45" s="195"/>
      <c r="B45" s="231" t="str">
        <f>'DB Kelistrikan'!N311</f>
        <v>Hasil pengukuran keselamatan listrik tertelusur ke Satuan Internasional ( SI ) melalui PT. Kaliman (LK-032-IDN)</v>
      </c>
      <c r="C45" s="195"/>
      <c r="D45" s="194"/>
      <c r="E45" s="194"/>
      <c r="F45" s="194"/>
      <c r="G45" s="194"/>
      <c r="H45" s="194"/>
      <c r="I45" s="199"/>
      <c r="J45" s="194"/>
      <c r="K45" s="194"/>
      <c r="L45" s="195"/>
      <c r="M45" s="227" t="s">
        <v>68</v>
      </c>
      <c r="N45" s="227" t="s">
        <v>68</v>
      </c>
      <c r="O45" s="227" t="s">
        <v>181</v>
      </c>
      <c r="P45" s="256" t="s">
        <v>182</v>
      </c>
      <c r="Q45" s="469" t="s">
        <v>173</v>
      </c>
      <c r="R45" s="457"/>
      <c r="S45" s="457"/>
      <c r="T45" s="457"/>
      <c r="U45" s="457"/>
      <c r="V45" s="457"/>
      <c r="W45" s="457"/>
      <c r="X45" s="81"/>
      <c r="Y45" s="88"/>
      <c r="Z45" s="88"/>
    </row>
    <row r="46" spans="1:27" ht="17.5" x14ac:dyDescent="0.3">
      <c r="A46" s="195"/>
      <c r="B46" s="194" t="str">
        <f>VLOOKUP(B50,'List cetik - cetik'!A57:B66,2,FALSE)</f>
        <v>Hasil pengujian kinerja USG tertelusur ke Satuan Internasional ( SI ) melalui SUN NUCLEAR</v>
      </c>
      <c r="C46" s="195"/>
      <c r="D46" s="194"/>
      <c r="E46" s="194"/>
      <c r="F46" s="194"/>
      <c r="G46" s="194"/>
      <c r="H46" s="194"/>
      <c r="I46" s="199"/>
      <c r="J46" s="194"/>
      <c r="K46" s="194"/>
      <c r="L46" s="195"/>
      <c r="M46" s="227" t="s">
        <v>183</v>
      </c>
      <c r="N46" s="227" t="s">
        <v>184</v>
      </c>
      <c r="O46" s="227" t="s">
        <v>185</v>
      </c>
      <c r="P46" s="256" t="s">
        <v>186</v>
      </c>
      <c r="Q46" s="469" t="s">
        <v>173</v>
      </c>
      <c r="R46" s="457"/>
      <c r="S46" s="457"/>
      <c r="T46" s="457"/>
      <c r="U46" s="457"/>
      <c r="V46" s="457"/>
      <c r="W46" s="457"/>
      <c r="X46" s="81"/>
      <c r="Y46" s="88"/>
      <c r="Z46" s="88"/>
    </row>
    <row r="47" spans="1:27" ht="17.5" x14ac:dyDescent="0.25">
      <c r="A47" s="195"/>
      <c r="B47" s="940" t="str">
        <f>P20</f>
        <v>Tidak terdapat grounding diruangan</v>
      </c>
      <c r="C47" s="941"/>
      <c r="D47" s="941"/>
      <c r="E47" s="941"/>
      <c r="F47" s="194"/>
      <c r="G47" s="194"/>
      <c r="H47" s="194"/>
      <c r="I47" s="194"/>
      <c r="J47" s="199"/>
      <c r="K47" s="194"/>
      <c r="L47" s="194"/>
      <c r="M47" s="356"/>
      <c r="N47" s="356"/>
      <c r="O47" s="457"/>
      <c r="P47" s="356" t="s">
        <v>187</v>
      </c>
      <c r="Q47" s="469" t="s">
        <v>174</v>
      </c>
      <c r="R47" s="457"/>
      <c r="S47" s="457"/>
      <c r="T47" s="457"/>
      <c r="U47" s="457"/>
      <c r="V47" s="457"/>
      <c r="W47" s="457"/>
      <c r="X47" s="76"/>
      <c r="Y47" s="81"/>
      <c r="Z47" s="88"/>
      <c r="AA47" s="88"/>
    </row>
    <row r="48" spans="1:27" ht="15.75" customHeight="1" x14ac:dyDescent="0.25">
      <c r="A48" s="195"/>
      <c r="B48" s="206"/>
      <c r="C48" s="195"/>
      <c r="D48" s="194"/>
      <c r="E48" s="194"/>
      <c r="F48" s="194"/>
      <c r="G48" s="194"/>
      <c r="H48" s="194"/>
      <c r="I48" s="194"/>
      <c r="J48" s="199"/>
      <c r="K48" s="194"/>
      <c r="L48" s="194"/>
      <c r="M48" s="356"/>
      <c r="N48" s="356"/>
      <c r="O48" s="457"/>
      <c r="P48" s="356" t="s">
        <v>188</v>
      </c>
      <c r="Q48" s="469" t="s">
        <v>174</v>
      </c>
      <c r="R48" s="457"/>
      <c r="S48" s="457"/>
      <c r="T48" s="457"/>
      <c r="U48" s="457"/>
      <c r="V48" s="457"/>
      <c r="W48" s="457"/>
      <c r="X48" s="76"/>
      <c r="Y48" s="81"/>
      <c r="Z48" s="908"/>
      <c r="AA48" s="908"/>
    </row>
    <row r="49" spans="1:27" ht="17.5" x14ac:dyDescent="0.25">
      <c r="A49" s="200" t="s">
        <v>80</v>
      </c>
      <c r="B49" s="200" t="s">
        <v>189</v>
      </c>
      <c r="C49" s="195"/>
      <c r="D49" s="200"/>
      <c r="E49" s="194"/>
      <c r="F49" s="194"/>
      <c r="G49" s="194"/>
      <c r="H49" s="194"/>
      <c r="I49" s="194"/>
      <c r="J49" s="199"/>
      <c r="K49" s="194"/>
      <c r="L49" s="194"/>
      <c r="M49" s="356"/>
      <c r="N49" s="356"/>
      <c r="O49" s="457"/>
      <c r="P49" s="356" t="s">
        <v>190</v>
      </c>
      <c r="Q49" s="469" t="s">
        <v>174</v>
      </c>
      <c r="R49" s="457"/>
      <c r="S49" s="457"/>
      <c r="T49" s="457"/>
      <c r="U49" s="457"/>
      <c r="V49" s="457"/>
      <c r="W49" s="457"/>
      <c r="X49" s="76"/>
      <c r="Y49" s="81"/>
      <c r="Z49" s="908"/>
      <c r="AA49" s="908"/>
    </row>
    <row r="50" spans="1:27" ht="15.5" x14ac:dyDescent="0.25">
      <c r="A50" s="195"/>
      <c r="B50" s="515" t="s">
        <v>187</v>
      </c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470"/>
      <c r="N50" s="356"/>
      <c r="O50" s="457"/>
      <c r="P50" s="457" t="str">
        <f>VLOOKUP(B50,P40:Q49,2,FALSE)</f>
        <v>C</v>
      </c>
      <c r="Q50" s="457"/>
      <c r="R50" s="457"/>
      <c r="S50" s="457"/>
      <c r="T50" s="457"/>
      <c r="U50" s="457"/>
      <c r="V50" s="457"/>
      <c r="W50" s="457"/>
      <c r="X50" s="76"/>
      <c r="Y50" s="81"/>
      <c r="Z50" s="908"/>
      <c r="AA50" s="908"/>
    </row>
    <row r="51" spans="1:27" ht="15.5" x14ac:dyDescent="0.25">
      <c r="A51" s="195"/>
      <c r="B51" s="515" t="s">
        <v>191</v>
      </c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470"/>
      <c r="N51" s="356"/>
      <c r="O51" s="356"/>
      <c r="P51" s="356"/>
      <c r="Q51" s="356"/>
      <c r="R51" s="356"/>
      <c r="S51" s="356"/>
      <c r="T51" s="356"/>
      <c r="U51" s="356"/>
      <c r="V51" s="356"/>
      <c r="W51" s="356"/>
    </row>
    <row r="52" spans="1:27" ht="15.5" x14ac:dyDescent="0.25">
      <c r="A52" s="195"/>
      <c r="B52" s="515" t="s">
        <v>587</v>
      </c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470"/>
      <c r="N52" s="356"/>
      <c r="O52" s="356"/>
      <c r="P52" s="356"/>
      <c r="Q52" s="356"/>
      <c r="R52" s="356"/>
      <c r="S52" s="356"/>
      <c r="T52" s="356"/>
      <c r="U52" s="356"/>
      <c r="V52" s="356"/>
      <c r="W52" s="356"/>
    </row>
    <row r="53" spans="1:27" ht="15.75" customHeight="1" x14ac:dyDescent="0.25">
      <c r="A53" s="195"/>
      <c r="B53" s="200"/>
      <c r="C53" s="194"/>
      <c r="D53" s="194"/>
      <c r="E53" s="194"/>
      <c r="F53" s="194"/>
      <c r="G53" s="194"/>
      <c r="H53" s="194"/>
      <c r="I53" s="194"/>
      <c r="J53" s="199"/>
      <c r="K53" s="194"/>
      <c r="L53" s="194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</row>
    <row r="54" spans="1:27" ht="14" x14ac:dyDescent="0.25">
      <c r="A54" s="200" t="s">
        <v>93</v>
      </c>
      <c r="B54" s="200" t="s">
        <v>94</v>
      </c>
      <c r="C54" s="195"/>
      <c r="D54" s="194"/>
      <c r="E54" s="194"/>
      <c r="F54" s="194"/>
      <c r="G54" s="194"/>
      <c r="H54" s="194"/>
      <c r="I54" s="194"/>
      <c r="J54" s="199"/>
      <c r="K54" s="194"/>
      <c r="L54" s="194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</row>
    <row r="55" spans="1:27" ht="15.75" customHeight="1" x14ac:dyDescent="0.25">
      <c r="A55" s="195"/>
      <c r="B55" s="910" t="str">
        <f>IF(PENYELIA!K63&lt;70,Kesimpulan!H12,IF(PENYELIA!K63&gt;=70,Kesimpulan!H11))</f>
        <v>Alat yang dikalibrasi dalam batas toleransi dan dinyatakan LAIK PAKAI, dimana hasil atau skor akhir sama dengan atau melampaui 70 % berdasarkan Keputusan Direktur Jendral Pelayanan Kesehatan No : HK.02.02/V/0412/2020</v>
      </c>
      <c r="C55" s="910"/>
      <c r="D55" s="910"/>
      <c r="E55" s="910"/>
      <c r="F55" s="910"/>
      <c r="G55" s="910"/>
      <c r="H55" s="910"/>
      <c r="I55" s="910"/>
      <c r="J55" s="910"/>
      <c r="K55" s="910"/>
      <c r="L55" s="910"/>
      <c r="M55" s="356"/>
      <c r="N55" s="356"/>
      <c r="O55" s="10"/>
      <c r="P55" s="356"/>
      <c r="Q55" s="356"/>
      <c r="R55" s="356"/>
      <c r="S55" s="356"/>
      <c r="T55" s="356"/>
      <c r="U55" s="356"/>
      <c r="V55" s="356"/>
      <c r="W55" s="356"/>
    </row>
    <row r="56" spans="1:27" ht="33" customHeight="1" x14ac:dyDescent="0.25">
      <c r="A56" s="195"/>
      <c r="B56" s="910"/>
      <c r="C56" s="910"/>
      <c r="D56" s="910"/>
      <c r="E56" s="910"/>
      <c r="F56" s="910"/>
      <c r="G56" s="910"/>
      <c r="H56" s="910"/>
      <c r="I56" s="910"/>
      <c r="J56" s="910"/>
      <c r="K56" s="910"/>
      <c r="L56" s="910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</row>
    <row r="57" spans="1:27" ht="15.75" hidden="1" customHeight="1" x14ac:dyDescent="0.25">
      <c r="A57" s="195"/>
      <c r="B57" s="426"/>
      <c r="C57" s="426"/>
      <c r="D57" s="426"/>
      <c r="E57" s="426"/>
      <c r="F57" s="426"/>
      <c r="G57" s="426"/>
      <c r="H57" s="426"/>
      <c r="I57" s="426"/>
      <c r="J57" s="426"/>
      <c r="K57" s="426"/>
      <c r="L57" s="194"/>
      <c r="M57" s="356"/>
      <c r="N57" s="356"/>
      <c r="O57" s="356"/>
      <c r="P57" s="356"/>
      <c r="Q57" s="356"/>
      <c r="R57" s="356"/>
      <c r="S57" s="356"/>
      <c r="T57" s="356"/>
      <c r="U57" s="356"/>
      <c r="V57" s="356"/>
      <c r="W57" s="356"/>
    </row>
    <row r="58" spans="1:27" ht="14" x14ac:dyDescent="0.25">
      <c r="A58" s="200" t="s">
        <v>96</v>
      </c>
      <c r="B58" s="200" t="s">
        <v>97</v>
      </c>
      <c r="C58" s="195"/>
      <c r="D58" s="194"/>
      <c r="E58" s="194"/>
      <c r="F58" s="194"/>
      <c r="G58" s="194"/>
      <c r="H58" s="194"/>
      <c r="I58" s="194"/>
      <c r="J58" s="199"/>
      <c r="K58" s="194"/>
      <c r="L58" s="194"/>
      <c r="M58" s="356"/>
      <c r="N58" s="356"/>
      <c r="O58" s="356"/>
      <c r="P58" s="356"/>
      <c r="Q58" s="356"/>
      <c r="R58" s="356"/>
      <c r="S58" s="356"/>
      <c r="T58" s="356"/>
      <c r="U58" s="356"/>
      <c r="V58" s="356"/>
      <c r="W58" s="356"/>
    </row>
    <row r="59" spans="1:27" ht="14" x14ac:dyDescent="0.25">
      <c r="A59" s="195"/>
      <c r="B59" s="909" t="s">
        <v>628</v>
      </c>
      <c r="C59" s="909"/>
      <c r="D59" s="909"/>
      <c r="E59" s="194"/>
      <c r="F59" s="194"/>
      <c r="G59" s="194"/>
      <c r="H59" s="194"/>
      <c r="I59" s="194"/>
      <c r="J59" s="199"/>
      <c r="K59" s="194"/>
      <c r="L59" s="194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</row>
    <row r="60" spans="1:27" ht="15.5" x14ac:dyDescent="0.3">
      <c r="A60" s="195"/>
      <c r="B60" s="194"/>
      <c r="C60" s="194"/>
      <c r="D60" s="194"/>
      <c r="E60" s="194"/>
      <c r="F60" s="194"/>
      <c r="G60" s="194"/>
      <c r="H60" s="194"/>
      <c r="I60" s="194"/>
      <c r="J60" s="199"/>
      <c r="K60" s="194"/>
      <c r="L60" s="194"/>
      <c r="M60" s="221"/>
      <c r="N60" s="471" t="s">
        <v>193</v>
      </c>
      <c r="O60" s="256"/>
      <c r="P60" s="256"/>
      <c r="Q60" s="356"/>
      <c r="R60" s="356"/>
      <c r="S60" s="356"/>
      <c r="T60" s="356"/>
      <c r="U60" s="356"/>
      <c r="V60" s="356"/>
      <c r="W60" s="356"/>
    </row>
    <row r="61" spans="1:27" ht="15.5" x14ac:dyDescent="0.3">
      <c r="A61" s="200" t="s">
        <v>194</v>
      </c>
      <c r="B61" s="209" t="s">
        <v>195</v>
      </c>
      <c r="C61" s="195"/>
      <c r="D61" s="201"/>
      <c r="E61" s="201"/>
      <c r="F61" s="201"/>
      <c r="G61" s="201"/>
      <c r="H61" s="194"/>
      <c r="I61" s="194"/>
      <c r="J61" s="211"/>
      <c r="K61" s="199"/>
      <c r="L61" s="194"/>
      <c r="M61" s="221"/>
      <c r="N61" s="472" t="s">
        <v>102</v>
      </c>
      <c r="O61" s="256"/>
      <c r="P61" s="256"/>
      <c r="Q61" s="356"/>
      <c r="R61" s="356"/>
      <c r="S61" s="356"/>
      <c r="T61" s="356"/>
      <c r="U61" s="356"/>
      <c r="V61" s="356"/>
      <c r="W61" s="356"/>
    </row>
    <row r="62" spans="1:27" ht="14" x14ac:dyDescent="0.3">
      <c r="A62" s="195"/>
      <c r="B62" s="212" t="s">
        <v>196</v>
      </c>
      <c r="C62" s="196"/>
      <c r="D62" s="195"/>
      <c r="E62" s="208"/>
      <c r="F62" s="208"/>
      <c r="G62" s="199"/>
      <c r="H62" s="194"/>
      <c r="I62" s="194"/>
      <c r="J62" s="194"/>
      <c r="K62" s="194"/>
      <c r="L62" s="194"/>
      <c r="M62" s="221"/>
      <c r="N62" s="221"/>
      <c r="O62" s="256"/>
      <c r="P62" s="256"/>
      <c r="Q62" s="356"/>
      <c r="R62" s="356"/>
      <c r="S62" s="356"/>
      <c r="T62" s="356"/>
      <c r="U62" s="356"/>
      <c r="V62" s="356"/>
      <c r="W62" s="356"/>
    </row>
    <row r="63" spans="1:27" ht="14" x14ac:dyDescent="0.3">
      <c r="A63" s="195"/>
      <c r="B63" s="194"/>
      <c r="C63" s="208"/>
      <c r="D63" s="208"/>
      <c r="E63" s="213"/>
      <c r="F63" s="208"/>
      <c r="G63" s="199"/>
      <c r="H63" s="194"/>
      <c r="I63" s="194"/>
      <c r="J63" s="194"/>
      <c r="K63" s="194"/>
      <c r="L63" s="194"/>
      <c r="M63" s="221"/>
      <c r="N63" s="221"/>
      <c r="O63" s="256"/>
      <c r="P63" s="256"/>
      <c r="Q63" s="356"/>
      <c r="R63" s="356"/>
      <c r="S63" s="356"/>
      <c r="T63" s="356"/>
      <c r="U63" s="356"/>
      <c r="V63" s="356"/>
      <c r="W63" s="356"/>
    </row>
    <row r="64" spans="1:27" ht="15.5" x14ac:dyDescent="0.25">
      <c r="A64" s="195"/>
      <c r="B64" s="194"/>
      <c r="C64" s="208"/>
      <c r="D64" s="208"/>
      <c r="E64" s="213"/>
      <c r="F64" s="208"/>
      <c r="G64" s="199"/>
      <c r="H64" s="194"/>
      <c r="I64" s="194"/>
      <c r="J64" s="194"/>
      <c r="K64" s="194"/>
      <c r="L64" s="194"/>
      <c r="M64" s="473"/>
      <c r="N64" s="473"/>
      <c r="O64" s="473"/>
      <c r="P64" s="474" t="s">
        <v>197</v>
      </c>
      <c r="Q64" s="356"/>
      <c r="R64" s="356"/>
      <c r="S64" s="356"/>
      <c r="T64" s="356"/>
      <c r="U64" s="356"/>
      <c r="V64" s="356"/>
      <c r="W64" s="356"/>
    </row>
    <row r="65" spans="1:23" ht="15.5" x14ac:dyDescent="0.25">
      <c r="A65" s="356"/>
      <c r="B65" s="10"/>
      <c r="C65" s="25"/>
      <c r="D65" s="25"/>
      <c r="E65" s="29"/>
      <c r="F65" s="25"/>
      <c r="G65" s="3"/>
      <c r="H65" s="10"/>
      <c r="I65" s="10"/>
      <c r="J65" s="10"/>
      <c r="K65" s="10"/>
      <c r="L65" s="10"/>
      <c r="M65" s="473"/>
      <c r="N65" s="471" t="s">
        <v>721</v>
      </c>
      <c r="O65" s="475">
        <f>IF(M68="-",40,IF(M68&lt;=M69,M72,IF(M68&gt;M69,0)))</f>
        <v>30</v>
      </c>
      <c r="P65" s="475">
        <f>VLOOKUP(B47,N65:O66,2,FALSE)</f>
        <v>30</v>
      </c>
      <c r="Q65" s="356"/>
      <c r="R65" s="356"/>
      <c r="S65" s="356"/>
      <c r="T65" s="356"/>
      <c r="U65" s="356"/>
      <c r="V65" s="356"/>
      <c r="W65" s="356"/>
    </row>
    <row r="66" spans="1:23" ht="15.5" x14ac:dyDescent="0.25">
      <c r="A66" s="356"/>
      <c r="B66" s="10"/>
      <c r="C66" s="25"/>
      <c r="D66" s="25"/>
      <c r="E66" s="29"/>
      <c r="F66" s="25"/>
      <c r="G66" s="3"/>
      <c r="H66" s="10"/>
      <c r="I66" s="10"/>
      <c r="J66" s="10"/>
      <c r="K66" s="10"/>
      <c r="L66" s="10"/>
      <c r="M66" s="473"/>
      <c r="N66" s="472" t="s">
        <v>723</v>
      </c>
      <c r="O66" s="475">
        <f>M73</f>
        <v>30</v>
      </c>
      <c r="P66" s="475"/>
      <c r="Q66" s="356"/>
      <c r="R66" s="356"/>
      <c r="S66" s="356"/>
      <c r="T66" s="356"/>
      <c r="U66" s="356"/>
      <c r="V66" s="356"/>
      <c r="W66" s="356"/>
    </row>
    <row r="67" spans="1:23" ht="16" thickBot="1" x14ac:dyDescent="0.3">
      <c r="A67" s="356"/>
      <c r="B67" s="10"/>
      <c r="C67" s="25"/>
      <c r="D67" s="25"/>
      <c r="E67" s="29"/>
      <c r="F67" s="25"/>
      <c r="G67" s="3"/>
      <c r="H67" s="10"/>
      <c r="I67" s="10"/>
      <c r="J67" s="922"/>
      <c r="K67" s="922"/>
      <c r="L67" s="10"/>
      <c r="M67" s="473"/>
      <c r="N67" s="473"/>
      <c r="O67" s="473"/>
      <c r="P67" s="473"/>
      <c r="Q67" s="356"/>
      <c r="R67" s="356"/>
      <c r="S67" s="356"/>
      <c r="T67" s="356"/>
      <c r="U67" s="356"/>
      <c r="V67" s="356"/>
      <c r="W67" s="356"/>
    </row>
    <row r="68" spans="1:23" ht="15.5" x14ac:dyDescent="0.25">
      <c r="A68" s="356"/>
      <c r="B68" s="476"/>
      <c r="C68" s="476"/>
      <c r="D68" s="476"/>
      <c r="E68" s="476"/>
      <c r="F68" s="476"/>
      <c r="G68" s="476"/>
      <c r="H68" s="476"/>
      <c r="I68" s="476"/>
      <c r="J68" s="477"/>
      <c r="K68" s="476"/>
      <c r="L68" s="476"/>
      <c r="M68" s="475">
        <f>'DB Kelistrikan'!O271</f>
        <v>69.227199999999996</v>
      </c>
      <c r="N68" s="475">
        <f>IF(M68&gt;M69,M70,IF(M68&lt;=M69,M68))</f>
        <v>69.227199999999996</v>
      </c>
      <c r="O68" s="478"/>
      <c r="P68" s="475">
        <v>0</v>
      </c>
      <c r="Q68" s="479" t="s">
        <v>102</v>
      </c>
      <c r="R68" s="480"/>
      <c r="S68" s="481"/>
      <c r="T68" s="356"/>
      <c r="U68" s="356"/>
      <c r="V68" s="356"/>
      <c r="W68" s="356"/>
    </row>
    <row r="69" spans="1:23" ht="15.5" x14ac:dyDescent="0.25">
      <c r="A69" s="356"/>
      <c r="B69" s="476"/>
      <c r="C69" s="476"/>
      <c r="D69" s="476"/>
      <c r="E69" s="476"/>
      <c r="F69" s="476"/>
      <c r="G69" s="476"/>
      <c r="H69" s="476"/>
      <c r="I69" s="476"/>
      <c r="J69" s="477"/>
      <c r="K69" s="476"/>
      <c r="L69" s="476"/>
      <c r="M69" s="475">
        <f>M27</f>
        <v>500</v>
      </c>
      <c r="N69" s="475">
        <f>N68</f>
        <v>69.227199999999996</v>
      </c>
      <c r="O69" s="475">
        <f>N70</f>
        <v>30</v>
      </c>
      <c r="P69" s="475">
        <v>20</v>
      </c>
      <c r="Q69" s="19" t="s">
        <v>198</v>
      </c>
      <c r="R69" s="19"/>
      <c r="S69" s="482"/>
      <c r="T69" s="356"/>
      <c r="U69" s="356"/>
      <c r="V69" s="356"/>
      <c r="W69" s="356"/>
    </row>
    <row r="70" spans="1:23" ht="16" thickBot="1" x14ac:dyDescent="0.3">
      <c r="A70" s="356"/>
      <c r="B70" s="923"/>
      <c r="C70" s="923"/>
      <c r="D70" s="923"/>
      <c r="E70" s="923"/>
      <c r="F70" s="923"/>
      <c r="G70" s="923"/>
      <c r="H70" s="923"/>
      <c r="I70" s="923"/>
      <c r="J70" s="923"/>
      <c r="K70" s="923"/>
      <c r="L70" s="923"/>
      <c r="M70" s="475">
        <f>'DB Kelistrikan'!O272</f>
        <v>118.84</v>
      </c>
      <c r="N70" s="475">
        <f>IF(M68&lt;=M69,M72,IF(M70&lt;=100,M72,0))</f>
        <v>30</v>
      </c>
      <c r="O70" s="483"/>
      <c r="P70" s="475">
        <v>30</v>
      </c>
      <c r="Q70" s="484" t="s">
        <v>102</v>
      </c>
      <c r="R70" s="485"/>
      <c r="S70" s="486"/>
      <c r="T70" s="356"/>
      <c r="U70" s="356"/>
      <c r="V70" s="356"/>
      <c r="W70" s="356"/>
    </row>
    <row r="71" spans="1:23" ht="15.5" x14ac:dyDescent="0.25">
      <c r="B71" s="921"/>
      <c r="C71" s="921"/>
      <c r="D71" s="921"/>
      <c r="E71" s="921"/>
      <c r="F71" s="921"/>
      <c r="G71" s="921"/>
      <c r="H71" s="921"/>
      <c r="I71" s="921"/>
      <c r="J71" s="921"/>
      <c r="K71" s="921"/>
      <c r="L71" s="921"/>
      <c r="M71" s="257"/>
      <c r="N71" s="257"/>
      <c r="O71" s="1111" t="str">
        <f>VLOOKUP(O69,P68:S70,2,0)</f>
        <v>-</v>
      </c>
      <c r="P71" s="1111"/>
      <c r="Q71" s="1111"/>
      <c r="R71" s="1111"/>
      <c r="S71" s="1111"/>
    </row>
    <row r="72" spans="1:23" ht="15.5" x14ac:dyDescent="0.25">
      <c r="B72" s="522"/>
      <c r="C72" s="522"/>
      <c r="D72" s="522"/>
      <c r="E72" s="522"/>
      <c r="F72" s="522"/>
      <c r="G72" s="522"/>
      <c r="H72" s="522"/>
      <c r="I72" s="522"/>
      <c r="J72" s="521"/>
      <c r="K72" s="522"/>
      <c r="L72" s="522"/>
      <c r="M72" s="475">
        <f>SUM(PENYELIA!K25:K27)</f>
        <v>30</v>
      </c>
      <c r="N72" s="259"/>
      <c r="O72" s="258"/>
      <c r="P72" s="258"/>
    </row>
    <row r="73" spans="1:23" ht="15.5" x14ac:dyDescent="0.25">
      <c r="G73" s="76"/>
      <c r="K73" s="76"/>
      <c r="M73" s="475">
        <f>N70</f>
        <v>30</v>
      </c>
      <c r="N73" s="258"/>
      <c r="O73" s="258"/>
      <c r="P73" s="258"/>
    </row>
    <row r="74" spans="1:23" x14ac:dyDescent="0.25">
      <c r="G74" s="76"/>
      <c r="K74" s="76"/>
    </row>
    <row r="75" spans="1:23" x14ac:dyDescent="0.25">
      <c r="G75" s="76"/>
      <c r="K75" s="76"/>
    </row>
    <row r="93" spans="4:4" x14ac:dyDescent="0.25">
      <c r="D93" s="512"/>
    </row>
    <row r="94" spans="4:4" x14ac:dyDescent="0.25">
      <c r="D94" s="512"/>
    </row>
  </sheetData>
  <sheetProtection formatCells="0" formatColumns="0" formatRows="0" insertColumns="0" insertRows="0" deleteColumns="0" deleteRows="0"/>
  <mergeCells count="42">
    <mergeCell ref="A1:L1"/>
    <mergeCell ref="B38:B39"/>
    <mergeCell ref="B40:B41"/>
    <mergeCell ref="J24:K24"/>
    <mergeCell ref="C31:E31"/>
    <mergeCell ref="C32:E32"/>
    <mergeCell ref="F30:J30"/>
    <mergeCell ref="K30:L30"/>
    <mergeCell ref="H36:J36"/>
    <mergeCell ref="K36:K37"/>
    <mergeCell ref="K31:L31"/>
    <mergeCell ref="C30:E30"/>
    <mergeCell ref="E11:K11"/>
    <mergeCell ref="C24:I24"/>
    <mergeCell ref="M13:O13"/>
    <mergeCell ref="O29:W29"/>
    <mergeCell ref="P25:R26"/>
    <mergeCell ref="B71:L71"/>
    <mergeCell ref="J67:K67"/>
    <mergeCell ref="B70:L70"/>
    <mergeCell ref="K33:L33"/>
    <mergeCell ref="C36:E37"/>
    <mergeCell ref="K32:L32"/>
    <mergeCell ref="C38:E39"/>
    <mergeCell ref="C40:E41"/>
    <mergeCell ref="B47:E47"/>
    <mergeCell ref="B59:D59"/>
    <mergeCell ref="B55:L56"/>
    <mergeCell ref="B36:B37"/>
    <mergeCell ref="C33:E33"/>
    <mergeCell ref="Z48:AA48"/>
    <mergeCell ref="Z49:AA49"/>
    <mergeCell ref="N36:N37"/>
    <mergeCell ref="M36:M37"/>
    <mergeCell ref="M35:N35"/>
    <mergeCell ref="F36:G37"/>
    <mergeCell ref="Z44:AA44"/>
    <mergeCell ref="Z29:AA29"/>
    <mergeCell ref="Z43:AA43"/>
    <mergeCell ref="Z42:AA42"/>
    <mergeCell ref="X29:Y29"/>
    <mergeCell ref="Z50:AA50"/>
  </mergeCells>
  <phoneticPr fontId="7" type="noConversion"/>
  <dataValidations count="3">
    <dataValidation type="list" allowBlank="1" showInputMessage="1" sqref="F7" xr:uid="{00000000-0002-0000-0200-000000000000}">
      <formula1>$N$5:$N$6</formula1>
    </dataValidation>
    <dataValidation allowBlank="1" showInputMessage="1" sqref="B47:E47 A2" xr:uid="{00000000-0002-0000-0200-000001000000}"/>
    <dataValidation type="list" allowBlank="1" showInputMessage="1" showErrorMessage="1" sqref="C52:J52 C51:K51" xr:uid="{00000000-0002-0000-0200-00000E000000}">
      <formula1>#REF!</formula1>
    </dataValidation>
  </dataValidations>
  <printOptions horizontalCentered="1"/>
  <pageMargins left="0.5" right="0.25" top="0.5" bottom="0.25" header="0.25" footer="0.25"/>
  <pageSetup paperSize="9" scale="75" orientation="portrait" horizontalDpi="4294967294" r:id="rId1"/>
  <headerFooter>
    <oddHeader>&amp;R&amp;"-,Regular"&amp;8OA.ID - 065 - 18/ REV : 0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9</xdr:col>
                <xdr:colOff>12700</xdr:colOff>
                <xdr:row>21</xdr:row>
                <xdr:rowOff>0</xdr:rowOff>
              </from>
              <to>
                <xdr:col>10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5">
            <anchor moveWithCells="1" sizeWithCells="1">
              <from>
                <xdr:col>9</xdr:col>
                <xdr:colOff>12700</xdr:colOff>
                <xdr:row>21</xdr:row>
                <xdr:rowOff>0</xdr:rowOff>
              </from>
              <to>
                <xdr:col>10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7">
          <objectPr defaultSize="0" autoPict="0" r:id="rId5">
            <anchor moveWithCells="1" sizeWithCells="1">
              <from>
                <xdr:col>9</xdr:col>
                <xdr:colOff>12700</xdr:colOff>
                <xdr:row>21</xdr:row>
                <xdr:rowOff>0</xdr:rowOff>
              </from>
              <to>
                <xdr:col>10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Equation.3" shapeId="6147" r:id="rId7"/>
      </mc:Fallback>
    </mc:AlternateContent>
    <mc:AlternateContent xmlns:mc="http://schemas.openxmlformats.org/markup-compatibility/2006">
      <mc:Choice Requires="x14">
        <oleObject progId="Equation.3" shapeId="6148" r:id="rId8">
          <objectPr defaultSize="0" autoPict="0" r:id="rId5">
            <anchor moveWithCells="1" sizeWithCells="1">
              <from>
                <xdr:col>9</xdr:col>
                <xdr:colOff>12700</xdr:colOff>
                <xdr:row>21</xdr:row>
                <xdr:rowOff>0</xdr:rowOff>
              </from>
              <to>
                <xdr:col>10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Equation.3" shapeId="6148" r:id="rId8"/>
      </mc:Fallback>
    </mc:AlternateContent>
    <mc:AlternateContent xmlns:mc="http://schemas.openxmlformats.org/markup-compatibility/2006">
      <mc:Choice Requires="x14">
        <oleObject progId="Equation.3" shapeId="6149" r:id="rId9">
          <objectPr defaultSize="0" autoPict="0" r:id="rId5">
            <anchor moveWithCells="1" sizeWithCells="1">
              <from>
                <xdr:col>9</xdr:col>
                <xdr:colOff>12700</xdr:colOff>
                <xdr:row>21</xdr:row>
                <xdr:rowOff>0</xdr:rowOff>
              </from>
              <to>
                <xdr:col>10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Equation.3" shapeId="6149" r:id="rId9"/>
      </mc:Fallback>
    </mc:AlternateContent>
    <mc:AlternateContent xmlns:mc="http://schemas.openxmlformats.org/markup-compatibility/2006">
      <mc:Choice Requires="x14">
        <oleObject progId="Equation.3" shapeId="6150" r:id="rId10">
          <objectPr defaultSize="0" autoPict="0" r:id="rId5">
            <anchor moveWithCells="1" sizeWithCells="1">
              <from>
                <xdr:col>9</xdr:col>
                <xdr:colOff>12700</xdr:colOff>
                <xdr:row>21</xdr:row>
                <xdr:rowOff>0</xdr:rowOff>
              </from>
              <to>
                <xdr:col>10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Equation.3" shapeId="6150" r:id="rId10"/>
      </mc:Fallback>
    </mc:AlternateContent>
    <mc:AlternateContent xmlns:mc="http://schemas.openxmlformats.org/markup-compatibility/2006">
      <mc:Choice Requires="x14">
        <oleObject progId="Equation.3" shapeId="6151" r:id="rId11">
          <objectPr defaultSize="0" autoPict="0" r:id="rId5">
            <anchor moveWithCells="1" sizeWithCells="1">
              <from>
                <xdr:col>9</xdr:col>
                <xdr:colOff>12700</xdr:colOff>
                <xdr:row>21</xdr:row>
                <xdr:rowOff>0</xdr:rowOff>
              </from>
              <to>
                <xdr:col>10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Equation.3" shapeId="6151" r:id="rId11"/>
      </mc:Fallback>
    </mc:AlternateContent>
    <mc:AlternateContent xmlns:mc="http://schemas.openxmlformats.org/markup-compatibility/2006">
      <mc:Choice Requires="x14">
        <oleObject progId="Equation.3" shapeId="6152" r:id="rId12">
          <objectPr defaultSize="0" autoPict="0" r:id="rId5">
            <anchor moveWithCells="1" sizeWithCells="1">
              <from>
                <xdr:col>9</xdr:col>
                <xdr:colOff>12700</xdr:colOff>
                <xdr:row>21</xdr:row>
                <xdr:rowOff>0</xdr:rowOff>
              </from>
              <to>
                <xdr:col>10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Equation.3" shapeId="6152" r:id="rId12"/>
      </mc:Fallback>
    </mc:AlternateContent>
    <mc:AlternateContent xmlns:mc="http://schemas.openxmlformats.org/markup-compatibility/2006">
      <mc:Choice Requires="x14">
        <oleObject progId="Equation.3" shapeId="6153" r:id="rId13">
          <objectPr defaultSize="0" autoPict="0" r:id="rId5">
            <anchor moveWithCells="1" sizeWithCells="1">
              <from>
                <xdr:col>9</xdr:col>
                <xdr:colOff>12700</xdr:colOff>
                <xdr:row>21</xdr:row>
                <xdr:rowOff>0</xdr:rowOff>
              </from>
              <to>
                <xdr:col>10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Equation.3" shapeId="6153" r:id="rId13"/>
      </mc:Fallback>
    </mc:AlternateContent>
    <mc:AlternateContent xmlns:mc="http://schemas.openxmlformats.org/markup-compatibility/2006">
      <mc:Choice Requires="x14">
        <oleObject progId="Equation.3" shapeId="6154" r:id="rId14">
          <objectPr defaultSize="0" autoPict="0" r:id="rId5">
            <anchor moveWithCells="1" sizeWithCells="1">
              <from>
                <xdr:col>9</xdr:col>
                <xdr:colOff>12700</xdr:colOff>
                <xdr:row>21</xdr:row>
                <xdr:rowOff>0</xdr:rowOff>
              </from>
              <to>
                <xdr:col>10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Equation.3" shapeId="6154" r:id="rId14"/>
      </mc:Fallback>
    </mc:AlternateContent>
    <mc:AlternateContent xmlns:mc="http://schemas.openxmlformats.org/markup-compatibility/2006">
      <mc:Choice Requires="x14">
        <oleObject progId="Equation.3" shapeId="6155" r:id="rId15">
          <objectPr defaultSize="0" autoPict="0" r:id="rId5">
            <anchor moveWithCells="1" sizeWithCells="1">
              <from>
                <xdr:col>9</xdr:col>
                <xdr:colOff>38100</xdr:colOff>
                <xdr:row>21</xdr:row>
                <xdr:rowOff>0</xdr:rowOff>
              </from>
              <to>
                <xdr:col>10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Equation.3" shapeId="6155" r:id="rId15"/>
      </mc:Fallback>
    </mc:AlternateContent>
    <mc:AlternateContent xmlns:mc="http://schemas.openxmlformats.org/markup-compatibility/2006">
      <mc:Choice Requires="x14">
        <oleObject progId="Equation.3" shapeId="6156" r:id="rId16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56" r:id="rId16"/>
      </mc:Fallback>
    </mc:AlternateContent>
    <mc:AlternateContent xmlns:mc="http://schemas.openxmlformats.org/markup-compatibility/2006">
      <mc:Choice Requires="x14">
        <oleObject progId="Equation.3" shapeId="6157" r:id="rId17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57" r:id="rId17"/>
      </mc:Fallback>
    </mc:AlternateContent>
    <mc:AlternateContent xmlns:mc="http://schemas.openxmlformats.org/markup-compatibility/2006">
      <mc:Choice Requires="x14">
        <oleObject progId="Equation.3" shapeId="6158" r:id="rId18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58" r:id="rId18"/>
      </mc:Fallback>
    </mc:AlternateContent>
    <mc:AlternateContent xmlns:mc="http://schemas.openxmlformats.org/markup-compatibility/2006">
      <mc:Choice Requires="x14">
        <oleObject progId="Equation.3" shapeId="6159" r:id="rId19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59" r:id="rId19"/>
      </mc:Fallback>
    </mc:AlternateContent>
    <mc:AlternateContent xmlns:mc="http://schemas.openxmlformats.org/markup-compatibility/2006">
      <mc:Choice Requires="x14">
        <oleObject progId="Equation.3" shapeId="6160" r:id="rId20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60" r:id="rId20"/>
      </mc:Fallback>
    </mc:AlternateContent>
    <mc:AlternateContent xmlns:mc="http://schemas.openxmlformats.org/markup-compatibility/2006">
      <mc:Choice Requires="x14">
        <oleObject progId="Equation.3" shapeId="6161" r:id="rId21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61" r:id="rId21"/>
      </mc:Fallback>
    </mc:AlternateContent>
    <mc:AlternateContent xmlns:mc="http://schemas.openxmlformats.org/markup-compatibility/2006">
      <mc:Choice Requires="x14">
        <oleObject progId="Equation.3" shapeId="6162" r:id="rId22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62" r:id="rId22"/>
      </mc:Fallback>
    </mc:AlternateContent>
    <mc:AlternateContent xmlns:mc="http://schemas.openxmlformats.org/markup-compatibility/2006">
      <mc:Choice Requires="x14">
        <oleObject progId="Equation.3" shapeId="6163" r:id="rId23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63" r:id="rId23"/>
      </mc:Fallback>
    </mc:AlternateContent>
    <mc:AlternateContent xmlns:mc="http://schemas.openxmlformats.org/markup-compatibility/2006">
      <mc:Choice Requires="x14">
        <oleObject progId="Equation.3" shapeId="6164" r:id="rId24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64" r:id="rId24"/>
      </mc:Fallback>
    </mc:AlternateContent>
    <mc:AlternateContent xmlns:mc="http://schemas.openxmlformats.org/markup-compatibility/2006">
      <mc:Choice Requires="x14">
        <oleObject progId="Equation.3" shapeId="6165" r:id="rId25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65" r:id="rId25"/>
      </mc:Fallback>
    </mc:AlternateContent>
    <mc:AlternateContent xmlns:mc="http://schemas.openxmlformats.org/markup-compatibility/2006">
      <mc:Choice Requires="x14">
        <oleObject progId="Equation.3" shapeId="6166" r:id="rId26">
          <objectPr defaultSize="0" autoPict="0" r:id="rId5">
            <anchor moveWithCells="1" sizeWithCells="1">
              <from>
                <xdr:col>9</xdr:col>
                <xdr:colOff>38100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66" r:id="rId26"/>
      </mc:Fallback>
    </mc:AlternateContent>
    <mc:AlternateContent xmlns:mc="http://schemas.openxmlformats.org/markup-compatibility/2006">
      <mc:Choice Requires="x14">
        <oleObject progId="Equation.3" shapeId="6167" r:id="rId27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67" r:id="rId27"/>
      </mc:Fallback>
    </mc:AlternateContent>
    <mc:AlternateContent xmlns:mc="http://schemas.openxmlformats.org/markup-compatibility/2006">
      <mc:Choice Requires="x14">
        <oleObject progId="Equation.3" shapeId="6168" r:id="rId28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68" r:id="rId28"/>
      </mc:Fallback>
    </mc:AlternateContent>
    <mc:AlternateContent xmlns:mc="http://schemas.openxmlformats.org/markup-compatibility/2006">
      <mc:Choice Requires="x14">
        <oleObject progId="Equation.3" shapeId="6169" r:id="rId29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69" r:id="rId29"/>
      </mc:Fallback>
    </mc:AlternateContent>
    <mc:AlternateContent xmlns:mc="http://schemas.openxmlformats.org/markup-compatibility/2006">
      <mc:Choice Requires="x14">
        <oleObject progId="Equation.3" shapeId="6170" r:id="rId30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70" r:id="rId30"/>
      </mc:Fallback>
    </mc:AlternateContent>
    <mc:AlternateContent xmlns:mc="http://schemas.openxmlformats.org/markup-compatibility/2006">
      <mc:Choice Requires="x14">
        <oleObject progId="Equation.3" shapeId="6171" r:id="rId31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71" r:id="rId31"/>
      </mc:Fallback>
    </mc:AlternateContent>
    <mc:AlternateContent xmlns:mc="http://schemas.openxmlformats.org/markup-compatibility/2006">
      <mc:Choice Requires="x14">
        <oleObject progId="Equation.3" shapeId="6172" r:id="rId32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72" r:id="rId32"/>
      </mc:Fallback>
    </mc:AlternateContent>
    <mc:AlternateContent xmlns:mc="http://schemas.openxmlformats.org/markup-compatibility/2006">
      <mc:Choice Requires="x14">
        <oleObject progId="Equation.3" shapeId="6173" r:id="rId33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73" r:id="rId33"/>
      </mc:Fallback>
    </mc:AlternateContent>
    <mc:AlternateContent xmlns:mc="http://schemas.openxmlformats.org/markup-compatibility/2006">
      <mc:Choice Requires="x14">
        <oleObject progId="Equation.3" shapeId="6174" r:id="rId34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74" r:id="rId34"/>
      </mc:Fallback>
    </mc:AlternateContent>
    <mc:AlternateContent xmlns:mc="http://schemas.openxmlformats.org/markup-compatibility/2006">
      <mc:Choice Requires="x14">
        <oleObject progId="Equation.3" shapeId="6175" r:id="rId35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75" r:id="rId35"/>
      </mc:Fallback>
    </mc:AlternateContent>
    <mc:AlternateContent xmlns:mc="http://schemas.openxmlformats.org/markup-compatibility/2006">
      <mc:Choice Requires="x14">
        <oleObject progId="Equation.3" shapeId="6176" r:id="rId36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76" r:id="rId36"/>
      </mc:Fallback>
    </mc:AlternateContent>
    <mc:AlternateContent xmlns:mc="http://schemas.openxmlformats.org/markup-compatibility/2006">
      <mc:Choice Requires="x14">
        <oleObject progId="Equation.3" shapeId="6177" r:id="rId37">
          <objectPr defaultSize="0" autoPict="0" r:id="rId5">
            <anchor moveWithCells="1" sizeWithCells="1">
              <from>
                <xdr:col>9</xdr:col>
                <xdr:colOff>38100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77" r:id="rId37"/>
      </mc:Fallback>
    </mc:AlternateContent>
    <mc:AlternateContent xmlns:mc="http://schemas.openxmlformats.org/markup-compatibility/2006">
      <mc:Choice Requires="x14">
        <oleObject progId="Equation.3" shapeId="6178" r:id="rId38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78" r:id="rId38"/>
      </mc:Fallback>
    </mc:AlternateContent>
    <mc:AlternateContent xmlns:mc="http://schemas.openxmlformats.org/markup-compatibility/2006">
      <mc:Choice Requires="x14">
        <oleObject progId="Equation.3" shapeId="6179" r:id="rId39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79" r:id="rId39"/>
      </mc:Fallback>
    </mc:AlternateContent>
    <mc:AlternateContent xmlns:mc="http://schemas.openxmlformats.org/markup-compatibility/2006">
      <mc:Choice Requires="x14">
        <oleObject progId="Equation.3" shapeId="6180" r:id="rId40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80" r:id="rId40"/>
      </mc:Fallback>
    </mc:AlternateContent>
    <mc:AlternateContent xmlns:mc="http://schemas.openxmlformats.org/markup-compatibility/2006">
      <mc:Choice Requires="x14">
        <oleObject progId="Equation.3" shapeId="6181" r:id="rId41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81" r:id="rId41"/>
      </mc:Fallback>
    </mc:AlternateContent>
    <mc:AlternateContent xmlns:mc="http://schemas.openxmlformats.org/markup-compatibility/2006">
      <mc:Choice Requires="x14">
        <oleObject progId="Equation.3" shapeId="6182" r:id="rId42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82" r:id="rId42"/>
      </mc:Fallback>
    </mc:AlternateContent>
    <mc:AlternateContent xmlns:mc="http://schemas.openxmlformats.org/markup-compatibility/2006">
      <mc:Choice Requires="x14">
        <oleObject progId="Equation.3" shapeId="6183" r:id="rId43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83" r:id="rId43"/>
      </mc:Fallback>
    </mc:AlternateContent>
    <mc:AlternateContent xmlns:mc="http://schemas.openxmlformats.org/markup-compatibility/2006">
      <mc:Choice Requires="x14">
        <oleObject progId="Equation.3" shapeId="6184" r:id="rId44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84" r:id="rId44"/>
      </mc:Fallback>
    </mc:AlternateContent>
    <mc:AlternateContent xmlns:mc="http://schemas.openxmlformats.org/markup-compatibility/2006">
      <mc:Choice Requires="x14">
        <oleObject progId="Equation.3" shapeId="6185" r:id="rId45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85" r:id="rId45"/>
      </mc:Fallback>
    </mc:AlternateContent>
    <mc:AlternateContent xmlns:mc="http://schemas.openxmlformats.org/markup-compatibility/2006">
      <mc:Choice Requires="x14">
        <oleObject progId="Equation.3" shapeId="6186" r:id="rId46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86" r:id="rId46"/>
      </mc:Fallback>
    </mc:AlternateContent>
    <mc:AlternateContent xmlns:mc="http://schemas.openxmlformats.org/markup-compatibility/2006">
      <mc:Choice Requires="x14">
        <oleObject progId="Equation.3" shapeId="6187" r:id="rId47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87" r:id="rId47"/>
      </mc:Fallback>
    </mc:AlternateContent>
    <mc:AlternateContent xmlns:mc="http://schemas.openxmlformats.org/markup-compatibility/2006">
      <mc:Choice Requires="x14">
        <oleObject progId="Equation.3" shapeId="6188" r:id="rId48">
          <objectPr defaultSize="0" autoPict="0" r:id="rId5">
            <anchor moveWithCells="1" sizeWithCells="1">
              <from>
                <xdr:col>9</xdr:col>
                <xdr:colOff>38100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88" r:id="rId48"/>
      </mc:Fallback>
    </mc:AlternateContent>
    <mc:AlternateContent xmlns:mc="http://schemas.openxmlformats.org/markup-compatibility/2006">
      <mc:Choice Requires="x14">
        <oleObject progId="Equation.3" shapeId="6189" r:id="rId49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89" r:id="rId49"/>
      </mc:Fallback>
    </mc:AlternateContent>
    <mc:AlternateContent xmlns:mc="http://schemas.openxmlformats.org/markup-compatibility/2006">
      <mc:Choice Requires="x14">
        <oleObject progId="Equation.3" shapeId="6190" r:id="rId50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90" r:id="rId50"/>
      </mc:Fallback>
    </mc:AlternateContent>
    <mc:AlternateContent xmlns:mc="http://schemas.openxmlformats.org/markup-compatibility/2006">
      <mc:Choice Requires="x14">
        <oleObject progId="Equation.3" shapeId="6191" r:id="rId51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91" r:id="rId51"/>
      </mc:Fallback>
    </mc:AlternateContent>
    <mc:AlternateContent xmlns:mc="http://schemas.openxmlformats.org/markup-compatibility/2006">
      <mc:Choice Requires="x14">
        <oleObject progId="Equation.3" shapeId="6192" r:id="rId52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92" r:id="rId52"/>
      </mc:Fallback>
    </mc:AlternateContent>
    <mc:AlternateContent xmlns:mc="http://schemas.openxmlformats.org/markup-compatibility/2006">
      <mc:Choice Requires="x14">
        <oleObject progId="Equation.3" shapeId="6193" r:id="rId53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93" r:id="rId53"/>
      </mc:Fallback>
    </mc:AlternateContent>
    <mc:AlternateContent xmlns:mc="http://schemas.openxmlformats.org/markup-compatibility/2006">
      <mc:Choice Requires="x14">
        <oleObject progId="Equation.3" shapeId="6194" r:id="rId54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94" r:id="rId54"/>
      </mc:Fallback>
    </mc:AlternateContent>
    <mc:AlternateContent xmlns:mc="http://schemas.openxmlformats.org/markup-compatibility/2006">
      <mc:Choice Requires="x14">
        <oleObject progId="Equation.3" shapeId="6195" r:id="rId55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95" r:id="rId55"/>
      </mc:Fallback>
    </mc:AlternateContent>
    <mc:AlternateContent xmlns:mc="http://schemas.openxmlformats.org/markup-compatibility/2006">
      <mc:Choice Requires="x14">
        <oleObject progId="Equation.3" shapeId="6196" r:id="rId56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96" r:id="rId56"/>
      </mc:Fallback>
    </mc:AlternateContent>
    <mc:AlternateContent xmlns:mc="http://schemas.openxmlformats.org/markup-compatibility/2006">
      <mc:Choice Requires="x14">
        <oleObject progId="Equation.3" shapeId="6197" r:id="rId57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97" r:id="rId57"/>
      </mc:Fallback>
    </mc:AlternateContent>
    <mc:AlternateContent xmlns:mc="http://schemas.openxmlformats.org/markup-compatibility/2006">
      <mc:Choice Requires="x14">
        <oleObject progId="Equation.3" shapeId="6198" r:id="rId58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98" r:id="rId58"/>
      </mc:Fallback>
    </mc:AlternateContent>
    <mc:AlternateContent xmlns:mc="http://schemas.openxmlformats.org/markup-compatibility/2006">
      <mc:Choice Requires="x14">
        <oleObject progId="Equation.3" shapeId="6199" r:id="rId59">
          <objectPr defaultSize="0" autoPict="0" r:id="rId5">
            <anchor moveWithCells="1" sizeWithCells="1">
              <from>
                <xdr:col>9</xdr:col>
                <xdr:colOff>38100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199" r:id="rId59"/>
      </mc:Fallback>
    </mc:AlternateContent>
    <mc:AlternateContent xmlns:mc="http://schemas.openxmlformats.org/markup-compatibility/2006">
      <mc:Choice Requires="x14">
        <oleObject progId="Equation.3" shapeId="6200" r:id="rId60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00" r:id="rId60"/>
      </mc:Fallback>
    </mc:AlternateContent>
    <mc:AlternateContent xmlns:mc="http://schemas.openxmlformats.org/markup-compatibility/2006">
      <mc:Choice Requires="x14">
        <oleObject progId="Equation.3" shapeId="6201" r:id="rId61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01" r:id="rId61"/>
      </mc:Fallback>
    </mc:AlternateContent>
    <mc:AlternateContent xmlns:mc="http://schemas.openxmlformats.org/markup-compatibility/2006">
      <mc:Choice Requires="x14">
        <oleObject progId="Equation.3" shapeId="6202" r:id="rId62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02" r:id="rId62"/>
      </mc:Fallback>
    </mc:AlternateContent>
    <mc:AlternateContent xmlns:mc="http://schemas.openxmlformats.org/markup-compatibility/2006">
      <mc:Choice Requires="x14">
        <oleObject progId="Equation.3" shapeId="6203" r:id="rId63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03" r:id="rId63"/>
      </mc:Fallback>
    </mc:AlternateContent>
    <mc:AlternateContent xmlns:mc="http://schemas.openxmlformats.org/markup-compatibility/2006">
      <mc:Choice Requires="x14">
        <oleObject progId="Equation.3" shapeId="6204" r:id="rId64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04" r:id="rId64"/>
      </mc:Fallback>
    </mc:AlternateContent>
    <mc:AlternateContent xmlns:mc="http://schemas.openxmlformats.org/markup-compatibility/2006">
      <mc:Choice Requires="x14">
        <oleObject progId="Equation.3" shapeId="6205" r:id="rId65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05" r:id="rId65"/>
      </mc:Fallback>
    </mc:AlternateContent>
    <mc:AlternateContent xmlns:mc="http://schemas.openxmlformats.org/markup-compatibility/2006">
      <mc:Choice Requires="x14">
        <oleObject progId="Equation.3" shapeId="6206" r:id="rId66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06" r:id="rId66"/>
      </mc:Fallback>
    </mc:AlternateContent>
    <mc:AlternateContent xmlns:mc="http://schemas.openxmlformats.org/markup-compatibility/2006">
      <mc:Choice Requires="x14">
        <oleObject progId="Equation.3" shapeId="6207" r:id="rId67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07" r:id="rId67"/>
      </mc:Fallback>
    </mc:AlternateContent>
    <mc:AlternateContent xmlns:mc="http://schemas.openxmlformats.org/markup-compatibility/2006">
      <mc:Choice Requires="x14">
        <oleObject progId="Equation.3" shapeId="6208" r:id="rId68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08" r:id="rId68"/>
      </mc:Fallback>
    </mc:AlternateContent>
    <mc:AlternateContent xmlns:mc="http://schemas.openxmlformats.org/markup-compatibility/2006">
      <mc:Choice Requires="x14">
        <oleObject progId="Equation.3" shapeId="6209" r:id="rId69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09" r:id="rId69"/>
      </mc:Fallback>
    </mc:AlternateContent>
    <mc:AlternateContent xmlns:mc="http://schemas.openxmlformats.org/markup-compatibility/2006">
      <mc:Choice Requires="x14">
        <oleObject progId="Equation.3" shapeId="6210" r:id="rId70">
          <objectPr defaultSize="0" autoPict="0" r:id="rId5">
            <anchor moveWithCells="1" sizeWithCells="1">
              <from>
                <xdr:col>9</xdr:col>
                <xdr:colOff>38100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10" r:id="rId70"/>
      </mc:Fallback>
    </mc:AlternateContent>
    <mc:AlternateContent xmlns:mc="http://schemas.openxmlformats.org/markup-compatibility/2006">
      <mc:Choice Requires="x14">
        <oleObject progId="Equation.3" shapeId="6211" r:id="rId71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11" r:id="rId71"/>
      </mc:Fallback>
    </mc:AlternateContent>
    <mc:AlternateContent xmlns:mc="http://schemas.openxmlformats.org/markup-compatibility/2006">
      <mc:Choice Requires="x14">
        <oleObject progId="Equation.3" shapeId="6212" r:id="rId72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12" r:id="rId72"/>
      </mc:Fallback>
    </mc:AlternateContent>
    <mc:AlternateContent xmlns:mc="http://schemas.openxmlformats.org/markup-compatibility/2006">
      <mc:Choice Requires="x14">
        <oleObject progId="Equation.3" shapeId="6213" r:id="rId73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13" r:id="rId73"/>
      </mc:Fallback>
    </mc:AlternateContent>
    <mc:AlternateContent xmlns:mc="http://schemas.openxmlformats.org/markup-compatibility/2006">
      <mc:Choice Requires="x14">
        <oleObject progId="Equation.3" shapeId="6214" r:id="rId74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14" r:id="rId74"/>
      </mc:Fallback>
    </mc:AlternateContent>
    <mc:AlternateContent xmlns:mc="http://schemas.openxmlformats.org/markup-compatibility/2006">
      <mc:Choice Requires="x14">
        <oleObject progId="Equation.3" shapeId="6215" r:id="rId75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15" r:id="rId75"/>
      </mc:Fallback>
    </mc:AlternateContent>
    <mc:AlternateContent xmlns:mc="http://schemas.openxmlformats.org/markup-compatibility/2006">
      <mc:Choice Requires="x14">
        <oleObject progId="Equation.3" shapeId="6216" r:id="rId76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16" r:id="rId76"/>
      </mc:Fallback>
    </mc:AlternateContent>
    <mc:AlternateContent xmlns:mc="http://schemas.openxmlformats.org/markup-compatibility/2006">
      <mc:Choice Requires="x14">
        <oleObject progId="Equation.3" shapeId="6217" r:id="rId77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17" r:id="rId77"/>
      </mc:Fallback>
    </mc:AlternateContent>
    <mc:AlternateContent xmlns:mc="http://schemas.openxmlformats.org/markup-compatibility/2006">
      <mc:Choice Requires="x14">
        <oleObject progId="Equation.3" shapeId="6218" r:id="rId78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18" r:id="rId78"/>
      </mc:Fallback>
    </mc:AlternateContent>
    <mc:AlternateContent xmlns:mc="http://schemas.openxmlformats.org/markup-compatibility/2006">
      <mc:Choice Requires="x14">
        <oleObject progId="Equation.3" shapeId="6219" r:id="rId79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19" r:id="rId79"/>
      </mc:Fallback>
    </mc:AlternateContent>
    <mc:AlternateContent xmlns:mc="http://schemas.openxmlformats.org/markup-compatibility/2006">
      <mc:Choice Requires="x14">
        <oleObject progId="Equation.3" shapeId="6220" r:id="rId80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20" r:id="rId80"/>
      </mc:Fallback>
    </mc:AlternateContent>
    <mc:AlternateContent xmlns:mc="http://schemas.openxmlformats.org/markup-compatibility/2006">
      <mc:Choice Requires="x14">
        <oleObject progId="Equation.3" shapeId="6221" r:id="rId81">
          <objectPr defaultSize="0" autoPict="0" r:id="rId5">
            <anchor moveWithCells="1" sizeWithCells="1">
              <from>
                <xdr:col>9</xdr:col>
                <xdr:colOff>38100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21" r:id="rId81"/>
      </mc:Fallback>
    </mc:AlternateContent>
    <mc:AlternateContent xmlns:mc="http://schemas.openxmlformats.org/markup-compatibility/2006">
      <mc:Choice Requires="x14">
        <oleObject progId="Equation.3" shapeId="6222" r:id="rId82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22" r:id="rId82"/>
      </mc:Fallback>
    </mc:AlternateContent>
    <mc:AlternateContent xmlns:mc="http://schemas.openxmlformats.org/markup-compatibility/2006">
      <mc:Choice Requires="x14">
        <oleObject progId="Equation.3" shapeId="6223" r:id="rId83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23" r:id="rId83"/>
      </mc:Fallback>
    </mc:AlternateContent>
    <mc:AlternateContent xmlns:mc="http://schemas.openxmlformats.org/markup-compatibility/2006">
      <mc:Choice Requires="x14">
        <oleObject progId="Equation.3" shapeId="6224" r:id="rId84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24" r:id="rId84"/>
      </mc:Fallback>
    </mc:AlternateContent>
    <mc:AlternateContent xmlns:mc="http://schemas.openxmlformats.org/markup-compatibility/2006">
      <mc:Choice Requires="x14">
        <oleObject progId="Equation.3" shapeId="6225" r:id="rId85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25" r:id="rId85"/>
      </mc:Fallback>
    </mc:AlternateContent>
    <mc:AlternateContent xmlns:mc="http://schemas.openxmlformats.org/markup-compatibility/2006">
      <mc:Choice Requires="x14">
        <oleObject progId="Equation.3" shapeId="6226" r:id="rId86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26" r:id="rId86"/>
      </mc:Fallback>
    </mc:AlternateContent>
    <mc:AlternateContent xmlns:mc="http://schemas.openxmlformats.org/markup-compatibility/2006">
      <mc:Choice Requires="x14">
        <oleObject progId="Equation.3" shapeId="6227" r:id="rId87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27" r:id="rId87"/>
      </mc:Fallback>
    </mc:AlternateContent>
    <mc:AlternateContent xmlns:mc="http://schemas.openxmlformats.org/markup-compatibility/2006">
      <mc:Choice Requires="x14">
        <oleObject progId="Equation.3" shapeId="6228" r:id="rId88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28" r:id="rId88"/>
      </mc:Fallback>
    </mc:AlternateContent>
    <mc:AlternateContent xmlns:mc="http://schemas.openxmlformats.org/markup-compatibility/2006">
      <mc:Choice Requires="x14">
        <oleObject progId="Equation.3" shapeId="6229" r:id="rId89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29" r:id="rId89"/>
      </mc:Fallback>
    </mc:AlternateContent>
    <mc:AlternateContent xmlns:mc="http://schemas.openxmlformats.org/markup-compatibility/2006">
      <mc:Choice Requires="x14">
        <oleObject progId="Equation.3" shapeId="6230" r:id="rId90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30" r:id="rId90"/>
      </mc:Fallback>
    </mc:AlternateContent>
    <mc:AlternateContent xmlns:mc="http://schemas.openxmlformats.org/markup-compatibility/2006">
      <mc:Choice Requires="x14">
        <oleObject progId="Equation.3" shapeId="6231" r:id="rId91">
          <objectPr defaultSize="0" autoPict="0" r:id="rId5">
            <anchor moveWithCells="1" sizeWithCells="1">
              <from>
                <xdr:col>9</xdr:col>
                <xdr:colOff>12700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31" r:id="rId91"/>
      </mc:Fallback>
    </mc:AlternateContent>
    <mc:AlternateContent xmlns:mc="http://schemas.openxmlformats.org/markup-compatibility/2006">
      <mc:Choice Requires="x14">
        <oleObject progId="Equation.3" shapeId="6232" r:id="rId92">
          <objectPr defaultSize="0" autoPict="0" r:id="rId5">
            <anchor moveWithCells="1" sizeWithCells="1">
              <from>
                <xdr:col>9</xdr:col>
                <xdr:colOff>38100</xdr:colOff>
                <xdr:row>75</xdr:row>
                <xdr:rowOff>0</xdr:rowOff>
              </from>
              <to>
                <xdr:col>10</xdr:col>
                <xdr:colOff>0</xdr:colOff>
                <xdr:row>75</xdr:row>
                <xdr:rowOff>0</xdr:rowOff>
              </to>
            </anchor>
          </objectPr>
        </oleObject>
      </mc:Choice>
      <mc:Fallback>
        <oleObject progId="Equation.3" shapeId="6232" r:id="rId92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4000000}">
          <x14:formula1>
            <xm:f>'List cetik - cetik'!$B$16:$B$17</xm:f>
          </x14:formula1>
          <xm:sqref>F31</xm:sqref>
        </x14:dataValidation>
        <x14:dataValidation type="list" allowBlank="1" showInputMessage="1" showErrorMessage="1" xr:uid="{00000000-0002-0000-0200-000005000000}">
          <x14:formula1>
            <xm:f>'List cetik - cetik'!$A$28:$A$29</xm:f>
          </x14:formula1>
          <xm:sqref>E20</xm:sqref>
        </x14:dataValidation>
        <x14:dataValidation type="list" allowBlank="1" showInputMessage="1" showErrorMessage="1" xr:uid="{00000000-0002-0000-0200-000006000000}">
          <x14:formula1>
            <xm:f>'List cetik - cetik'!$C$28:$C$29</xm:f>
          </x14:formula1>
          <xm:sqref>E21</xm:sqref>
        </x14:dataValidation>
        <x14:dataValidation type="list" allowBlank="1" showInputMessage="1" xr:uid="{00000000-0002-0000-0200-000007000000}">
          <x14:formula1>
            <xm:f>Kesimpulan!$G$11:$G$12</xm:f>
          </x14:formula1>
          <xm:sqref>M2</xm:sqref>
        </x14:dataValidation>
        <x14:dataValidation type="list" allowBlank="1" showInputMessage="1" showErrorMessage="1" xr:uid="{00000000-0002-0000-0200-00000A000000}">
          <x14:formula1>
            <xm:f>'List cetik - cetik'!$C$7:$C$29</xm:f>
          </x14:formula1>
          <xm:sqref>B59:D59</xm:sqref>
        </x14:dataValidation>
        <x14:dataValidation type="list" allowBlank="1" showInputMessage="1" showErrorMessage="1" xr:uid="{00000000-0002-0000-0200-00000B000000}">
          <x14:formula1>
            <xm:f>'List cetik - cetik'!$E$7:$E$8</xm:f>
          </x14:formula1>
          <xm:sqref>C27</xm:sqref>
        </x14:dataValidation>
        <x14:dataValidation type="list" allowBlank="1" showInputMessage="1" showErrorMessage="1" xr:uid="{00000000-0002-0000-0200-00000C000000}">
          <x14:formula1>
            <xm:f>'List cetik - cetik'!$A$77:$A$79</xm:f>
          </x14:formula1>
          <xm:sqref>F33:G33</xm:sqref>
        </x14:dataValidation>
        <x14:dataValidation type="list" allowBlank="1" showInputMessage="1" showErrorMessage="1" xr:uid="{00000000-0002-0000-0200-00000D000000}">
          <x14:formula1>
            <xm:f>'List cetik - cetik'!$B$13:$B$15</xm:f>
          </x14:formula1>
          <xm:sqref>F32:I32</xm:sqref>
        </x14:dataValidation>
        <x14:dataValidation type="list" allowBlank="1" showInputMessage="1" showErrorMessage="1" xr:uid="{00000000-0002-0000-0200-000003000000}">
          <x14:formula1>
            <xm:f>'List cetik - cetik'!$A$57:$A$66</xm:f>
          </x14:formula1>
          <xm:sqref>B50:K50</xm:sqref>
        </x14:dataValidation>
        <x14:dataValidation type="list" allowBlank="1" showInputMessage="1" showErrorMessage="1" xr:uid="{E9AF59D5-C0AA-41D9-9649-727B6D463FB6}">
          <x14:formula1>
            <xm:f>'DB Kelistrikan'!$A$299:$A$310</xm:f>
          </x14:formula1>
          <xm:sqref>B51</xm:sqref>
        </x14:dataValidation>
        <x14:dataValidation type="list" allowBlank="1" showInputMessage="1" showErrorMessage="1" xr:uid="{6456CB49-59E1-4B23-89A8-15B83CFCF17E}">
          <x14:formula1>
            <xm:f>'DB Thermohygro'!$A$390:$A$408</xm:f>
          </x14:formula1>
          <xm:sqref>B52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5"/>
  <sheetViews>
    <sheetView showGridLines="0" view="pageBreakPreview" topLeftCell="A25" zoomScaleNormal="100" zoomScaleSheetLayoutView="100" workbookViewId="0">
      <selection activeCell="G36" sqref="G36"/>
    </sheetView>
  </sheetViews>
  <sheetFormatPr defaultColWidth="9.1796875" defaultRowHeight="12.5" x14ac:dyDescent="0.25"/>
  <cols>
    <col min="1" max="1" width="4.54296875" style="156" customWidth="1"/>
    <col min="2" max="2" width="4.1796875" style="156" customWidth="1"/>
    <col min="3" max="3" width="21.453125" style="156" customWidth="1"/>
    <col min="4" max="4" width="4.1796875" style="156" customWidth="1"/>
    <col min="5" max="5" width="24.81640625" style="156" customWidth="1"/>
    <col min="6" max="6" width="10.453125" style="156" customWidth="1"/>
    <col min="7" max="7" width="21.81640625" style="156" customWidth="1"/>
    <col min="8" max="8" width="12.81640625" style="156" customWidth="1"/>
    <col min="9" max="9" width="15.1796875" style="156" customWidth="1"/>
    <col min="10" max="10" width="10.1796875" style="156" customWidth="1"/>
    <col min="11" max="11" width="13.1796875" style="513" customWidth="1"/>
    <col min="12" max="12" width="6.1796875" style="156" customWidth="1"/>
    <col min="13" max="13" width="17.453125" style="156" customWidth="1"/>
    <col min="14" max="22" width="4.81640625" style="156" customWidth="1"/>
    <col min="23" max="16384" width="9.1796875" style="156"/>
  </cols>
  <sheetData>
    <row r="1" spans="1:13" ht="18.5" x14ac:dyDescent="0.25">
      <c r="A1" s="781" t="str">
        <f>PENYELIA!A1</f>
        <v>HASIL KALIBRASI USG</v>
      </c>
      <c r="B1" s="781"/>
      <c r="C1" s="781"/>
      <c r="D1" s="781"/>
      <c r="E1" s="781"/>
      <c r="F1" s="781"/>
      <c r="G1" s="781"/>
      <c r="H1" s="781"/>
      <c r="I1" s="781"/>
      <c r="J1" s="781"/>
      <c r="K1" s="69"/>
      <c r="L1" s="69"/>
      <c r="M1" s="69"/>
    </row>
    <row r="2" spans="1:13" ht="17.25" customHeight="1" x14ac:dyDescent="0.25">
      <c r="A2" s="215" t="str">
        <f>PENYELIA!A2</f>
        <v>Nomor Sertifikat : 56 / 1 / IV - 21 / E - 00.000 DL</v>
      </c>
      <c r="B2" s="215"/>
      <c r="C2" s="215"/>
      <c r="D2" s="215"/>
      <c r="E2" s="215"/>
      <c r="F2" s="215"/>
      <c r="G2" s="215"/>
      <c r="H2" s="215"/>
      <c r="I2" s="215"/>
      <c r="J2" s="215"/>
      <c r="K2" s="102"/>
      <c r="L2" s="102"/>
      <c r="M2" s="102"/>
    </row>
    <row r="3" spans="1:13" ht="15.75" customHeight="1" x14ac:dyDescent="0.25">
      <c r="A3" s="356"/>
      <c r="B3" s="356"/>
      <c r="C3" s="356"/>
      <c r="D3" s="356"/>
      <c r="E3" s="356"/>
      <c r="F3" s="356"/>
      <c r="G3" s="356"/>
      <c r="H3" s="356"/>
      <c r="I3" s="356"/>
      <c r="J3" s="356"/>
      <c r="K3" s="521"/>
      <c r="L3" s="522"/>
      <c r="M3" s="522"/>
    </row>
    <row r="4" spans="1:13" ht="15.5" x14ac:dyDescent="0.25">
      <c r="A4" s="197" t="s">
        <v>2</v>
      </c>
      <c r="B4" s="223"/>
      <c r="C4" s="197"/>
      <c r="D4" s="198" t="s">
        <v>19</v>
      </c>
      <c r="E4" s="950" t="str">
        <f>PENYELIA!E4</f>
        <v>GE</v>
      </c>
      <c r="F4" s="950"/>
      <c r="G4" s="950"/>
      <c r="H4" s="950"/>
      <c r="I4" s="950"/>
      <c r="J4" s="197"/>
      <c r="K4" s="104"/>
      <c r="L4" s="103"/>
      <c r="M4" s="103"/>
    </row>
    <row r="5" spans="1:13" ht="15.5" x14ac:dyDescent="0.25">
      <c r="A5" s="197" t="s">
        <v>4</v>
      </c>
      <c r="B5" s="223"/>
      <c r="C5" s="197"/>
      <c r="D5" s="198" t="s">
        <v>19</v>
      </c>
      <c r="E5" s="950" t="str">
        <f>PENYELIA!E5</f>
        <v>LOGIQ F8</v>
      </c>
      <c r="F5" s="950"/>
      <c r="G5" s="950"/>
      <c r="H5" s="950"/>
      <c r="I5" s="950"/>
      <c r="J5" s="197"/>
      <c r="K5" s="104"/>
      <c r="L5" s="103"/>
      <c r="M5" s="103"/>
    </row>
    <row r="6" spans="1:13" ht="15.5" x14ac:dyDescent="0.25">
      <c r="A6" s="197" t="s">
        <v>5</v>
      </c>
      <c r="B6" s="223"/>
      <c r="C6" s="197"/>
      <c r="D6" s="198" t="s">
        <v>19</v>
      </c>
      <c r="E6" s="950" t="str">
        <f>PENYELIA!E6</f>
        <v>5478039</v>
      </c>
      <c r="F6" s="950"/>
      <c r="G6" s="950"/>
      <c r="H6" s="950"/>
      <c r="I6" s="950"/>
      <c r="J6" s="197"/>
      <c r="K6" s="104"/>
      <c r="L6" s="103"/>
      <c r="M6" s="103"/>
    </row>
    <row r="7" spans="1:13" ht="15.5" x14ac:dyDescent="0.25">
      <c r="A7" s="197" t="str">
        <f>PENYELIA!A7</f>
        <v>Resolusi</v>
      </c>
      <c r="B7" s="223"/>
      <c r="C7" s="197"/>
      <c r="D7" s="198" t="s">
        <v>19</v>
      </c>
      <c r="E7" s="524">
        <f>PENYELIA!E7</f>
        <v>0.01</v>
      </c>
      <c r="F7" s="525" t="str">
        <f>PENYELIA!F7</f>
        <v>cm</v>
      </c>
      <c r="G7" s="215"/>
      <c r="H7" s="215"/>
      <c r="I7" s="215"/>
      <c r="J7" s="197"/>
      <c r="K7" s="104"/>
      <c r="L7" s="103"/>
      <c r="M7" s="103"/>
    </row>
    <row r="8" spans="1:13" ht="15.5" x14ac:dyDescent="0.25">
      <c r="A8" s="197" t="s">
        <v>256</v>
      </c>
      <c r="B8" s="223"/>
      <c r="C8" s="197"/>
      <c r="D8" s="198" t="s">
        <v>19</v>
      </c>
      <c r="E8" s="219" t="str">
        <f>E9</f>
        <v>4 Februari 2020</v>
      </c>
      <c r="F8" s="215"/>
      <c r="G8" s="215"/>
      <c r="H8" s="215"/>
      <c r="I8" s="215"/>
      <c r="J8" s="197"/>
      <c r="K8" s="104"/>
      <c r="L8" s="103"/>
      <c r="M8" s="103"/>
    </row>
    <row r="9" spans="1:13" ht="15.5" x14ac:dyDescent="0.25">
      <c r="A9" s="197" t="s">
        <v>7</v>
      </c>
      <c r="B9" s="223"/>
      <c r="C9" s="197"/>
      <c r="D9" s="198" t="s">
        <v>19</v>
      </c>
      <c r="E9" s="950" t="str">
        <f>PENYELIA!E8</f>
        <v>4 Februari 2020</v>
      </c>
      <c r="F9" s="950"/>
      <c r="G9" s="950"/>
      <c r="H9" s="950"/>
      <c r="I9" s="950"/>
      <c r="J9" s="197"/>
      <c r="K9" s="104"/>
      <c r="L9" s="103"/>
      <c r="M9" s="103"/>
    </row>
    <row r="10" spans="1:13" ht="15.5" x14ac:dyDescent="0.25">
      <c r="A10" s="197" t="s">
        <v>8</v>
      </c>
      <c r="B10" s="223"/>
      <c r="C10" s="197"/>
      <c r="D10" s="198" t="s">
        <v>19</v>
      </c>
      <c r="E10" s="950" t="str">
        <f>PENYELIA!E9</f>
        <v>Ruang EKG</v>
      </c>
      <c r="F10" s="950"/>
      <c r="G10" s="950"/>
      <c r="H10" s="950"/>
      <c r="I10" s="950"/>
      <c r="J10" s="197"/>
      <c r="K10" s="104"/>
      <c r="L10" s="103"/>
      <c r="M10" s="103"/>
    </row>
    <row r="11" spans="1:13" ht="15.5" x14ac:dyDescent="0.25">
      <c r="A11" s="197" t="s">
        <v>9</v>
      </c>
      <c r="B11" s="223"/>
      <c r="C11" s="197"/>
      <c r="D11" s="198" t="s">
        <v>19</v>
      </c>
      <c r="E11" s="950" t="str">
        <f>PENYELIA!E10</f>
        <v>Ruang EKG</v>
      </c>
      <c r="F11" s="950"/>
      <c r="G11" s="950"/>
      <c r="H11" s="950"/>
      <c r="I11" s="950"/>
      <c r="J11" s="197"/>
      <c r="K11" s="104"/>
      <c r="L11" s="103"/>
      <c r="M11" s="103"/>
    </row>
    <row r="12" spans="1:13" ht="15.5" x14ac:dyDescent="0.25">
      <c r="A12" s="197" t="s">
        <v>147</v>
      </c>
      <c r="B12" s="223"/>
      <c r="C12" s="197"/>
      <c r="D12" s="198" t="s">
        <v>19</v>
      </c>
      <c r="E12" s="950" t="str">
        <f>PENYELIA!E11</f>
        <v>MK 065 - 18</v>
      </c>
      <c r="F12" s="950"/>
      <c r="G12" s="950"/>
      <c r="H12" s="950"/>
      <c r="I12" s="950"/>
      <c r="J12" s="197"/>
      <c r="K12" s="104"/>
      <c r="L12" s="103"/>
      <c r="M12" s="103"/>
    </row>
    <row r="13" spans="1:13" ht="10.5" customHeight="1" x14ac:dyDescent="0.25">
      <c r="A13" s="223"/>
      <c r="B13" s="197"/>
      <c r="C13" s="197"/>
      <c r="D13" s="197"/>
      <c r="E13" s="197"/>
      <c r="F13" s="197"/>
      <c r="G13" s="197"/>
      <c r="H13" s="197"/>
      <c r="I13" s="197"/>
      <c r="J13" s="197"/>
      <c r="K13" s="104"/>
      <c r="L13" s="103"/>
      <c r="M13" s="103"/>
    </row>
    <row r="14" spans="1:13" ht="15.5" x14ac:dyDescent="0.25">
      <c r="A14" s="220" t="s">
        <v>10</v>
      </c>
      <c r="B14" s="220" t="s">
        <v>11</v>
      </c>
      <c r="C14" s="223"/>
      <c r="D14" s="220"/>
      <c r="E14" s="220"/>
      <c r="F14" s="220"/>
      <c r="G14" s="220"/>
      <c r="H14" s="220"/>
      <c r="I14" s="220"/>
      <c r="J14" s="220"/>
      <c r="K14" s="105"/>
      <c r="L14" s="106"/>
      <c r="M14" s="103"/>
    </row>
    <row r="15" spans="1:13" ht="15.5" x14ac:dyDescent="0.25">
      <c r="A15" s="223"/>
      <c r="B15" s="197" t="s">
        <v>14</v>
      </c>
      <c r="C15" s="223"/>
      <c r="D15" s="198" t="s">
        <v>19</v>
      </c>
      <c r="E15" s="775">
        <f>PENYELIA!E14</f>
        <v>26.985777052497223</v>
      </c>
      <c r="F15" s="773" t="str">
        <f>PENYELIA!F14</f>
        <v xml:space="preserve"> ± </v>
      </c>
      <c r="G15" s="775">
        <f>PENYELIA!G14</f>
        <v>0.5</v>
      </c>
      <c r="H15" s="197" t="str">
        <f>PENYELIA!H14</f>
        <v xml:space="preserve"> °C</v>
      </c>
      <c r="I15" s="197"/>
      <c r="J15" s="197"/>
      <c r="K15" s="104"/>
      <c r="L15" s="103"/>
      <c r="M15" s="103"/>
    </row>
    <row r="16" spans="1:13" ht="15.5" x14ac:dyDescent="0.25">
      <c r="A16" s="223"/>
      <c r="B16" s="197" t="s">
        <v>16</v>
      </c>
      <c r="C16" s="223"/>
      <c r="D16" s="198" t="s">
        <v>19</v>
      </c>
      <c r="E16" s="775">
        <f>PENYELIA!E15</f>
        <v>73.671607142857141</v>
      </c>
      <c r="F16" s="773" t="str">
        <f>PENYELIA!F15</f>
        <v xml:space="preserve"> ± </v>
      </c>
      <c r="G16" s="775">
        <f>PENYELIA!G15</f>
        <v>3.1</v>
      </c>
      <c r="H16" s="197" t="str">
        <f>PENYELIA!H15</f>
        <v xml:space="preserve"> %RH</v>
      </c>
      <c r="I16" s="197"/>
      <c r="J16" s="197"/>
      <c r="K16" s="104"/>
      <c r="L16" s="103"/>
      <c r="M16" s="103"/>
    </row>
    <row r="17" spans="1:27" ht="15.5" x14ac:dyDescent="0.25">
      <c r="A17" s="223"/>
      <c r="B17" s="197" t="s">
        <v>18</v>
      </c>
      <c r="C17" s="223"/>
      <c r="D17" s="198" t="s">
        <v>19</v>
      </c>
      <c r="E17" s="775">
        <f>PENYELIA!E16</f>
        <v>225.64580000000001</v>
      </c>
      <c r="F17" s="773" t="str">
        <f>PENYELIA!F16</f>
        <v xml:space="preserve"> ± </v>
      </c>
      <c r="G17" s="775">
        <f>PENYELIA!G16</f>
        <v>2.7077496000000001</v>
      </c>
      <c r="H17" s="773" t="str">
        <f>PENYELIA!H16</f>
        <v xml:space="preserve"> Volt</v>
      </c>
      <c r="I17" s="197"/>
      <c r="J17" s="197"/>
      <c r="K17" s="104"/>
      <c r="L17" s="103"/>
      <c r="M17" s="103"/>
    </row>
    <row r="18" spans="1:27" ht="10.5" customHeight="1" x14ac:dyDescent="0.25">
      <c r="A18" s="223"/>
      <c r="B18" s="197"/>
      <c r="C18" s="197"/>
      <c r="D18" s="197"/>
      <c r="E18" s="197"/>
      <c r="F18" s="197"/>
      <c r="G18" s="197"/>
      <c r="H18" s="197"/>
      <c r="I18" s="197"/>
      <c r="J18" s="197"/>
      <c r="K18" s="104"/>
      <c r="L18" s="103"/>
      <c r="M18" s="103"/>
    </row>
    <row r="19" spans="1:27" ht="15.5" x14ac:dyDescent="0.25">
      <c r="A19" s="220" t="s">
        <v>21</v>
      </c>
      <c r="B19" s="220" t="s">
        <v>22</v>
      </c>
      <c r="C19" s="223"/>
      <c r="D19" s="220"/>
      <c r="E19" s="220"/>
      <c r="F19" s="220"/>
      <c r="G19" s="220"/>
      <c r="H19" s="220"/>
      <c r="I19" s="220"/>
      <c r="J19" s="220"/>
      <c r="K19" s="104"/>
      <c r="L19" s="103"/>
      <c r="M19" s="103"/>
    </row>
    <row r="20" spans="1:27" ht="15.5" x14ac:dyDescent="0.25">
      <c r="A20" s="223"/>
      <c r="B20" s="197" t="s">
        <v>24</v>
      </c>
      <c r="C20" s="223"/>
      <c r="D20" s="198" t="s">
        <v>19</v>
      </c>
      <c r="E20" s="197" t="str">
        <f>PENYELIA!E19</f>
        <v>Baik</v>
      </c>
      <c r="F20" s="197"/>
      <c r="G20" s="197"/>
      <c r="H20" s="197"/>
      <c r="I20" s="197"/>
      <c r="J20" s="197"/>
      <c r="K20" s="104"/>
      <c r="L20" s="103"/>
      <c r="M20" s="103"/>
    </row>
    <row r="21" spans="1:27" ht="15.5" x14ac:dyDescent="0.25">
      <c r="A21" s="223"/>
      <c r="B21" s="197" t="s">
        <v>26</v>
      </c>
      <c r="C21" s="223"/>
      <c r="D21" s="198" t="s">
        <v>19</v>
      </c>
      <c r="E21" s="197" t="str">
        <f>PENYELIA!E20</f>
        <v>Baik</v>
      </c>
      <c r="F21" s="197"/>
      <c r="G21" s="197"/>
      <c r="H21" s="197"/>
      <c r="I21" s="197"/>
      <c r="J21" s="197"/>
      <c r="K21" s="104"/>
      <c r="L21" s="103"/>
      <c r="M21" s="103"/>
    </row>
    <row r="22" spans="1:27" ht="10.5" customHeight="1" x14ac:dyDescent="0.25">
      <c r="A22" s="223"/>
      <c r="B22" s="197"/>
      <c r="C22" s="197"/>
      <c r="D22" s="197"/>
      <c r="E22" s="197"/>
      <c r="F22" s="197"/>
      <c r="G22" s="197"/>
      <c r="H22" s="197"/>
      <c r="I22" s="197"/>
      <c r="J22" s="197"/>
      <c r="K22" s="104"/>
      <c r="L22" s="103"/>
      <c r="M22" s="103"/>
    </row>
    <row r="23" spans="1:27" ht="15.5" x14ac:dyDescent="0.25">
      <c r="A23" s="220" t="s">
        <v>27</v>
      </c>
      <c r="B23" s="220" t="s">
        <v>28</v>
      </c>
      <c r="C23" s="223"/>
      <c r="D23" s="197"/>
      <c r="E23" s="197"/>
      <c r="F23" s="197"/>
      <c r="G23" s="224"/>
      <c r="H23" s="225"/>
      <c r="I23" s="226"/>
      <c r="J23" s="197"/>
      <c r="K23" s="103"/>
      <c r="L23" s="103"/>
      <c r="M23" s="103"/>
    </row>
    <row r="24" spans="1:27" ht="33" customHeight="1" x14ac:dyDescent="0.25">
      <c r="A24" s="223"/>
      <c r="B24" s="439" t="s">
        <v>29</v>
      </c>
      <c r="C24" s="911" t="s">
        <v>30</v>
      </c>
      <c r="D24" s="911"/>
      <c r="E24" s="911"/>
      <c r="F24" s="911"/>
      <c r="G24" s="911"/>
      <c r="H24" s="911" t="s">
        <v>31</v>
      </c>
      <c r="I24" s="911"/>
      <c r="J24" s="435" t="s">
        <v>151</v>
      </c>
    </row>
    <row r="25" spans="1:27" ht="18" customHeight="1" x14ac:dyDescent="0.25">
      <c r="A25" s="223"/>
      <c r="B25" s="202">
        <v>1</v>
      </c>
      <c r="C25" s="959" t="str">
        <f>ID!C25</f>
        <v>Resistansi isolasi</v>
      </c>
      <c r="D25" s="960"/>
      <c r="E25" s="960"/>
      <c r="F25" s="960"/>
      <c r="G25" s="961"/>
      <c r="H25" s="1108" t="str">
        <f>PENYELIA!H25</f>
        <v>OL</v>
      </c>
      <c r="I25" s="527" t="str">
        <f>ID!K25</f>
        <v>MΩ</v>
      </c>
      <c r="J25" s="434" t="str">
        <f>ID!L25</f>
        <v xml:space="preserve"> &gt; 2 MΩ
</v>
      </c>
    </row>
    <row r="26" spans="1:27" ht="18" customHeight="1" x14ac:dyDescent="0.25">
      <c r="A26" s="223"/>
      <c r="B26" s="203">
        <v>2</v>
      </c>
      <c r="C26" s="959" t="str">
        <f>ID!C26</f>
        <v>Resistansi pembumian protektif</v>
      </c>
      <c r="D26" s="960"/>
      <c r="E26" s="960"/>
      <c r="F26" s="960"/>
      <c r="G26" s="961"/>
      <c r="H26" s="1108" t="str">
        <f>PENYELIA!H26</f>
        <v>-</v>
      </c>
      <c r="I26" s="527" t="str">
        <f>ID!K26</f>
        <v>Ω</v>
      </c>
      <c r="J26" s="434" t="str">
        <f>ID!L26</f>
        <v xml:space="preserve">   ≤ 0.2 Ω</v>
      </c>
    </row>
    <row r="27" spans="1:27" ht="18" customHeight="1" x14ac:dyDescent="0.25">
      <c r="A27" s="223"/>
      <c r="B27" s="203">
        <v>3</v>
      </c>
      <c r="C27" s="776" t="str">
        <f>ID!C27</f>
        <v>Arus bocor peralatan untuk perangkat elektromedik kelas I</v>
      </c>
      <c r="D27" s="204"/>
      <c r="E27" s="204"/>
      <c r="F27" s="204"/>
      <c r="G27" s="529"/>
      <c r="H27" s="1118">
        <f>PENYELIA!H27</f>
        <v>69.227199999999996</v>
      </c>
      <c r="I27" s="527" t="str">
        <f>IF(H27="-","",ID!K27)</f>
        <v>µA</v>
      </c>
      <c r="J27" s="434" t="str">
        <f>ID!L27</f>
        <v>≤ 500 µA</v>
      </c>
    </row>
    <row r="28" spans="1:27" ht="10.5" customHeight="1" x14ac:dyDescent="0.25">
      <c r="A28" s="223"/>
      <c r="B28" s="228"/>
      <c r="C28" s="197"/>
      <c r="D28" s="197"/>
      <c r="E28" s="197"/>
      <c r="F28" s="197"/>
      <c r="G28" s="197"/>
      <c r="H28" s="197"/>
      <c r="I28" s="197"/>
      <c r="J28" s="197"/>
      <c r="K28" s="103"/>
      <c r="L28" s="107"/>
      <c r="M28" s="108"/>
      <c r="N28" s="75"/>
      <c r="O28" s="75"/>
      <c r="P28" s="76"/>
      <c r="Q28" s="76"/>
      <c r="R28" s="77"/>
      <c r="S28" s="78"/>
      <c r="T28" s="79"/>
      <c r="U28" s="76"/>
      <c r="V28" s="76"/>
      <c r="W28" s="76"/>
      <c r="X28" s="76"/>
      <c r="Y28" s="76"/>
      <c r="Z28" s="76"/>
      <c r="AA28" s="76"/>
    </row>
    <row r="29" spans="1:27" ht="15.5" x14ac:dyDescent="0.25">
      <c r="A29" s="220" t="s">
        <v>43</v>
      </c>
      <c r="B29" s="220" t="s">
        <v>44</v>
      </c>
      <c r="C29" s="223"/>
      <c r="D29" s="220"/>
      <c r="E29" s="220"/>
      <c r="F29" s="220"/>
      <c r="G29" s="220"/>
      <c r="H29" s="228"/>
      <c r="I29" s="197"/>
      <c r="J29" s="197"/>
      <c r="K29" s="104"/>
      <c r="L29" s="103"/>
      <c r="M29" s="103"/>
      <c r="N29" s="91"/>
      <c r="O29" s="951"/>
      <c r="P29" s="951"/>
      <c r="Q29" s="951"/>
      <c r="R29" s="951"/>
      <c r="S29" s="951"/>
      <c r="T29" s="951"/>
      <c r="U29" s="951"/>
      <c r="V29" s="951"/>
      <c r="W29" s="951"/>
      <c r="X29" s="907"/>
      <c r="Y29" s="907"/>
      <c r="Z29" s="907"/>
      <c r="AA29" s="907"/>
    </row>
    <row r="30" spans="1:27" ht="15.5" x14ac:dyDescent="0.25">
      <c r="A30" s="223"/>
      <c r="B30" s="193" t="s">
        <v>29</v>
      </c>
      <c r="C30" s="911" t="s">
        <v>30</v>
      </c>
      <c r="D30" s="911"/>
      <c r="E30" s="911" t="str">
        <f>PENYELIA!E30</f>
        <v>Hasil Pengamatan</v>
      </c>
      <c r="F30" s="911"/>
      <c r="G30" s="911"/>
      <c r="H30" s="911" t="str">
        <f>PENYELIA!H30</f>
        <v>Toleransi</v>
      </c>
      <c r="I30" s="911"/>
      <c r="J30" s="197"/>
      <c r="K30" s="104"/>
      <c r="L30" s="103"/>
      <c r="M30" s="103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0"/>
      <c r="Y30" s="90"/>
      <c r="Z30" s="90"/>
      <c r="AA30" s="90"/>
    </row>
    <row r="31" spans="1:27" ht="15.5" x14ac:dyDescent="0.25">
      <c r="A31" s="223"/>
      <c r="B31" s="229">
        <f>PENYELIA!B31</f>
        <v>1</v>
      </c>
      <c r="C31" s="912" t="str">
        <f>PENYELIA!C31</f>
        <v>Dead Zone</v>
      </c>
      <c r="D31" s="912"/>
      <c r="E31" s="528" t="str">
        <f>PENYELIA!E31</f>
        <v>Terlihat ada 4 titik</v>
      </c>
      <c r="F31" s="528"/>
      <c r="G31" s="528"/>
      <c r="H31" s="159" t="str">
        <f>PENYELIA!H31</f>
        <v>4 titik</v>
      </c>
      <c r="I31" s="529"/>
      <c r="J31" s="197"/>
      <c r="K31" s="104"/>
      <c r="L31" s="103"/>
      <c r="M31" s="103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0"/>
      <c r="Y31" s="90"/>
      <c r="Z31" s="90"/>
      <c r="AA31" s="90"/>
    </row>
    <row r="32" spans="1:27" ht="15.5" x14ac:dyDescent="0.25">
      <c r="A32" s="223"/>
      <c r="B32" s="229">
        <f>PENYELIA!B32</f>
        <v>2</v>
      </c>
      <c r="C32" s="912" t="str">
        <f>PENYELIA!C32</f>
        <v>Axial Resolution</v>
      </c>
      <c r="D32" s="912"/>
      <c r="E32" s="528" t="str">
        <f>PENYELIA!E32</f>
        <v>Dua pasangan titik terakhir tidak menyatu</v>
      </c>
      <c r="F32" s="528"/>
      <c r="G32" s="528"/>
      <c r="H32" s="159" t="str">
        <f>PENYELIA!H32</f>
        <v>Tidak Menyatu</v>
      </c>
      <c r="I32" s="529"/>
      <c r="J32" s="197"/>
      <c r="K32" s="104"/>
      <c r="L32" s="103"/>
      <c r="M32" s="103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0"/>
      <c r="Y32" s="90"/>
      <c r="Z32" s="90"/>
      <c r="AA32" s="90"/>
    </row>
    <row r="33" spans="1:27" ht="15.5" x14ac:dyDescent="0.25">
      <c r="A33" s="223"/>
      <c r="B33" s="227">
        <f>PENYELIA!B33</f>
        <v>3</v>
      </c>
      <c r="C33" s="912" t="str">
        <f>PENYELIA!C33</f>
        <v>Grey Scale</v>
      </c>
      <c r="D33" s="912"/>
      <c r="E33" s="528" t="str">
        <f>PENYELIA!E33</f>
        <v>Probe &lt; 5 MHzDiameter :</v>
      </c>
      <c r="F33" s="779">
        <f>PENYELIA!G33</f>
        <v>0.79</v>
      </c>
      <c r="G33" s="528" t="str">
        <f>F7</f>
        <v>cm</v>
      </c>
      <c r="H33" s="778" t="str">
        <f>PENYELIA!H33</f>
        <v>0.8 cm</v>
      </c>
      <c r="I33" s="530"/>
      <c r="J33" s="197"/>
      <c r="K33" s="104"/>
      <c r="L33" s="103"/>
      <c r="M33" s="103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0"/>
      <c r="Y33" s="90"/>
      <c r="Z33" s="90"/>
      <c r="AA33" s="90"/>
    </row>
    <row r="34" spans="1:27" ht="10.5" customHeight="1" x14ac:dyDescent="0.25">
      <c r="A34" s="223"/>
      <c r="B34" s="220"/>
      <c r="C34" s="220"/>
      <c r="D34" s="220"/>
      <c r="E34" s="220"/>
      <c r="F34" s="220"/>
      <c r="G34" s="220"/>
      <c r="H34" s="228"/>
      <c r="I34" s="197"/>
      <c r="J34" s="197"/>
      <c r="K34" s="104"/>
      <c r="L34" s="103"/>
      <c r="M34" s="103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0"/>
      <c r="Y34" s="90"/>
      <c r="Z34" s="90"/>
      <c r="AA34" s="90"/>
    </row>
    <row r="35" spans="1:27" ht="32.25" customHeight="1" x14ac:dyDescent="0.25">
      <c r="A35" s="223"/>
      <c r="B35" s="193" t="s">
        <v>29</v>
      </c>
      <c r="C35" s="911" t="s">
        <v>30</v>
      </c>
      <c r="D35" s="911"/>
      <c r="E35" s="957" t="s">
        <v>60</v>
      </c>
      <c r="F35" s="958"/>
      <c r="G35" s="230" t="s">
        <v>61</v>
      </c>
      <c r="H35" s="193" t="s">
        <v>243</v>
      </c>
      <c r="I35" s="440" t="s">
        <v>46</v>
      </c>
      <c r="J35" s="953" t="s">
        <v>244</v>
      </c>
      <c r="K35" s="953"/>
      <c r="L35" s="103"/>
      <c r="M35" s="1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0"/>
      <c r="Y35" s="90"/>
      <c r="Z35" s="90"/>
      <c r="AA35" s="90"/>
    </row>
    <row r="36" spans="1:27" ht="15.5" x14ac:dyDescent="0.25">
      <c r="A36" s="223"/>
      <c r="B36" s="912">
        <f>ID!B38</f>
        <v>4</v>
      </c>
      <c r="C36" s="912" t="str">
        <f>PENYELIA!C37</f>
        <v>Horizontal Distance (cm)</v>
      </c>
      <c r="D36" s="912"/>
      <c r="E36" s="535">
        <f>PENYELIA!E37</f>
        <v>1</v>
      </c>
      <c r="F36" s="227" t="str">
        <f>PENYELIA!F37</f>
        <v>Pin 4 ke 5</v>
      </c>
      <c r="G36" s="1107">
        <f>PENYELIA!G37</f>
        <v>1.0000009999999999</v>
      </c>
      <c r="H36" s="533">
        <f>PENYELIA!H37</f>
        <v>-9.9999999991773336E-7</v>
      </c>
      <c r="I36" s="942" t="s">
        <v>69</v>
      </c>
      <c r="J36" s="531" t="s">
        <v>675</v>
      </c>
      <c r="K36" s="534">
        <f>PENYELIA!J37</f>
        <v>8.0999695809149275E-3</v>
      </c>
      <c r="L36" s="103"/>
      <c r="M36" s="217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0"/>
      <c r="Y36" s="90"/>
      <c r="Z36" s="90"/>
      <c r="AA36" s="90"/>
    </row>
    <row r="37" spans="1:27" ht="15.5" x14ac:dyDescent="0.25">
      <c r="A37" s="223"/>
      <c r="B37" s="912"/>
      <c r="C37" s="912"/>
      <c r="D37" s="912"/>
      <c r="E37" s="535">
        <f>PENYELIA!E38</f>
        <v>2</v>
      </c>
      <c r="F37" s="227" t="str">
        <f>PENYELIA!F38</f>
        <v>Pin 4 ke 6</v>
      </c>
      <c r="G37" s="1107">
        <f>PENYELIA!G38</f>
        <v>2.0099999999999998</v>
      </c>
      <c r="H37" s="533">
        <f>PENYELIA!H38</f>
        <v>-9.9999999999997868E-3</v>
      </c>
      <c r="I37" s="952"/>
      <c r="J37" s="531" t="s">
        <v>675</v>
      </c>
      <c r="K37" s="534">
        <f>PENYELIA!J38</f>
        <v>8.0999695809149275E-3</v>
      </c>
      <c r="L37" s="103"/>
      <c r="M37" s="217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0"/>
      <c r="Y37" s="90"/>
      <c r="Z37" s="90"/>
      <c r="AA37" s="90"/>
    </row>
    <row r="38" spans="1:27" ht="15.5" x14ac:dyDescent="0.25">
      <c r="A38" s="223"/>
      <c r="B38" s="912">
        <f>ID!B40</f>
        <v>5</v>
      </c>
      <c r="C38" s="912" t="str">
        <f>PENYELIA!C39</f>
        <v>Vertical Distance (cm)</v>
      </c>
      <c r="D38" s="912"/>
      <c r="E38" s="762">
        <f>PENYELIA!E39</f>
        <v>1</v>
      </c>
      <c r="F38" s="227" t="str">
        <f>PENYELIA!F39</f>
        <v>Pin 1 ke 3</v>
      </c>
      <c r="G38" s="1107">
        <f>PENYELIA!G39</f>
        <v>0.97999999999999987</v>
      </c>
      <c r="H38" s="533">
        <f>PENYELIA!H39</f>
        <v>2.0000000000000129E-2</v>
      </c>
      <c r="I38" s="942" t="s">
        <v>75</v>
      </c>
      <c r="J38" s="531" t="s">
        <v>675</v>
      </c>
      <c r="K38" s="534">
        <f>PENYELIA!J39</f>
        <v>8.0999695809149241E-3</v>
      </c>
      <c r="L38" s="103"/>
      <c r="M38" s="217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0"/>
      <c r="Y38" s="90"/>
      <c r="Z38" s="90"/>
      <c r="AA38" s="90"/>
    </row>
    <row r="39" spans="1:27" ht="15.5" x14ac:dyDescent="0.25">
      <c r="A39" s="223"/>
      <c r="B39" s="912"/>
      <c r="C39" s="912"/>
      <c r="D39" s="912"/>
      <c r="E39" s="774"/>
      <c r="F39" s="227" t="str">
        <f>PENYELIA!F40</f>
        <v>Pin 9 ke 11</v>
      </c>
      <c r="G39" s="1107">
        <f>PENYELIA!G40</f>
        <v>0.99000099999999991</v>
      </c>
      <c r="H39" s="533">
        <f>PENYELIA!H40</f>
        <v>9.9990000000000911E-3</v>
      </c>
      <c r="I39" s="952"/>
      <c r="J39" s="531" t="s">
        <v>675</v>
      </c>
      <c r="K39" s="534">
        <f>PENYELIA!J40</f>
        <v>5.7982691537132643E-3</v>
      </c>
      <c r="L39" s="103"/>
      <c r="M39" s="217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0"/>
      <c r="Y39" s="90"/>
      <c r="Z39" s="90"/>
      <c r="AA39" s="90"/>
    </row>
    <row r="40" spans="1:27" ht="10.5" customHeight="1" x14ac:dyDescent="0.25">
      <c r="A40" s="195"/>
      <c r="B40" s="228"/>
      <c r="C40" s="228"/>
      <c r="D40" s="215"/>
      <c r="E40" s="228"/>
      <c r="F40" s="228"/>
      <c r="G40" s="228"/>
      <c r="H40" s="228"/>
      <c r="I40" s="228"/>
      <c r="J40" s="228"/>
      <c r="K40" s="109"/>
      <c r="L40" s="109"/>
      <c r="M40" s="104"/>
      <c r="N40" s="90"/>
      <c r="O40" s="949"/>
      <c r="P40" s="949"/>
      <c r="Q40" s="949"/>
      <c r="R40" s="949"/>
      <c r="S40" s="949"/>
      <c r="T40" s="949"/>
      <c r="U40" s="949"/>
      <c r="V40" s="949"/>
      <c r="W40" s="949"/>
      <c r="X40" s="76"/>
      <c r="Y40" s="81"/>
      <c r="Z40" s="908"/>
      <c r="AA40" s="908"/>
    </row>
    <row r="41" spans="1:27" ht="15.5" x14ac:dyDescent="0.25">
      <c r="A41" s="220" t="s">
        <v>77</v>
      </c>
      <c r="B41" s="220" t="s">
        <v>78</v>
      </c>
      <c r="C41" s="195"/>
      <c r="D41" s="197"/>
      <c r="E41" s="197"/>
      <c r="F41" s="197"/>
      <c r="G41" s="197"/>
      <c r="H41" s="197"/>
      <c r="I41" s="197"/>
      <c r="J41" s="197"/>
      <c r="K41" s="73"/>
      <c r="L41" s="72"/>
      <c r="M41" s="72"/>
      <c r="N41" s="90"/>
      <c r="O41" s="949"/>
      <c r="P41" s="949"/>
      <c r="Q41" s="949"/>
      <c r="R41" s="949"/>
      <c r="S41" s="949"/>
      <c r="T41" s="949"/>
      <c r="U41" s="949"/>
      <c r="V41" s="949"/>
      <c r="W41" s="949"/>
      <c r="X41" s="76"/>
      <c r="Y41" s="81"/>
      <c r="Z41" s="908"/>
      <c r="AA41" s="908"/>
    </row>
    <row r="42" spans="1:27" ht="15.5" x14ac:dyDescent="0.25">
      <c r="A42" s="195"/>
      <c r="B42" s="525" t="str">
        <f>PENYELIA!B43</f>
        <v>Ketidakpastian pengukuran diperoleh dari sumber ketidakpastian tipe A dan B</v>
      </c>
      <c r="C42" s="195"/>
      <c r="D42" s="197"/>
      <c r="E42" s="197"/>
      <c r="F42" s="197"/>
      <c r="G42" s="197"/>
      <c r="H42" s="197"/>
      <c r="I42" s="197"/>
      <c r="J42" s="197"/>
      <c r="K42" s="73"/>
      <c r="L42" s="72"/>
      <c r="M42" s="72"/>
      <c r="N42" s="90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81"/>
      <c r="Z42" s="908"/>
      <c r="AA42" s="908"/>
    </row>
    <row r="43" spans="1:27" ht="15.5" x14ac:dyDescent="0.25">
      <c r="A43" s="195"/>
      <c r="B43" s="525" t="str">
        <f>PENYELIA!B44</f>
        <v>Hasil pengukuran keselamatan listrik tertelusur ke Satuan Internasional ( SI ) melalui PT. Kaliman (LK-032-IDN)</v>
      </c>
      <c r="C43" s="195"/>
      <c r="D43" s="197"/>
      <c r="E43" s="197"/>
      <c r="F43" s="197"/>
      <c r="G43" s="197"/>
      <c r="H43" s="197"/>
      <c r="I43" s="197"/>
      <c r="J43" s="197"/>
      <c r="K43" s="73"/>
      <c r="L43" s="72"/>
      <c r="M43" s="72"/>
      <c r="N43" s="90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81"/>
      <c r="Z43" s="88"/>
      <c r="AA43" s="88"/>
    </row>
    <row r="44" spans="1:27" ht="17.25" customHeight="1" x14ac:dyDescent="0.25">
      <c r="A44" s="195"/>
      <c r="B44" s="777" t="str">
        <f>PENYELIA!B45</f>
        <v>Hasil pengujian kinerja USG tertelusur ke Satuan Internasional ( SI ) melalui SUN NUCLEAR</v>
      </c>
      <c r="C44" s="195"/>
      <c r="D44" s="194"/>
      <c r="E44" s="194"/>
      <c r="F44" s="194"/>
      <c r="G44" s="194"/>
      <c r="H44" s="194"/>
      <c r="I44" s="194"/>
      <c r="J44" s="194"/>
      <c r="K44" s="73"/>
      <c r="L44" s="72"/>
      <c r="M44" s="72"/>
      <c r="N44" s="90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81"/>
      <c r="Z44" s="88"/>
      <c r="AA44" s="88"/>
    </row>
    <row r="45" spans="1:27" ht="17.25" customHeight="1" x14ac:dyDescent="0.25">
      <c r="A45" s="195"/>
      <c r="B45" s="777" t="str">
        <f>PENYELIA!B46</f>
        <v>Tidak terdapat grounding diruangan</v>
      </c>
      <c r="C45" s="195"/>
      <c r="D45" s="194"/>
      <c r="E45" s="194"/>
      <c r="F45" s="194"/>
      <c r="G45" s="194"/>
      <c r="H45" s="194"/>
      <c r="I45" s="194"/>
      <c r="J45" s="194"/>
      <c r="K45" s="73"/>
      <c r="L45" s="72"/>
      <c r="M45" s="72"/>
      <c r="N45" s="90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81"/>
      <c r="Z45" s="908"/>
      <c r="AA45" s="908"/>
    </row>
    <row r="46" spans="1:27" ht="16.5" customHeight="1" x14ac:dyDescent="0.25">
      <c r="A46" s="195"/>
      <c r="B46" s="194"/>
      <c r="C46" s="206"/>
      <c r="D46" s="194"/>
      <c r="E46" s="194"/>
      <c r="F46" s="194"/>
      <c r="G46" s="194"/>
      <c r="H46" s="194"/>
      <c r="I46" s="194"/>
      <c r="J46" s="194"/>
      <c r="K46" s="73"/>
      <c r="L46" s="72"/>
      <c r="M46" s="72"/>
      <c r="N46" s="90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81"/>
      <c r="Z46" s="88"/>
      <c r="AA46" s="88"/>
    </row>
    <row r="47" spans="1:27" ht="12.75" customHeight="1" x14ac:dyDescent="0.25">
      <c r="A47" s="195"/>
      <c r="B47" s="194"/>
      <c r="C47" s="206"/>
      <c r="D47" s="194"/>
      <c r="E47" s="194"/>
      <c r="F47" s="194"/>
      <c r="G47" s="194"/>
      <c r="H47" s="194"/>
      <c r="I47" s="194"/>
      <c r="J47" s="194"/>
      <c r="K47" s="73"/>
      <c r="L47" s="72"/>
      <c r="M47" s="72"/>
      <c r="N47" s="90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81"/>
      <c r="Z47" s="88"/>
      <c r="AA47" s="88"/>
    </row>
    <row r="48" spans="1:27" ht="15.5" x14ac:dyDescent="0.25">
      <c r="A48" s="200" t="s">
        <v>80</v>
      </c>
      <c r="B48" s="200" t="s">
        <v>189</v>
      </c>
      <c r="C48" s="195"/>
      <c r="D48" s="200"/>
      <c r="E48" s="194"/>
      <c r="F48" s="194"/>
      <c r="G48" s="194"/>
      <c r="H48" s="194"/>
      <c r="I48" s="194"/>
      <c r="J48" s="194"/>
      <c r="K48" s="73"/>
      <c r="L48" s="72"/>
      <c r="M48" s="72"/>
      <c r="N48" s="90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81"/>
      <c r="Z48" s="908"/>
      <c r="AA48" s="908"/>
    </row>
    <row r="49" spans="1:27" ht="15.5" x14ac:dyDescent="0.25">
      <c r="A49" s="195"/>
      <c r="B49" s="532" t="str">
        <f>PENYELIA!B50</f>
        <v>Ultrasound Phantom, Merk : SUN NUCLEAR, Model : SUN 404, SN :802262-5381-1</v>
      </c>
      <c r="C49" s="195"/>
      <c r="D49" s="197"/>
      <c r="E49" s="197"/>
      <c r="F49" s="197"/>
      <c r="G49" s="197"/>
      <c r="H49" s="197"/>
      <c r="I49" s="197"/>
      <c r="J49" s="197"/>
      <c r="K49" s="73"/>
      <c r="L49" s="72"/>
      <c r="M49" s="72"/>
      <c r="N49" s="90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81"/>
      <c r="Z49" s="908"/>
      <c r="AA49" s="908"/>
    </row>
    <row r="50" spans="1:27" ht="15.5" x14ac:dyDescent="0.25">
      <c r="A50" s="195"/>
      <c r="B50" s="532" t="str">
        <f>PENYELIA!B51</f>
        <v>Electrical Safety Analyzer, Merek : Fluke, Model : ESA 615, SN : 4669058</v>
      </c>
      <c r="C50" s="195"/>
      <c r="D50" s="197"/>
      <c r="E50" s="197"/>
      <c r="F50" s="197"/>
      <c r="G50" s="197"/>
      <c r="H50" s="197"/>
      <c r="I50" s="197"/>
      <c r="J50" s="197"/>
      <c r="K50" s="73"/>
      <c r="L50" s="72"/>
      <c r="M50" s="72"/>
    </row>
    <row r="51" spans="1:27" ht="10.5" customHeight="1" x14ac:dyDescent="0.25">
      <c r="A51" s="195"/>
      <c r="B51" s="220"/>
      <c r="C51" s="197"/>
      <c r="D51" s="197"/>
      <c r="E51" s="197"/>
      <c r="F51" s="197"/>
      <c r="G51" s="197"/>
      <c r="H51" s="197"/>
      <c r="I51" s="197"/>
      <c r="J51" s="197"/>
      <c r="K51" s="73"/>
      <c r="L51" s="72"/>
      <c r="M51" s="72"/>
    </row>
    <row r="52" spans="1:27" ht="15.5" x14ac:dyDescent="0.25">
      <c r="A52" s="220" t="s">
        <v>93</v>
      </c>
      <c r="B52" s="220" t="s">
        <v>94</v>
      </c>
      <c r="C52" s="195"/>
      <c r="D52" s="197"/>
      <c r="E52" s="197"/>
      <c r="F52" s="197"/>
      <c r="G52" s="197"/>
      <c r="H52" s="197"/>
      <c r="I52" s="197"/>
      <c r="J52" s="197"/>
      <c r="K52" s="73"/>
      <c r="L52" s="72"/>
      <c r="M52" s="72"/>
    </row>
    <row r="53" spans="1:27" ht="15.5" x14ac:dyDescent="0.25">
      <c r="A53" s="195"/>
      <c r="B53" s="956" t="str">
        <f>PENYELIA!B54</f>
        <v>Alat yang dikalibrasi dalam batas toleransi dan dinyatakan LAIK PAKAI, dimana hasil atau skor akhir sama dengan atau melampaui 70 % berdasarkan Keputusan Direktur Jendral Pelayanan Kesehatan No : HK.02.02/V/0412/2020</v>
      </c>
      <c r="C53" s="956"/>
      <c r="D53" s="956"/>
      <c r="E53" s="956"/>
      <c r="F53" s="956"/>
      <c r="G53" s="956"/>
      <c r="H53" s="956"/>
      <c r="I53" s="956"/>
      <c r="J53" s="956"/>
      <c r="K53" s="73"/>
      <c r="L53" s="72"/>
      <c r="M53" s="72"/>
    </row>
    <row r="54" spans="1:27" ht="15.5" x14ac:dyDescent="0.25">
      <c r="A54" s="195"/>
      <c r="B54" s="956"/>
      <c r="C54" s="956"/>
      <c r="D54" s="956"/>
      <c r="E54" s="956"/>
      <c r="F54" s="956"/>
      <c r="G54" s="956"/>
      <c r="H54" s="956"/>
      <c r="I54" s="956"/>
      <c r="J54" s="956"/>
      <c r="K54" s="73"/>
      <c r="L54" s="72"/>
      <c r="M54" s="72"/>
    </row>
    <row r="55" spans="1:27" ht="10.5" customHeight="1" x14ac:dyDescent="0.25">
      <c r="A55" s="195"/>
      <c r="B55" s="220"/>
      <c r="C55" s="197"/>
      <c r="D55" s="197"/>
      <c r="E55" s="197"/>
      <c r="F55" s="197"/>
      <c r="G55" s="197"/>
      <c r="H55" s="197"/>
      <c r="I55" s="197"/>
      <c r="J55" s="197"/>
      <c r="K55" s="73"/>
      <c r="L55" s="72"/>
      <c r="M55" s="72"/>
    </row>
    <row r="56" spans="1:27" ht="15.5" x14ac:dyDescent="0.25">
      <c r="A56" s="220" t="s">
        <v>96</v>
      </c>
      <c r="B56" s="220" t="s">
        <v>97</v>
      </c>
      <c r="C56" s="195"/>
      <c r="D56" s="197"/>
      <c r="E56" s="197"/>
      <c r="F56" s="197"/>
      <c r="G56" s="197"/>
      <c r="H56" s="197"/>
      <c r="I56" s="197"/>
      <c r="J56" s="197"/>
      <c r="K56" s="73"/>
      <c r="L56" s="72"/>
      <c r="M56" s="72"/>
    </row>
    <row r="57" spans="1:27" ht="15.5" x14ac:dyDescent="0.25">
      <c r="A57" s="195"/>
      <c r="B57" s="197" t="str">
        <f>PENYELIA!B58</f>
        <v>Venna Filosofia</v>
      </c>
      <c r="C57" s="195"/>
      <c r="D57" s="197"/>
      <c r="E57" s="197"/>
      <c r="F57" s="197"/>
      <c r="G57" s="197"/>
      <c r="H57" s="197"/>
      <c r="I57" s="197"/>
      <c r="J57" s="197"/>
      <c r="K57" s="73"/>
      <c r="L57" s="72"/>
      <c r="M57" s="72"/>
    </row>
    <row r="58" spans="1:27" ht="15.5" x14ac:dyDescent="0.25">
      <c r="A58" s="195"/>
      <c r="B58" s="194"/>
      <c r="C58" s="194"/>
      <c r="D58" s="194"/>
      <c r="E58" s="194"/>
      <c r="F58" s="194"/>
      <c r="G58" s="194"/>
      <c r="H58" s="194"/>
      <c r="I58" s="194" t="s">
        <v>257</v>
      </c>
      <c r="J58" s="194"/>
      <c r="K58" s="73"/>
      <c r="L58" s="72"/>
      <c r="M58" s="72"/>
    </row>
    <row r="59" spans="1:27" ht="15.5" x14ac:dyDescent="0.25">
      <c r="A59" s="195"/>
      <c r="B59" s="194"/>
      <c r="C59" s="194"/>
      <c r="D59" s="194"/>
      <c r="E59" s="231"/>
      <c r="F59" s="231"/>
      <c r="G59" s="194"/>
      <c r="H59" s="441" t="str">
        <f>IF(I65=A72,"a.n.","")</f>
        <v/>
      </c>
      <c r="I59" s="239" t="s">
        <v>258</v>
      </c>
      <c r="J59" s="194"/>
      <c r="K59" s="104"/>
      <c r="L59" s="73"/>
      <c r="M59" s="72"/>
    </row>
    <row r="60" spans="1:27" ht="15.5" x14ac:dyDescent="0.25">
      <c r="A60" s="195"/>
      <c r="B60" s="200"/>
      <c r="C60" s="209"/>
      <c r="D60" s="201"/>
      <c r="E60" s="201"/>
      <c r="F60" s="201"/>
      <c r="G60" s="201"/>
      <c r="H60" s="195"/>
      <c r="I60" s="239" t="s">
        <v>259</v>
      </c>
      <c r="J60" s="194"/>
      <c r="K60" s="104"/>
      <c r="L60" s="72"/>
      <c r="M60" s="72"/>
    </row>
    <row r="61" spans="1:27" ht="15.5" x14ac:dyDescent="0.25">
      <c r="A61" s="195"/>
      <c r="B61" s="194"/>
      <c r="C61" s="955"/>
      <c r="D61" s="955"/>
      <c r="E61" s="955"/>
      <c r="F61" s="955"/>
      <c r="G61" s="200"/>
      <c r="H61" s="195"/>
      <c r="I61" s="194"/>
      <c r="J61" s="194"/>
      <c r="K61" s="104"/>
      <c r="L61" s="72"/>
      <c r="M61" s="72"/>
    </row>
    <row r="62" spans="1:27" ht="15.5" x14ac:dyDescent="0.25">
      <c r="A62" s="195"/>
      <c r="B62" s="194"/>
      <c r="C62" s="201"/>
      <c r="D62" s="201"/>
      <c r="E62" s="201"/>
      <c r="F62" s="201"/>
      <c r="G62" s="200"/>
      <c r="H62" s="195"/>
      <c r="I62" s="194"/>
      <c r="J62" s="194"/>
      <c r="K62" s="104"/>
      <c r="L62" s="72"/>
      <c r="M62" s="72"/>
    </row>
    <row r="63" spans="1:27" ht="15.5" x14ac:dyDescent="0.25">
      <c r="A63" s="195"/>
      <c r="B63" s="194"/>
      <c r="C63" s="955"/>
      <c r="D63" s="955"/>
      <c r="E63" s="955"/>
      <c r="F63" s="955"/>
      <c r="G63" s="200"/>
      <c r="H63" s="195"/>
      <c r="I63" s="194"/>
      <c r="J63" s="194"/>
      <c r="K63" s="104"/>
      <c r="L63" s="72"/>
      <c r="M63" s="72"/>
    </row>
    <row r="64" spans="1:27" ht="15.5" x14ac:dyDescent="0.25">
      <c r="A64" s="195"/>
      <c r="B64" s="194"/>
      <c r="C64" s="954"/>
      <c r="D64" s="954"/>
      <c r="E64" s="955"/>
      <c r="F64" s="955"/>
      <c r="G64" s="200"/>
      <c r="H64" s="195"/>
      <c r="I64" s="205"/>
      <c r="J64" s="194"/>
      <c r="K64" s="104"/>
      <c r="L64" s="72"/>
      <c r="M64" s="72"/>
    </row>
    <row r="65" spans="1:13" ht="15.5" x14ac:dyDescent="0.25">
      <c r="A65" s="195"/>
      <c r="B65" s="194"/>
      <c r="C65" s="240"/>
      <c r="D65" s="240"/>
      <c r="E65" s="240"/>
      <c r="F65" s="240"/>
      <c r="G65" s="200"/>
      <c r="H65" s="195"/>
      <c r="I65" s="242" t="s">
        <v>260</v>
      </c>
      <c r="J65" s="194"/>
      <c r="K65" s="104"/>
      <c r="L65" s="72"/>
      <c r="M65" s="72"/>
    </row>
    <row r="66" spans="1:13" ht="15.5" x14ac:dyDescent="0.25">
      <c r="A66" s="195"/>
      <c r="B66" s="194"/>
      <c r="C66" s="211"/>
      <c r="D66" s="205"/>
      <c r="E66" s="208"/>
      <c r="F66" s="208"/>
      <c r="G66" s="200"/>
      <c r="H66" s="195"/>
      <c r="I66" s="442" t="str">
        <f>VLOOKUP(I65,A71:B72,2,0)</f>
        <v>NIP 198008062010121001</v>
      </c>
      <c r="J66" s="194"/>
      <c r="K66" s="104"/>
      <c r="L66" s="89"/>
      <c r="M66" s="72"/>
    </row>
    <row r="67" spans="1:13" ht="30" customHeight="1" x14ac:dyDescent="0.25">
      <c r="A67" s="195"/>
      <c r="B67" s="194"/>
      <c r="C67" s="211"/>
      <c r="D67" s="208"/>
      <c r="E67" s="208"/>
      <c r="F67" s="208"/>
      <c r="G67" s="200"/>
      <c r="H67" s="195"/>
      <c r="J67" s="194"/>
      <c r="K67" s="104"/>
      <c r="L67" s="72"/>
      <c r="M67" s="72"/>
    </row>
    <row r="68" spans="1:13" ht="15.5" x14ac:dyDescent="0.25">
      <c r="B68" s="103"/>
      <c r="C68" s="236"/>
      <c r="D68" s="237"/>
      <c r="E68" s="237"/>
      <c r="F68" s="109"/>
      <c r="G68" s="235"/>
      <c r="I68" s="103"/>
      <c r="J68" s="238" t="s">
        <v>261</v>
      </c>
      <c r="K68" s="104"/>
      <c r="L68" s="72"/>
      <c r="M68" s="72"/>
    </row>
    <row r="69" spans="1:13" ht="15.5" x14ac:dyDescent="0.25">
      <c r="B69" s="103"/>
      <c r="C69" s="236"/>
      <c r="D69" s="237"/>
      <c r="E69" s="237"/>
      <c r="F69" s="109"/>
      <c r="G69" s="235"/>
      <c r="I69" s="103"/>
      <c r="K69" s="104"/>
      <c r="L69" s="72"/>
      <c r="M69" s="72"/>
    </row>
    <row r="71" spans="1:13" ht="14" x14ac:dyDescent="0.25">
      <c r="A71" s="242" t="s">
        <v>260</v>
      </c>
      <c r="B71" s="241" t="s">
        <v>262</v>
      </c>
    </row>
    <row r="72" spans="1:13" ht="15.5" x14ac:dyDescent="0.35">
      <c r="A72" s="523" t="s">
        <v>263</v>
      </c>
      <c r="B72" s="438" t="s">
        <v>264</v>
      </c>
      <c r="C72" s="522"/>
      <c r="D72" s="522"/>
      <c r="E72" s="522"/>
      <c r="F72" s="522"/>
      <c r="G72" s="522"/>
      <c r="H72" s="522"/>
      <c r="I72" s="522"/>
      <c r="J72" s="522"/>
      <c r="K72" s="521"/>
      <c r="L72" s="522"/>
      <c r="M72" s="522"/>
    </row>
    <row r="73" spans="1:13" x14ac:dyDescent="0.25">
      <c r="B73" s="522"/>
      <c r="C73" s="522"/>
      <c r="D73" s="522"/>
      <c r="E73" s="522"/>
      <c r="F73" s="522"/>
      <c r="G73" s="522"/>
      <c r="H73" s="522"/>
      <c r="I73" s="110"/>
      <c r="J73" s="522"/>
      <c r="K73" s="521"/>
      <c r="L73" s="110"/>
      <c r="M73" s="522"/>
    </row>
    <row r="74" spans="1:13" x14ac:dyDescent="0.25">
      <c r="I74" s="76"/>
      <c r="L74" s="76"/>
    </row>
    <row r="75" spans="1:13" x14ac:dyDescent="0.25">
      <c r="I75" s="76"/>
      <c r="L75" s="76"/>
    </row>
  </sheetData>
  <sheetProtection formatCells="0" formatColumns="0" formatRows="0" insertColumns="0" insertRows="0" deleteColumns="0" deleteRows="0"/>
  <mergeCells count="45">
    <mergeCell ref="A1:J1"/>
    <mergeCell ref="B36:B37"/>
    <mergeCell ref="C36:D37"/>
    <mergeCell ref="C31:D31"/>
    <mergeCell ref="C35:D35"/>
    <mergeCell ref="E35:F35"/>
    <mergeCell ref="H30:I30"/>
    <mergeCell ref="C26:G26"/>
    <mergeCell ref="E4:I4"/>
    <mergeCell ref="E5:I5"/>
    <mergeCell ref="C24:G24"/>
    <mergeCell ref="E6:I6"/>
    <mergeCell ref="C25:G25"/>
    <mergeCell ref="E9:I9"/>
    <mergeCell ref="C64:D64"/>
    <mergeCell ref="E64:F64"/>
    <mergeCell ref="C61:D61"/>
    <mergeCell ref="E61:F61"/>
    <mergeCell ref="C30:D30"/>
    <mergeCell ref="E30:G30"/>
    <mergeCell ref="C32:D32"/>
    <mergeCell ref="B53:J54"/>
    <mergeCell ref="I38:I39"/>
    <mergeCell ref="C33:D33"/>
    <mergeCell ref="B38:B39"/>
    <mergeCell ref="C38:D39"/>
    <mergeCell ref="C63:D63"/>
    <mergeCell ref="E63:F63"/>
    <mergeCell ref="H24:I24"/>
    <mergeCell ref="Z49:AA49"/>
    <mergeCell ref="O40:W40"/>
    <mergeCell ref="Z40:AA40"/>
    <mergeCell ref="Z29:AA29"/>
    <mergeCell ref="E10:I10"/>
    <mergeCell ref="E11:I11"/>
    <mergeCell ref="E12:I12"/>
    <mergeCell ref="O29:W29"/>
    <mergeCell ref="X29:Y29"/>
    <mergeCell ref="O41:W41"/>
    <mergeCell ref="Z41:AA41"/>
    <mergeCell ref="Z42:AA42"/>
    <mergeCell ref="Z45:AA45"/>
    <mergeCell ref="Z48:AA48"/>
    <mergeCell ref="I36:I37"/>
    <mergeCell ref="J35:K35"/>
  </mergeCells>
  <dataValidations count="1">
    <dataValidation type="list" allowBlank="1" showInputMessage="1" showErrorMessage="1" sqref="I65" xr:uid="{00000000-0002-0000-0500-000000000000}">
      <formula1>$A$71:$A$72</formula1>
    </dataValidation>
  </dataValidations>
  <printOptions horizontalCentered="1"/>
  <pageMargins left="0.6" right="0.5" top="0.5" bottom="0.4" header="0.25" footer="0.25"/>
  <pageSetup paperSize="9" scale="65" orientation="portrait" horizontalDpi="4294967293" r:id="rId1"/>
  <headerFooter>
    <oddHeader>&amp;R&amp;"-,Regular"&amp;8OA.LHK - 065 - 18/ REV : 0</oddHeader>
    <oddFooter>&amp;C&amp;"-,Regular"&amp;8Dilarang keras mengutip/memperbanyak dan atau mempublikasikan sebagian isi sertifikat ini tanpa seijin LPFK Banjarbaru
Sertifikat ini sah apabila telah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7409" r:id="rId4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7409" r:id="rId4"/>
      </mc:Fallback>
    </mc:AlternateContent>
    <mc:AlternateContent xmlns:mc="http://schemas.openxmlformats.org/markup-compatibility/2006">
      <mc:Choice Requires="x14">
        <oleObject progId="Equation.3" shapeId="17410" r:id="rId6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7410" r:id="rId6"/>
      </mc:Fallback>
    </mc:AlternateContent>
    <mc:AlternateContent xmlns:mc="http://schemas.openxmlformats.org/markup-compatibility/2006">
      <mc:Choice Requires="x14">
        <oleObject progId="Equation.3" shapeId="17411" r:id="rId7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7411" r:id="rId7"/>
      </mc:Fallback>
    </mc:AlternateContent>
    <mc:AlternateContent xmlns:mc="http://schemas.openxmlformats.org/markup-compatibility/2006">
      <mc:Choice Requires="x14">
        <oleObject progId="Equation.3" shapeId="17412" r:id="rId8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7412" r:id="rId8"/>
      </mc:Fallback>
    </mc:AlternateContent>
    <mc:AlternateContent xmlns:mc="http://schemas.openxmlformats.org/markup-compatibility/2006">
      <mc:Choice Requires="x14">
        <oleObject progId="Equation.3" shapeId="17413" r:id="rId9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7413" r:id="rId9"/>
      </mc:Fallback>
    </mc:AlternateContent>
    <mc:AlternateContent xmlns:mc="http://schemas.openxmlformats.org/markup-compatibility/2006">
      <mc:Choice Requires="x14">
        <oleObject progId="Equation.3" shapeId="17414" r:id="rId10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7414" r:id="rId10"/>
      </mc:Fallback>
    </mc:AlternateContent>
    <mc:AlternateContent xmlns:mc="http://schemas.openxmlformats.org/markup-compatibility/2006">
      <mc:Choice Requires="x14">
        <oleObject progId="Equation.3" shapeId="17415" r:id="rId11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7415" r:id="rId11"/>
      </mc:Fallback>
    </mc:AlternateContent>
    <mc:AlternateContent xmlns:mc="http://schemas.openxmlformats.org/markup-compatibility/2006">
      <mc:Choice Requires="x14">
        <oleObject progId="Equation.3" shapeId="17416" r:id="rId12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7416" r:id="rId12"/>
      </mc:Fallback>
    </mc:AlternateContent>
    <mc:AlternateContent xmlns:mc="http://schemas.openxmlformats.org/markup-compatibility/2006">
      <mc:Choice Requires="x14">
        <oleObject progId="Equation.3" shapeId="17417" r:id="rId13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7417" r:id="rId13"/>
      </mc:Fallback>
    </mc:AlternateContent>
    <mc:AlternateContent xmlns:mc="http://schemas.openxmlformats.org/markup-compatibility/2006">
      <mc:Choice Requires="x14">
        <oleObject progId="Equation.3" shapeId="17418" r:id="rId14">
          <objectPr defaultSize="0" autoPict="0" r:id="rId5">
            <anchor moveWithCells="1" sizeWithCells="1">
              <from>
                <xdr:col>10</xdr:col>
                <xdr:colOff>12700</xdr:colOff>
                <xdr:row>21</xdr:row>
                <xdr:rowOff>0</xdr:rowOff>
              </from>
              <to>
                <xdr:col>10</xdr:col>
                <xdr:colOff>412750</xdr:colOff>
                <xdr:row>21</xdr:row>
                <xdr:rowOff>0</xdr:rowOff>
              </to>
            </anchor>
          </objectPr>
        </oleObject>
      </mc:Choice>
      <mc:Fallback>
        <oleObject progId="Equation.3" shapeId="17418" r:id="rId14"/>
      </mc:Fallback>
    </mc:AlternateContent>
    <mc:AlternateContent xmlns:mc="http://schemas.openxmlformats.org/markup-compatibility/2006">
      <mc:Choice Requires="x14">
        <oleObject progId="Equation.3" shapeId="17419" r:id="rId15">
          <objectPr defaultSize="0" autoPict="0" r:id="rId5">
            <anchor moveWithCells="1" sizeWithCells="1">
              <from>
                <xdr:col>10</xdr:col>
                <xdr:colOff>38100</xdr:colOff>
                <xdr:row>21</xdr:row>
                <xdr:rowOff>0</xdr:rowOff>
              </from>
              <to>
                <xdr:col>10</xdr:col>
                <xdr:colOff>419100</xdr:colOff>
                <xdr:row>21</xdr:row>
                <xdr:rowOff>0</xdr:rowOff>
              </to>
            </anchor>
          </objectPr>
        </oleObject>
      </mc:Choice>
      <mc:Fallback>
        <oleObject progId="Equation.3" shapeId="17419" r:id="rId15"/>
      </mc:Fallback>
    </mc:AlternateContent>
    <mc:AlternateContent xmlns:mc="http://schemas.openxmlformats.org/markup-compatibility/2006">
      <mc:Choice Requires="x14">
        <oleObject progId="Equation.3" shapeId="17420" r:id="rId16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20" r:id="rId16"/>
      </mc:Fallback>
    </mc:AlternateContent>
    <mc:AlternateContent xmlns:mc="http://schemas.openxmlformats.org/markup-compatibility/2006">
      <mc:Choice Requires="x14">
        <oleObject progId="Equation.3" shapeId="17421" r:id="rId17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21" r:id="rId17"/>
      </mc:Fallback>
    </mc:AlternateContent>
    <mc:AlternateContent xmlns:mc="http://schemas.openxmlformats.org/markup-compatibility/2006">
      <mc:Choice Requires="x14">
        <oleObject progId="Equation.3" shapeId="17422" r:id="rId18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22" r:id="rId18"/>
      </mc:Fallback>
    </mc:AlternateContent>
    <mc:AlternateContent xmlns:mc="http://schemas.openxmlformats.org/markup-compatibility/2006">
      <mc:Choice Requires="x14">
        <oleObject progId="Equation.3" shapeId="17423" r:id="rId19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23" r:id="rId19"/>
      </mc:Fallback>
    </mc:AlternateContent>
    <mc:AlternateContent xmlns:mc="http://schemas.openxmlformats.org/markup-compatibility/2006">
      <mc:Choice Requires="x14">
        <oleObject progId="Equation.3" shapeId="17424" r:id="rId20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24" r:id="rId20"/>
      </mc:Fallback>
    </mc:AlternateContent>
    <mc:AlternateContent xmlns:mc="http://schemas.openxmlformats.org/markup-compatibility/2006">
      <mc:Choice Requires="x14">
        <oleObject progId="Equation.3" shapeId="17425" r:id="rId21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25" r:id="rId21"/>
      </mc:Fallback>
    </mc:AlternateContent>
    <mc:AlternateContent xmlns:mc="http://schemas.openxmlformats.org/markup-compatibility/2006">
      <mc:Choice Requires="x14">
        <oleObject progId="Equation.3" shapeId="17426" r:id="rId22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26" r:id="rId22"/>
      </mc:Fallback>
    </mc:AlternateContent>
    <mc:AlternateContent xmlns:mc="http://schemas.openxmlformats.org/markup-compatibility/2006">
      <mc:Choice Requires="x14">
        <oleObject progId="Equation.3" shapeId="17427" r:id="rId23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27" r:id="rId23"/>
      </mc:Fallback>
    </mc:AlternateContent>
    <mc:AlternateContent xmlns:mc="http://schemas.openxmlformats.org/markup-compatibility/2006">
      <mc:Choice Requires="x14">
        <oleObject progId="Equation.3" shapeId="17428" r:id="rId24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28" r:id="rId24"/>
      </mc:Fallback>
    </mc:AlternateContent>
    <mc:AlternateContent xmlns:mc="http://schemas.openxmlformats.org/markup-compatibility/2006">
      <mc:Choice Requires="x14">
        <oleObject progId="Equation.3" shapeId="17429" r:id="rId25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29" r:id="rId25"/>
      </mc:Fallback>
    </mc:AlternateContent>
    <mc:AlternateContent xmlns:mc="http://schemas.openxmlformats.org/markup-compatibility/2006">
      <mc:Choice Requires="x14">
        <oleObject progId="Equation.3" shapeId="17430" r:id="rId26">
          <objectPr defaultSize="0" autoPict="0" r:id="rId5">
            <anchor moveWithCells="1" sizeWithCells="1">
              <from>
                <xdr:col>10</xdr:col>
                <xdr:colOff>38100</xdr:colOff>
                <xdr:row>75</xdr:row>
                <xdr:rowOff>0</xdr:rowOff>
              </from>
              <to>
                <xdr:col>10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30" r:id="rId26"/>
      </mc:Fallback>
    </mc:AlternateContent>
    <mc:AlternateContent xmlns:mc="http://schemas.openxmlformats.org/markup-compatibility/2006">
      <mc:Choice Requires="x14">
        <oleObject progId="Equation.3" shapeId="17431" r:id="rId27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31" r:id="rId27"/>
      </mc:Fallback>
    </mc:AlternateContent>
    <mc:AlternateContent xmlns:mc="http://schemas.openxmlformats.org/markup-compatibility/2006">
      <mc:Choice Requires="x14">
        <oleObject progId="Equation.3" shapeId="17432" r:id="rId28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32" r:id="rId28"/>
      </mc:Fallback>
    </mc:AlternateContent>
    <mc:AlternateContent xmlns:mc="http://schemas.openxmlformats.org/markup-compatibility/2006">
      <mc:Choice Requires="x14">
        <oleObject progId="Equation.3" shapeId="17433" r:id="rId29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33" r:id="rId29"/>
      </mc:Fallback>
    </mc:AlternateContent>
    <mc:AlternateContent xmlns:mc="http://schemas.openxmlformats.org/markup-compatibility/2006">
      <mc:Choice Requires="x14">
        <oleObject progId="Equation.3" shapeId="17434" r:id="rId30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34" r:id="rId30"/>
      </mc:Fallback>
    </mc:AlternateContent>
    <mc:AlternateContent xmlns:mc="http://schemas.openxmlformats.org/markup-compatibility/2006">
      <mc:Choice Requires="x14">
        <oleObject progId="Equation.3" shapeId="17435" r:id="rId31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35" r:id="rId31"/>
      </mc:Fallback>
    </mc:AlternateContent>
    <mc:AlternateContent xmlns:mc="http://schemas.openxmlformats.org/markup-compatibility/2006">
      <mc:Choice Requires="x14">
        <oleObject progId="Equation.3" shapeId="17436" r:id="rId32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36" r:id="rId32"/>
      </mc:Fallback>
    </mc:AlternateContent>
    <mc:AlternateContent xmlns:mc="http://schemas.openxmlformats.org/markup-compatibility/2006">
      <mc:Choice Requires="x14">
        <oleObject progId="Equation.3" shapeId="17437" r:id="rId33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37" r:id="rId33"/>
      </mc:Fallback>
    </mc:AlternateContent>
    <mc:AlternateContent xmlns:mc="http://schemas.openxmlformats.org/markup-compatibility/2006">
      <mc:Choice Requires="x14">
        <oleObject progId="Equation.3" shapeId="17438" r:id="rId34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38" r:id="rId34"/>
      </mc:Fallback>
    </mc:AlternateContent>
    <mc:AlternateContent xmlns:mc="http://schemas.openxmlformats.org/markup-compatibility/2006">
      <mc:Choice Requires="x14">
        <oleObject progId="Equation.3" shapeId="17439" r:id="rId35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39" r:id="rId35"/>
      </mc:Fallback>
    </mc:AlternateContent>
    <mc:AlternateContent xmlns:mc="http://schemas.openxmlformats.org/markup-compatibility/2006">
      <mc:Choice Requires="x14">
        <oleObject progId="Equation.3" shapeId="17440" r:id="rId36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40" r:id="rId36"/>
      </mc:Fallback>
    </mc:AlternateContent>
    <mc:AlternateContent xmlns:mc="http://schemas.openxmlformats.org/markup-compatibility/2006">
      <mc:Choice Requires="x14">
        <oleObject progId="Equation.3" shapeId="17441" r:id="rId37">
          <objectPr defaultSize="0" autoPict="0" r:id="rId5">
            <anchor moveWithCells="1" sizeWithCells="1">
              <from>
                <xdr:col>10</xdr:col>
                <xdr:colOff>38100</xdr:colOff>
                <xdr:row>75</xdr:row>
                <xdr:rowOff>0</xdr:rowOff>
              </from>
              <to>
                <xdr:col>10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41" r:id="rId37"/>
      </mc:Fallback>
    </mc:AlternateContent>
    <mc:AlternateContent xmlns:mc="http://schemas.openxmlformats.org/markup-compatibility/2006">
      <mc:Choice Requires="x14">
        <oleObject progId="Equation.3" shapeId="17442" r:id="rId38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42" r:id="rId38"/>
      </mc:Fallback>
    </mc:AlternateContent>
    <mc:AlternateContent xmlns:mc="http://schemas.openxmlformats.org/markup-compatibility/2006">
      <mc:Choice Requires="x14">
        <oleObject progId="Equation.3" shapeId="17443" r:id="rId39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43" r:id="rId39"/>
      </mc:Fallback>
    </mc:AlternateContent>
    <mc:AlternateContent xmlns:mc="http://schemas.openxmlformats.org/markup-compatibility/2006">
      <mc:Choice Requires="x14">
        <oleObject progId="Equation.3" shapeId="17444" r:id="rId40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44" r:id="rId40"/>
      </mc:Fallback>
    </mc:AlternateContent>
    <mc:AlternateContent xmlns:mc="http://schemas.openxmlformats.org/markup-compatibility/2006">
      <mc:Choice Requires="x14">
        <oleObject progId="Equation.3" shapeId="17445" r:id="rId41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45" r:id="rId41"/>
      </mc:Fallback>
    </mc:AlternateContent>
    <mc:AlternateContent xmlns:mc="http://schemas.openxmlformats.org/markup-compatibility/2006">
      <mc:Choice Requires="x14">
        <oleObject progId="Equation.3" shapeId="17446" r:id="rId42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46" r:id="rId42"/>
      </mc:Fallback>
    </mc:AlternateContent>
    <mc:AlternateContent xmlns:mc="http://schemas.openxmlformats.org/markup-compatibility/2006">
      <mc:Choice Requires="x14">
        <oleObject progId="Equation.3" shapeId="17447" r:id="rId43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47" r:id="rId43"/>
      </mc:Fallback>
    </mc:AlternateContent>
    <mc:AlternateContent xmlns:mc="http://schemas.openxmlformats.org/markup-compatibility/2006">
      <mc:Choice Requires="x14">
        <oleObject progId="Equation.3" shapeId="17448" r:id="rId44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48" r:id="rId44"/>
      </mc:Fallback>
    </mc:AlternateContent>
    <mc:AlternateContent xmlns:mc="http://schemas.openxmlformats.org/markup-compatibility/2006">
      <mc:Choice Requires="x14">
        <oleObject progId="Equation.3" shapeId="17449" r:id="rId45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49" r:id="rId45"/>
      </mc:Fallback>
    </mc:AlternateContent>
    <mc:AlternateContent xmlns:mc="http://schemas.openxmlformats.org/markup-compatibility/2006">
      <mc:Choice Requires="x14">
        <oleObject progId="Equation.3" shapeId="17450" r:id="rId46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50" r:id="rId46"/>
      </mc:Fallback>
    </mc:AlternateContent>
    <mc:AlternateContent xmlns:mc="http://schemas.openxmlformats.org/markup-compatibility/2006">
      <mc:Choice Requires="x14">
        <oleObject progId="Equation.3" shapeId="17451" r:id="rId47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51" r:id="rId47"/>
      </mc:Fallback>
    </mc:AlternateContent>
    <mc:AlternateContent xmlns:mc="http://schemas.openxmlformats.org/markup-compatibility/2006">
      <mc:Choice Requires="x14">
        <oleObject progId="Equation.3" shapeId="17452" r:id="rId48">
          <objectPr defaultSize="0" autoPict="0" r:id="rId5">
            <anchor moveWithCells="1" sizeWithCells="1">
              <from>
                <xdr:col>10</xdr:col>
                <xdr:colOff>38100</xdr:colOff>
                <xdr:row>75</xdr:row>
                <xdr:rowOff>0</xdr:rowOff>
              </from>
              <to>
                <xdr:col>10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52" r:id="rId48"/>
      </mc:Fallback>
    </mc:AlternateContent>
    <mc:AlternateContent xmlns:mc="http://schemas.openxmlformats.org/markup-compatibility/2006">
      <mc:Choice Requires="x14">
        <oleObject progId="Equation.3" shapeId="17453" r:id="rId49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53" r:id="rId49"/>
      </mc:Fallback>
    </mc:AlternateContent>
    <mc:AlternateContent xmlns:mc="http://schemas.openxmlformats.org/markup-compatibility/2006">
      <mc:Choice Requires="x14">
        <oleObject progId="Equation.3" shapeId="17454" r:id="rId50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54" r:id="rId50"/>
      </mc:Fallback>
    </mc:AlternateContent>
    <mc:AlternateContent xmlns:mc="http://schemas.openxmlformats.org/markup-compatibility/2006">
      <mc:Choice Requires="x14">
        <oleObject progId="Equation.3" shapeId="17455" r:id="rId51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55" r:id="rId51"/>
      </mc:Fallback>
    </mc:AlternateContent>
    <mc:AlternateContent xmlns:mc="http://schemas.openxmlformats.org/markup-compatibility/2006">
      <mc:Choice Requires="x14">
        <oleObject progId="Equation.3" shapeId="17456" r:id="rId52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56" r:id="rId52"/>
      </mc:Fallback>
    </mc:AlternateContent>
    <mc:AlternateContent xmlns:mc="http://schemas.openxmlformats.org/markup-compatibility/2006">
      <mc:Choice Requires="x14">
        <oleObject progId="Equation.3" shapeId="17457" r:id="rId53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57" r:id="rId53"/>
      </mc:Fallback>
    </mc:AlternateContent>
    <mc:AlternateContent xmlns:mc="http://schemas.openxmlformats.org/markup-compatibility/2006">
      <mc:Choice Requires="x14">
        <oleObject progId="Equation.3" shapeId="17458" r:id="rId54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58" r:id="rId54"/>
      </mc:Fallback>
    </mc:AlternateContent>
    <mc:AlternateContent xmlns:mc="http://schemas.openxmlformats.org/markup-compatibility/2006">
      <mc:Choice Requires="x14">
        <oleObject progId="Equation.3" shapeId="17459" r:id="rId55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59" r:id="rId55"/>
      </mc:Fallback>
    </mc:AlternateContent>
    <mc:AlternateContent xmlns:mc="http://schemas.openxmlformats.org/markup-compatibility/2006">
      <mc:Choice Requires="x14">
        <oleObject progId="Equation.3" shapeId="17460" r:id="rId56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60" r:id="rId56"/>
      </mc:Fallback>
    </mc:AlternateContent>
    <mc:AlternateContent xmlns:mc="http://schemas.openxmlformats.org/markup-compatibility/2006">
      <mc:Choice Requires="x14">
        <oleObject progId="Equation.3" shapeId="17461" r:id="rId57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61" r:id="rId57"/>
      </mc:Fallback>
    </mc:AlternateContent>
    <mc:AlternateContent xmlns:mc="http://schemas.openxmlformats.org/markup-compatibility/2006">
      <mc:Choice Requires="x14">
        <oleObject progId="Equation.3" shapeId="17462" r:id="rId58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62" r:id="rId58"/>
      </mc:Fallback>
    </mc:AlternateContent>
    <mc:AlternateContent xmlns:mc="http://schemas.openxmlformats.org/markup-compatibility/2006">
      <mc:Choice Requires="x14">
        <oleObject progId="Equation.3" shapeId="17463" r:id="rId59">
          <objectPr defaultSize="0" autoPict="0" r:id="rId5">
            <anchor moveWithCells="1" sizeWithCells="1">
              <from>
                <xdr:col>10</xdr:col>
                <xdr:colOff>38100</xdr:colOff>
                <xdr:row>75</xdr:row>
                <xdr:rowOff>0</xdr:rowOff>
              </from>
              <to>
                <xdr:col>10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63" r:id="rId59"/>
      </mc:Fallback>
    </mc:AlternateContent>
    <mc:AlternateContent xmlns:mc="http://schemas.openxmlformats.org/markup-compatibility/2006">
      <mc:Choice Requires="x14">
        <oleObject progId="Equation.3" shapeId="17464" r:id="rId60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64" r:id="rId60"/>
      </mc:Fallback>
    </mc:AlternateContent>
    <mc:AlternateContent xmlns:mc="http://schemas.openxmlformats.org/markup-compatibility/2006">
      <mc:Choice Requires="x14">
        <oleObject progId="Equation.3" shapeId="17465" r:id="rId61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65" r:id="rId61"/>
      </mc:Fallback>
    </mc:AlternateContent>
    <mc:AlternateContent xmlns:mc="http://schemas.openxmlformats.org/markup-compatibility/2006">
      <mc:Choice Requires="x14">
        <oleObject progId="Equation.3" shapeId="17466" r:id="rId62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66" r:id="rId62"/>
      </mc:Fallback>
    </mc:AlternateContent>
    <mc:AlternateContent xmlns:mc="http://schemas.openxmlformats.org/markup-compatibility/2006">
      <mc:Choice Requires="x14">
        <oleObject progId="Equation.3" shapeId="17467" r:id="rId63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67" r:id="rId63"/>
      </mc:Fallback>
    </mc:AlternateContent>
    <mc:AlternateContent xmlns:mc="http://schemas.openxmlformats.org/markup-compatibility/2006">
      <mc:Choice Requires="x14">
        <oleObject progId="Equation.3" shapeId="17468" r:id="rId64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68" r:id="rId64"/>
      </mc:Fallback>
    </mc:AlternateContent>
    <mc:AlternateContent xmlns:mc="http://schemas.openxmlformats.org/markup-compatibility/2006">
      <mc:Choice Requires="x14">
        <oleObject progId="Equation.3" shapeId="17469" r:id="rId65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69" r:id="rId65"/>
      </mc:Fallback>
    </mc:AlternateContent>
    <mc:AlternateContent xmlns:mc="http://schemas.openxmlformats.org/markup-compatibility/2006">
      <mc:Choice Requires="x14">
        <oleObject progId="Equation.3" shapeId="17470" r:id="rId66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70" r:id="rId66"/>
      </mc:Fallback>
    </mc:AlternateContent>
    <mc:AlternateContent xmlns:mc="http://schemas.openxmlformats.org/markup-compatibility/2006">
      <mc:Choice Requires="x14">
        <oleObject progId="Equation.3" shapeId="17471" r:id="rId67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71" r:id="rId67"/>
      </mc:Fallback>
    </mc:AlternateContent>
    <mc:AlternateContent xmlns:mc="http://schemas.openxmlformats.org/markup-compatibility/2006">
      <mc:Choice Requires="x14">
        <oleObject progId="Equation.3" shapeId="17472" r:id="rId68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72" r:id="rId68"/>
      </mc:Fallback>
    </mc:AlternateContent>
    <mc:AlternateContent xmlns:mc="http://schemas.openxmlformats.org/markup-compatibility/2006">
      <mc:Choice Requires="x14">
        <oleObject progId="Equation.3" shapeId="17473" r:id="rId69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73" r:id="rId69"/>
      </mc:Fallback>
    </mc:AlternateContent>
    <mc:AlternateContent xmlns:mc="http://schemas.openxmlformats.org/markup-compatibility/2006">
      <mc:Choice Requires="x14">
        <oleObject progId="Equation.3" shapeId="17474" r:id="rId70">
          <objectPr defaultSize="0" autoPict="0" r:id="rId5">
            <anchor moveWithCells="1" sizeWithCells="1">
              <from>
                <xdr:col>10</xdr:col>
                <xdr:colOff>38100</xdr:colOff>
                <xdr:row>75</xdr:row>
                <xdr:rowOff>0</xdr:rowOff>
              </from>
              <to>
                <xdr:col>10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74" r:id="rId70"/>
      </mc:Fallback>
    </mc:AlternateContent>
    <mc:AlternateContent xmlns:mc="http://schemas.openxmlformats.org/markup-compatibility/2006">
      <mc:Choice Requires="x14">
        <oleObject progId="Equation.3" shapeId="17475" r:id="rId71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75" r:id="rId71"/>
      </mc:Fallback>
    </mc:AlternateContent>
    <mc:AlternateContent xmlns:mc="http://schemas.openxmlformats.org/markup-compatibility/2006">
      <mc:Choice Requires="x14">
        <oleObject progId="Equation.3" shapeId="17476" r:id="rId72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76" r:id="rId72"/>
      </mc:Fallback>
    </mc:AlternateContent>
    <mc:AlternateContent xmlns:mc="http://schemas.openxmlformats.org/markup-compatibility/2006">
      <mc:Choice Requires="x14">
        <oleObject progId="Equation.3" shapeId="17477" r:id="rId73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77" r:id="rId73"/>
      </mc:Fallback>
    </mc:AlternateContent>
    <mc:AlternateContent xmlns:mc="http://schemas.openxmlformats.org/markup-compatibility/2006">
      <mc:Choice Requires="x14">
        <oleObject progId="Equation.3" shapeId="17478" r:id="rId74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78" r:id="rId74"/>
      </mc:Fallback>
    </mc:AlternateContent>
    <mc:AlternateContent xmlns:mc="http://schemas.openxmlformats.org/markup-compatibility/2006">
      <mc:Choice Requires="x14">
        <oleObject progId="Equation.3" shapeId="17479" r:id="rId75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79" r:id="rId75"/>
      </mc:Fallback>
    </mc:AlternateContent>
    <mc:AlternateContent xmlns:mc="http://schemas.openxmlformats.org/markup-compatibility/2006">
      <mc:Choice Requires="x14">
        <oleObject progId="Equation.3" shapeId="17480" r:id="rId76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80" r:id="rId76"/>
      </mc:Fallback>
    </mc:AlternateContent>
    <mc:AlternateContent xmlns:mc="http://schemas.openxmlformats.org/markup-compatibility/2006">
      <mc:Choice Requires="x14">
        <oleObject progId="Equation.3" shapeId="17481" r:id="rId77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81" r:id="rId77"/>
      </mc:Fallback>
    </mc:AlternateContent>
    <mc:AlternateContent xmlns:mc="http://schemas.openxmlformats.org/markup-compatibility/2006">
      <mc:Choice Requires="x14">
        <oleObject progId="Equation.3" shapeId="17482" r:id="rId78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82" r:id="rId78"/>
      </mc:Fallback>
    </mc:AlternateContent>
    <mc:AlternateContent xmlns:mc="http://schemas.openxmlformats.org/markup-compatibility/2006">
      <mc:Choice Requires="x14">
        <oleObject progId="Equation.3" shapeId="17483" r:id="rId79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83" r:id="rId79"/>
      </mc:Fallback>
    </mc:AlternateContent>
    <mc:AlternateContent xmlns:mc="http://schemas.openxmlformats.org/markup-compatibility/2006">
      <mc:Choice Requires="x14">
        <oleObject progId="Equation.3" shapeId="17484" r:id="rId80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84" r:id="rId80"/>
      </mc:Fallback>
    </mc:AlternateContent>
    <mc:AlternateContent xmlns:mc="http://schemas.openxmlformats.org/markup-compatibility/2006">
      <mc:Choice Requires="x14">
        <oleObject progId="Equation.3" shapeId="17485" r:id="rId81">
          <objectPr defaultSize="0" autoPict="0" r:id="rId5">
            <anchor moveWithCells="1" sizeWithCells="1">
              <from>
                <xdr:col>10</xdr:col>
                <xdr:colOff>38100</xdr:colOff>
                <xdr:row>75</xdr:row>
                <xdr:rowOff>0</xdr:rowOff>
              </from>
              <to>
                <xdr:col>10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85" r:id="rId81"/>
      </mc:Fallback>
    </mc:AlternateContent>
    <mc:AlternateContent xmlns:mc="http://schemas.openxmlformats.org/markup-compatibility/2006">
      <mc:Choice Requires="x14">
        <oleObject progId="Equation.3" shapeId="17486" r:id="rId82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86" r:id="rId82"/>
      </mc:Fallback>
    </mc:AlternateContent>
    <mc:AlternateContent xmlns:mc="http://schemas.openxmlformats.org/markup-compatibility/2006">
      <mc:Choice Requires="x14">
        <oleObject progId="Equation.3" shapeId="17487" r:id="rId83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87" r:id="rId83"/>
      </mc:Fallback>
    </mc:AlternateContent>
    <mc:AlternateContent xmlns:mc="http://schemas.openxmlformats.org/markup-compatibility/2006">
      <mc:Choice Requires="x14">
        <oleObject progId="Equation.3" shapeId="17488" r:id="rId84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88" r:id="rId84"/>
      </mc:Fallback>
    </mc:AlternateContent>
    <mc:AlternateContent xmlns:mc="http://schemas.openxmlformats.org/markup-compatibility/2006">
      <mc:Choice Requires="x14">
        <oleObject progId="Equation.3" shapeId="17489" r:id="rId85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89" r:id="rId85"/>
      </mc:Fallback>
    </mc:AlternateContent>
    <mc:AlternateContent xmlns:mc="http://schemas.openxmlformats.org/markup-compatibility/2006">
      <mc:Choice Requires="x14">
        <oleObject progId="Equation.3" shapeId="17490" r:id="rId86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90" r:id="rId86"/>
      </mc:Fallback>
    </mc:AlternateContent>
    <mc:AlternateContent xmlns:mc="http://schemas.openxmlformats.org/markup-compatibility/2006">
      <mc:Choice Requires="x14">
        <oleObject progId="Equation.3" shapeId="17491" r:id="rId87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91" r:id="rId87"/>
      </mc:Fallback>
    </mc:AlternateContent>
    <mc:AlternateContent xmlns:mc="http://schemas.openxmlformats.org/markup-compatibility/2006">
      <mc:Choice Requires="x14">
        <oleObject progId="Equation.3" shapeId="17492" r:id="rId88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92" r:id="rId88"/>
      </mc:Fallback>
    </mc:AlternateContent>
    <mc:AlternateContent xmlns:mc="http://schemas.openxmlformats.org/markup-compatibility/2006">
      <mc:Choice Requires="x14">
        <oleObject progId="Equation.3" shapeId="17493" r:id="rId89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93" r:id="rId89"/>
      </mc:Fallback>
    </mc:AlternateContent>
    <mc:AlternateContent xmlns:mc="http://schemas.openxmlformats.org/markup-compatibility/2006">
      <mc:Choice Requires="x14">
        <oleObject progId="Equation.3" shapeId="17494" r:id="rId90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94" r:id="rId90"/>
      </mc:Fallback>
    </mc:AlternateContent>
    <mc:AlternateContent xmlns:mc="http://schemas.openxmlformats.org/markup-compatibility/2006">
      <mc:Choice Requires="x14">
        <oleObject progId="Equation.3" shapeId="17495" r:id="rId91">
          <objectPr defaultSize="0" autoPict="0" r:id="rId5">
            <anchor moveWithCells="1" sizeWithCells="1">
              <from>
                <xdr:col>10</xdr:col>
                <xdr:colOff>12700</xdr:colOff>
                <xdr:row>75</xdr:row>
                <xdr:rowOff>0</xdr:rowOff>
              </from>
              <to>
                <xdr:col>10</xdr:col>
                <xdr:colOff>412750</xdr:colOff>
                <xdr:row>75</xdr:row>
                <xdr:rowOff>0</xdr:rowOff>
              </to>
            </anchor>
          </objectPr>
        </oleObject>
      </mc:Choice>
      <mc:Fallback>
        <oleObject progId="Equation.3" shapeId="17495" r:id="rId91"/>
      </mc:Fallback>
    </mc:AlternateContent>
    <mc:AlternateContent xmlns:mc="http://schemas.openxmlformats.org/markup-compatibility/2006">
      <mc:Choice Requires="x14">
        <oleObject progId="Equation.3" shapeId="17496" r:id="rId92">
          <objectPr defaultSize="0" autoPict="0" r:id="rId5">
            <anchor moveWithCells="1" sizeWithCells="1">
              <from>
                <xdr:col>10</xdr:col>
                <xdr:colOff>38100</xdr:colOff>
                <xdr:row>75</xdr:row>
                <xdr:rowOff>0</xdr:rowOff>
              </from>
              <to>
                <xdr:col>10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96" r:id="rId92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3"/>
  <sheetViews>
    <sheetView view="pageBreakPreview" topLeftCell="A40" zoomScaleNormal="100" zoomScaleSheetLayoutView="100" workbookViewId="0">
      <selection activeCell="D4" sqref="D4"/>
    </sheetView>
  </sheetViews>
  <sheetFormatPr defaultRowHeight="12.5" x14ac:dyDescent="0.25"/>
  <cols>
    <col min="1" max="1" width="4.453125" customWidth="1"/>
    <col min="2" max="2" width="17" customWidth="1"/>
    <col min="5" max="5" width="11.54296875" customWidth="1"/>
    <col min="9" max="9" width="10.1796875" customWidth="1"/>
    <col min="11" max="11" width="10.1796875" customWidth="1"/>
    <col min="12" max="12" width="10.54296875" customWidth="1"/>
    <col min="14" max="14" width="18.1796875" customWidth="1"/>
    <col min="15" max="15" width="17.1796875" customWidth="1"/>
    <col min="16" max="16" width="6.81640625" customWidth="1"/>
    <col min="17" max="18" width="9.81640625" customWidth="1"/>
    <col min="20" max="20" width="12.1796875" customWidth="1"/>
    <col min="23" max="23" width="11.81640625" style="119" customWidth="1"/>
    <col min="24" max="24" width="11.453125" customWidth="1"/>
  </cols>
  <sheetData>
    <row r="1" spans="1:25" ht="27.75" customHeight="1" thickBot="1" x14ac:dyDescent="0.3">
      <c r="A1" s="980" t="s">
        <v>199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2"/>
      <c r="M1" s="980" t="s">
        <v>200</v>
      </c>
      <c r="N1" s="981"/>
      <c r="O1" s="981"/>
      <c r="P1" s="981"/>
      <c r="Q1" s="981"/>
      <c r="R1" s="981"/>
      <c r="S1" s="981"/>
      <c r="T1" s="981"/>
      <c r="U1" s="981"/>
      <c r="V1" s="981"/>
      <c r="W1" s="981"/>
      <c r="X1" s="982"/>
    </row>
    <row r="2" spans="1:25" ht="13" x14ac:dyDescent="0.25">
      <c r="A2" s="37"/>
      <c r="B2" s="38" t="s">
        <v>201</v>
      </c>
      <c r="C2" s="38"/>
      <c r="D2" s="38">
        <v>10</v>
      </c>
      <c r="E2" s="38" t="str">
        <f>ID!F7</f>
        <v>cm</v>
      </c>
      <c r="F2" s="39"/>
      <c r="G2" s="39"/>
      <c r="H2" s="39"/>
      <c r="I2" s="39"/>
      <c r="J2" s="40"/>
      <c r="K2" s="41"/>
      <c r="L2" s="40"/>
      <c r="M2" s="121"/>
      <c r="N2" s="122" t="s">
        <v>202</v>
      </c>
      <c r="O2" s="122"/>
      <c r="P2" s="122">
        <v>10</v>
      </c>
      <c r="Q2" s="122" t="str">
        <f>E2</f>
        <v>cm</v>
      </c>
      <c r="R2" s="123"/>
      <c r="S2" s="123"/>
      <c r="T2" s="123"/>
      <c r="U2" s="123"/>
      <c r="V2" s="124"/>
      <c r="W2" s="125"/>
      <c r="X2" s="124"/>
    </row>
    <row r="3" spans="1:25" ht="13" x14ac:dyDescent="0.25">
      <c r="A3" s="42" t="s">
        <v>29</v>
      </c>
      <c r="B3" s="36" t="s">
        <v>203</v>
      </c>
      <c r="C3" s="36" t="s">
        <v>204</v>
      </c>
      <c r="D3" s="36" t="s">
        <v>205</v>
      </c>
      <c r="E3" s="36" t="s">
        <v>206</v>
      </c>
      <c r="F3" s="36" t="s">
        <v>207</v>
      </c>
      <c r="G3" s="36" t="s">
        <v>208</v>
      </c>
      <c r="H3" s="36" t="s">
        <v>209</v>
      </c>
      <c r="I3" s="36" t="s">
        <v>210</v>
      </c>
      <c r="J3" s="43" t="s">
        <v>211</v>
      </c>
      <c r="K3" s="44" t="s">
        <v>212</v>
      </c>
      <c r="L3" s="43" t="s">
        <v>213</v>
      </c>
      <c r="M3" s="126" t="s">
        <v>29</v>
      </c>
      <c r="N3" s="127" t="s">
        <v>203</v>
      </c>
      <c r="O3" s="127" t="s">
        <v>204</v>
      </c>
      <c r="P3" s="127" t="s">
        <v>205</v>
      </c>
      <c r="Q3" s="127" t="s">
        <v>206</v>
      </c>
      <c r="R3" s="127" t="s">
        <v>207</v>
      </c>
      <c r="S3" s="127" t="s">
        <v>208</v>
      </c>
      <c r="T3" s="127" t="s">
        <v>209</v>
      </c>
      <c r="U3" s="127" t="s">
        <v>210</v>
      </c>
      <c r="V3" s="128" t="s">
        <v>211</v>
      </c>
      <c r="W3" s="129" t="s">
        <v>212</v>
      </c>
      <c r="X3" s="128" t="s">
        <v>213</v>
      </c>
    </row>
    <row r="4" spans="1:25" ht="13" x14ac:dyDescent="0.3">
      <c r="A4" s="42">
        <v>1</v>
      </c>
      <c r="B4" s="45" t="s">
        <v>214</v>
      </c>
      <c r="C4" s="45" t="str">
        <f>E2</f>
        <v>cm</v>
      </c>
      <c r="D4" s="48">
        <f>ID!K38</f>
        <v>0</v>
      </c>
      <c r="E4" s="45" t="s">
        <v>215</v>
      </c>
      <c r="F4" s="45">
        <f>SQRT(3)</f>
        <v>1.7320508075688772</v>
      </c>
      <c r="G4" s="45">
        <v>2</v>
      </c>
      <c r="H4" s="45">
        <f>D4/F4</f>
        <v>0</v>
      </c>
      <c r="I4" s="45">
        <v>1</v>
      </c>
      <c r="J4" s="46">
        <f>H4*I4</f>
        <v>0</v>
      </c>
      <c r="K4" s="47">
        <f>J4^2</f>
        <v>0</v>
      </c>
      <c r="L4" s="46">
        <f>K4^2/G4</f>
        <v>0</v>
      </c>
      <c r="M4" s="126">
        <v>1</v>
      </c>
      <c r="N4" s="130" t="s">
        <v>214</v>
      </c>
      <c r="O4" s="130" t="str">
        <f>C4</f>
        <v>cm</v>
      </c>
      <c r="P4" s="131" t="e">
        <f>SQRT((((ID!H38-ID!N39)^2)+((ID!I38-ID!N39)^2)+((ID!J38-ID!N39)^2))/(3-1))</f>
        <v>#VALUE!</v>
      </c>
      <c r="Q4" s="130" t="s">
        <v>215</v>
      </c>
      <c r="R4" s="130">
        <f>SQRT(3)</f>
        <v>1.7320508075688772</v>
      </c>
      <c r="S4" s="130">
        <v>2</v>
      </c>
      <c r="T4" s="130" t="e">
        <f>P4/1.7320508</f>
        <v>#VALUE!</v>
      </c>
      <c r="U4" s="130">
        <v>1</v>
      </c>
      <c r="V4" s="132" t="e">
        <f>T4*1</f>
        <v>#VALUE!</v>
      </c>
      <c r="W4" s="133" t="e">
        <f>(T4*1)^2</f>
        <v>#VALUE!</v>
      </c>
      <c r="X4" s="132" t="e">
        <f>((T4*1)^4)/2</f>
        <v>#VALUE!</v>
      </c>
      <c r="Y4" s="2"/>
    </row>
    <row r="5" spans="1:25" ht="13" x14ac:dyDescent="0.25">
      <c r="A5" s="42">
        <v>2</v>
      </c>
      <c r="B5" s="45" t="s">
        <v>216</v>
      </c>
      <c r="C5" s="45" t="str">
        <f>E2</f>
        <v>cm</v>
      </c>
      <c r="D5" s="48">
        <f>ID!E7*0.5</f>
        <v>5.0000000000000001E-3</v>
      </c>
      <c r="E5" s="45" t="s">
        <v>217</v>
      </c>
      <c r="F5" s="45">
        <f>SQRT(3)</f>
        <v>1.7320508075688772</v>
      </c>
      <c r="G5" s="45">
        <v>50</v>
      </c>
      <c r="H5" s="45">
        <f>D5/F5</f>
        <v>2.886751345948129E-3</v>
      </c>
      <c r="I5" s="45">
        <v>1</v>
      </c>
      <c r="J5" s="46">
        <f>H5*I5</f>
        <v>2.886751345948129E-3</v>
      </c>
      <c r="K5" s="47">
        <f>J5^2</f>
        <v>8.3333333333333337E-6</v>
      </c>
      <c r="L5" s="46">
        <f>K5^2/G5</f>
        <v>1.3888888888888891E-12</v>
      </c>
      <c r="M5" s="126">
        <v>2</v>
      </c>
      <c r="N5" s="130" t="s">
        <v>216</v>
      </c>
      <c r="O5" s="130" t="str">
        <f>C5</f>
        <v>cm</v>
      </c>
      <c r="P5" s="131">
        <f>ID!E7*0.5</f>
        <v>5.0000000000000001E-3</v>
      </c>
      <c r="Q5" s="130" t="s">
        <v>217</v>
      </c>
      <c r="R5" s="130">
        <f>SQRT(3)</f>
        <v>1.7320508075688772</v>
      </c>
      <c r="S5" s="130">
        <v>50</v>
      </c>
      <c r="T5" s="130">
        <f>P5/1.7320508</f>
        <v>2.8867513585629245E-3</v>
      </c>
      <c r="U5" s="130">
        <v>1</v>
      </c>
      <c r="V5" s="132">
        <f>T5*1</f>
        <v>2.8867513585629245E-3</v>
      </c>
      <c r="W5" s="133">
        <f>(T5*1)^2</f>
        <v>8.3333334061648908E-6</v>
      </c>
      <c r="X5" s="134">
        <f>((T5*1)^4)/50</f>
        <v>1.3888889131660748E-12</v>
      </c>
    </row>
    <row r="6" spans="1:25" ht="13" x14ac:dyDescent="0.25">
      <c r="A6" s="42">
        <v>3</v>
      </c>
      <c r="B6" s="45" t="s">
        <v>218</v>
      </c>
      <c r="C6" s="45" t="str">
        <f>C5</f>
        <v>cm</v>
      </c>
      <c r="D6" s="48">
        <f>'Data Phantom'!D30</f>
        <v>5.0005000000000041E-3</v>
      </c>
      <c r="E6" s="45" t="s">
        <v>217</v>
      </c>
      <c r="F6" s="45">
        <f>SQRT(3)</f>
        <v>1.7320508075688772</v>
      </c>
      <c r="G6" s="45">
        <v>50</v>
      </c>
      <c r="H6" s="45">
        <f>D6/F6</f>
        <v>2.8870400210827263E-3</v>
      </c>
      <c r="I6" s="45">
        <v>1</v>
      </c>
      <c r="J6" s="46">
        <f>H6*I6</f>
        <v>2.8870400210827263E-3</v>
      </c>
      <c r="K6" s="47">
        <f>J6^2</f>
        <v>8.3350000833333483E-6</v>
      </c>
      <c r="L6" s="46">
        <f>K6^2/G6</f>
        <v>1.3894445277833383E-12</v>
      </c>
      <c r="M6" s="126"/>
      <c r="N6" s="130"/>
      <c r="O6" s="130"/>
      <c r="P6" s="131"/>
      <c r="Q6" s="130"/>
      <c r="R6" s="130"/>
      <c r="S6" s="420"/>
      <c r="T6" s="420"/>
      <c r="U6" s="420"/>
      <c r="V6" s="132"/>
      <c r="W6" s="133"/>
      <c r="X6" s="134"/>
    </row>
    <row r="7" spans="1:25" ht="14.5" x14ac:dyDescent="0.25">
      <c r="A7" s="986" t="s">
        <v>219</v>
      </c>
      <c r="B7" s="987"/>
      <c r="C7" s="987"/>
      <c r="D7" s="987"/>
      <c r="E7" s="987"/>
      <c r="F7" s="987"/>
      <c r="G7" s="987"/>
      <c r="H7" s="987"/>
      <c r="I7" s="987"/>
      <c r="J7" s="988"/>
      <c r="K7" s="49">
        <f>SUM(K4:K6)</f>
        <v>1.6668333416666682E-5</v>
      </c>
      <c r="L7" s="50">
        <f>SUM(L4:L6)</f>
        <v>2.7783334166722274E-12</v>
      </c>
      <c r="M7" s="964" t="s">
        <v>219</v>
      </c>
      <c r="N7" s="965"/>
      <c r="O7" s="965"/>
      <c r="P7" s="965"/>
      <c r="Q7" s="965"/>
      <c r="R7" s="965"/>
      <c r="S7" s="983"/>
      <c r="T7" s="983"/>
      <c r="U7" s="983"/>
      <c r="V7" s="984"/>
      <c r="W7" s="135" t="e">
        <f>((T4*1)^2)+((T5*1)^2)</f>
        <v>#VALUE!</v>
      </c>
      <c r="X7" s="136" t="e">
        <f>((((T4*1)^4)/2)+(((T5*1)^4)/50))</f>
        <v>#VALUE!</v>
      </c>
    </row>
    <row r="8" spans="1:25" ht="17" x14ac:dyDescent="0.25">
      <c r="A8" s="989" t="s">
        <v>220</v>
      </c>
      <c r="B8" s="990"/>
      <c r="C8" s="990"/>
      <c r="D8" s="990"/>
      <c r="E8" s="990"/>
      <c r="F8" s="991"/>
      <c r="G8" s="51" t="s">
        <v>221</v>
      </c>
      <c r="H8" s="52"/>
      <c r="I8" s="52"/>
      <c r="J8" s="53"/>
      <c r="K8" s="49">
        <f>SQRT(K7)</f>
        <v>4.0826870338867127E-3</v>
      </c>
      <c r="L8" s="50"/>
      <c r="M8" s="969" t="s">
        <v>220</v>
      </c>
      <c r="N8" s="970"/>
      <c r="O8" s="970"/>
      <c r="P8" s="970"/>
      <c r="Q8" s="970"/>
      <c r="R8" s="970"/>
      <c r="S8" s="972" t="s">
        <v>222</v>
      </c>
      <c r="T8" s="973"/>
      <c r="U8" s="973"/>
      <c r="V8" s="137"/>
      <c r="W8" s="135" t="e">
        <f>SQRT(((T4*1)^2)+((T5*1)^2))</f>
        <v>#VALUE!</v>
      </c>
      <c r="X8" s="138"/>
    </row>
    <row r="9" spans="1:25" ht="17" x14ac:dyDescent="0.25">
      <c r="A9" s="986" t="s">
        <v>223</v>
      </c>
      <c r="B9" s="987"/>
      <c r="C9" s="987"/>
      <c r="D9" s="987"/>
      <c r="E9" s="987"/>
      <c r="F9" s="987"/>
      <c r="G9" s="54" t="s">
        <v>224</v>
      </c>
      <c r="H9" s="55"/>
      <c r="I9" s="55"/>
      <c r="J9" s="56"/>
      <c r="K9" s="57">
        <f>K8^4/(L7)</f>
        <v>99.999999000100004</v>
      </c>
      <c r="L9" s="50"/>
      <c r="M9" s="964" t="s">
        <v>223</v>
      </c>
      <c r="N9" s="965"/>
      <c r="O9" s="965"/>
      <c r="P9" s="965"/>
      <c r="Q9" s="965"/>
      <c r="R9" s="985"/>
      <c r="S9" s="974" t="s">
        <v>225</v>
      </c>
      <c r="T9" s="975"/>
      <c r="U9" s="975"/>
      <c r="V9" s="139"/>
      <c r="W9" s="135" t="e">
        <f>(SQRT(((T4*1)^2)+((T5*1)^2))^4)/(((((T4*1)^4)/2)+(((T5*1)^4)/50)))</f>
        <v>#VALUE!</v>
      </c>
      <c r="X9" s="138"/>
    </row>
    <row r="10" spans="1:25" ht="14.5" x14ac:dyDescent="0.25">
      <c r="A10" s="986" t="s">
        <v>226</v>
      </c>
      <c r="B10" s="987"/>
      <c r="C10" s="987"/>
      <c r="D10" s="987"/>
      <c r="E10" s="987"/>
      <c r="F10" s="987"/>
      <c r="G10" s="54" t="s">
        <v>227</v>
      </c>
      <c r="H10" s="55"/>
      <c r="I10" s="55"/>
      <c r="J10" s="56"/>
      <c r="K10" s="49">
        <f>1.95996+(2.37356/K9)+(2.818745/K9^2)+(2.546662/K9^3)+(1.761829/K9^4)+(0.245458/K9^5)+(1.000764/K9^6)</f>
        <v>1.9839800390488826</v>
      </c>
      <c r="L10" s="50"/>
      <c r="M10" s="964" t="s">
        <v>226</v>
      </c>
      <c r="N10" s="965"/>
      <c r="O10" s="965"/>
      <c r="P10" s="965"/>
      <c r="Q10" s="965"/>
      <c r="R10" s="985"/>
      <c r="S10" s="962" t="s">
        <v>227</v>
      </c>
      <c r="T10" s="963"/>
      <c r="U10" s="963"/>
      <c r="V10" s="139"/>
      <c r="W10" s="135" t="e">
        <f>1.95996+(2.37356/W9)+(2.818745/W9^2)+(2.546662/W9^3)+(1.761829/W9^4)+(0.245458/W9^5)+(1.000764/W9^6)</f>
        <v>#VALUE!</v>
      </c>
      <c r="X10" s="138"/>
    </row>
    <row r="11" spans="1:25" ht="15" thickBot="1" x14ac:dyDescent="0.3">
      <c r="A11" s="992" t="s">
        <v>228</v>
      </c>
      <c r="B11" s="993"/>
      <c r="C11" s="993"/>
      <c r="D11" s="993"/>
      <c r="E11" s="993"/>
      <c r="F11" s="994"/>
      <c r="G11" s="58" t="s">
        <v>229</v>
      </c>
      <c r="H11" s="59"/>
      <c r="I11" s="59"/>
      <c r="J11" s="60"/>
      <c r="K11" s="421">
        <f>K10*K8</f>
        <v>8.0999695809149275E-3</v>
      </c>
      <c r="L11" s="61" t="str">
        <f>E2</f>
        <v>cm</v>
      </c>
      <c r="M11" s="966" t="s">
        <v>228</v>
      </c>
      <c r="N11" s="967"/>
      <c r="O11" s="967"/>
      <c r="P11" s="967"/>
      <c r="Q11" s="967"/>
      <c r="R11" s="967"/>
      <c r="S11" s="978" t="s">
        <v>229</v>
      </c>
      <c r="T11" s="979"/>
      <c r="U11" s="979"/>
      <c r="V11" s="140"/>
      <c r="W11" s="141" t="e">
        <f>W10*W8</f>
        <v>#VALUE!</v>
      </c>
      <c r="X11" s="142" t="str">
        <f>L11</f>
        <v>cm</v>
      </c>
      <c r="Y11" s="1"/>
    </row>
    <row r="12" spans="1:25" ht="13" x14ac:dyDescent="0.25">
      <c r="A12" s="37"/>
      <c r="B12" s="38" t="s">
        <v>230</v>
      </c>
      <c r="C12" s="38"/>
      <c r="D12" s="38">
        <v>20</v>
      </c>
      <c r="E12" s="38" t="str">
        <f>E2</f>
        <v>cm</v>
      </c>
      <c r="F12" s="39"/>
      <c r="G12" s="39"/>
      <c r="H12" s="39"/>
      <c r="I12" s="39"/>
      <c r="J12" s="39"/>
      <c r="K12" s="39"/>
      <c r="L12" s="40"/>
      <c r="M12" s="121"/>
      <c r="N12" s="122" t="s">
        <v>231</v>
      </c>
      <c r="O12" s="122"/>
      <c r="P12" s="122">
        <v>20</v>
      </c>
      <c r="Q12" s="122" t="str">
        <f>E12</f>
        <v>cm</v>
      </c>
      <c r="R12" s="123"/>
      <c r="S12" s="143"/>
      <c r="T12" s="143"/>
      <c r="U12" s="143"/>
      <c r="V12" s="123"/>
      <c r="W12" s="144"/>
      <c r="X12" s="124"/>
    </row>
    <row r="13" spans="1:25" ht="13" x14ac:dyDescent="0.3">
      <c r="A13" s="42" t="s">
        <v>29</v>
      </c>
      <c r="B13" s="36" t="s">
        <v>232</v>
      </c>
      <c r="C13" s="36" t="s">
        <v>204</v>
      </c>
      <c r="D13" s="36" t="s">
        <v>205</v>
      </c>
      <c r="E13" s="36" t="s">
        <v>233</v>
      </c>
      <c r="F13" s="36" t="s">
        <v>207</v>
      </c>
      <c r="G13" s="36" t="s">
        <v>208</v>
      </c>
      <c r="H13" s="36" t="s">
        <v>209</v>
      </c>
      <c r="I13" s="36" t="s">
        <v>210</v>
      </c>
      <c r="J13" s="36" t="s">
        <v>211</v>
      </c>
      <c r="K13" s="36" t="s">
        <v>212</v>
      </c>
      <c r="L13" s="43" t="s">
        <v>213</v>
      </c>
      <c r="M13" s="126" t="s">
        <v>29</v>
      </c>
      <c r="N13" s="127" t="s">
        <v>232</v>
      </c>
      <c r="O13" s="127" t="s">
        <v>204</v>
      </c>
      <c r="P13" s="127" t="s">
        <v>205</v>
      </c>
      <c r="Q13" s="127" t="s">
        <v>233</v>
      </c>
      <c r="R13" s="127" t="s">
        <v>207</v>
      </c>
      <c r="S13" s="127" t="s">
        <v>208</v>
      </c>
      <c r="T13" s="127" t="s">
        <v>209</v>
      </c>
      <c r="U13" s="127" t="s">
        <v>210</v>
      </c>
      <c r="V13" s="127" t="s">
        <v>211</v>
      </c>
      <c r="W13" s="145" t="s">
        <v>212</v>
      </c>
      <c r="X13" s="128" t="s">
        <v>213</v>
      </c>
      <c r="Y13" s="2"/>
    </row>
    <row r="14" spans="1:25" ht="13" x14ac:dyDescent="0.25">
      <c r="A14" s="42">
        <v>1</v>
      </c>
      <c r="B14" s="45" t="str">
        <f>B4</f>
        <v>Repeatibility (Tipe A)</v>
      </c>
      <c r="C14" s="45" t="str">
        <f>E2</f>
        <v>cm</v>
      </c>
      <c r="D14" s="48">
        <f>ID!K39</f>
        <v>2.7194799110210365E-16</v>
      </c>
      <c r="E14" s="45" t="s">
        <v>215</v>
      </c>
      <c r="F14" s="45">
        <f>SQRT(3)</f>
        <v>1.7320508075688772</v>
      </c>
      <c r="G14" s="45">
        <v>2</v>
      </c>
      <c r="H14" s="45">
        <f>D14/F14</f>
        <v>1.5700924586837749E-16</v>
      </c>
      <c r="I14" s="45">
        <v>1</v>
      </c>
      <c r="J14" s="45">
        <f>H14*I14</f>
        <v>1.5700924586837749E-16</v>
      </c>
      <c r="K14" s="45">
        <f>J14^2</f>
        <v>2.4651903288156613E-32</v>
      </c>
      <c r="L14" s="46">
        <f>K14^2/G14</f>
        <v>3.0385816786431342E-64</v>
      </c>
      <c r="M14" s="126">
        <v>1</v>
      </c>
      <c r="N14" s="130" t="str">
        <f>N4</f>
        <v>Repeatibility (Tipe A)</v>
      </c>
      <c r="O14" s="130" t="str">
        <f>C14</f>
        <v>cm</v>
      </c>
      <c r="P14" s="131" t="e">
        <f>SQRT((((ID!H39-ID!M39)^2)+((ID!I39-ID!M39)^2)+((ID!J39-ID!M39)^2))/(3-1))</f>
        <v>#VALUE!</v>
      </c>
      <c r="Q14" s="130" t="s">
        <v>215</v>
      </c>
      <c r="R14" s="130">
        <f>SQRT(3)</f>
        <v>1.7320508075688772</v>
      </c>
      <c r="S14" s="130">
        <v>2</v>
      </c>
      <c r="T14" s="130" t="e">
        <f>P14/1.7320508</f>
        <v>#VALUE!</v>
      </c>
      <c r="U14" s="130">
        <v>1</v>
      </c>
      <c r="V14" s="132" t="e">
        <f>T14*1</f>
        <v>#VALUE!</v>
      </c>
      <c r="W14" s="133" t="e">
        <f>(T14*1)^2</f>
        <v>#VALUE!</v>
      </c>
      <c r="X14" s="132" t="e">
        <f>((T14*1)^4)/2</f>
        <v>#VALUE!</v>
      </c>
    </row>
    <row r="15" spans="1:25" ht="13" x14ac:dyDescent="0.25">
      <c r="A15" s="42">
        <v>2</v>
      </c>
      <c r="B15" s="45" t="s">
        <v>216</v>
      </c>
      <c r="C15" s="45" t="str">
        <f>E2</f>
        <v>cm</v>
      </c>
      <c r="D15" s="48">
        <f>ID!E7*0.5</f>
        <v>5.0000000000000001E-3</v>
      </c>
      <c r="E15" s="45" t="s">
        <v>217</v>
      </c>
      <c r="F15" s="45">
        <f>SQRT(3)</f>
        <v>1.7320508075688772</v>
      </c>
      <c r="G15" s="45">
        <v>50</v>
      </c>
      <c r="H15" s="45">
        <f>D15/F15</f>
        <v>2.886751345948129E-3</v>
      </c>
      <c r="I15" s="45">
        <v>1</v>
      </c>
      <c r="J15" s="45">
        <f>H15*I15</f>
        <v>2.886751345948129E-3</v>
      </c>
      <c r="K15" s="45">
        <f>J15^2</f>
        <v>8.3333333333333337E-6</v>
      </c>
      <c r="L15" s="46">
        <f>K15^2/G15</f>
        <v>1.3888888888888891E-12</v>
      </c>
      <c r="M15" s="126">
        <v>2</v>
      </c>
      <c r="N15" s="130" t="s">
        <v>216</v>
      </c>
      <c r="O15" s="130" t="str">
        <f>C15</f>
        <v>cm</v>
      </c>
      <c r="P15" s="131">
        <f>ID!E7*0.5</f>
        <v>5.0000000000000001E-3</v>
      </c>
      <c r="Q15" s="130" t="s">
        <v>217</v>
      </c>
      <c r="R15" s="130">
        <f>SQRT(3)</f>
        <v>1.7320508075688772</v>
      </c>
      <c r="S15" s="130">
        <v>50</v>
      </c>
      <c r="T15" s="130">
        <f>P15/1.7320508</f>
        <v>2.8867513585629245E-3</v>
      </c>
      <c r="U15" s="130">
        <v>1</v>
      </c>
      <c r="V15" s="132">
        <f>T15*1</f>
        <v>2.8867513585629245E-3</v>
      </c>
      <c r="W15" s="133">
        <f>(T15*1)^2</f>
        <v>8.3333334061648908E-6</v>
      </c>
      <c r="X15" s="134">
        <f>((T15*1)^4)/50</f>
        <v>1.3888889131660748E-12</v>
      </c>
    </row>
    <row r="16" spans="1:25" ht="13" x14ac:dyDescent="0.25">
      <c r="A16" s="42">
        <v>3</v>
      </c>
      <c r="B16" s="45" t="s">
        <v>218</v>
      </c>
      <c r="C16" s="45" t="str">
        <f>C15</f>
        <v>cm</v>
      </c>
      <c r="D16" s="48">
        <f>'Data Phantom'!D30</f>
        <v>5.0005000000000041E-3</v>
      </c>
      <c r="E16" s="45" t="s">
        <v>217</v>
      </c>
      <c r="F16" s="45">
        <f>SQRT(3)</f>
        <v>1.7320508075688772</v>
      </c>
      <c r="G16" s="45">
        <v>50</v>
      </c>
      <c r="H16" s="45">
        <f>D16/F16</f>
        <v>2.8870400210827263E-3</v>
      </c>
      <c r="I16" s="45">
        <v>1</v>
      </c>
      <c r="J16" s="45">
        <f>H16*I16</f>
        <v>2.8870400210827263E-3</v>
      </c>
      <c r="K16" s="45">
        <f>J16^2</f>
        <v>8.3350000833333483E-6</v>
      </c>
      <c r="L16" s="46">
        <f>K16^2/G16</f>
        <v>1.3894445277833383E-12</v>
      </c>
      <c r="M16" s="126"/>
      <c r="N16" s="130"/>
      <c r="O16" s="130"/>
      <c r="P16" s="131"/>
      <c r="Q16" s="130"/>
      <c r="R16" s="130"/>
      <c r="S16" s="130"/>
      <c r="T16" s="130"/>
      <c r="U16" s="130"/>
      <c r="V16" s="423"/>
      <c r="W16" s="133"/>
      <c r="X16" s="134"/>
    </row>
    <row r="17" spans="1:25" ht="14.5" x14ac:dyDescent="0.25">
      <c r="A17" s="986" t="s">
        <v>219</v>
      </c>
      <c r="B17" s="987"/>
      <c r="C17" s="987"/>
      <c r="D17" s="987"/>
      <c r="E17" s="987"/>
      <c r="F17" s="987"/>
      <c r="G17" s="987"/>
      <c r="H17" s="987"/>
      <c r="I17" s="987"/>
      <c r="J17" s="987"/>
      <c r="K17" s="62">
        <f>SUM(K14:K16)</f>
        <v>1.6668333416666682E-5</v>
      </c>
      <c r="L17" s="50">
        <f>SUM(L14:L16)</f>
        <v>2.7783334166722274E-12</v>
      </c>
      <c r="M17" s="964" t="s">
        <v>219</v>
      </c>
      <c r="N17" s="965"/>
      <c r="O17" s="965"/>
      <c r="P17" s="965"/>
      <c r="Q17" s="965"/>
      <c r="R17" s="965"/>
      <c r="S17" s="965"/>
      <c r="T17" s="965"/>
      <c r="U17" s="965"/>
      <c r="V17" s="965"/>
      <c r="W17" s="135" t="e">
        <f>((T14*1)^2)+((T15*1)^2)</f>
        <v>#VALUE!</v>
      </c>
      <c r="X17" s="136" t="e">
        <f>((((T14*1)^4)/2)+(((T15*1)^4)/50))</f>
        <v>#VALUE!</v>
      </c>
    </row>
    <row r="18" spans="1:25" ht="17" x14ac:dyDescent="0.25">
      <c r="A18" s="989" t="s">
        <v>220</v>
      </c>
      <c r="B18" s="990"/>
      <c r="C18" s="990"/>
      <c r="D18" s="990"/>
      <c r="E18" s="990"/>
      <c r="F18" s="991"/>
      <c r="G18" s="995" t="s">
        <v>221</v>
      </c>
      <c r="H18" s="996"/>
      <c r="I18" s="996"/>
      <c r="J18" s="997"/>
      <c r="K18" s="62">
        <f>SQRT(K17)</f>
        <v>4.0826870338867127E-3</v>
      </c>
      <c r="L18" s="50"/>
      <c r="M18" s="969" t="s">
        <v>220</v>
      </c>
      <c r="N18" s="970"/>
      <c r="O18" s="970"/>
      <c r="P18" s="970"/>
      <c r="Q18" s="970"/>
      <c r="R18" s="971"/>
      <c r="S18" s="972" t="s">
        <v>222</v>
      </c>
      <c r="T18" s="973"/>
      <c r="U18" s="973"/>
      <c r="V18" s="137"/>
      <c r="W18" s="135" t="e">
        <f>SQRT(((T14*1)^2)+((T15*1)^2))</f>
        <v>#VALUE!</v>
      </c>
      <c r="X18" s="138"/>
    </row>
    <row r="19" spans="1:25" ht="17" x14ac:dyDescent="0.25">
      <c r="A19" s="986" t="s">
        <v>223</v>
      </c>
      <c r="B19" s="987"/>
      <c r="C19" s="987"/>
      <c r="D19" s="987"/>
      <c r="E19" s="987"/>
      <c r="F19" s="987"/>
      <c r="G19" s="998" t="s">
        <v>224</v>
      </c>
      <c r="H19" s="998"/>
      <c r="I19" s="998"/>
      <c r="J19" s="998"/>
      <c r="K19" s="63">
        <f>(K18^4)/L17</f>
        <v>99.999999000100004</v>
      </c>
      <c r="L19" s="50"/>
      <c r="M19" s="964" t="s">
        <v>223</v>
      </c>
      <c r="N19" s="965"/>
      <c r="O19" s="965"/>
      <c r="P19" s="965"/>
      <c r="Q19" s="965"/>
      <c r="R19" s="965"/>
      <c r="S19" s="974" t="s">
        <v>225</v>
      </c>
      <c r="T19" s="975"/>
      <c r="U19" s="975"/>
      <c r="V19" s="139"/>
      <c r="W19" s="135" t="e">
        <f>(SQRT(((T14*1)^2)+((T15*1)^2))^4)/(((((T14*1)^4)/2)+(((T15*1)^4)/50)))</f>
        <v>#VALUE!</v>
      </c>
      <c r="X19" s="138"/>
    </row>
    <row r="20" spans="1:25" ht="14.5" x14ac:dyDescent="0.25">
      <c r="A20" s="986" t="s">
        <v>226</v>
      </c>
      <c r="B20" s="987"/>
      <c r="C20" s="987"/>
      <c r="D20" s="987"/>
      <c r="E20" s="987"/>
      <c r="F20" s="987"/>
      <c r="G20" s="998" t="s">
        <v>227</v>
      </c>
      <c r="H20" s="998"/>
      <c r="I20" s="998"/>
      <c r="J20" s="998"/>
      <c r="K20" s="62">
        <f>1.95996+(2.37356/K19)+(2.818745/K19^2)+(2.546662/K19^3)+(1.761829/K19^4)+(0.245458/K19^5)+(1.000764/K19^6)</f>
        <v>1.9839800390488826</v>
      </c>
      <c r="L20" s="50"/>
      <c r="M20" s="964" t="s">
        <v>226</v>
      </c>
      <c r="N20" s="965"/>
      <c r="O20" s="965"/>
      <c r="P20" s="965"/>
      <c r="Q20" s="965"/>
      <c r="R20" s="965"/>
      <c r="S20" s="962" t="s">
        <v>227</v>
      </c>
      <c r="T20" s="963"/>
      <c r="U20" s="963"/>
      <c r="V20" s="139"/>
      <c r="W20" s="135" t="e">
        <f>1.95996+(2.37356/W19)+(2.818745/W19^2)+(2.546662/W19^3)+(1.761829/W19^4)+(0.245458/W19^5)+(1.000764/W19^6)</f>
        <v>#VALUE!</v>
      </c>
      <c r="X20" s="138"/>
    </row>
    <row r="21" spans="1:25" ht="15" thickBot="1" x14ac:dyDescent="0.3">
      <c r="A21" s="992" t="s">
        <v>228</v>
      </c>
      <c r="B21" s="993"/>
      <c r="C21" s="993"/>
      <c r="D21" s="993"/>
      <c r="E21" s="993"/>
      <c r="F21" s="994"/>
      <c r="G21" s="999" t="s">
        <v>229</v>
      </c>
      <c r="H21" s="999"/>
      <c r="I21" s="999"/>
      <c r="J21" s="999"/>
      <c r="K21" s="422">
        <f>K20*K18</f>
        <v>8.0999695809149275E-3</v>
      </c>
      <c r="L21" s="61" t="str">
        <f>E2</f>
        <v>cm</v>
      </c>
      <c r="M21" s="966" t="s">
        <v>228</v>
      </c>
      <c r="N21" s="967"/>
      <c r="O21" s="967"/>
      <c r="P21" s="967"/>
      <c r="Q21" s="967"/>
      <c r="R21" s="968"/>
      <c r="S21" s="978" t="s">
        <v>229</v>
      </c>
      <c r="T21" s="979"/>
      <c r="U21" s="979"/>
      <c r="V21" s="140"/>
      <c r="W21" s="141" t="e">
        <f>W20*W18</f>
        <v>#VALUE!</v>
      </c>
      <c r="X21" s="142" t="str">
        <f>L21</f>
        <v>cm</v>
      </c>
    </row>
    <row r="22" spans="1:25" ht="13" x14ac:dyDescent="0.25">
      <c r="A22" s="37"/>
      <c r="B22" s="38" t="s">
        <v>234</v>
      </c>
      <c r="C22" s="38"/>
      <c r="D22" s="38">
        <v>10</v>
      </c>
      <c r="E22" s="38" t="str">
        <f>E2</f>
        <v>cm</v>
      </c>
      <c r="F22" s="39"/>
      <c r="G22" s="39"/>
      <c r="H22" s="39"/>
      <c r="I22" s="39"/>
      <c r="J22" s="39"/>
      <c r="K22" s="39"/>
      <c r="L22" s="40"/>
      <c r="M22" s="121"/>
      <c r="N22" s="122" t="s">
        <v>235</v>
      </c>
      <c r="O22" s="122"/>
      <c r="P22" s="122">
        <v>10</v>
      </c>
      <c r="Q22" s="122" t="str">
        <f>E22</f>
        <v>cm</v>
      </c>
      <c r="R22" s="123"/>
      <c r="S22" s="123"/>
      <c r="T22" s="123"/>
      <c r="U22" s="123"/>
      <c r="V22" s="123"/>
      <c r="W22" s="144"/>
      <c r="X22" s="124"/>
      <c r="Y22" s="1"/>
    </row>
    <row r="23" spans="1:25" ht="13" x14ac:dyDescent="0.25">
      <c r="A23" s="42" t="s">
        <v>29</v>
      </c>
      <c r="B23" s="36" t="s">
        <v>232</v>
      </c>
      <c r="C23" s="36" t="s">
        <v>204</v>
      </c>
      <c r="D23" s="36" t="s">
        <v>205</v>
      </c>
      <c r="E23" s="36" t="s">
        <v>233</v>
      </c>
      <c r="F23" s="36" t="s">
        <v>207</v>
      </c>
      <c r="G23" s="36" t="s">
        <v>208</v>
      </c>
      <c r="H23" s="36" t="s">
        <v>209</v>
      </c>
      <c r="I23" s="36" t="s">
        <v>210</v>
      </c>
      <c r="J23" s="36" t="s">
        <v>211</v>
      </c>
      <c r="K23" s="36" t="s">
        <v>212</v>
      </c>
      <c r="L23" s="43" t="s">
        <v>213</v>
      </c>
      <c r="M23" s="126" t="s">
        <v>29</v>
      </c>
      <c r="N23" s="127" t="s">
        <v>232</v>
      </c>
      <c r="O23" s="127" t="s">
        <v>204</v>
      </c>
      <c r="P23" s="127" t="s">
        <v>205</v>
      </c>
      <c r="Q23" s="127" t="s">
        <v>233</v>
      </c>
      <c r="R23" s="127" t="s">
        <v>207</v>
      </c>
      <c r="S23" s="127" t="s">
        <v>208</v>
      </c>
      <c r="T23" s="127" t="s">
        <v>209</v>
      </c>
      <c r="U23" s="127" t="s">
        <v>210</v>
      </c>
      <c r="V23" s="127" t="s">
        <v>211</v>
      </c>
      <c r="W23" s="145" t="s">
        <v>212</v>
      </c>
      <c r="X23" s="128" t="s">
        <v>213</v>
      </c>
    </row>
    <row r="24" spans="1:25" ht="13" x14ac:dyDescent="0.25">
      <c r="A24" s="42">
        <v>1</v>
      </c>
      <c r="B24" s="45" t="s">
        <v>236</v>
      </c>
      <c r="C24" s="45" t="str">
        <f>E22</f>
        <v>cm</v>
      </c>
      <c r="D24" s="48">
        <f>ID!K40</f>
        <v>1.3597399555105182E-16</v>
      </c>
      <c r="E24" s="45" t="s">
        <v>215</v>
      </c>
      <c r="F24" s="45">
        <f>SQRT(3)</f>
        <v>1.7320508075688772</v>
      </c>
      <c r="G24" s="45">
        <v>2</v>
      </c>
      <c r="H24" s="45">
        <f>D24/F24</f>
        <v>7.8504622934188746E-17</v>
      </c>
      <c r="I24" s="45">
        <v>1</v>
      </c>
      <c r="J24" s="45">
        <f>H24*I24</f>
        <v>7.8504622934188746E-17</v>
      </c>
      <c r="K24" s="45">
        <f>J24^2</f>
        <v>6.1629758220391534E-33</v>
      </c>
      <c r="L24" s="46">
        <f>K24^2/G24</f>
        <v>1.8991135491519589E-65</v>
      </c>
      <c r="M24" s="126">
        <v>1</v>
      </c>
      <c r="N24" s="130" t="s">
        <v>236</v>
      </c>
      <c r="O24" s="130" t="str">
        <f>C24</f>
        <v>cm</v>
      </c>
      <c r="P24" s="131" t="e">
        <f>SQRT((((ID!H40-ID!#REF!)^2)+((ID!I40-ID!#REF!)^2)+((ID!J40-ID!#REF!)^2))/(3-1))</f>
        <v>#REF!</v>
      </c>
      <c r="Q24" s="130" t="s">
        <v>215</v>
      </c>
      <c r="R24" s="130">
        <f>SQRT(3)</f>
        <v>1.7320508075688772</v>
      </c>
      <c r="S24" s="130">
        <v>2</v>
      </c>
      <c r="T24" s="146" t="e">
        <f>P24/1.7320508</f>
        <v>#REF!</v>
      </c>
      <c r="U24" s="130">
        <v>1</v>
      </c>
      <c r="V24" s="132" t="e">
        <f>T24*1</f>
        <v>#REF!</v>
      </c>
      <c r="W24" s="133" t="e">
        <f>(T24*1)^2</f>
        <v>#REF!</v>
      </c>
      <c r="X24" s="132" t="e">
        <f>((T24*1)^4)/2</f>
        <v>#REF!</v>
      </c>
    </row>
    <row r="25" spans="1:25" ht="13" x14ac:dyDescent="0.25">
      <c r="A25" s="42">
        <v>2</v>
      </c>
      <c r="B25" s="45" t="s">
        <v>216</v>
      </c>
      <c r="C25" s="45" t="str">
        <f>E22</f>
        <v>cm</v>
      </c>
      <c r="D25" s="48">
        <f>ID!E7*0.5</f>
        <v>5.0000000000000001E-3</v>
      </c>
      <c r="E25" s="45" t="s">
        <v>217</v>
      </c>
      <c r="F25" s="45">
        <f>SQRT(3)</f>
        <v>1.7320508075688772</v>
      </c>
      <c r="G25" s="45">
        <v>50</v>
      </c>
      <c r="H25" s="45">
        <f>D25/F25</f>
        <v>2.886751345948129E-3</v>
      </c>
      <c r="I25" s="45">
        <v>1</v>
      </c>
      <c r="J25" s="45">
        <f>H25*I25</f>
        <v>2.886751345948129E-3</v>
      </c>
      <c r="K25" s="45">
        <f>J25^2</f>
        <v>8.3333333333333337E-6</v>
      </c>
      <c r="L25" s="46">
        <f>K25^2/G25</f>
        <v>1.3888888888888891E-12</v>
      </c>
      <c r="M25" s="126">
        <v>2</v>
      </c>
      <c r="N25" s="130" t="s">
        <v>216</v>
      </c>
      <c r="O25" s="130" t="str">
        <f>C25</f>
        <v>cm</v>
      </c>
      <c r="P25" s="131">
        <f>ID!E7*0.5</f>
        <v>5.0000000000000001E-3</v>
      </c>
      <c r="Q25" s="130" t="s">
        <v>217</v>
      </c>
      <c r="R25" s="130">
        <f>SQRT(3)</f>
        <v>1.7320508075688772</v>
      </c>
      <c r="S25" s="130">
        <v>50</v>
      </c>
      <c r="T25" s="146">
        <f>P25/1.7320508</f>
        <v>2.8867513585629245E-3</v>
      </c>
      <c r="U25" s="130">
        <v>1</v>
      </c>
      <c r="V25" s="132">
        <f>T25*1</f>
        <v>2.8867513585629245E-3</v>
      </c>
      <c r="W25" s="133">
        <f>(T25*1)^2</f>
        <v>8.3333334061648908E-6</v>
      </c>
      <c r="X25" s="134">
        <f>((T25*1)^4)/50</f>
        <v>1.3888889131660748E-12</v>
      </c>
    </row>
    <row r="26" spans="1:25" ht="13" x14ac:dyDescent="0.25">
      <c r="A26" s="42">
        <v>3</v>
      </c>
      <c r="B26" s="45" t="s">
        <v>218</v>
      </c>
      <c r="C26" s="45" t="str">
        <f>C25</f>
        <v>cm</v>
      </c>
      <c r="D26" s="48">
        <f>'Data Phantom'!D20</f>
        <v>5.0004999999999997E-3</v>
      </c>
      <c r="E26" s="45" t="s">
        <v>217</v>
      </c>
      <c r="F26" s="45">
        <f>SQRT(3)</f>
        <v>1.7320508075688772</v>
      </c>
      <c r="G26" s="45">
        <v>50</v>
      </c>
      <c r="H26" s="45">
        <f>D26/F26</f>
        <v>2.8870400210827237E-3</v>
      </c>
      <c r="I26" s="45">
        <v>1</v>
      </c>
      <c r="J26" s="45">
        <f>H26*I26</f>
        <v>2.8870400210827237E-3</v>
      </c>
      <c r="K26" s="45">
        <f>J26^2</f>
        <v>8.3350000833333331E-6</v>
      </c>
      <c r="L26" s="46">
        <f>K26^2/G26</f>
        <v>1.3894445277833335E-12</v>
      </c>
      <c r="M26" s="416"/>
      <c r="N26" s="417"/>
      <c r="O26" s="417"/>
      <c r="P26" s="418"/>
      <c r="Q26" s="417"/>
      <c r="R26" s="417"/>
      <c r="S26" s="417"/>
      <c r="T26" s="419"/>
      <c r="U26" s="417"/>
      <c r="V26" s="417"/>
      <c r="W26" s="133"/>
      <c r="X26" s="134"/>
    </row>
    <row r="27" spans="1:25" ht="14.5" x14ac:dyDescent="0.25">
      <c r="A27" s="989" t="s">
        <v>219</v>
      </c>
      <c r="B27" s="990"/>
      <c r="C27" s="990"/>
      <c r="D27" s="990"/>
      <c r="E27" s="990"/>
      <c r="F27" s="990"/>
      <c r="G27" s="990"/>
      <c r="H27" s="990"/>
      <c r="I27" s="990"/>
      <c r="J27" s="991"/>
      <c r="K27" s="62">
        <f>SUM(K24:K26)</f>
        <v>1.6668333416666669E-5</v>
      </c>
      <c r="L27" s="50">
        <f>SUM(L24:L26)</f>
        <v>2.7783334166722226E-12</v>
      </c>
      <c r="M27" s="969" t="s">
        <v>219</v>
      </c>
      <c r="N27" s="970"/>
      <c r="O27" s="970"/>
      <c r="P27" s="970"/>
      <c r="Q27" s="970"/>
      <c r="R27" s="970"/>
      <c r="S27" s="970"/>
      <c r="T27" s="970"/>
      <c r="U27" s="970"/>
      <c r="V27" s="971"/>
      <c r="W27" s="135" t="e">
        <f>((T24*1)^2)+((T25*1)^2)</f>
        <v>#REF!</v>
      </c>
      <c r="X27" s="136" t="e">
        <f>((((T24*1)^4)/2)+(((T25*1)^4)/50))</f>
        <v>#REF!</v>
      </c>
    </row>
    <row r="28" spans="1:25" ht="17" x14ac:dyDescent="0.25">
      <c r="A28" s="989" t="s">
        <v>220</v>
      </c>
      <c r="B28" s="990"/>
      <c r="C28" s="990"/>
      <c r="D28" s="990"/>
      <c r="E28" s="990"/>
      <c r="F28" s="991"/>
      <c r="G28" s="995" t="s">
        <v>221</v>
      </c>
      <c r="H28" s="996"/>
      <c r="I28" s="996"/>
      <c r="J28" s="997"/>
      <c r="K28" s="62">
        <f>SQRT(K27)</f>
        <v>4.0826870338867109E-3</v>
      </c>
      <c r="L28" s="50"/>
      <c r="M28" s="969" t="s">
        <v>220</v>
      </c>
      <c r="N28" s="970"/>
      <c r="O28" s="970"/>
      <c r="P28" s="970"/>
      <c r="Q28" s="970"/>
      <c r="R28" s="971"/>
      <c r="S28" s="976" t="s">
        <v>222</v>
      </c>
      <c r="T28" s="977"/>
      <c r="U28" s="977"/>
      <c r="V28" s="137"/>
      <c r="W28" s="135" t="e">
        <f>SQRT(((T24*1)^2)+((T25*1)^2))</f>
        <v>#REF!</v>
      </c>
      <c r="X28" s="138"/>
    </row>
    <row r="29" spans="1:25" ht="17" x14ac:dyDescent="0.25">
      <c r="A29" s="989" t="s">
        <v>223</v>
      </c>
      <c r="B29" s="990"/>
      <c r="C29" s="990"/>
      <c r="D29" s="990"/>
      <c r="E29" s="990"/>
      <c r="F29" s="991"/>
      <c r="G29" s="1000" t="s">
        <v>224</v>
      </c>
      <c r="H29" s="1001"/>
      <c r="I29" s="1001"/>
      <c r="J29" s="1002"/>
      <c r="K29" s="63">
        <f>(K28^4)/L27</f>
        <v>99.999999000100033</v>
      </c>
      <c r="L29" s="50"/>
      <c r="M29" s="969" t="s">
        <v>223</v>
      </c>
      <c r="N29" s="970"/>
      <c r="O29" s="970"/>
      <c r="P29" s="970"/>
      <c r="Q29" s="970"/>
      <c r="R29" s="971"/>
      <c r="S29" s="974" t="s">
        <v>225</v>
      </c>
      <c r="T29" s="975"/>
      <c r="U29" s="975"/>
      <c r="V29" s="139"/>
      <c r="W29" s="135" t="e">
        <f>(SQRT(((T24*1)^2)+((T25*1)^2))^4)/(((((T24*1)^4)/2)+(((T25*1)^4)/50)))</f>
        <v>#REF!</v>
      </c>
      <c r="X29" s="138"/>
    </row>
    <row r="30" spans="1:25" ht="14.5" x14ac:dyDescent="0.25">
      <c r="A30" s="989" t="s">
        <v>226</v>
      </c>
      <c r="B30" s="990"/>
      <c r="C30" s="990"/>
      <c r="D30" s="990"/>
      <c r="E30" s="990"/>
      <c r="F30" s="991"/>
      <c r="G30" s="1000" t="s">
        <v>227</v>
      </c>
      <c r="H30" s="1001"/>
      <c r="I30" s="1001"/>
      <c r="J30" s="1002"/>
      <c r="K30" s="62">
        <f>1.95996+(2.37356/K29)+(2.818745/K29^2)+(2.546662/K29^3)+(1.761829/K29^4)+(0.245458/K29^5)+(1.000764/K29^6)</f>
        <v>1.9839800390488826</v>
      </c>
      <c r="L30" s="50"/>
      <c r="M30" s="969" t="s">
        <v>226</v>
      </c>
      <c r="N30" s="970"/>
      <c r="O30" s="970"/>
      <c r="P30" s="970"/>
      <c r="Q30" s="970"/>
      <c r="R30" s="971"/>
      <c r="S30" s="962" t="s">
        <v>227</v>
      </c>
      <c r="T30" s="963"/>
      <c r="U30" s="963"/>
      <c r="V30" s="139"/>
      <c r="W30" s="135" t="e">
        <f>1.95996+(2.37356/W29)+(2.818745/W29^2)+(2.546662/W29^3)+(1.761829/W29^4)+(0.245458/W29^5)+(1.000764/W29^6)</f>
        <v>#REF!</v>
      </c>
      <c r="X30" s="138"/>
    </row>
    <row r="31" spans="1:25" ht="15" thickBot="1" x14ac:dyDescent="0.3">
      <c r="A31" s="992" t="s">
        <v>228</v>
      </c>
      <c r="B31" s="993"/>
      <c r="C31" s="993"/>
      <c r="D31" s="993"/>
      <c r="E31" s="993"/>
      <c r="F31" s="994"/>
      <c r="G31" s="1003" t="s">
        <v>229</v>
      </c>
      <c r="H31" s="1004"/>
      <c r="I31" s="1004"/>
      <c r="J31" s="1005"/>
      <c r="K31" s="120">
        <f>K30*K28</f>
        <v>8.0999695809149241E-3</v>
      </c>
      <c r="L31" s="61" t="str">
        <f>E22</f>
        <v>cm</v>
      </c>
      <c r="M31" s="966" t="s">
        <v>228</v>
      </c>
      <c r="N31" s="967"/>
      <c r="O31" s="967"/>
      <c r="P31" s="967"/>
      <c r="Q31" s="967"/>
      <c r="R31" s="968"/>
      <c r="S31" s="962" t="s">
        <v>229</v>
      </c>
      <c r="T31" s="963"/>
      <c r="U31" s="963"/>
      <c r="V31" s="140"/>
      <c r="W31" s="147" t="e">
        <f>W30*W28</f>
        <v>#REF!</v>
      </c>
      <c r="X31" s="142" t="str">
        <f>L31</f>
        <v>cm</v>
      </c>
    </row>
    <row r="32" spans="1:25" ht="15" thickBot="1" x14ac:dyDescent="0.3">
      <c r="A32" s="64"/>
      <c r="B32" s="64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148"/>
      <c r="N32" s="148"/>
      <c r="O32" s="148"/>
      <c r="P32" s="148"/>
      <c r="Q32" s="148"/>
      <c r="R32" s="148"/>
      <c r="S32" s="149"/>
      <c r="T32" s="149"/>
      <c r="U32" s="149"/>
      <c r="V32" s="149"/>
      <c r="W32" s="150"/>
      <c r="X32" s="151"/>
    </row>
    <row r="33" spans="1:24" ht="13" x14ac:dyDescent="0.25">
      <c r="A33" s="37"/>
      <c r="B33" s="38" t="s">
        <v>237</v>
      </c>
      <c r="C33" s="38"/>
      <c r="D33" s="38">
        <v>10</v>
      </c>
      <c r="E33" s="38" t="str">
        <f>E22</f>
        <v>cm</v>
      </c>
      <c r="F33" s="39"/>
      <c r="G33" s="39"/>
      <c r="H33" s="39"/>
      <c r="I33" s="39"/>
      <c r="J33" s="39"/>
      <c r="K33" s="39"/>
      <c r="L33" s="40"/>
      <c r="M33" s="121"/>
      <c r="N33" s="122" t="s">
        <v>238</v>
      </c>
      <c r="O33" s="122"/>
      <c r="P33" s="122">
        <v>10</v>
      </c>
      <c r="Q33" s="122" t="str">
        <f>E33</f>
        <v>cm</v>
      </c>
      <c r="R33" s="123"/>
      <c r="S33" s="143"/>
      <c r="T33" s="143"/>
      <c r="U33" s="143"/>
      <c r="V33" s="123"/>
      <c r="W33" s="144"/>
      <c r="X33" s="124"/>
    </row>
    <row r="34" spans="1:24" ht="13" x14ac:dyDescent="0.25">
      <c r="A34" s="67" t="s">
        <v>29</v>
      </c>
      <c r="B34" s="36" t="s">
        <v>232</v>
      </c>
      <c r="C34" s="36" t="s">
        <v>204</v>
      </c>
      <c r="D34" s="36" t="s">
        <v>205</v>
      </c>
      <c r="E34" s="36" t="s">
        <v>233</v>
      </c>
      <c r="F34" s="36" t="s">
        <v>207</v>
      </c>
      <c r="G34" s="36" t="s">
        <v>208</v>
      </c>
      <c r="H34" s="36" t="s">
        <v>209</v>
      </c>
      <c r="I34" s="36" t="s">
        <v>210</v>
      </c>
      <c r="J34" s="36" t="s">
        <v>211</v>
      </c>
      <c r="K34" s="36" t="s">
        <v>212</v>
      </c>
      <c r="L34" s="43" t="s">
        <v>213</v>
      </c>
      <c r="M34" s="155" t="s">
        <v>29</v>
      </c>
      <c r="N34" s="127" t="s">
        <v>232</v>
      </c>
      <c r="O34" s="127" t="s">
        <v>204</v>
      </c>
      <c r="P34" s="127" t="s">
        <v>205</v>
      </c>
      <c r="Q34" s="127" t="s">
        <v>233</v>
      </c>
      <c r="R34" s="127" t="s">
        <v>207</v>
      </c>
      <c r="S34" s="127" t="s">
        <v>208</v>
      </c>
      <c r="T34" s="127" t="s">
        <v>209</v>
      </c>
      <c r="U34" s="127" t="s">
        <v>210</v>
      </c>
      <c r="V34" s="127" t="s">
        <v>211</v>
      </c>
      <c r="W34" s="145" t="s">
        <v>212</v>
      </c>
      <c r="X34" s="128" t="s">
        <v>213</v>
      </c>
    </row>
    <row r="35" spans="1:24" ht="13" x14ac:dyDescent="0.25">
      <c r="A35" s="42">
        <v>1</v>
      </c>
      <c r="B35" s="45" t="str">
        <f>B4</f>
        <v>Repeatibility (Tipe A)</v>
      </c>
      <c r="C35" s="45" t="str">
        <f>E33</f>
        <v>cm</v>
      </c>
      <c r="D35" s="48">
        <f>ID!K41</f>
        <v>1.3597399555105182E-16</v>
      </c>
      <c r="E35" s="45" t="s">
        <v>215</v>
      </c>
      <c r="F35" s="45">
        <f>SQRT(3)</f>
        <v>1.7320508075688772</v>
      </c>
      <c r="G35" s="45">
        <v>2</v>
      </c>
      <c r="H35" s="45">
        <f>D35/F35</f>
        <v>7.8504622934188746E-17</v>
      </c>
      <c r="I35" s="45">
        <v>1</v>
      </c>
      <c r="J35" s="45">
        <f>H35*I35</f>
        <v>7.8504622934188746E-17</v>
      </c>
      <c r="K35" s="45">
        <f>J35^2</f>
        <v>6.1629758220391534E-33</v>
      </c>
      <c r="L35" s="46">
        <f>K35^2/G35</f>
        <v>1.8991135491519589E-65</v>
      </c>
      <c r="M35" s="126">
        <v>1</v>
      </c>
      <c r="N35" s="130" t="str">
        <f>N4</f>
        <v>Repeatibility (Tipe A)</v>
      </c>
      <c r="O35" s="130" t="str">
        <f>C35</f>
        <v>cm</v>
      </c>
      <c r="P35" s="131" t="e">
        <f>SQRT((((ID!H41-ID!#REF!)^2)+((ID!I41-ID!#REF!)^2)+((ID!J41-ID!#REF!)^2))/(3-1))</f>
        <v>#REF!</v>
      </c>
      <c r="Q35" s="130" t="s">
        <v>215</v>
      </c>
      <c r="R35" s="130">
        <f>SQRT(3)</f>
        <v>1.7320508075688772</v>
      </c>
      <c r="S35" s="130">
        <v>2</v>
      </c>
      <c r="T35" s="146" t="e">
        <f>P35/1.7320508</f>
        <v>#REF!</v>
      </c>
      <c r="U35" s="130">
        <v>1</v>
      </c>
      <c r="V35" s="130" t="e">
        <f>T35*U35</f>
        <v>#REF!</v>
      </c>
      <c r="W35" s="133" t="e">
        <f>(T35*1)^2</f>
        <v>#REF!</v>
      </c>
      <c r="X35" s="132" t="e">
        <f>((T35*1)^4)/2</f>
        <v>#REF!</v>
      </c>
    </row>
    <row r="36" spans="1:24" ht="13" x14ac:dyDescent="0.25">
      <c r="A36" s="42">
        <v>2</v>
      </c>
      <c r="B36" s="45" t="s">
        <v>216</v>
      </c>
      <c r="C36" s="45" t="str">
        <f>E33</f>
        <v>cm</v>
      </c>
      <c r="D36" s="48">
        <f>ID!E7*0.5</f>
        <v>5.0000000000000001E-3</v>
      </c>
      <c r="E36" s="45" t="s">
        <v>217</v>
      </c>
      <c r="F36" s="45">
        <f>SQRT(3)</f>
        <v>1.7320508075688772</v>
      </c>
      <c r="G36" s="45">
        <v>50</v>
      </c>
      <c r="H36" s="45">
        <f>D36/F36</f>
        <v>2.886751345948129E-3</v>
      </c>
      <c r="I36" s="45">
        <v>1</v>
      </c>
      <c r="J36" s="45">
        <f>H36*I36</f>
        <v>2.886751345948129E-3</v>
      </c>
      <c r="K36" s="45">
        <f>J36^2</f>
        <v>8.3333333333333337E-6</v>
      </c>
      <c r="L36" s="46">
        <f>K36^2/G36</f>
        <v>1.3888888888888891E-12</v>
      </c>
      <c r="M36" s="126">
        <v>2</v>
      </c>
      <c r="N36" s="130" t="s">
        <v>216</v>
      </c>
      <c r="O36" s="130" t="str">
        <f>C36</f>
        <v>cm</v>
      </c>
      <c r="P36" s="131">
        <f>ID!E7*0.5</f>
        <v>5.0000000000000001E-3</v>
      </c>
      <c r="Q36" s="130" t="s">
        <v>217</v>
      </c>
      <c r="R36" s="130">
        <f>SQRT(3)</f>
        <v>1.7320508075688772</v>
      </c>
      <c r="S36" s="130">
        <v>50</v>
      </c>
      <c r="T36" s="146">
        <f>P36/1.7320508</f>
        <v>2.8867513585629245E-3</v>
      </c>
      <c r="U36" s="130">
        <v>1</v>
      </c>
      <c r="V36" s="130">
        <f>T36*U36</f>
        <v>2.8867513585629245E-3</v>
      </c>
      <c r="W36" s="133">
        <f>(T36*1)^2</f>
        <v>8.3333334061648908E-6</v>
      </c>
      <c r="X36" s="134">
        <f>((T36*1)^4)/50</f>
        <v>1.3888889131660748E-12</v>
      </c>
    </row>
    <row r="37" spans="1:24" ht="13" x14ac:dyDescent="0.25">
      <c r="A37" s="42">
        <v>3</v>
      </c>
      <c r="B37" s="45" t="s">
        <v>218</v>
      </c>
      <c r="C37" s="45" t="str">
        <f>C36</f>
        <v>cm</v>
      </c>
      <c r="D37" s="48">
        <f>'Data Phantom'!D21</f>
        <v>0</v>
      </c>
      <c r="E37" s="45" t="s">
        <v>217</v>
      </c>
      <c r="F37" s="45">
        <f>SQRT(3)</f>
        <v>1.7320508075688772</v>
      </c>
      <c r="G37" s="45">
        <v>50</v>
      </c>
      <c r="H37" s="45">
        <f>D37/F37</f>
        <v>0</v>
      </c>
      <c r="I37" s="45">
        <v>1</v>
      </c>
      <c r="J37" s="45">
        <f>H37*I37</f>
        <v>0</v>
      </c>
      <c r="K37" s="45">
        <f>J37^2</f>
        <v>0</v>
      </c>
      <c r="L37" s="46">
        <f>K37^2/G37</f>
        <v>0</v>
      </c>
      <c r="M37" s="126"/>
      <c r="N37" s="130"/>
      <c r="O37" s="130"/>
      <c r="P37" s="131"/>
      <c r="Q37" s="130"/>
      <c r="R37" s="130"/>
      <c r="S37" s="130"/>
      <c r="T37" s="146"/>
      <c r="U37" s="130"/>
      <c r="V37" s="130"/>
      <c r="W37" s="133"/>
      <c r="X37" s="134"/>
    </row>
    <row r="38" spans="1:24" ht="14.5" x14ac:dyDescent="0.25">
      <c r="A38" s="986" t="s">
        <v>219</v>
      </c>
      <c r="B38" s="987"/>
      <c r="C38" s="987"/>
      <c r="D38" s="987"/>
      <c r="E38" s="987"/>
      <c r="F38" s="987"/>
      <c r="G38" s="987"/>
      <c r="H38" s="987"/>
      <c r="I38" s="987"/>
      <c r="J38" s="987"/>
      <c r="K38" s="62">
        <f>SUM(K35:K37)</f>
        <v>8.3333333333333337E-6</v>
      </c>
      <c r="L38" s="50">
        <f>SUM(L35:L37)</f>
        <v>1.3888888888888891E-12</v>
      </c>
      <c r="M38" s="964" t="s">
        <v>219</v>
      </c>
      <c r="N38" s="965"/>
      <c r="O38" s="965"/>
      <c r="P38" s="965"/>
      <c r="Q38" s="965"/>
      <c r="R38" s="965"/>
      <c r="S38" s="965"/>
      <c r="T38" s="965"/>
      <c r="U38" s="965"/>
      <c r="V38" s="965"/>
      <c r="W38" s="135" t="e">
        <f>((T35*1)^2)+((T36*1)^2)</f>
        <v>#REF!</v>
      </c>
      <c r="X38" s="136" t="e">
        <f>((((T35*1)^4)/2)+(((T36*1)^4)/50))</f>
        <v>#REF!</v>
      </c>
    </row>
    <row r="39" spans="1:24" ht="17" x14ac:dyDescent="0.25">
      <c r="A39" s="989" t="s">
        <v>220</v>
      </c>
      <c r="B39" s="990"/>
      <c r="C39" s="990"/>
      <c r="D39" s="990"/>
      <c r="E39" s="990"/>
      <c r="F39" s="991"/>
      <c r="G39" s="995" t="s">
        <v>221</v>
      </c>
      <c r="H39" s="996"/>
      <c r="I39" s="996"/>
      <c r="J39" s="997"/>
      <c r="K39" s="62">
        <f>SQRT(K38)</f>
        <v>2.886751345948129E-3</v>
      </c>
      <c r="L39" s="50"/>
      <c r="M39" s="969" t="s">
        <v>220</v>
      </c>
      <c r="N39" s="970"/>
      <c r="O39" s="970"/>
      <c r="P39" s="970"/>
      <c r="Q39" s="970"/>
      <c r="R39" s="971"/>
      <c r="S39" s="972" t="s">
        <v>222</v>
      </c>
      <c r="T39" s="973"/>
      <c r="U39" s="973"/>
      <c r="V39" s="152"/>
      <c r="W39" s="135" t="e">
        <f>SQRT(((T35*1)^2)+((T36*1)^2))</f>
        <v>#REF!</v>
      </c>
      <c r="X39" s="138"/>
    </row>
    <row r="40" spans="1:24" ht="17" x14ac:dyDescent="0.25">
      <c r="A40" s="986" t="s">
        <v>223</v>
      </c>
      <c r="B40" s="987"/>
      <c r="C40" s="987"/>
      <c r="D40" s="987"/>
      <c r="E40" s="987"/>
      <c r="F40" s="987"/>
      <c r="G40" s="998" t="s">
        <v>224</v>
      </c>
      <c r="H40" s="998"/>
      <c r="I40" s="998"/>
      <c r="J40" s="998"/>
      <c r="K40" s="63">
        <f>(K39^4)/L38</f>
        <v>50</v>
      </c>
      <c r="L40" s="50"/>
      <c r="M40" s="964" t="s">
        <v>223</v>
      </c>
      <c r="N40" s="965"/>
      <c r="O40" s="965"/>
      <c r="P40" s="965"/>
      <c r="Q40" s="965"/>
      <c r="R40" s="965"/>
      <c r="S40" s="974" t="s">
        <v>225</v>
      </c>
      <c r="T40" s="975"/>
      <c r="U40" s="975"/>
      <c r="V40" s="153"/>
      <c r="W40" s="135" t="e">
        <f>(SQRT(((T35*1)^2)+((T36*1)^2))^4)/(((((T35*1)^4)/2)+(((T36*1)^4)/50)))</f>
        <v>#REF!</v>
      </c>
      <c r="X40" s="138"/>
    </row>
    <row r="41" spans="1:24" ht="14.5" x14ac:dyDescent="0.25">
      <c r="A41" s="986" t="s">
        <v>226</v>
      </c>
      <c r="B41" s="987"/>
      <c r="C41" s="987"/>
      <c r="D41" s="987"/>
      <c r="E41" s="987"/>
      <c r="F41" s="987"/>
      <c r="G41" s="998" t="s">
        <v>227</v>
      </c>
      <c r="H41" s="998"/>
      <c r="I41" s="998"/>
      <c r="J41" s="998"/>
      <c r="K41" s="62">
        <f>1.95996+(2.37356/K40)+(2.818745/K40^2)+(2.546662/K40^3)+(1.761829/K40^4)+(0.245458/K40^5)+(1.000764/K40^6)</f>
        <v>2.008579354038154</v>
      </c>
      <c r="L41" s="50"/>
      <c r="M41" s="964" t="s">
        <v>226</v>
      </c>
      <c r="N41" s="965"/>
      <c r="O41" s="965"/>
      <c r="P41" s="965"/>
      <c r="Q41" s="965"/>
      <c r="R41" s="965"/>
      <c r="S41" s="962" t="s">
        <v>227</v>
      </c>
      <c r="T41" s="963"/>
      <c r="U41" s="963"/>
      <c r="V41" s="153"/>
      <c r="W41" s="135" t="e">
        <f>1.95996+(2.37356/W40)+(2.818745/W40^2)+(2.546662/W40^3)+(1.761829/W40^4)+(0.245458/W40^5)+(1.000764/W40^6)</f>
        <v>#REF!</v>
      </c>
      <c r="X41" s="138"/>
    </row>
    <row r="42" spans="1:24" ht="15" thickBot="1" x14ac:dyDescent="0.3">
      <c r="A42" s="992" t="s">
        <v>228</v>
      </c>
      <c r="B42" s="993"/>
      <c r="C42" s="993"/>
      <c r="D42" s="993"/>
      <c r="E42" s="993"/>
      <c r="F42" s="994"/>
      <c r="G42" s="999" t="s">
        <v>229</v>
      </c>
      <c r="H42" s="999"/>
      <c r="I42" s="999"/>
      <c r="J42" s="999"/>
      <c r="K42" s="120">
        <f>K41*K39</f>
        <v>5.7982691537132643E-3</v>
      </c>
      <c r="L42" s="61" t="str">
        <f>E33</f>
        <v>cm</v>
      </c>
      <c r="M42" s="966" t="s">
        <v>228</v>
      </c>
      <c r="N42" s="967"/>
      <c r="O42" s="967"/>
      <c r="P42" s="967"/>
      <c r="Q42" s="967"/>
      <c r="R42" s="968"/>
      <c r="S42" s="962" t="s">
        <v>229</v>
      </c>
      <c r="T42" s="963"/>
      <c r="U42" s="963"/>
      <c r="V42" s="154"/>
      <c r="W42" s="147" t="e">
        <f>W41*W39</f>
        <v>#REF!</v>
      </c>
      <c r="X42" s="142" t="str">
        <f>L42</f>
        <v>cm</v>
      </c>
    </row>
    <row r="43" spans="1:24" ht="13" x14ac:dyDescent="0.25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118"/>
      <c r="X43" s="68"/>
    </row>
  </sheetData>
  <sheetProtection algorithmName="SHA-512" hashValue="ObZ4K0/FCFtOaXD9BIZhYi0WAmppcm64dkbauhQDdSe8zk1zSI46+4xTGfZikAflImoq4J9ylfZrHQWJiuoHEg==" saltValue="Z6vP18ejvBlHFGQxLUylCQ==" spinCount="100000" sheet="1" objects="1" scenarios="1"/>
  <mergeCells count="70">
    <mergeCell ref="A41:F41"/>
    <mergeCell ref="G41:J41"/>
    <mergeCell ref="A42:F42"/>
    <mergeCell ref="G42:J42"/>
    <mergeCell ref="A38:J38"/>
    <mergeCell ref="A39:F39"/>
    <mergeCell ref="G39:J39"/>
    <mergeCell ref="A40:F40"/>
    <mergeCell ref="G40:J40"/>
    <mergeCell ref="A29:F29"/>
    <mergeCell ref="G29:J29"/>
    <mergeCell ref="A30:F30"/>
    <mergeCell ref="G30:J30"/>
    <mergeCell ref="A31:F31"/>
    <mergeCell ref="G31:J31"/>
    <mergeCell ref="A20:F20"/>
    <mergeCell ref="G20:J20"/>
    <mergeCell ref="A21:F21"/>
    <mergeCell ref="G21:J21"/>
    <mergeCell ref="A28:F28"/>
    <mergeCell ref="G28:J28"/>
    <mergeCell ref="A27:J27"/>
    <mergeCell ref="A11:F11"/>
    <mergeCell ref="A17:J17"/>
    <mergeCell ref="A18:F18"/>
    <mergeCell ref="G18:J18"/>
    <mergeCell ref="A19:F19"/>
    <mergeCell ref="G19:J19"/>
    <mergeCell ref="A1:L1"/>
    <mergeCell ref="A7:J7"/>
    <mergeCell ref="A8:F8"/>
    <mergeCell ref="A9:F9"/>
    <mergeCell ref="A10:F10"/>
    <mergeCell ref="M1:X1"/>
    <mergeCell ref="M7:V7"/>
    <mergeCell ref="M8:R8"/>
    <mergeCell ref="M9:R9"/>
    <mergeCell ref="M10:R10"/>
    <mergeCell ref="S8:U8"/>
    <mergeCell ref="S9:U9"/>
    <mergeCell ref="S10:U10"/>
    <mergeCell ref="S28:U28"/>
    <mergeCell ref="S29:U29"/>
    <mergeCell ref="S11:U11"/>
    <mergeCell ref="S18:U18"/>
    <mergeCell ref="M27:V27"/>
    <mergeCell ref="M28:R28"/>
    <mergeCell ref="M20:R20"/>
    <mergeCell ref="M21:R21"/>
    <mergeCell ref="M11:R11"/>
    <mergeCell ref="M17:V17"/>
    <mergeCell ref="M18:R18"/>
    <mergeCell ref="M19:R19"/>
    <mergeCell ref="S19:U19"/>
    <mergeCell ref="S20:U20"/>
    <mergeCell ref="S21:U21"/>
    <mergeCell ref="M29:R29"/>
    <mergeCell ref="S41:U41"/>
    <mergeCell ref="S42:U42"/>
    <mergeCell ref="M41:R41"/>
    <mergeCell ref="M42:R42"/>
    <mergeCell ref="S30:U30"/>
    <mergeCell ref="S31:U31"/>
    <mergeCell ref="M38:V38"/>
    <mergeCell ref="M39:R39"/>
    <mergeCell ref="M40:R40"/>
    <mergeCell ref="S39:U39"/>
    <mergeCell ref="S40:U40"/>
    <mergeCell ref="M31:R31"/>
    <mergeCell ref="M30:R30"/>
  </mergeCells>
  <printOptions horizontalCentered="1"/>
  <pageMargins left="0.5" right="0.25" top="0.5" bottom="0.25" header="0.25" footer="0.25"/>
  <pageSetup paperSize="9" scale="80" orientation="portrait" horizontalDpi="4294967294" r:id="rId1"/>
  <headerFooter>
    <oddHeader>&amp;R&amp;"-,Regular"&amp;8OA.UB - 065 - 18/ REV : 0</oddHeader>
    <oddFooter>&amp;R&amp;"-,Regular"&amp;8&amp;K00-024software usg 2017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763D-8B48-4E66-A8DE-CA38E67FB90C}">
  <dimension ref="A2:AA100"/>
  <sheetViews>
    <sheetView topLeftCell="A13" zoomScale="120" zoomScaleNormal="120" workbookViewId="0">
      <selection activeCell="A21" sqref="A21"/>
    </sheetView>
  </sheetViews>
  <sheetFormatPr defaultColWidth="9.1796875" defaultRowHeight="12.5" x14ac:dyDescent="0.25"/>
  <cols>
    <col min="1" max="1" width="9.453125" customWidth="1"/>
    <col min="2" max="2" width="13.1796875" customWidth="1"/>
    <col min="3" max="3" width="7.1796875" customWidth="1"/>
    <col min="4" max="4" width="14" customWidth="1"/>
    <col min="5" max="5" width="12.1796875" customWidth="1"/>
    <col min="6" max="6" width="8.81640625" customWidth="1"/>
    <col min="7" max="7" width="8.1796875" customWidth="1"/>
    <col min="8" max="8" width="10" customWidth="1"/>
    <col min="9" max="9" width="7.54296875" customWidth="1"/>
    <col min="10" max="10" width="6.54296875" customWidth="1"/>
    <col min="11" max="11" width="6.81640625" customWidth="1"/>
    <col min="12" max="12" width="5.54296875" customWidth="1"/>
    <col min="13" max="13" width="9.1796875" customWidth="1"/>
    <col min="14" max="14" width="6.81640625" customWidth="1"/>
    <col min="15" max="15" width="7.1796875" customWidth="1"/>
    <col min="16" max="16" width="7.453125" customWidth="1"/>
    <col min="17" max="17" width="9" customWidth="1"/>
    <col min="18" max="18" width="8.54296875" customWidth="1"/>
    <col min="19" max="19" width="7.453125" customWidth="1"/>
    <col min="20" max="20" width="7.54296875" customWidth="1"/>
    <col min="21" max="21" width="7.1796875" customWidth="1"/>
    <col min="22" max="22" width="7" customWidth="1"/>
    <col min="23" max="23" width="7.81640625" customWidth="1"/>
    <col min="24" max="24" width="6.54296875" customWidth="1"/>
    <col min="25" max="25" width="7.1796875" customWidth="1"/>
    <col min="26" max="26" width="7.81640625" customWidth="1"/>
    <col min="27" max="27" width="7" customWidth="1"/>
    <col min="29" max="29" width="10.81640625" customWidth="1"/>
  </cols>
  <sheetData>
    <row r="2" spans="1:27" ht="15.75" customHeight="1" x14ac:dyDescent="0.25">
      <c r="A2" s="396"/>
      <c r="B2" s="395"/>
      <c r="C2" s="395"/>
      <c r="D2" s="395"/>
      <c r="E2" s="395"/>
    </row>
    <row r="3" spans="1:27" ht="34" customHeight="1" x14ac:dyDescent="0.3">
      <c r="A3" s="394"/>
      <c r="B3" s="1032" t="s">
        <v>169</v>
      </c>
      <c r="C3" s="1032"/>
      <c r="D3" s="1032" t="s">
        <v>173</v>
      </c>
      <c r="E3" s="1032"/>
      <c r="F3" s="1024" t="s">
        <v>174</v>
      </c>
      <c r="G3" s="1024"/>
      <c r="H3" s="1024" t="s">
        <v>265</v>
      </c>
      <c r="I3" s="1024"/>
      <c r="J3" s="1024" t="s">
        <v>266</v>
      </c>
      <c r="K3" s="1024"/>
      <c r="L3" s="1024" t="s">
        <v>267</v>
      </c>
      <c r="M3" s="1024"/>
      <c r="N3" s="1024" t="s">
        <v>268</v>
      </c>
      <c r="O3" s="1024"/>
      <c r="P3" s="1024" t="s">
        <v>269</v>
      </c>
      <c r="Q3" s="1024"/>
      <c r="R3" s="1024" t="s">
        <v>63</v>
      </c>
      <c r="S3" s="1024"/>
      <c r="T3" s="1024" t="s">
        <v>270</v>
      </c>
      <c r="U3" s="1024"/>
      <c r="V3" s="1024" t="s">
        <v>271</v>
      </c>
      <c r="W3" s="1024"/>
      <c r="X3" s="1024" t="s">
        <v>272</v>
      </c>
      <c r="Y3" s="1024"/>
      <c r="Z3" s="1024" t="s">
        <v>273</v>
      </c>
      <c r="AA3" s="1024"/>
    </row>
    <row r="4" spans="1:27" ht="50.15" customHeight="1" x14ac:dyDescent="0.3">
      <c r="A4" s="1020" t="s">
        <v>274</v>
      </c>
      <c r="B4" s="1025" t="s">
        <v>168</v>
      </c>
      <c r="C4" s="1026"/>
      <c r="D4" s="1025" t="s">
        <v>172</v>
      </c>
      <c r="E4" s="1026"/>
      <c r="F4" s="1025" t="s">
        <v>175</v>
      </c>
      <c r="G4" s="1026"/>
      <c r="H4" s="1025" t="s">
        <v>176</v>
      </c>
      <c r="I4" s="1026"/>
      <c r="J4" s="1029" t="s">
        <v>180</v>
      </c>
      <c r="K4" s="1030"/>
      <c r="L4" s="1029" t="s">
        <v>182</v>
      </c>
      <c r="M4" s="1030"/>
      <c r="N4" s="1031" t="s">
        <v>186</v>
      </c>
      <c r="O4" s="1031"/>
      <c r="P4" s="1027" t="s">
        <v>187</v>
      </c>
      <c r="Q4" s="1027"/>
      <c r="R4" s="1027" t="s">
        <v>188</v>
      </c>
      <c r="S4" s="1027"/>
      <c r="T4" s="1028" t="s">
        <v>190</v>
      </c>
      <c r="U4" s="1028"/>
      <c r="V4" s="1019" t="s">
        <v>275</v>
      </c>
      <c r="W4" s="1019"/>
      <c r="X4" s="1019" t="s">
        <v>275</v>
      </c>
      <c r="Y4" s="1019"/>
      <c r="Z4" s="1019" t="s">
        <v>275</v>
      </c>
      <c r="AA4" s="1019"/>
    </row>
    <row r="5" spans="1:27" ht="23.5" customHeight="1" x14ac:dyDescent="0.25">
      <c r="A5" s="1021"/>
      <c r="B5" s="393">
        <v>2022</v>
      </c>
      <c r="C5" s="393">
        <v>2023</v>
      </c>
      <c r="D5" s="393">
        <v>2022</v>
      </c>
      <c r="E5" s="393">
        <v>2023</v>
      </c>
      <c r="F5" s="393">
        <v>2022</v>
      </c>
      <c r="G5" s="393">
        <v>2023</v>
      </c>
      <c r="H5" s="393">
        <v>2022</v>
      </c>
      <c r="I5" s="393">
        <v>2023</v>
      </c>
      <c r="J5" s="393">
        <v>2022</v>
      </c>
      <c r="K5" s="393">
        <v>2023</v>
      </c>
      <c r="L5" s="393">
        <v>2022</v>
      </c>
      <c r="M5" s="393">
        <v>2023</v>
      </c>
      <c r="N5" s="393">
        <v>2022</v>
      </c>
      <c r="O5" s="393">
        <v>2023</v>
      </c>
      <c r="P5" s="393">
        <v>2022</v>
      </c>
      <c r="Q5" s="393">
        <v>2023</v>
      </c>
      <c r="R5" s="393">
        <v>2022</v>
      </c>
      <c r="S5" s="393">
        <v>2023</v>
      </c>
      <c r="T5" s="393">
        <v>2022</v>
      </c>
      <c r="U5" s="393">
        <v>2023</v>
      </c>
      <c r="V5" s="393">
        <v>2022</v>
      </c>
      <c r="W5" s="393">
        <v>2023</v>
      </c>
      <c r="X5" s="393">
        <v>2022</v>
      </c>
      <c r="Y5" s="393">
        <v>2023</v>
      </c>
      <c r="Z5" s="393">
        <v>2022</v>
      </c>
      <c r="AA5" s="393">
        <v>2023</v>
      </c>
    </row>
    <row r="6" spans="1:27" ht="13" x14ac:dyDescent="0.3">
      <c r="A6" s="1109" t="str">
        <f>A20</f>
        <v>Pin 1 ke 3</v>
      </c>
      <c r="B6" s="398">
        <v>9.9999999999999995E-7</v>
      </c>
      <c r="C6" s="398">
        <v>9.9999999999999995E-7</v>
      </c>
      <c r="D6" s="398">
        <v>9.9999999999999995E-7</v>
      </c>
      <c r="E6" s="398">
        <v>9.9999999999999995E-7</v>
      </c>
      <c r="F6" s="398">
        <v>9.9999999999999995E-7</v>
      </c>
      <c r="G6" s="398">
        <v>9.9999999999999995E-7</v>
      </c>
      <c r="H6" s="398">
        <v>9.9999999999999995E-7</v>
      </c>
      <c r="I6" s="398">
        <v>9.9999999999999995E-7</v>
      </c>
      <c r="J6" s="398">
        <v>9.9999999999999995E-7</v>
      </c>
      <c r="K6" s="398">
        <v>9.9999999999999995E-7</v>
      </c>
      <c r="L6" s="398">
        <v>9.9999999999999995E-7</v>
      </c>
      <c r="M6" s="398">
        <v>9.9999999999999995E-7</v>
      </c>
      <c r="N6" s="398">
        <v>9.9999999999999995E-7</v>
      </c>
      <c r="O6" s="398">
        <v>9.9999999999999995E-7</v>
      </c>
      <c r="P6" s="397">
        <v>-0.01</v>
      </c>
      <c r="Q6" s="398">
        <v>9.9999999999999995E-7</v>
      </c>
      <c r="R6" s="397">
        <v>-0.02</v>
      </c>
      <c r="S6" s="398">
        <v>9.9999999999999995E-7</v>
      </c>
      <c r="T6" s="397">
        <v>-0.01</v>
      </c>
      <c r="U6" s="398">
        <v>9.9999999999999995E-7</v>
      </c>
      <c r="V6" s="398">
        <v>9.9999999999999995E-7</v>
      </c>
      <c r="W6" s="398">
        <v>9.9999999999999995E-7</v>
      </c>
      <c r="X6" s="398">
        <v>9.9999999999999995E-7</v>
      </c>
      <c r="Y6" s="398">
        <v>9.9999999999999995E-7</v>
      </c>
      <c r="Z6" s="398">
        <v>9.9999999999999995E-7</v>
      </c>
      <c r="AA6" s="398">
        <v>9.9999999999999995E-7</v>
      </c>
    </row>
    <row r="7" spans="1:27" ht="13" x14ac:dyDescent="0.3">
      <c r="A7" s="1109" t="str">
        <f>A21</f>
        <v>Pin 9 ke 11</v>
      </c>
      <c r="B7" s="398">
        <v>9.9999999999999995E-7</v>
      </c>
      <c r="C7" s="398">
        <v>9.9999999999999995E-7</v>
      </c>
      <c r="D7" s="398">
        <v>9.9999999999999995E-7</v>
      </c>
      <c r="E7" s="398">
        <v>9.9999999999999995E-7</v>
      </c>
      <c r="F7" s="398">
        <v>9.9999999999999995E-7</v>
      </c>
      <c r="G7" s="398">
        <v>9.9999999999999995E-7</v>
      </c>
      <c r="H7" s="398">
        <v>9.9999999999999995E-7</v>
      </c>
      <c r="I7" s="398">
        <v>9.9999999999999995E-7</v>
      </c>
      <c r="J7" s="398">
        <v>9.9999999999999995E-7</v>
      </c>
      <c r="K7" s="398">
        <v>9.9999999999999995E-7</v>
      </c>
      <c r="L7" s="398">
        <v>9.9999999999999995E-7</v>
      </c>
      <c r="M7" s="398">
        <v>9.9999999999999995E-7</v>
      </c>
      <c r="N7" s="398">
        <v>9.9999999999999995E-7</v>
      </c>
      <c r="O7" s="398">
        <v>9.9999999999999995E-7</v>
      </c>
      <c r="P7" s="398">
        <v>9.9999999999999995E-7</v>
      </c>
      <c r="Q7" s="398">
        <v>9.9999999999999995E-7</v>
      </c>
      <c r="R7" s="398">
        <v>9.9999999999999995E-7</v>
      </c>
      <c r="S7" s="398">
        <v>9.9999999999999995E-7</v>
      </c>
      <c r="T7" s="398">
        <v>9.9999999999999995E-7</v>
      </c>
      <c r="U7" s="398">
        <v>9.9999999999999995E-7</v>
      </c>
      <c r="V7" s="398">
        <v>9.9999999999999995E-7</v>
      </c>
      <c r="W7" s="398">
        <v>9.9999999999999995E-7</v>
      </c>
      <c r="X7" s="398">
        <v>9.9999999999999995E-7</v>
      </c>
      <c r="Y7" s="398">
        <v>9.9999999999999995E-7</v>
      </c>
      <c r="Z7" s="398">
        <v>9.9999999999999995E-7</v>
      </c>
      <c r="AA7" s="398">
        <v>9.9999999999999995E-7</v>
      </c>
    </row>
    <row r="8" spans="1:27" ht="13" x14ac:dyDescent="0.3">
      <c r="A8" s="399"/>
      <c r="B8" s="400"/>
      <c r="C8" s="400"/>
      <c r="D8" s="400"/>
      <c r="E8" s="400"/>
      <c r="F8" s="400"/>
      <c r="G8" s="400"/>
      <c r="H8" s="400"/>
      <c r="I8" s="400"/>
      <c r="J8" s="400"/>
      <c r="K8" s="400"/>
      <c r="L8" s="400"/>
      <c r="M8" s="401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</row>
    <row r="9" spans="1:27" ht="62.25" customHeight="1" x14ac:dyDescent="0.3">
      <c r="A9" s="1020" t="s">
        <v>276</v>
      </c>
      <c r="B9" s="1025" t="s">
        <v>168</v>
      </c>
      <c r="C9" s="1026"/>
      <c r="D9" s="1025" t="s">
        <v>172</v>
      </c>
      <c r="E9" s="1026"/>
      <c r="F9" s="1025" t="s">
        <v>175</v>
      </c>
      <c r="G9" s="1026"/>
      <c r="H9" s="1025" t="s">
        <v>176</v>
      </c>
      <c r="I9" s="1026"/>
      <c r="J9" s="1029" t="s">
        <v>180</v>
      </c>
      <c r="K9" s="1030"/>
      <c r="L9" s="1029" t="s">
        <v>182</v>
      </c>
      <c r="M9" s="1030"/>
      <c r="N9" s="1031" t="s">
        <v>186</v>
      </c>
      <c r="O9" s="1031"/>
      <c r="P9" s="1027" t="s">
        <v>187</v>
      </c>
      <c r="Q9" s="1027"/>
      <c r="R9" s="1027" t="s">
        <v>188</v>
      </c>
      <c r="S9" s="1027"/>
      <c r="T9" s="1027" t="s">
        <v>190</v>
      </c>
      <c r="U9" s="1027"/>
      <c r="V9" s="1019" t="s">
        <v>275</v>
      </c>
      <c r="W9" s="1019"/>
      <c r="X9" s="1019" t="s">
        <v>275</v>
      </c>
      <c r="Y9" s="1019"/>
      <c r="Z9" s="1019" t="s">
        <v>275</v>
      </c>
      <c r="AA9" s="1019"/>
    </row>
    <row r="10" spans="1:27" x14ac:dyDescent="0.25">
      <c r="A10" s="1021"/>
      <c r="B10" s="393">
        <v>2022</v>
      </c>
      <c r="C10" s="393">
        <v>2023</v>
      </c>
      <c r="D10" s="393">
        <v>2022</v>
      </c>
      <c r="E10" s="393">
        <v>2023</v>
      </c>
      <c r="F10" s="393">
        <v>2022</v>
      </c>
      <c r="G10" s="393">
        <v>2023</v>
      </c>
      <c r="H10" s="393">
        <v>2022</v>
      </c>
      <c r="I10" s="393">
        <v>2023</v>
      </c>
      <c r="J10" s="393">
        <v>2022</v>
      </c>
      <c r="K10" s="393">
        <v>2023</v>
      </c>
      <c r="L10" s="393">
        <v>2022</v>
      </c>
      <c r="M10" s="393">
        <v>2023</v>
      </c>
      <c r="N10" s="393">
        <v>2022</v>
      </c>
      <c r="O10" s="393">
        <v>2023</v>
      </c>
      <c r="P10" s="393">
        <v>2022</v>
      </c>
      <c r="Q10" s="393">
        <v>2023</v>
      </c>
      <c r="R10" s="393">
        <v>2022</v>
      </c>
      <c r="S10" s="393">
        <v>2023</v>
      </c>
      <c r="T10" s="393">
        <v>2022</v>
      </c>
      <c r="U10" s="393">
        <v>2023</v>
      </c>
      <c r="V10" s="393">
        <v>2022</v>
      </c>
      <c r="W10" s="393">
        <v>2023</v>
      </c>
      <c r="X10" s="393">
        <v>2022</v>
      </c>
      <c r="Y10" s="393">
        <v>2023</v>
      </c>
      <c r="Z10" s="393">
        <v>2022</v>
      </c>
      <c r="AA10" s="393">
        <v>2023</v>
      </c>
    </row>
    <row r="11" spans="1:27" ht="13" x14ac:dyDescent="0.25">
      <c r="A11" s="402" t="s">
        <v>277</v>
      </c>
      <c r="B11" s="398">
        <v>9.9999999999999995E-7</v>
      </c>
      <c r="C11" s="398">
        <v>9.9999999999999995E-7</v>
      </c>
      <c r="D11" s="398">
        <v>9.9999999999999995E-7</v>
      </c>
      <c r="E11" s="398">
        <v>9.9999999999999995E-7</v>
      </c>
      <c r="F11" s="398">
        <v>9.9999999999999995E-7</v>
      </c>
      <c r="G11" s="398">
        <v>9.9999999999999995E-7</v>
      </c>
      <c r="H11" s="398">
        <v>9.9999999999999995E-7</v>
      </c>
      <c r="I11" s="398">
        <v>9.9999999999999995E-7</v>
      </c>
      <c r="J11" s="398">
        <v>9.9999999999999995E-7</v>
      </c>
      <c r="K11" s="398">
        <v>9.9999999999999995E-7</v>
      </c>
      <c r="L11" s="398">
        <v>9.9999999999999995E-7</v>
      </c>
      <c r="M11" s="398">
        <v>9.9999999999999995E-7</v>
      </c>
      <c r="N11" s="398">
        <v>9.9999999999999995E-7</v>
      </c>
      <c r="O11" s="398">
        <v>9.9999999999999995E-7</v>
      </c>
      <c r="P11" s="398">
        <v>9.9999999999999995E-7</v>
      </c>
      <c r="Q11" s="398">
        <v>9.9999999999999995E-7</v>
      </c>
      <c r="R11" s="404">
        <v>-1.0000000000000009E-2</v>
      </c>
      <c r="S11" s="398">
        <v>9.9999999999999995E-7</v>
      </c>
      <c r="T11" s="398">
        <v>9.9999999999999995E-7</v>
      </c>
      <c r="U11" s="398">
        <v>9.9999999999999995E-7</v>
      </c>
      <c r="V11" s="398">
        <v>9.9999999999999995E-7</v>
      </c>
      <c r="W11" s="398">
        <v>9.9999999999999995E-7</v>
      </c>
      <c r="X11" s="398">
        <v>9.9999999999999995E-7</v>
      </c>
      <c r="Y11" s="398">
        <v>9.9999999999999995E-7</v>
      </c>
      <c r="Z11" s="398">
        <v>9.9999999999999995E-7</v>
      </c>
      <c r="AA11" s="398">
        <v>9.9999999999999995E-7</v>
      </c>
    </row>
    <row r="12" spans="1:27" ht="13" x14ac:dyDescent="0.3">
      <c r="A12" s="402" t="s">
        <v>278</v>
      </c>
      <c r="B12" s="398">
        <v>9.9999999999999995E-7</v>
      </c>
      <c r="C12" s="398">
        <v>9.9999999999999995E-7</v>
      </c>
      <c r="D12" s="398">
        <v>9.9999999999999995E-7</v>
      </c>
      <c r="E12" s="398">
        <v>9.9999999999999995E-7</v>
      </c>
      <c r="F12" s="398">
        <v>9.9999999999999995E-7</v>
      </c>
      <c r="G12" s="398">
        <v>9.9999999999999995E-7</v>
      </c>
      <c r="H12" s="398">
        <v>9.9999999999999995E-7</v>
      </c>
      <c r="I12" s="398">
        <v>9.9999999999999995E-7</v>
      </c>
      <c r="J12" s="398">
        <v>9.9999999999999995E-7</v>
      </c>
      <c r="K12" s="398">
        <v>9.9999999999999995E-7</v>
      </c>
      <c r="L12" s="398">
        <v>9.9999999999999995E-7</v>
      </c>
      <c r="M12" s="398">
        <v>9.9999999999999995E-7</v>
      </c>
      <c r="N12" s="398">
        <v>9.9999999999999995E-7</v>
      </c>
      <c r="O12" s="398">
        <v>9.9999999999999995E-7</v>
      </c>
      <c r="P12" s="427">
        <v>-1.0000000000000009E-2</v>
      </c>
      <c r="Q12" s="398">
        <v>9.9999999999999995E-7</v>
      </c>
      <c r="R12" s="398">
        <v>9.9999999999999995E-7</v>
      </c>
      <c r="S12" s="398">
        <v>9.9999999999999995E-7</v>
      </c>
      <c r="T12" s="398">
        <v>9.9999999999999995E-7</v>
      </c>
      <c r="U12" s="398">
        <v>9.9999999999999995E-7</v>
      </c>
      <c r="V12" s="398">
        <v>9.9999999999999995E-7</v>
      </c>
      <c r="W12" s="398">
        <v>9.9999999999999995E-7</v>
      </c>
      <c r="X12" s="398">
        <v>9.9999999999999995E-7</v>
      </c>
      <c r="Y12" s="398">
        <v>9.9999999999999995E-7</v>
      </c>
      <c r="Z12" s="398">
        <v>9.9999999999999995E-7</v>
      </c>
      <c r="AA12" s="398">
        <v>9.9999999999999995E-7</v>
      </c>
    </row>
    <row r="13" spans="1:27" ht="13" x14ac:dyDescent="0.3">
      <c r="A13" s="402" t="s">
        <v>279</v>
      </c>
      <c r="B13" s="398">
        <v>9.9999999999999995E-7</v>
      </c>
      <c r="C13" s="398">
        <v>9.9999999999999995E-7</v>
      </c>
      <c r="D13" s="398">
        <v>9.9999999999999995E-7</v>
      </c>
      <c r="E13" s="398">
        <v>9.9999999999999995E-7</v>
      </c>
      <c r="F13" s="398">
        <v>9.9999999999999995E-7</v>
      </c>
      <c r="G13" s="398">
        <v>9.9999999999999995E-7</v>
      </c>
      <c r="H13" s="398">
        <v>9.9999999999999995E-7</v>
      </c>
      <c r="I13" s="398">
        <v>9.9999999999999995E-7</v>
      </c>
      <c r="J13" s="398">
        <v>9.9999999999999995E-7</v>
      </c>
      <c r="K13" s="398">
        <v>9.9999999999999995E-7</v>
      </c>
      <c r="L13" s="398">
        <v>9.9999999999999995E-7</v>
      </c>
      <c r="M13" s="398">
        <v>9.9999999999999995E-7</v>
      </c>
      <c r="N13" s="398">
        <v>9.9999999999999995E-7</v>
      </c>
      <c r="O13" s="398">
        <v>9.9999999999999995E-7</v>
      </c>
      <c r="P13" s="427">
        <v>2.0000000000000018E-2</v>
      </c>
      <c r="Q13" s="398">
        <v>9.9999999999999995E-7</v>
      </c>
      <c r="R13" s="404">
        <v>1.0000000000000009E-2</v>
      </c>
      <c r="S13" s="398">
        <v>9.9999999999999995E-7</v>
      </c>
      <c r="T13" s="404">
        <v>1.0000000000000009E-2</v>
      </c>
      <c r="U13" s="398">
        <v>9.9999999999999995E-7</v>
      </c>
      <c r="V13" s="398">
        <v>9.9999999999999995E-7</v>
      </c>
      <c r="W13" s="398">
        <v>9.9999999999999995E-7</v>
      </c>
      <c r="X13" s="398">
        <v>9.9999999999999995E-7</v>
      </c>
      <c r="Y13" s="398">
        <v>9.9999999999999995E-7</v>
      </c>
      <c r="Z13" s="398">
        <v>9.9999999999999995E-7</v>
      </c>
      <c r="AA13" s="398">
        <v>9.9999999999999995E-7</v>
      </c>
    </row>
    <row r="14" spans="1:27" ht="13" x14ac:dyDescent="0.3">
      <c r="A14" s="403" t="s">
        <v>280</v>
      </c>
      <c r="B14" s="398">
        <v>9.9999999999999995E-7</v>
      </c>
      <c r="C14" s="398">
        <v>9.9999999999999995E-7</v>
      </c>
      <c r="D14" s="398">
        <v>9.9999999999999995E-7</v>
      </c>
      <c r="E14" s="398">
        <v>9.9999999999999995E-7</v>
      </c>
      <c r="F14" s="398">
        <v>9.9999999999999995E-7</v>
      </c>
      <c r="G14" s="398">
        <v>9.9999999999999995E-7</v>
      </c>
      <c r="H14" s="398">
        <v>9.9999999999999995E-7</v>
      </c>
      <c r="I14" s="398">
        <v>9.9999999999999995E-7</v>
      </c>
      <c r="J14" s="398">
        <v>9.9999999999999995E-7</v>
      </c>
      <c r="K14" s="398">
        <v>9.9999999999999995E-7</v>
      </c>
      <c r="L14" s="398">
        <v>9.9999999999999995E-7</v>
      </c>
      <c r="M14" s="398">
        <v>9.9999999999999995E-7</v>
      </c>
      <c r="N14" s="398">
        <v>9.9999999999999995E-7</v>
      </c>
      <c r="O14" s="398">
        <v>9.9999999999999995E-7</v>
      </c>
      <c r="P14" s="427">
        <v>1.0000000000000009E-2</v>
      </c>
      <c r="Q14" s="398">
        <v>9.9999999999999995E-7</v>
      </c>
      <c r="R14" s="404">
        <v>2.0000000000000018E-2</v>
      </c>
      <c r="S14" s="398">
        <v>9.9999999999999995E-7</v>
      </c>
      <c r="T14" s="404">
        <v>1.0000000000000009E-2</v>
      </c>
      <c r="U14" s="398">
        <v>9.9999999999999995E-7</v>
      </c>
      <c r="V14" s="398">
        <v>9.9999999999999995E-7</v>
      </c>
      <c r="W14" s="398">
        <v>9.9999999999999995E-7</v>
      </c>
      <c r="X14" s="398">
        <v>9.9999999999999995E-7</v>
      </c>
      <c r="Y14" s="398">
        <v>9.9999999999999995E-7</v>
      </c>
      <c r="Z14" s="398">
        <v>9.9999999999999995E-7</v>
      </c>
      <c r="AA14" s="398">
        <v>9.9999999999999995E-7</v>
      </c>
    </row>
    <row r="15" spans="1:27" ht="13" x14ac:dyDescent="0.3">
      <c r="A15" s="402" t="s">
        <v>281</v>
      </c>
      <c r="B15" s="398">
        <v>9.9999999999999995E-7</v>
      </c>
      <c r="C15" s="398">
        <v>9.9999999999999995E-7</v>
      </c>
      <c r="D15" s="398">
        <v>9.9999999999999995E-7</v>
      </c>
      <c r="E15" s="398">
        <v>9.9999999999999995E-7</v>
      </c>
      <c r="F15" s="398">
        <v>9.9999999999999995E-7</v>
      </c>
      <c r="G15" s="398">
        <v>9.9999999999999995E-7</v>
      </c>
      <c r="H15" s="398">
        <v>9.9999999999999995E-7</v>
      </c>
      <c r="I15" s="398">
        <v>9.9999999999999995E-7</v>
      </c>
      <c r="J15" s="398">
        <v>9.9999999999999995E-7</v>
      </c>
      <c r="K15" s="398">
        <v>9.9999999999999995E-7</v>
      </c>
      <c r="L15" s="398">
        <v>9.9999999999999995E-7</v>
      </c>
      <c r="M15" s="398">
        <v>9.9999999999999995E-7</v>
      </c>
      <c r="N15" s="398">
        <v>9.9999999999999995E-7</v>
      </c>
      <c r="O15" s="398">
        <v>9.9999999999999995E-7</v>
      </c>
      <c r="P15" s="427">
        <v>2.0000000000000018E-2</v>
      </c>
      <c r="Q15" s="398">
        <v>9.9999999999999995E-7</v>
      </c>
      <c r="R15" s="404">
        <v>1.0000000000000009E-2</v>
      </c>
      <c r="S15" s="398">
        <v>9.9999999999999995E-7</v>
      </c>
      <c r="T15" s="404">
        <v>1.0000000000000009E-2</v>
      </c>
      <c r="U15" s="398">
        <v>9.9999999999999995E-7</v>
      </c>
      <c r="V15" s="398">
        <v>9.9999999999999995E-7</v>
      </c>
      <c r="W15" s="398">
        <v>9.9999999999999995E-7</v>
      </c>
      <c r="X15" s="398">
        <v>9.9999999999999995E-7</v>
      </c>
      <c r="Y15" s="398">
        <v>9.9999999999999995E-7</v>
      </c>
      <c r="Z15" s="398">
        <v>9.9999999999999995E-7</v>
      </c>
      <c r="AA15" s="398">
        <v>9.9999999999999995E-7</v>
      </c>
    </row>
    <row r="16" spans="1:27" ht="13" x14ac:dyDescent="0.3">
      <c r="A16" s="402" t="s">
        <v>282</v>
      </c>
      <c r="B16" s="398">
        <v>9.9999999999999995E-7</v>
      </c>
      <c r="C16" s="398">
        <v>9.9999999999999995E-7</v>
      </c>
      <c r="D16" s="398">
        <v>9.9999999999999995E-7</v>
      </c>
      <c r="E16" s="398">
        <v>9.9999999999999995E-7</v>
      </c>
      <c r="F16" s="398">
        <v>9.9999999999999995E-7</v>
      </c>
      <c r="G16" s="398">
        <v>9.9999999999999995E-7</v>
      </c>
      <c r="H16" s="398">
        <v>9.9999999999999995E-7</v>
      </c>
      <c r="I16" s="398">
        <v>9.9999999999999995E-7</v>
      </c>
      <c r="J16" s="398">
        <v>9.9999999999999995E-7</v>
      </c>
      <c r="K16" s="398">
        <v>9.9999999999999995E-7</v>
      </c>
      <c r="L16" s="398">
        <v>9.9999999999999995E-7</v>
      </c>
      <c r="M16" s="398">
        <v>9.9999999999999995E-7</v>
      </c>
      <c r="N16" s="398">
        <v>9.9999999999999995E-7</v>
      </c>
      <c r="O16" s="398">
        <v>9.9999999999999995E-7</v>
      </c>
      <c r="P16" s="427">
        <v>-1.0000000000000009E-2</v>
      </c>
      <c r="Q16" s="398">
        <v>9.9999999999999995E-7</v>
      </c>
      <c r="R16" s="404">
        <v>-1.0000000000000009E-2</v>
      </c>
      <c r="S16" s="398">
        <v>9.9999999999999995E-7</v>
      </c>
      <c r="T16" s="398">
        <v>9.9999999999999995E-7</v>
      </c>
      <c r="U16" s="398">
        <v>9.9999999999999995E-7</v>
      </c>
      <c r="V16" s="398">
        <v>9.9999999999999995E-7</v>
      </c>
      <c r="W16" s="398">
        <v>9.9999999999999995E-7</v>
      </c>
      <c r="X16" s="398">
        <v>9.9999999999999995E-7</v>
      </c>
      <c r="Y16" s="398">
        <v>9.9999999999999995E-7</v>
      </c>
      <c r="Z16" s="398">
        <v>9.9999999999999995E-7</v>
      </c>
      <c r="AA16" s="398">
        <v>9.9999999999999995E-7</v>
      </c>
    </row>
    <row r="17" spans="1:26" ht="13" x14ac:dyDescent="0.3">
      <c r="A17" s="392"/>
      <c r="B17" s="382"/>
      <c r="C17" s="382"/>
      <c r="D17" s="382"/>
      <c r="E17" s="382"/>
    </row>
    <row r="18" spans="1:26" ht="25" customHeight="1" x14ac:dyDescent="0.25">
      <c r="A18" s="1020" t="str">
        <f>A4</f>
        <v>Vertikal (cm)</v>
      </c>
      <c r="B18" s="1022" t="str">
        <f>ID!B50</f>
        <v>Ultrasound Phantom, Merk : SUN NUCLEAR, Model : SUN 404, SN :802262-5381-1</v>
      </c>
      <c r="C18" s="1023"/>
      <c r="D18" s="1023"/>
      <c r="E18" s="1023"/>
      <c r="F18" s="391" t="str">
        <f>I59</f>
        <v>H</v>
      </c>
      <c r="G18" s="390"/>
      <c r="H18" s="390"/>
      <c r="I18" s="389"/>
    </row>
    <row r="19" spans="1:26" ht="27" customHeight="1" x14ac:dyDescent="0.25">
      <c r="A19" s="1021"/>
      <c r="B19" s="388">
        <v>2022</v>
      </c>
      <c r="C19" s="387">
        <v>2021</v>
      </c>
      <c r="D19" s="411" t="s">
        <v>283</v>
      </c>
      <c r="E19" s="409"/>
      <c r="F19" t="str">
        <f>ID!F7</f>
        <v>cm</v>
      </c>
      <c r="G19" s="385"/>
      <c r="H19" s="369" t="s">
        <v>284</v>
      </c>
      <c r="I19" s="384" t="s">
        <v>285</v>
      </c>
      <c r="J19" s="369">
        <v>2022</v>
      </c>
      <c r="K19" s="369">
        <v>2023</v>
      </c>
      <c r="M19" s="413" t="s">
        <v>286</v>
      </c>
      <c r="N19" s="384" t="s">
        <v>285</v>
      </c>
      <c r="O19" s="369">
        <v>2022</v>
      </c>
      <c r="P19" s="369">
        <v>2023</v>
      </c>
      <c r="Q19" s="409"/>
      <c r="R19" s="413" t="s">
        <v>286</v>
      </c>
      <c r="S19" s="384" t="s">
        <v>285</v>
      </c>
      <c r="T19" s="369">
        <v>2022</v>
      </c>
      <c r="U19" s="369">
        <v>2023</v>
      </c>
      <c r="W19" s="413" t="s">
        <v>286</v>
      </c>
      <c r="X19" s="384" t="s">
        <v>285</v>
      </c>
      <c r="Y19" s="369">
        <v>2022</v>
      </c>
      <c r="Z19" s="369">
        <v>2023</v>
      </c>
    </row>
    <row r="20" spans="1:26" ht="14.5" x14ac:dyDescent="0.25">
      <c r="A20" t="str">
        <f>ID!G40</f>
        <v>Pin 1 ke 3</v>
      </c>
      <c r="B20" s="383">
        <f>VLOOKUP($F$18,I20:K32,2,FALSE)</f>
        <v>-0.01</v>
      </c>
      <c r="C20" s="383">
        <f>VLOOKUP($F$18,I20:K32,3,FALSE)</f>
        <v>9.9999999999999995E-7</v>
      </c>
      <c r="D20" s="380">
        <f>0.5*(MAX(B20:C20)-MIN(B20:C20))</f>
        <v>5.0004999999999997E-3</v>
      </c>
      <c r="E20" s="410"/>
      <c r="F20" s="410">
        <f>IF(F19="cm",1,10)</f>
        <v>1</v>
      </c>
      <c r="G20" s="410">
        <v>1</v>
      </c>
      <c r="H20" s="1033" t="str">
        <f>A6</f>
        <v>Pin 1 ke 3</v>
      </c>
      <c r="I20" s="370" t="s">
        <v>169</v>
      </c>
      <c r="J20" s="369">
        <f>B6</f>
        <v>9.9999999999999995E-7</v>
      </c>
      <c r="K20" s="373">
        <f>C6</f>
        <v>9.9999999999999995E-7</v>
      </c>
      <c r="L20" s="1035"/>
      <c r="M20" s="1033" t="str">
        <f>A25</f>
        <v>1-2</v>
      </c>
      <c r="N20" s="370" t="s">
        <v>169</v>
      </c>
      <c r="O20" s="383">
        <f>B11</f>
        <v>9.9999999999999995E-7</v>
      </c>
      <c r="P20" s="383">
        <f>C11</f>
        <v>9.9999999999999995E-7</v>
      </c>
      <c r="Q20" s="405"/>
      <c r="R20" s="1033" t="str">
        <f>A27</f>
        <v>3-4</v>
      </c>
      <c r="S20" s="370" t="s">
        <v>169</v>
      </c>
      <c r="T20" s="383">
        <f>B13</f>
        <v>9.9999999999999995E-7</v>
      </c>
      <c r="U20" s="383">
        <f>C13</f>
        <v>9.9999999999999995E-7</v>
      </c>
      <c r="W20" s="1033" t="str">
        <f>A29</f>
        <v>5-6</v>
      </c>
      <c r="X20" s="370" t="s">
        <v>169</v>
      </c>
      <c r="Y20" s="383">
        <f>B15</f>
        <v>9.9999999999999995E-7</v>
      </c>
      <c r="Z20" s="383">
        <f>C15</f>
        <v>9.9999999999999995E-7</v>
      </c>
    </row>
    <row r="21" spans="1:26" ht="14.5" x14ac:dyDescent="0.25">
      <c r="A21" t="str">
        <f>ID!G41</f>
        <v>Pin 9 ke 11</v>
      </c>
      <c r="B21" s="1119">
        <f>VLOOKUP($F$18,I33:K45,2,FALSE)</f>
        <v>9.9999999999999995E-7</v>
      </c>
      <c r="C21" s="383">
        <f>VLOOKUP($F$18,I33:K45,3,FALSE)</f>
        <v>9.9999999999999995E-7</v>
      </c>
      <c r="D21" s="380">
        <f>0.5*(MAX(B21:C21)-MIN(B21:C21))</f>
        <v>0</v>
      </c>
      <c r="E21" s="382"/>
      <c r="F21" s="410">
        <f>B20*F20</f>
        <v>-0.01</v>
      </c>
      <c r="G21" s="410">
        <v>10</v>
      </c>
      <c r="H21" s="1034"/>
      <c r="I21" s="370" t="s">
        <v>173</v>
      </c>
      <c r="J21" s="369">
        <f>D6</f>
        <v>9.9999999999999995E-7</v>
      </c>
      <c r="K21" s="373">
        <f>E6</f>
        <v>9.9999999999999995E-7</v>
      </c>
      <c r="L21" s="1035"/>
      <c r="M21" s="1034"/>
      <c r="N21" s="370" t="s">
        <v>173</v>
      </c>
      <c r="O21" s="383">
        <f>D11</f>
        <v>9.9999999999999995E-7</v>
      </c>
      <c r="P21" s="383">
        <f>E11</f>
        <v>9.9999999999999995E-7</v>
      </c>
      <c r="Q21" s="405"/>
      <c r="R21" s="1034"/>
      <c r="S21" s="370" t="s">
        <v>173</v>
      </c>
      <c r="T21" s="383">
        <f>F13</f>
        <v>9.9999999999999995E-7</v>
      </c>
      <c r="U21" s="383">
        <f>G13</f>
        <v>9.9999999999999995E-7</v>
      </c>
      <c r="W21" s="1034"/>
      <c r="X21" s="370" t="s">
        <v>173</v>
      </c>
      <c r="Y21" s="383">
        <f>D15</f>
        <v>9.9999999999999995E-7</v>
      </c>
      <c r="Z21" s="383">
        <f>E15</f>
        <v>9.9999999999999995E-7</v>
      </c>
    </row>
    <row r="22" spans="1:26" ht="13" x14ac:dyDescent="0.25">
      <c r="E22" s="382"/>
      <c r="F22" s="381">
        <f>B21*F20</f>
        <v>9.9999999999999995E-7</v>
      </c>
      <c r="G22" s="381"/>
      <c r="H22" s="1034"/>
      <c r="I22" s="370" t="s">
        <v>174</v>
      </c>
      <c r="J22" s="369">
        <f>F6</f>
        <v>9.9999999999999995E-7</v>
      </c>
      <c r="K22" s="373">
        <f>G6</f>
        <v>9.9999999999999995E-7</v>
      </c>
      <c r="L22" s="1035"/>
      <c r="M22" s="1034"/>
      <c r="N22" s="370" t="s">
        <v>174</v>
      </c>
      <c r="O22" s="383">
        <f>F11</f>
        <v>9.9999999999999995E-7</v>
      </c>
      <c r="P22" s="383">
        <f>G11</f>
        <v>9.9999999999999995E-7</v>
      </c>
      <c r="Q22" s="405"/>
      <c r="R22" s="1034"/>
      <c r="S22" s="370" t="s">
        <v>174</v>
      </c>
      <c r="T22" s="383">
        <f>F13</f>
        <v>9.9999999999999995E-7</v>
      </c>
      <c r="U22" s="383">
        <f>G13</f>
        <v>9.9999999999999995E-7</v>
      </c>
      <c r="W22" s="1034"/>
      <c r="X22" s="370" t="s">
        <v>174</v>
      </c>
      <c r="Y22" s="383">
        <f>F15</f>
        <v>9.9999999999999995E-7</v>
      </c>
      <c r="Z22" s="383">
        <f>G15</f>
        <v>9.9999999999999995E-7</v>
      </c>
    </row>
    <row r="23" spans="1:26" ht="34.5" customHeight="1" x14ac:dyDescent="0.25">
      <c r="A23" s="1020" t="s">
        <v>276</v>
      </c>
      <c r="B23" s="1040" t="str">
        <f>B18</f>
        <v>Ultrasound Phantom, Merk : SUN NUCLEAR, Model : SUN 404, SN :802262-5381-1</v>
      </c>
      <c r="C23" s="1041"/>
      <c r="D23" s="1042"/>
      <c r="E23" s="412" t="str">
        <f>F18</f>
        <v>H</v>
      </c>
      <c r="F23" s="381"/>
      <c r="G23" s="381"/>
      <c r="H23" s="1034"/>
      <c r="I23" s="370" t="s">
        <v>265</v>
      </c>
      <c r="J23" s="369">
        <f>H6</f>
        <v>9.9999999999999995E-7</v>
      </c>
      <c r="K23" s="373">
        <f>I6</f>
        <v>9.9999999999999995E-7</v>
      </c>
      <c r="L23" s="1035"/>
      <c r="M23" s="1034"/>
      <c r="N23" s="370" t="s">
        <v>265</v>
      </c>
      <c r="O23" s="383">
        <f>H11</f>
        <v>9.9999999999999995E-7</v>
      </c>
      <c r="P23" s="383">
        <f>I11</f>
        <v>9.9999999999999995E-7</v>
      </c>
      <c r="Q23" s="405"/>
      <c r="R23" s="1034"/>
      <c r="S23" s="370" t="s">
        <v>265</v>
      </c>
      <c r="T23" s="383">
        <f>H13</f>
        <v>9.9999999999999995E-7</v>
      </c>
      <c r="U23" s="383">
        <f>I13</f>
        <v>9.9999999999999995E-7</v>
      </c>
      <c r="W23" s="1034"/>
      <c r="X23" s="370" t="s">
        <v>265</v>
      </c>
      <c r="Y23" s="383">
        <f>H15</f>
        <v>9.9999999999999995E-7</v>
      </c>
      <c r="Z23" s="383">
        <f>I15</f>
        <v>9.9999999999999995E-7</v>
      </c>
    </row>
    <row r="24" spans="1:26" ht="14.5" x14ac:dyDescent="0.25">
      <c r="A24" s="1021"/>
      <c r="B24" s="388">
        <v>2022</v>
      </c>
      <c r="C24" s="387">
        <v>2021</v>
      </c>
      <c r="D24" s="386" t="s">
        <v>283</v>
      </c>
      <c r="E24" s="379"/>
      <c r="F24" s="381" t="str">
        <f>ID!F7</f>
        <v>cm</v>
      </c>
      <c r="G24" s="381"/>
      <c r="H24" s="1034"/>
      <c r="I24" s="370" t="s">
        <v>266</v>
      </c>
      <c r="J24" s="369">
        <f>J6</f>
        <v>9.9999999999999995E-7</v>
      </c>
      <c r="K24" s="373">
        <f>K6</f>
        <v>9.9999999999999995E-7</v>
      </c>
      <c r="L24" s="1035"/>
      <c r="M24" s="1034"/>
      <c r="N24" s="370" t="s">
        <v>266</v>
      </c>
      <c r="O24" s="383">
        <f>J11</f>
        <v>9.9999999999999995E-7</v>
      </c>
      <c r="P24" s="383">
        <f>K11</f>
        <v>9.9999999999999995E-7</v>
      </c>
      <c r="Q24" s="405"/>
      <c r="R24" s="1034"/>
      <c r="S24" s="370" t="s">
        <v>266</v>
      </c>
      <c r="T24" s="383">
        <f>J13</f>
        <v>9.9999999999999995E-7</v>
      </c>
      <c r="U24" s="383">
        <f>K13</f>
        <v>9.9999999999999995E-7</v>
      </c>
      <c r="W24" s="1034"/>
      <c r="X24" s="370" t="s">
        <v>266</v>
      </c>
      <c r="Y24" s="383">
        <f>J15</f>
        <v>9.9999999999999995E-7</v>
      </c>
      <c r="Z24" s="383">
        <f>K15</f>
        <v>9.9999999999999995E-7</v>
      </c>
    </row>
    <row r="25" spans="1:26" ht="14.5" x14ac:dyDescent="0.25">
      <c r="A25" s="402" t="s">
        <v>277</v>
      </c>
      <c r="B25" s="383">
        <f>VLOOKUP($E$23,$N$20:$P$32,2,FALSE)</f>
        <v>9.9999999999999995E-7</v>
      </c>
      <c r="C25" s="383">
        <f>VLOOKUP($E$23,$N$20:$P$32,3,FALSE)</f>
        <v>9.9999999999999995E-7</v>
      </c>
      <c r="D25" s="380">
        <f>0.5*(MAX(B25:C25)-MIN(B25:C25))</f>
        <v>0</v>
      </c>
      <c r="E25" s="379"/>
      <c r="F25" s="1110">
        <f>F20</f>
        <v>1</v>
      </c>
      <c r="H25" s="1034"/>
      <c r="I25" s="370" t="s">
        <v>267</v>
      </c>
      <c r="J25" s="369">
        <f>L6</f>
        <v>9.9999999999999995E-7</v>
      </c>
      <c r="K25" s="373">
        <f>M6</f>
        <v>9.9999999999999995E-7</v>
      </c>
      <c r="L25" s="1035"/>
      <c r="M25" s="1034"/>
      <c r="N25" s="370" t="s">
        <v>267</v>
      </c>
      <c r="O25" s="383">
        <f>L11</f>
        <v>9.9999999999999995E-7</v>
      </c>
      <c r="P25" s="383">
        <f>M11</f>
        <v>9.9999999999999995E-7</v>
      </c>
      <c r="Q25" s="405"/>
      <c r="R25" s="1034"/>
      <c r="S25" s="370" t="s">
        <v>267</v>
      </c>
      <c r="T25" s="383">
        <f>L13</f>
        <v>9.9999999999999995E-7</v>
      </c>
      <c r="U25" s="383">
        <f>M13</f>
        <v>9.9999999999999995E-7</v>
      </c>
      <c r="W25" s="1034"/>
      <c r="X25" s="370" t="s">
        <v>267</v>
      </c>
      <c r="Y25" s="383">
        <f>L15</f>
        <v>9.9999999999999995E-7</v>
      </c>
      <c r="Z25" s="383">
        <f>M15</f>
        <v>9.9999999999999995E-7</v>
      </c>
    </row>
    <row r="26" spans="1:26" ht="14.5" x14ac:dyDescent="0.25">
      <c r="A26" s="402" t="s">
        <v>278</v>
      </c>
      <c r="B26" s="383">
        <f>VLOOKUP($E$23,$N$33:$P$45,2,FALSE)</f>
        <v>-1.0000000000000009E-2</v>
      </c>
      <c r="C26" s="383">
        <f>VLOOKUP($E$23,$N$33:$P$45,3,FALSE)</f>
        <v>9.9999999999999995E-7</v>
      </c>
      <c r="D26" s="380">
        <f>0.5*(MAX(B26:C26)-MIN(B26:C26))</f>
        <v>5.0005000000000041E-3</v>
      </c>
      <c r="E26" s="379"/>
      <c r="F26">
        <f>B25*F25</f>
        <v>9.9999999999999995E-7</v>
      </c>
      <c r="H26" s="1034"/>
      <c r="I26" s="370" t="s">
        <v>268</v>
      </c>
      <c r="J26" s="369">
        <f>N6</f>
        <v>9.9999999999999995E-7</v>
      </c>
      <c r="K26" s="373">
        <f>O6</f>
        <v>9.9999999999999995E-7</v>
      </c>
      <c r="L26" s="1035"/>
      <c r="M26" s="1034"/>
      <c r="N26" s="370" t="s">
        <v>268</v>
      </c>
      <c r="O26" s="383">
        <f>N11</f>
        <v>9.9999999999999995E-7</v>
      </c>
      <c r="P26" s="383">
        <f>O11</f>
        <v>9.9999999999999995E-7</v>
      </c>
      <c r="Q26" s="405"/>
      <c r="R26" s="1034"/>
      <c r="S26" s="370" t="s">
        <v>268</v>
      </c>
      <c r="T26" s="383">
        <f>N13</f>
        <v>9.9999999999999995E-7</v>
      </c>
      <c r="U26" s="383">
        <f>O13</f>
        <v>9.9999999999999995E-7</v>
      </c>
      <c r="W26" s="1034"/>
      <c r="X26" s="370" t="s">
        <v>268</v>
      </c>
      <c r="Y26" s="383">
        <f>N15</f>
        <v>9.9999999999999995E-7</v>
      </c>
      <c r="Z26" s="383">
        <f>O15</f>
        <v>9.9999999999999995E-7</v>
      </c>
    </row>
    <row r="27" spans="1:26" ht="14.5" x14ac:dyDescent="0.25">
      <c r="A27" s="402" t="s">
        <v>279</v>
      </c>
      <c r="B27" s="383">
        <f>VLOOKUP($E$23,$S$20:$U$32,2,FALSE)</f>
        <v>2.0000000000000018E-2</v>
      </c>
      <c r="C27" s="383">
        <f>VLOOKUP($E$23,$S$20:$U$32,3,FALSE)</f>
        <v>9.9999999999999995E-7</v>
      </c>
      <c r="D27" s="380">
        <f t="shared" ref="D27:D30" si="0">0.5*(MAX(B27:C27)-MIN(B27:C27))</f>
        <v>9.9995000000000084E-3</v>
      </c>
      <c r="E27" s="379"/>
      <c r="F27">
        <f>B31*F25</f>
        <v>3.0000000000000027E-2</v>
      </c>
      <c r="H27" s="1034"/>
      <c r="I27" s="370" t="s">
        <v>269</v>
      </c>
      <c r="J27" s="414">
        <f>P6</f>
        <v>-0.01</v>
      </c>
      <c r="K27" s="373">
        <f>Q6</f>
        <v>9.9999999999999995E-7</v>
      </c>
      <c r="L27" s="1035"/>
      <c r="M27" s="1034"/>
      <c r="N27" s="370" t="s">
        <v>269</v>
      </c>
      <c r="O27" s="414">
        <f>P11</f>
        <v>9.9999999999999995E-7</v>
      </c>
      <c r="P27" s="414">
        <f>Q11</f>
        <v>9.9999999999999995E-7</v>
      </c>
      <c r="Q27" s="405"/>
      <c r="R27" s="1034"/>
      <c r="S27" s="370" t="s">
        <v>269</v>
      </c>
      <c r="T27" s="414">
        <f>P13</f>
        <v>2.0000000000000018E-2</v>
      </c>
      <c r="U27" s="414">
        <f>Q13</f>
        <v>9.9999999999999995E-7</v>
      </c>
      <c r="W27" s="1034"/>
      <c r="X27" s="370" t="s">
        <v>269</v>
      </c>
      <c r="Y27" s="414">
        <f>P15</f>
        <v>2.0000000000000018E-2</v>
      </c>
      <c r="Z27" s="414">
        <f>Q15</f>
        <v>9.9999999999999995E-7</v>
      </c>
    </row>
    <row r="28" spans="1:26" ht="15" x14ac:dyDescent="0.3">
      <c r="A28" s="403" t="s">
        <v>280</v>
      </c>
      <c r="B28" s="383">
        <f>VLOOKUP($E$23,$S$33:$U$45,2,FALSE)</f>
        <v>1.0000000000000009E-2</v>
      </c>
      <c r="C28" s="383">
        <f>VLOOKUP($E$23,$S$33:$U$45,3,FALSE)</f>
        <v>9.9999999999999995E-7</v>
      </c>
      <c r="D28" s="380">
        <f t="shared" si="0"/>
        <v>4.9995000000000048E-3</v>
      </c>
      <c r="G28" s="378"/>
      <c r="H28" s="1034"/>
      <c r="I28" s="370" t="s">
        <v>63</v>
      </c>
      <c r="J28" s="372">
        <f>R6</f>
        <v>-0.02</v>
      </c>
      <c r="K28" s="373">
        <f>S6</f>
        <v>9.9999999999999995E-7</v>
      </c>
      <c r="L28" s="1035"/>
      <c r="M28" s="1034"/>
      <c r="N28" s="370" t="s">
        <v>63</v>
      </c>
      <c r="O28" s="414">
        <f>R11</f>
        <v>-1.0000000000000009E-2</v>
      </c>
      <c r="P28" s="414">
        <f>S11</f>
        <v>9.9999999999999995E-7</v>
      </c>
      <c r="Q28" s="405"/>
      <c r="R28" s="1034"/>
      <c r="S28" s="370" t="s">
        <v>63</v>
      </c>
      <c r="T28" s="414">
        <f>R13</f>
        <v>1.0000000000000009E-2</v>
      </c>
      <c r="U28" s="414">
        <f>S13</f>
        <v>9.9999999999999995E-7</v>
      </c>
      <c r="W28" s="1034"/>
      <c r="X28" s="370" t="s">
        <v>63</v>
      </c>
      <c r="Y28" s="414">
        <f>R15</f>
        <v>1.0000000000000009E-2</v>
      </c>
      <c r="Z28" s="414">
        <f>S15</f>
        <v>9.9999999999999995E-7</v>
      </c>
    </row>
    <row r="29" spans="1:26" ht="14.5" x14ac:dyDescent="0.25">
      <c r="A29" s="402" t="s">
        <v>281</v>
      </c>
      <c r="B29" s="383">
        <f>VLOOKUP($E$23,$X$20:$Z$32,2,FALSE)</f>
        <v>2.0000000000000018E-2</v>
      </c>
      <c r="C29" s="383">
        <f>VLOOKUP($E$23,$X$20:$Z$32,3,FALSE)</f>
        <v>9.9999999999999995E-7</v>
      </c>
      <c r="D29" s="380">
        <f t="shared" si="0"/>
        <v>9.9995000000000084E-3</v>
      </c>
      <c r="G29" s="374"/>
      <c r="H29" s="1034"/>
      <c r="I29" s="370" t="s">
        <v>270</v>
      </c>
      <c r="J29" s="372">
        <f>T6</f>
        <v>-0.01</v>
      </c>
      <c r="K29" s="373">
        <f>U6</f>
        <v>9.9999999999999995E-7</v>
      </c>
      <c r="L29" s="1035"/>
      <c r="M29" s="1034"/>
      <c r="N29" s="370" t="s">
        <v>270</v>
      </c>
      <c r="O29" s="414">
        <f>T11</f>
        <v>9.9999999999999995E-7</v>
      </c>
      <c r="P29" s="414">
        <f>U11</f>
        <v>9.9999999999999995E-7</v>
      </c>
      <c r="Q29" s="405"/>
      <c r="R29" s="1034"/>
      <c r="S29" s="370" t="s">
        <v>270</v>
      </c>
      <c r="T29" s="414">
        <f>T13</f>
        <v>1.0000000000000009E-2</v>
      </c>
      <c r="U29" s="414">
        <f>U13</f>
        <v>9.9999999999999995E-7</v>
      </c>
      <c r="W29" s="1034"/>
      <c r="X29" s="370" t="s">
        <v>270</v>
      </c>
      <c r="Y29" s="414">
        <f>T15</f>
        <v>1.0000000000000009E-2</v>
      </c>
      <c r="Z29" s="414">
        <f>U15</f>
        <v>9.9999999999999995E-7</v>
      </c>
    </row>
    <row r="30" spans="1:26" ht="14.5" x14ac:dyDescent="0.25">
      <c r="A30" s="402" t="s">
        <v>282</v>
      </c>
      <c r="B30" s="383">
        <f>VLOOKUP($E$23,$X$33:$Z$45,2,FALSE)</f>
        <v>-1.0000000000000009E-2</v>
      </c>
      <c r="C30" s="383">
        <f>VLOOKUP($E$23,$X$33:$Z$45,3,FALSE)</f>
        <v>9.9999999999999995E-7</v>
      </c>
      <c r="D30" s="380">
        <f t="shared" si="0"/>
        <v>5.0005000000000041E-3</v>
      </c>
      <c r="G30" s="375"/>
      <c r="H30" s="1034"/>
      <c r="I30" s="370" t="s">
        <v>271</v>
      </c>
      <c r="J30" s="369">
        <f>V6</f>
        <v>9.9999999999999995E-7</v>
      </c>
      <c r="K30" s="368">
        <f>W6</f>
        <v>9.9999999999999995E-7</v>
      </c>
      <c r="L30" s="1035"/>
      <c r="M30" s="1034"/>
      <c r="N30" s="370" t="s">
        <v>271</v>
      </c>
      <c r="O30" s="383">
        <f>V11</f>
        <v>9.9999999999999995E-7</v>
      </c>
      <c r="P30" s="383">
        <f>W11</f>
        <v>9.9999999999999995E-7</v>
      </c>
      <c r="Q30" s="405"/>
      <c r="R30" s="1034"/>
      <c r="S30" s="370" t="s">
        <v>271</v>
      </c>
      <c r="T30" s="383">
        <f>V13</f>
        <v>9.9999999999999995E-7</v>
      </c>
      <c r="U30" s="383">
        <f>W13</f>
        <v>9.9999999999999995E-7</v>
      </c>
      <c r="W30" s="1034"/>
      <c r="X30" s="370" t="s">
        <v>271</v>
      </c>
      <c r="Y30" s="383">
        <f>V15</f>
        <v>9.9999999999999995E-7</v>
      </c>
      <c r="Z30" s="383">
        <f>W15</f>
        <v>9.9999999999999995E-7</v>
      </c>
    </row>
    <row r="31" spans="1:26" ht="14.5" x14ac:dyDescent="0.3">
      <c r="A31" s="437" t="s">
        <v>287</v>
      </c>
      <c r="B31" s="383">
        <f>B28+B29</f>
        <v>3.0000000000000027E-2</v>
      </c>
      <c r="C31" s="414">
        <v>0</v>
      </c>
      <c r="D31" s="380">
        <f>0.5*(MAX(B31:C31)-MIN(B31:C31))</f>
        <v>1.5000000000000013E-2</v>
      </c>
      <c r="G31" s="374"/>
      <c r="H31" s="1034"/>
      <c r="I31" s="370" t="s">
        <v>272</v>
      </c>
      <c r="J31" s="372">
        <f>X6</f>
        <v>9.9999999999999995E-7</v>
      </c>
      <c r="K31" s="373">
        <f>Y6</f>
        <v>9.9999999999999995E-7</v>
      </c>
      <c r="L31" s="1035"/>
      <c r="M31" s="1034"/>
      <c r="N31" s="370" t="s">
        <v>272</v>
      </c>
      <c r="O31" s="414">
        <f>X11</f>
        <v>9.9999999999999995E-7</v>
      </c>
      <c r="P31" s="414">
        <f>Y11</f>
        <v>9.9999999999999995E-7</v>
      </c>
      <c r="Q31" s="405"/>
      <c r="R31" s="1034"/>
      <c r="S31" s="370" t="s">
        <v>272</v>
      </c>
      <c r="T31" s="414">
        <f>X13</f>
        <v>9.9999999999999995E-7</v>
      </c>
      <c r="U31" s="414">
        <f>Y13</f>
        <v>9.9999999999999995E-7</v>
      </c>
      <c r="W31" s="1034"/>
      <c r="X31" s="370" t="s">
        <v>272</v>
      </c>
      <c r="Y31" s="414">
        <f>X15</f>
        <v>9.9999999999999995E-7</v>
      </c>
      <c r="Z31" s="414">
        <f>Y15</f>
        <v>9.9999999999999995E-7</v>
      </c>
    </row>
    <row r="32" spans="1:26" ht="15" x14ac:dyDescent="0.3">
      <c r="A32" s="378"/>
      <c r="B32" s="378"/>
      <c r="C32" s="378"/>
      <c r="D32" s="378"/>
      <c r="E32" s="378"/>
      <c r="F32" s="378"/>
      <c r="G32" s="378"/>
      <c r="H32" s="1034"/>
      <c r="I32" s="370" t="s">
        <v>273</v>
      </c>
      <c r="J32" s="369">
        <f>Z6</f>
        <v>9.9999999999999995E-7</v>
      </c>
      <c r="K32" s="369">
        <f>AA6</f>
        <v>9.9999999999999995E-7</v>
      </c>
      <c r="L32" s="1035"/>
      <c r="M32" s="1034"/>
      <c r="N32" s="370" t="s">
        <v>273</v>
      </c>
      <c r="O32" s="383">
        <f>Z11</f>
        <v>9.9999999999999995E-7</v>
      </c>
      <c r="P32" s="383">
        <f>AA11</f>
        <v>9.9999999999999995E-7</v>
      </c>
      <c r="Q32" s="405"/>
      <c r="R32" s="1034"/>
      <c r="S32" s="370" t="s">
        <v>273</v>
      </c>
      <c r="T32" s="383">
        <f>Z13</f>
        <v>9.9999999999999995E-7</v>
      </c>
      <c r="U32" s="383">
        <f>AA13</f>
        <v>9.9999999999999995E-7</v>
      </c>
      <c r="W32" s="1034"/>
      <c r="X32" s="370" t="s">
        <v>273</v>
      </c>
      <c r="Y32" s="383">
        <f>Z15</f>
        <v>9.9999999999999995E-7</v>
      </c>
      <c r="Z32" s="383">
        <f>AA15</f>
        <v>9.9999999999999995E-7</v>
      </c>
    </row>
    <row r="33" spans="1:26" ht="13" x14ac:dyDescent="0.25">
      <c r="A33" s="374"/>
      <c r="B33" s="374"/>
      <c r="C33" s="374"/>
      <c r="D33" s="374"/>
      <c r="E33" s="374"/>
      <c r="F33" s="374"/>
      <c r="G33" s="374"/>
      <c r="H33" s="1034" t="str">
        <f>A7</f>
        <v>Pin 9 ke 11</v>
      </c>
      <c r="I33" s="370" t="s">
        <v>169</v>
      </c>
      <c r="J33" s="372">
        <f>B7</f>
        <v>9.9999999999999995E-7</v>
      </c>
      <c r="K33" s="373">
        <f>C7</f>
        <v>9.9999999999999995E-7</v>
      </c>
      <c r="L33" s="1035"/>
      <c r="M33" s="1034" t="str">
        <f>A26</f>
        <v>2-3</v>
      </c>
      <c r="N33" s="370" t="s">
        <v>169</v>
      </c>
      <c r="O33" s="414">
        <f>B12</f>
        <v>9.9999999999999995E-7</v>
      </c>
      <c r="P33" s="414">
        <f>C12</f>
        <v>9.9999999999999995E-7</v>
      </c>
      <c r="R33" s="1033" t="str">
        <f>A28</f>
        <v>4-5</v>
      </c>
      <c r="S33" s="370" t="s">
        <v>169</v>
      </c>
      <c r="T33" s="414">
        <f>B14</f>
        <v>9.9999999999999995E-7</v>
      </c>
      <c r="U33" s="414">
        <f>H12</f>
        <v>9.9999999999999995E-7</v>
      </c>
      <c r="W33" s="1033" t="str">
        <f>A30</f>
        <v>6-7</v>
      </c>
      <c r="X33" s="370" t="s">
        <v>169</v>
      </c>
      <c r="Y33" s="414">
        <f>B16</f>
        <v>9.9999999999999995E-7</v>
      </c>
      <c r="Z33" s="414">
        <f>C16</f>
        <v>9.9999999999999995E-7</v>
      </c>
    </row>
    <row r="34" spans="1:26" ht="13" x14ac:dyDescent="0.25">
      <c r="A34" s="377"/>
      <c r="B34" s="374"/>
      <c r="C34" s="374"/>
      <c r="D34" s="376"/>
      <c r="E34" s="376"/>
      <c r="F34" s="375"/>
      <c r="G34" s="375"/>
      <c r="H34" s="1034"/>
      <c r="I34" s="370" t="s">
        <v>173</v>
      </c>
      <c r="J34" s="372">
        <f>D7</f>
        <v>9.9999999999999995E-7</v>
      </c>
      <c r="K34" s="373">
        <f>E7</f>
        <v>9.9999999999999995E-7</v>
      </c>
      <c r="L34" s="1035"/>
      <c r="M34" s="1034"/>
      <c r="N34" s="370" t="s">
        <v>173</v>
      </c>
      <c r="O34" s="414">
        <f>D12</f>
        <v>9.9999999999999995E-7</v>
      </c>
      <c r="P34" s="414">
        <f>E12</f>
        <v>9.9999999999999995E-7</v>
      </c>
      <c r="R34" s="1034"/>
      <c r="S34" s="370" t="s">
        <v>173</v>
      </c>
      <c r="T34" s="414">
        <f>D14</f>
        <v>9.9999999999999995E-7</v>
      </c>
      <c r="U34" s="414">
        <f>J12</f>
        <v>9.9999999999999995E-7</v>
      </c>
      <c r="W34" s="1034"/>
      <c r="X34" s="370" t="s">
        <v>173</v>
      </c>
      <c r="Y34" s="414">
        <f>D16</f>
        <v>9.9999999999999995E-7</v>
      </c>
      <c r="Z34" s="414">
        <f>E16</f>
        <v>9.9999999999999995E-7</v>
      </c>
    </row>
    <row r="35" spans="1:26" ht="13" x14ac:dyDescent="0.25">
      <c r="A35" s="374"/>
      <c r="B35" s="374"/>
      <c r="C35" s="374"/>
      <c r="D35" s="374"/>
      <c r="E35" s="374"/>
      <c r="F35" s="374"/>
      <c r="G35" s="374"/>
      <c r="H35" s="1034"/>
      <c r="I35" s="370" t="s">
        <v>174</v>
      </c>
      <c r="J35" s="372">
        <f>F7</f>
        <v>9.9999999999999995E-7</v>
      </c>
      <c r="K35" s="373">
        <f>G7</f>
        <v>9.9999999999999995E-7</v>
      </c>
      <c r="L35" s="1035"/>
      <c r="M35" s="1034"/>
      <c r="N35" s="370" t="s">
        <v>174</v>
      </c>
      <c r="O35" s="414">
        <f>F12</f>
        <v>9.9999999999999995E-7</v>
      </c>
      <c r="P35" s="414">
        <f>G12</f>
        <v>9.9999999999999995E-7</v>
      </c>
      <c r="R35" s="1034"/>
      <c r="S35" s="370" t="s">
        <v>174</v>
      </c>
      <c r="T35" s="414">
        <f>H14</f>
        <v>9.9999999999999995E-7</v>
      </c>
      <c r="U35" s="414">
        <f>L12</f>
        <v>9.9999999999999995E-7</v>
      </c>
      <c r="W35" s="1034"/>
      <c r="X35" s="370" t="s">
        <v>174</v>
      </c>
      <c r="Y35" s="414">
        <f>F16</f>
        <v>9.9999999999999995E-7</v>
      </c>
      <c r="Z35" s="414">
        <f>G16</f>
        <v>9.9999999999999995E-7</v>
      </c>
    </row>
    <row r="36" spans="1:26" ht="15" x14ac:dyDescent="0.3">
      <c r="A36" s="378"/>
      <c r="B36" s="378"/>
      <c r="C36" s="378"/>
      <c r="D36" s="378"/>
      <c r="E36" s="378"/>
      <c r="F36" s="378"/>
      <c r="G36" s="378"/>
      <c r="H36" s="1034"/>
      <c r="I36" s="370" t="s">
        <v>265</v>
      </c>
      <c r="J36" s="372">
        <f>H7</f>
        <v>9.9999999999999995E-7</v>
      </c>
      <c r="K36" s="373">
        <f>I7</f>
        <v>9.9999999999999995E-7</v>
      </c>
      <c r="L36" s="1035"/>
      <c r="M36" s="1034"/>
      <c r="N36" s="370" t="s">
        <v>265</v>
      </c>
      <c r="O36" s="414">
        <f>H12</f>
        <v>9.9999999999999995E-7</v>
      </c>
      <c r="P36" s="414">
        <f>I12</f>
        <v>9.9999999999999995E-7</v>
      </c>
      <c r="R36" s="1034"/>
      <c r="S36" s="370" t="s">
        <v>265</v>
      </c>
      <c r="T36" s="414">
        <f>H14</f>
        <v>9.9999999999999995E-7</v>
      </c>
      <c r="U36" s="414">
        <f>N12</f>
        <v>9.9999999999999995E-7</v>
      </c>
      <c r="W36" s="1034"/>
      <c r="X36" s="370" t="s">
        <v>265</v>
      </c>
      <c r="Y36" s="414">
        <f>H16</f>
        <v>9.9999999999999995E-7</v>
      </c>
      <c r="Z36" s="414">
        <f>I16</f>
        <v>9.9999999999999995E-7</v>
      </c>
    </row>
    <row r="37" spans="1:26" ht="13" x14ac:dyDescent="0.25">
      <c r="A37" s="374"/>
      <c r="B37" s="374"/>
      <c r="C37" s="374"/>
      <c r="D37" s="374"/>
      <c r="E37" s="374"/>
      <c r="F37" s="374"/>
      <c r="G37" s="374"/>
      <c r="H37" s="1034"/>
      <c r="I37" s="370" t="s">
        <v>266</v>
      </c>
      <c r="J37" s="372">
        <f>J7</f>
        <v>9.9999999999999995E-7</v>
      </c>
      <c r="K37" s="373">
        <f>K7</f>
        <v>9.9999999999999995E-7</v>
      </c>
      <c r="L37" s="1035"/>
      <c r="M37" s="1034"/>
      <c r="N37" s="370" t="s">
        <v>266</v>
      </c>
      <c r="O37" s="414">
        <f>J12</f>
        <v>9.9999999999999995E-7</v>
      </c>
      <c r="P37" s="414">
        <f>K12</f>
        <v>9.9999999999999995E-7</v>
      </c>
      <c r="R37" s="1034"/>
      <c r="S37" s="370" t="s">
        <v>266</v>
      </c>
      <c r="T37" s="414">
        <f>J14</f>
        <v>9.9999999999999995E-7</v>
      </c>
      <c r="U37" s="414">
        <f>P12</f>
        <v>-1.0000000000000009E-2</v>
      </c>
      <c r="W37" s="1034"/>
      <c r="X37" s="370" t="s">
        <v>266</v>
      </c>
      <c r="Y37" s="414">
        <f>J16</f>
        <v>9.9999999999999995E-7</v>
      </c>
      <c r="Z37" s="414">
        <f>K16</f>
        <v>9.9999999999999995E-7</v>
      </c>
    </row>
    <row r="38" spans="1:26" ht="13" x14ac:dyDescent="0.25">
      <c r="A38" s="377"/>
      <c r="B38" s="374"/>
      <c r="C38" s="374"/>
      <c r="D38" s="376"/>
      <c r="E38" s="376"/>
      <c r="F38" s="375"/>
      <c r="G38" s="375"/>
      <c r="H38" s="1034"/>
      <c r="I38" s="370" t="s">
        <v>267</v>
      </c>
      <c r="J38" s="372">
        <f>L7</f>
        <v>9.9999999999999995E-7</v>
      </c>
      <c r="K38" s="373">
        <f>M7</f>
        <v>9.9999999999999995E-7</v>
      </c>
      <c r="L38" s="1035"/>
      <c r="M38" s="1034"/>
      <c r="N38" s="370" t="s">
        <v>267</v>
      </c>
      <c r="O38" s="414">
        <f>L12</f>
        <v>9.9999999999999995E-7</v>
      </c>
      <c r="P38" s="414">
        <f>M12</f>
        <v>9.9999999999999995E-7</v>
      </c>
      <c r="R38" s="1034"/>
      <c r="S38" s="370" t="s">
        <v>267</v>
      </c>
      <c r="T38" s="414">
        <f>L14</f>
        <v>9.9999999999999995E-7</v>
      </c>
      <c r="U38" s="414">
        <f>R12</f>
        <v>9.9999999999999995E-7</v>
      </c>
      <c r="W38" s="1034"/>
      <c r="X38" s="370" t="s">
        <v>267</v>
      </c>
      <c r="Y38" s="414">
        <f>L16</f>
        <v>9.9999999999999995E-7</v>
      </c>
      <c r="Z38" s="414">
        <f>M16</f>
        <v>9.9999999999999995E-7</v>
      </c>
    </row>
    <row r="39" spans="1:26" ht="13" x14ac:dyDescent="0.25">
      <c r="A39" s="374"/>
      <c r="B39" s="374"/>
      <c r="C39" s="374"/>
      <c r="D39" s="374"/>
      <c r="E39" s="374"/>
      <c r="F39" s="374"/>
      <c r="G39" s="374"/>
      <c r="H39" s="1034"/>
      <c r="I39" s="370" t="s">
        <v>268</v>
      </c>
      <c r="J39" s="372">
        <f>N7</f>
        <v>9.9999999999999995E-7</v>
      </c>
      <c r="K39" s="373">
        <f>O7</f>
        <v>9.9999999999999995E-7</v>
      </c>
      <c r="L39" s="1035"/>
      <c r="M39" s="1034"/>
      <c r="N39" s="370" t="s">
        <v>268</v>
      </c>
      <c r="O39" s="414">
        <f>N12</f>
        <v>9.9999999999999995E-7</v>
      </c>
      <c r="P39" s="414">
        <f>O12</f>
        <v>9.9999999999999995E-7</v>
      </c>
      <c r="R39" s="1034"/>
      <c r="S39" s="370" t="s">
        <v>268</v>
      </c>
      <c r="T39" s="414">
        <f>N14</f>
        <v>9.9999999999999995E-7</v>
      </c>
      <c r="U39" s="414">
        <f>T12</f>
        <v>9.9999999999999995E-7</v>
      </c>
      <c r="W39" s="1034"/>
      <c r="X39" s="370" t="s">
        <v>268</v>
      </c>
      <c r="Y39" s="414">
        <f>N16</f>
        <v>9.9999999999999995E-7</v>
      </c>
      <c r="Z39" s="414">
        <f>O16</f>
        <v>9.9999999999999995E-7</v>
      </c>
    </row>
    <row r="40" spans="1:26" ht="15" x14ac:dyDescent="0.3">
      <c r="A40" s="378"/>
      <c r="B40" s="378"/>
      <c r="C40" s="378"/>
      <c r="D40" s="378"/>
      <c r="E40" s="378"/>
      <c r="F40" s="378"/>
      <c r="G40" s="378"/>
      <c r="H40" s="1034"/>
      <c r="I40" s="370" t="s">
        <v>269</v>
      </c>
      <c r="J40" s="372">
        <f>P7</f>
        <v>9.9999999999999995E-7</v>
      </c>
      <c r="K40" s="373">
        <f>Q7</f>
        <v>9.9999999999999995E-7</v>
      </c>
      <c r="L40" s="1035"/>
      <c r="M40" s="1034"/>
      <c r="N40" s="370" t="s">
        <v>269</v>
      </c>
      <c r="O40" s="414">
        <f>P12</f>
        <v>-1.0000000000000009E-2</v>
      </c>
      <c r="P40" s="414">
        <f>Q12</f>
        <v>9.9999999999999995E-7</v>
      </c>
      <c r="R40" s="1034"/>
      <c r="S40" s="370" t="s">
        <v>269</v>
      </c>
      <c r="T40" s="414">
        <f>P14</f>
        <v>1.0000000000000009E-2</v>
      </c>
      <c r="U40" s="414">
        <f>V12</f>
        <v>9.9999999999999995E-7</v>
      </c>
      <c r="W40" s="1034"/>
      <c r="X40" s="370" t="s">
        <v>269</v>
      </c>
      <c r="Y40" s="414">
        <f>P16</f>
        <v>-1.0000000000000009E-2</v>
      </c>
      <c r="Z40" s="414">
        <f>Q16</f>
        <v>9.9999999999999995E-7</v>
      </c>
    </row>
    <row r="41" spans="1:26" ht="13" x14ac:dyDescent="0.25">
      <c r="A41" s="374"/>
      <c r="B41" s="374"/>
      <c r="C41" s="374"/>
      <c r="D41" s="374"/>
      <c r="E41" s="374"/>
      <c r="F41" s="374"/>
      <c r="G41" s="374"/>
      <c r="H41" s="1034"/>
      <c r="I41" s="370" t="s">
        <v>63</v>
      </c>
      <c r="J41" s="369">
        <f>R7</f>
        <v>9.9999999999999995E-7</v>
      </c>
      <c r="K41" s="368">
        <f>S7</f>
        <v>9.9999999999999995E-7</v>
      </c>
      <c r="L41" s="1035"/>
      <c r="M41" s="1034"/>
      <c r="N41" s="370" t="s">
        <v>63</v>
      </c>
      <c r="O41" s="383">
        <f>R12</f>
        <v>9.9999999999999995E-7</v>
      </c>
      <c r="P41" s="383">
        <f>S12</f>
        <v>9.9999999999999995E-7</v>
      </c>
      <c r="R41" s="1034"/>
      <c r="S41" s="370" t="s">
        <v>63</v>
      </c>
      <c r="T41" s="383">
        <f>R14</f>
        <v>2.0000000000000018E-2</v>
      </c>
      <c r="U41" s="383">
        <f>X12</f>
        <v>9.9999999999999995E-7</v>
      </c>
      <c r="W41" s="1034"/>
      <c r="X41" s="370" t="s">
        <v>63</v>
      </c>
      <c r="Y41" s="383">
        <f>R16</f>
        <v>-1.0000000000000009E-2</v>
      </c>
      <c r="Z41" s="383">
        <f>S16</f>
        <v>9.9999999999999995E-7</v>
      </c>
    </row>
    <row r="42" spans="1:26" ht="13" x14ac:dyDescent="0.25">
      <c r="A42" s="377"/>
      <c r="B42" s="374"/>
      <c r="C42" s="374"/>
      <c r="D42" s="376"/>
      <c r="E42" s="376"/>
      <c r="F42" s="375"/>
      <c r="G42" s="375"/>
      <c r="H42" s="1034"/>
      <c r="I42" s="370" t="s">
        <v>270</v>
      </c>
      <c r="J42" s="369">
        <f>T7</f>
        <v>9.9999999999999995E-7</v>
      </c>
      <c r="K42" s="368">
        <f>U7</f>
        <v>9.9999999999999995E-7</v>
      </c>
      <c r="L42" s="1035"/>
      <c r="M42" s="1034"/>
      <c r="N42" s="370" t="s">
        <v>270</v>
      </c>
      <c r="O42" s="383">
        <f>T12</f>
        <v>9.9999999999999995E-7</v>
      </c>
      <c r="P42" s="383">
        <f>U12</f>
        <v>9.9999999999999995E-7</v>
      </c>
      <c r="R42" s="1034"/>
      <c r="S42" s="370" t="s">
        <v>270</v>
      </c>
      <c r="T42" s="383">
        <f>T14</f>
        <v>1.0000000000000009E-2</v>
      </c>
      <c r="U42" s="383">
        <f>Z12</f>
        <v>9.9999999999999995E-7</v>
      </c>
      <c r="W42" s="1034"/>
      <c r="X42" s="370" t="s">
        <v>270</v>
      </c>
      <c r="Y42" s="383">
        <f>T16</f>
        <v>9.9999999999999995E-7</v>
      </c>
      <c r="Z42" s="383">
        <f>U16</f>
        <v>9.9999999999999995E-7</v>
      </c>
    </row>
    <row r="43" spans="1:26" ht="13" x14ac:dyDescent="0.25">
      <c r="A43" s="374"/>
      <c r="B43" s="374"/>
      <c r="C43" s="374"/>
      <c r="D43" s="374"/>
      <c r="E43" s="374"/>
      <c r="F43" s="374"/>
      <c r="G43" s="374"/>
      <c r="H43" s="1034"/>
      <c r="I43" s="370" t="s">
        <v>271</v>
      </c>
      <c r="J43" s="369">
        <f>V7</f>
        <v>9.9999999999999995E-7</v>
      </c>
      <c r="K43" s="368">
        <f>W7</f>
        <v>9.9999999999999995E-7</v>
      </c>
      <c r="L43" s="1035"/>
      <c r="M43" s="1034"/>
      <c r="N43" s="370" t="s">
        <v>271</v>
      </c>
      <c r="O43" s="383">
        <f>V12</f>
        <v>9.9999999999999995E-7</v>
      </c>
      <c r="P43" s="383">
        <f>W12</f>
        <v>9.9999999999999995E-7</v>
      </c>
      <c r="R43" s="1034"/>
      <c r="S43" s="370" t="s">
        <v>271</v>
      </c>
      <c r="T43" s="383">
        <f>V14</f>
        <v>9.9999999999999995E-7</v>
      </c>
      <c r="U43" s="383">
        <f>AB12</f>
        <v>0</v>
      </c>
      <c r="W43" s="1034"/>
      <c r="X43" s="370" t="s">
        <v>271</v>
      </c>
      <c r="Y43" s="383">
        <f>V16</f>
        <v>9.9999999999999995E-7</v>
      </c>
      <c r="Z43" s="383">
        <f>W16</f>
        <v>9.9999999999999995E-7</v>
      </c>
    </row>
    <row r="44" spans="1:26" ht="13" x14ac:dyDescent="0.25">
      <c r="A44" s="360"/>
      <c r="B44" s="359"/>
      <c r="C44" s="359"/>
      <c r="D44" s="359"/>
      <c r="E44" s="359"/>
      <c r="H44" s="1034"/>
      <c r="I44" s="370" t="s">
        <v>272</v>
      </c>
      <c r="J44" s="369">
        <f>X7</f>
        <v>9.9999999999999995E-7</v>
      </c>
      <c r="K44" s="368">
        <f>Y7</f>
        <v>9.9999999999999995E-7</v>
      </c>
      <c r="L44" s="1035"/>
      <c r="M44" s="1034"/>
      <c r="N44" s="370" t="s">
        <v>272</v>
      </c>
      <c r="O44" s="383">
        <f>X12</f>
        <v>9.9999999999999995E-7</v>
      </c>
      <c r="P44" s="383">
        <f>Y12</f>
        <v>9.9999999999999995E-7</v>
      </c>
      <c r="R44" s="1034"/>
      <c r="S44" s="370" t="s">
        <v>272</v>
      </c>
      <c r="T44" s="383">
        <f>X14</f>
        <v>9.9999999999999995E-7</v>
      </c>
      <c r="U44" s="383">
        <f>AD12</f>
        <v>0</v>
      </c>
      <c r="W44" s="1034"/>
      <c r="X44" s="370" t="s">
        <v>272</v>
      </c>
      <c r="Y44" s="383">
        <f>X16</f>
        <v>9.9999999999999995E-7</v>
      </c>
      <c r="Z44" s="383">
        <f>Y16</f>
        <v>9.9999999999999995E-7</v>
      </c>
    </row>
    <row r="45" spans="1:26" ht="13" x14ac:dyDescent="0.25">
      <c r="H45" s="1034"/>
      <c r="I45" s="370" t="s">
        <v>273</v>
      </c>
      <c r="J45" s="369">
        <f>Z7</f>
        <v>9.9999999999999995E-7</v>
      </c>
      <c r="K45" s="368">
        <f>AA7</f>
        <v>9.9999999999999995E-7</v>
      </c>
      <c r="L45" s="1035"/>
      <c r="M45" s="1034"/>
      <c r="N45" s="370" t="s">
        <v>273</v>
      </c>
      <c r="O45" s="383">
        <f>Z12</f>
        <v>9.9999999999999995E-7</v>
      </c>
      <c r="P45" s="383">
        <f>AA12</f>
        <v>9.9999999999999995E-7</v>
      </c>
      <c r="R45" s="1034"/>
      <c r="S45" s="370" t="s">
        <v>273</v>
      </c>
      <c r="T45" s="383">
        <f>Z14</f>
        <v>9.9999999999999995E-7</v>
      </c>
      <c r="U45" s="383">
        <f>AF12</f>
        <v>0</v>
      </c>
      <c r="W45" s="1034"/>
      <c r="X45" s="370" t="s">
        <v>273</v>
      </c>
      <c r="Y45" s="383">
        <f>Z16</f>
        <v>9.9999999999999995E-7</v>
      </c>
      <c r="Z45" s="383">
        <f>AA16</f>
        <v>9.9999999999999995E-7</v>
      </c>
    </row>
    <row r="46" spans="1:26" ht="13" x14ac:dyDescent="0.25">
      <c r="A46" s="364"/>
      <c r="B46" s="363"/>
      <c r="C46" s="363"/>
      <c r="D46" s="362"/>
      <c r="E46" s="362"/>
      <c r="H46" s="415"/>
      <c r="I46" s="405"/>
      <c r="J46" s="381"/>
      <c r="K46" s="406"/>
      <c r="L46" s="1035"/>
      <c r="M46" s="405"/>
      <c r="N46" s="381"/>
      <c r="O46" s="407"/>
    </row>
    <row r="47" spans="1:26" ht="13" x14ac:dyDescent="0.3">
      <c r="A47" s="360"/>
      <c r="B47" s="371"/>
      <c r="C47" s="371"/>
      <c r="D47" s="371"/>
      <c r="E47" s="371"/>
      <c r="H47" s="415"/>
      <c r="I47" s="405"/>
      <c r="J47" s="381"/>
      <c r="K47" s="406"/>
      <c r="L47" s="1035"/>
      <c r="M47" s="405"/>
      <c r="N47" s="381"/>
      <c r="O47" s="407"/>
    </row>
    <row r="48" spans="1:26" ht="13" x14ac:dyDescent="0.3">
      <c r="A48" s="360"/>
      <c r="B48" s="371"/>
      <c r="C48" s="371"/>
      <c r="D48" s="371"/>
      <c r="E48" s="371"/>
      <c r="H48" s="415"/>
      <c r="I48" s="405"/>
      <c r="J48" s="381"/>
      <c r="K48" s="406"/>
      <c r="L48" s="1035"/>
      <c r="M48" s="405"/>
      <c r="N48" s="381"/>
      <c r="O48" s="407"/>
    </row>
    <row r="49" spans="1:15" ht="14" x14ac:dyDescent="0.3">
      <c r="A49" s="360"/>
      <c r="B49" s="371"/>
      <c r="C49" s="371"/>
      <c r="D49" s="371"/>
      <c r="E49" s="192" t="s">
        <v>61</v>
      </c>
      <c r="F49" s="192"/>
      <c r="G49" s="192"/>
      <c r="H49" s="1039" t="s">
        <v>288</v>
      </c>
      <c r="I49" s="405"/>
      <c r="J49" s="408"/>
      <c r="K49" s="408"/>
      <c r="L49" s="1035"/>
      <c r="M49" s="405"/>
      <c r="N49" s="381"/>
      <c r="O49" s="406"/>
    </row>
    <row r="50" spans="1:15" ht="14" x14ac:dyDescent="0.25">
      <c r="A50" s="911" t="s">
        <v>30</v>
      </c>
      <c r="B50" s="911"/>
      <c r="C50" s="957" t="s">
        <v>60</v>
      </c>
      <c r="D50" s="958"/>
      <c r="E50" s="192" t="s">
        <v>63</v>
      </c>
      <c r="F50" s="192" t="s">
        <v>64</v>
      </c>
      <c r="G50" s="192" t="s">
        <v>65</v>
      </c>
      <c r="H50" s="1039"/>
      <c r="I50" s="405"/>
      <c r="J50" s="408"/>
      <c r="K50" s="408"/>
      <c r="L50" s="1035"/>
      <c r="M50" s="405"/>
      <c r="N50" s="381"/>
      <c r="O50" s="406"/>
    </row>
    <row r="51" spans="1:15" ht="14" x14ac:dyDescent="0.25">
      <c r="A51" s="1036" t="str">
        <f>PENYELIA!C37</f>
        <v>Horizontal Distance (cm)</v>
      </c>
      <c r="B51" s="1036"/>
      <c r="C51" s="227">
        <f>ID!F38</f>
        <v>1</v>
      </c>
      <c r="D51" s="227" t="str">
        <f>PENYELIA!F37</f>
        <v>Pin 4 ke 5</v>
      </c>
      <c r="E51" s="227">
        <f>ID!H38</f>
        <v>1</v>
      </c>
      <c r="F51" s="227">
        <f>ID!I38</f>
        <v>1</v>
      </c>
      <c r="G51" s="227">
        <f>ID!J38</f>
        <v>1</v>
      </c>
      <c r="H51" s="227">
        <f>AVERAGE(E51:G51)</f>
        <v>1</v>
      </c>
      <c r="I51" s="227">
        <f>H51+F26</f>
        <v>1.0000009999999999</v>
      </c>
      <c r="J51" s="381"/>
      <c r="K51" s="381"/>
      <c r="L51" s="1035"/>
      <c r="M51" s="405"/>
      <c r="N51" s="381"/>
      <c r="O51" s="406"/>
    </row>
    <row r="52" spans="1:15" ht="14" x14ac:dyDescent="0.25">
      <c r="A52" s="1036"/>
      <c r="B52" s="1036"/>
      <c r="C52" s="227">
        <f>ID!F39</f>
        <v>2</v>
      </c>
      <c r="D52" s="227" t="str">
        <f>PENYELIA!F38</f>
        <v>Pin 4 ke 6</v>
      </c>
      <c r="E52" s="227">
        <f>ID!H39</f>
        <v>1.98</v>
      </c>
      <c r="F52" s="227">
        <f>ID!I39</f>
        <v>1.98</v>
      </c>
      <c r="G52" s="227">
        <f>ID!J39</f>
        <v>1.98</v>
      </c>
      <c r="H52" s="227">
        <f>AVERAGE(E52:G52)</f>
        <v>1.9799999999999998</v>
      </c>
      <c r="I52" s="227">
        <f>H52+F27</f>
        <v>2.0099999999999998</v>
      </c>
      <c r="J52" s="408"/>
      <c r="K52" s="408"/>
      <c r="L52" s="1035"/>
      <c r="M52" s="405"/>
      <c r="N52" s="381"/>
      <c r="O52" s="406"/>
    </row>
    <row r="53" spans="1:15" ht="14" x14ac:dyDescent="0.25">
      <c r="A53" s="912" t="str">
        <f>ID!C40</f>
        <v>Vertical Distance (cm)</v>
      </c>
      <c r="B53" s="912"/>
      <c r="C53" s="1037">
        <f>ID!F40</f>
        <v>1</v>
      </c>
      <c r="D53" s="227" t="str">
        <f>PENYELIA!F39</f>
        <v>Pin 1 ke 3</v>
      </c>
      <c r="E53" s="227">
        <f>ID!H40</f>
        <v>0.99</v>
      </c>
      <c r="F53" s="227">
        <f>ID!I40</f>
        <v>0.99</v>
      </c>
      <c r="G53" s="227">
        <f>ID!J40</f>
        <v>0.99</v>
      </c>
      <c r="H53" s="227">
        <f t="shared" ref="H53:H54" si="1">AVERAGE(E53:G53)</f>
        <v>0.98999999999999988</v>
      </c>
      <c r="I53" s="227">
        <f>H53+F21</f>
        <v>0.97999999999999987</v>
      </c>
      <c r="J53" s="408"/>
      <c r="K53" s="408"/>
      <c r="L53" s="1035"/>
      <c r="M53" s="405"/>
      <c r="N53" s="381"/>
      <c r="O53" s="406"/>
    </row>
    <row r="54" spans="1:15" ht="14" x14ac:dyDescent="0.25">
      <c r="A54" s="912"/>
      <c r="B54" s="912"/>
      <c r="C54" s="1038"/>
      <c r="D54" s="227" t="str">
        <f>PENYELIA!F40</f>
        <v>Pin 9 ke 11</v>
      </c>
      <c r="E54" s="227">
        <f>ID!H41</f>
        <v>0.99</v>
      </c>
      <c r="F54" s="227">
        <f>ID!I41</f>
        <v>0.99</v>
      </c>
      <c r="G54" s="227">
        <f>ID!J41</f>
        <v>0.99</v>
      </c>
      <c r="H54" s="227">
        <f t="shared" si="1"/>
        <v>0.98999999999999988</v>
      </c>
      <c r="I54" s="227">
        <f>H54+F22</f>
        <v>0.99000099999999991</v>
      </c>
      <c r="J54" s="381"/>
      <c r="K54" s="381"/>
      <c r="L54" s="1035"/>
      <c r="M54" s="405"/>
      <c r="N54" s="381"/>
      <c r="O54" s="406"/>
    </row>
    <row r="55" spans="1:15" ht="13" x14ac:dyDescent="0.3">
      <c r="A55" s="360"/>
      <c r="B55" s="367"/>
      <c r="C55" s="367"/>
      <c r="D55" s="367"/>
    </row>
    <row r="57" spans="1:15" x14ac:dyDescent="0.25">
      <c r="A57" s="364"/>
      <c r="B57" s="363"/>
      <c r="C57" s="363"/>
      <c r="D57" s="362"/>
      <c r="E57" s="362"/>
    </row>
    <row r="58" spans="1:15" ht="13" x14ac:dyDescent="0.25">
      <c r="A58" s="360"/>
      <c r="B58" s="361"/>
      <c r="C58" s="361"/>
      <c r="D58" s="361"/>
      <c r="E58" s="361"/>
    </row>
    <row r="59" spans="1:15" ht="30.65" customHeight="1" x14ac:dyDescent="0.25">
      <c r="A59" s="360"/>
      <c r="B59" s="1009" t="str">
        <f>ID!B50</f>
        <v>Ultrasound Phantom, Merk : SUN NUCLEAR, Model : SUN 404, SN :802262-5381-1</v>
      </c>
      <c r="C59" s="1009"/>
      <c r="D59" s="1009"/>
      <c r="E59" s="1009"/>
      <c r="F59" s="1009"/>
      <c r="G59" s="1009"/>
      <c r="H59" s="1009"/>
      <c r="I59" s="366" t="str">
        <f>VLOOKUP(B59,B60:I72,8,FALSE)</f>
        <v>H</v>
      </c>
    </row>
    <row r="60" spans="1:15" ht="24" customHeight="1" x14ac:dyDescent="0.25">
      <c r="B60" s="1013" t="s">
        <v>168</v>
      </c>
      <c r="C60" s="1014"/>
      <c r="D60" s="1014"/>
      <c r="E60" s="1014"/>
      <c r="F60" s="1014"/>
      <c r="G60" s="1014"/>
      <c r="H60" s="1015"/>
      <c r="I60" s="365" t="s">
        <v>169</v>
      </c>
    </row>
    <row r="61" spans="1:15" ht="23.5" customHeight="1" x14ac:dyDescent="0.25">
      <c r="B61" s="1013" t="s">
        <v>172</v>
      </c>
      <c r="C61" s="1014"/>
      <c r="D61" s="1014"/>
      <c r="E61" s="1014"/>
      <c r="F61" s="1014"/>
      <c r="G61" s="1014"/>
      <c r="H61" s="1015"/>
      <c r="I61" s="365" t="s">
        <v>173</v>
      </c>
    </row>
    <row r="62" spans="1:15" ht="24.65" customHeight="1" x14ac:dyDescent="0.25">
      <c r="B62" s="1013" t="s">
        <v>175</v>
      </c>
      <c r="C62" s="1014"/>
      <c r="D62" s="1014"/>
      <c r="E62" s="1014"/>
      <c r="F62" s="1014"/>
      <c r="G62" s="1014"/>
      <c r="H62" s="1015"/>
      <c r="I62" s="365" t="s">
        <v>174</v>
      </c>
    </row>
    <row r="63" spans="1:15" ht="25" customHeight="1" x14ac:dyDescent="0.25">
      <c r="B63" s="1013" t="s">
        <v>176</v>
      </c>
      <c r="C63" s="1014"/>
      <c r="D63" s="1014"/>
      <c r="E63" s="1014"/>
      <c r="F63" s="1014"/>
      <c r="G63" s="1014"/>
      <c r="H63" s="1015"/>
      <c r="I63" s="365" t="s">
        <v>265</v>
      </c>
    </row>
    <row r="64" spans="1:15" ht="26.5" customHeight="1" x14ac:dyDescent="0.25">
      <c r="B64" s="1016" t="s">
        <v>180</v>
      </c>
      <c r="C64" s="1017"/>
      <c r="D64" s="1017"/>
      <c r="E64" s="1017"/>
      <c r="F64" s="1017"/>
      <c r="G64" s="1017"/>
      <c r="H64" s="1018"/>
      <c r="I64" s="365" t="s">
        <v>266</v>
      </c>
    </row>
    <row r="65" spans="1:9" ht="25.5" customHeight="1" x14ac:dyDescent="0.25">
      <c r="B65" s="1016" t="s">
        <v>182</v>
      </c>
      <c r="C65" s="1017"/>
      <c r="D65" s="1017"/>
      <c r="E65" s="1017"/>
      <c r="F65" s="1017"/>
      <c r="G65" s="1017"/>
      <c r="H65" s="1018"/>
      <c r="I65" s="365" t="s">
        <v>267</v>
      </c>
    </row>
    <row r="66" spans="1:9" ht="26.15" customHeight="1" x14ac:dyDescent="0.25">
      <c r="B66" s="1016" t="s">
        <v>186</v>
      </c>
      <c r="C66" s="1017"/>
      <c r="D66" s="1017"/>
      <c r="E66" s="1017"/>
      <c r="F66" s="1017"/>
      <c r="G66" s="1017"/>
      <c r="H66" s="1018"/>
      <c r="I66" s="365" t="s">
        <v>268</v>
      </c>
    </row>
    <row r="67" spans="1:9" ht="34.5" customHeight="1" x14ac:dyDescent="0.3">
      <c r="A67" s="360"/>
      <c r="B67" s="1010" t="s">
        <v>187</v>
      </c>
      <c r="C67" s="1011"/>
      <c r="D67" s="1011"/>
      <c r="E67" s="1011"/>
      <c r="F67" s="1011"/>
      <c r="G67" s="1011"/>
      <c r="H67" s="1012"/>
      <c r="I67" s="365" t="s">
        <v>269</v>
      </c>
    </row>
    <row r="68" spans="1:9" ht="27.65" customHeight="1" x14ac:dyDescent="0.3">
      <c r="A68" s="360"/>
      <c r="B68" s="1010" t="s">
        <v>188</v>
      </c>
      <c r="C68" s="1011"/>
      <c r="D68" s="1011"/>
      <c r="E68" s="1011"/>
      <c r="F68" s="1011"/>
      <c r="G68" s="1011"/>
      <c r="H68" s="1012"/>
      <c r="I68" s="365" t="s">
        <v>63</v>
      </c>
    </row>
    <row r="69" spans="1:9" ht="26.15" customHeight="1" x14ac:dyDescent="0.3">
      <c r="A69" s="360"/>
      <c r="B69" s="1010" t="s">
        <v>190</v>
      </c>
      <c r="C69" s="1011"/>
      <c r="D69" s="1011"/>
      <c r="E69" s="1011"/>
      <c r="F69" s="1011"/>
      <c r="G69" s="1011"/>
      <c r="H69" s="1012"/>
      <c r="I69" s="365" t="s">
        <v>270</v>
      </c>
    </row>
    <row r="70" spans="1:9" ht="32.15" customHeight="1" x14ac:dyDescent="0.3">
      <c r="A70" s="360"/>
      <c r="B70" s="1006" t="s">
        <v>289</v>
      </c>
      <c r="C70" s="1007"/>
      <c r="D70" s="1007"/>
      <c r="E70" s="1007"/>
      <c r="F70" s="1007"/>
      <c r="G70" s="1007"/>
      <c r="H70" s="1008"/>
      <c r="I70" s="365" t="s">
        <v>271</v>
      </c>
    </row>
    <row r="71" spans="1:9" ht="37" customHeight="1" x14ac:dyDescent="0.3">
      <c r="B71" s="1006" t="s">
        <v>289</v>
      </c>
      <c r="C71" s="1007"/>
      <c r="D71" s="1007"/>
      <c r="E71" s="1007"/>
      <c r="F71" s="1007"/>
      <c r="G71" s="1007"/>
      <c r="H71" s="1008"/>
      <c r="I71" s="365" t="s">
        <v>272</v>
      </c>
    </row>
    <row r="72" spans="1:9" ht="34.5" customHeight="1" x14ac:dyDescent="0.3">
      <c r="A72" s="364"/>
      <c r="B72" s="1006" t="s">
        <v>289</v>
      </c>
      <c r="C72" s="1007"/>
      <c r="D72" s="1007"/>
      <c r="E72" s="1007"/>
      <c r="F72" s="1007"/>
      <c r="G72" s="1007"/>
      <c r="H72" s="1008"/>
      <c r="I72" s="365" t="s">
        <v>273</v>
      </c>
    </row>
    <row r="73" spans="1:9" ht="13" x14ac:dyDescent="0.25">
      <c r="A73" s="360"/>
      <c r="B73" s="361"/>
      <c r="C73" s="361"/>
      <c r="D73" s="361"/>
      <c r="E73" s="361"/>
    </row>
    <row r="74" spans="1:9" ht="13" x14ac:dyDescent="0.25">
      <c r="A74" s="360"/>
      <c r="B74" s="361"/>
      <c r="C74" s="361"/>
      <c r="D74" s="361"/>
      <c r="E74" s="361"/>
    </row>
    <row r="75" spans="1:9" ht="13" x14ac:dyDescent="0.25">
      <c r="A75" s="360"/>
      <c r="B75" s="361"/>
      <c r="C75" s="361"/>
      <c r="D75" s="361"/>
      <c r="E75" s="361"/>
    </row>
    <row r="76" spans="1:9" ht="13" x14ac:dyDescent="0.25">
      <c r="A76" s="360"/>
      <c r="B76" s="361"/>
      <c r="C76" s="361"/>
      <c r="D76" s="361"/>
      <c r="E76" s="361"/>
    </row>
    <row r="77" spans="1:9" ht="13" x14ac:dyDescent="0.25">
      <c r="A77" s="360"/>
      <c r="B77" s="361"/>
      <c r="C77" s="361"/>
      <c r="D77" s="361"/>
      <c r="E77" s="361"/>
    </row>
    <row r="78" spans="1:9" ht="13" x14ac:dyDescent="0.25">
      <c r="A78" s="360"/>
      <c r="B78" s="361"/>
      <c r="C78" s="361"/>
      <c r="D78" s="361"/>
      <c r="E78" s="361"/>
    </row>
    <row r="79" spans="1:9" ht="13" x14ac:dyDescent="0.25">
      <c r="A79" s="360"/>
      <c r="B79" s="361"/>
      <c r="C79" s="361"/>
      <c r="D79" s="361"/>
      <c r="E79" s="361"/>
    </row>
    <row r="80" spans="1:9" ht="13" x14ac:dyDescent="0.25">
      <c r="A80" s="360"/>
      <c r="B80" s="361"/>
      <c r="C80" s="361"/>
      <c r="D80" s="361"/>
      <c r="E80" s="361"/>
    </row>
    <row r="81" spans="1:5" ht="13" x14ac:dyDescent="0.25">
      <c r="A81" s="360"/>
      <c r="B81" s="361"/>
      <c r="C81" s="361"/>
      <c r="D81" s="361"/>
      <c r="E81" s="361"/>
    </row>
    <row r="82" spans="1:5" ht="13" x14ac:dyDescent="0.25">
      <c r="A82" s="360"/>
      <c r="B82" s="361"/>
      <c r="C82" s="361"/>
      <c r="D82" s="361"/>
      <c r="E82" s="361"/>
    </row>
    <row r="83" spans="1:5" ht="13" x14ac:dyDescent="0.25">
      <c r="A83" s="360"/>
      <c r="B83" s="361"/>
      <c r="C83" s="361"/>
      <c r="D83" s="361"/>
      <c r="E83" s="361"/>
    </row>
    <row r="84" spans="1:5" ht="13" x14ac:dyDescent="0.25">
      <c r="A84" s="360"/>
      <c r="B84" s="361"/>
      <c r="C84" s="361"/>
      <c r="D84" s="361"/>
      <c r="E84" s="361"/>
    </row>
    <row r="85" spans="1:5" ht="13" x14ac:dyDescent="0.25">
      <c r="A85" s="360"/>
      <c r="B85" s="359"/>
      <c r="C85" s="359"/>
      <c r="D85" s="359"/>
      <c r="E85" s="359"/>
    </row>
    <row r="87" spans="1:5" x14ac:dyDescent="0.25">
      <c r="A87" s="364"/>
      <c r="B87" s="363"/>
      <c r="C87" s="363"/>
      <c r="D87" s="362"/>
      <c r="E87" s="362"/>
    </row>
    <row r="88" spans="1:5" ht="13" x14ac:dyDescent="0.25">
      <c r="A88" s="360"/>
      <c r="B88" s="361"/>
      <c r="C88" s="361"/>
      <c r="D88" s="361"/>
      <c r="E88" s="361"/>
    </row>
    <row r="89" spans="1:5" ht="13" x14ac:dyDescent="0.25">
      <c r="A89" s="360"/>
      <c r="B89" s="361"/>
      <c r="C89" s="361"/>
      <c r="D89" s="361"/>
      <c r="E89" s="361"/>
    </row>
    <row r="90" spans="1:5" ht="13" x14ac:dyDescent="0.25">
      <c r="A90" s="360"/>
      <c r="B90" s="361"/>
      <c r="C90" s="361"/>
      <c r="D90" s="361"/>
      <c r="E90" s="361"/>
    </row>
    <row r="91" spans="1:5" ht="13" x14ac:dyDescent="0.25">
      <c r="A91" s="360"/>
      <c r="B91" s="361"/>
      <c r="C91" s="361"/>
      <c r="D91" s="361"/>
      <c r="E91" s="361"/>
    </row>
    <row r="92" spans="1:5" ht="13" x14ac:dyDescent="0.25">
      <c r="A92" s="360"/>
      <c r="B92" s="361"/>
      <c r="C92" s="361"/>
      <c r="D92" s="361"/>
      <c r="E92" s="361"/>
    </row>
    <row r="93" spans="1:5" ht="13" x14ac:dyDescent="0.25">
      <c r="A93" s="360"/>
      <c r="B93" s="361"/>
      <c r="C93" s="361"/>
      <c r="D93" s="361"/>
      <c r="E93" s="361"/>
    </row>
    <row r="94" spans="1:5" ht="13" x14ac:dyDescent="0.25">
      <c r="A94" s="360"/>
      <c r="B94" s="361"/>
      <c r="C94" s="361"/>
      <c r="D94" s="361"/>
      <c r="E94" s="361"/>
    </row>
    <row r="95" spans="1:5" ht="13" x14ac:dyDescent="0.25">
      <c r="A95" s="360"/>
      <c r="B95" s="361"/>
      <c r="C95" s="361"/>
      <c r="D95" s="361"/>
      <c r="E95" s="361"/>
    </row>
    <row r="96" spans="1:5" ht="13" x14ac:dyDescent="0.25">
      <c r="A96" s="360"/>
      <c r="B96" s="361"/>
      <c r="C96" s="361"/>
      <c r="D96" s="361"/>
      <c r="E96" s="361"/>
    </row>
    <row r="97" spans="1:5" ht="13" x14ac:dyDescent="0.25">
      <c r="A97" s="360"/>
      <c r="B97" s="361"/>
      <c r="C97" s="361"/>
      <c r="D97" s="361"/>
      <c r="E97" s="361"/>
    </row>
    <row r="98" spans="1:5" ht="13" x14ac:dyDescent="0.25">
      <c r="A98" s="360"/>
      <c r="B98" s="361"/>
      <c r="C98" s="361"/>
      <c r="D98" s="361"/>
      <c r="E98" s="361"/>
    </row>
    <row r="99" spans="1:5" ht="13" x14ac:dyDescent="0.25">
      <c r="A99" s="360"/>
      <c r="B99" s="361"/>
      <c r="C99" s="361"/>
      <c r="D99" s="361"/>
      <c r="E99" s="361"/>
    </row>
    <row r="100" spans="1:5" ht="13" x14ac:dyDescent="0.25">
      <c r="A100" s="360"/>
      <c r="B100" s="359"/>
      <c r="C100" s="359"/>
      <c r="D100" s="359"/>
      <c r="E100" s="359"/>
    </row>
  </sheetData>
  <mergeCells count="76">
    <mergeCell ref="R33:R45"/>
    <mergeCell ref="B63:H63"/>
    <mergeCell ref="L46:L54"/>
    <mergeCell ref="H20:H32"/>
    <mergeCell ref="L20:L32"/>
    <mergeCell ref="H33:H45"/>
    <mergeCell ref="L33:L45"/>
    <mergeCell ref="A51:B52"/>
    <mergeCell ref="A53:B54"/>
    <mergeCell ref="C53:C54"/>
    <mergeCell ref="H49:H50"/>
    <mergeCell ref="A23:A24"/>
    <mergeCell ref="B23:D23"/>
    <mergeCell ref="X9:Y9"/>
    <mergeCell ref="Z9:AA9"/>
    <mergeCell ref="B60:H60"/>
    <mergeCell ref="B61:H61"/>
    <mergeCell ref="W20:W32"/>
    <mergeCell ref="W33:W45"/>
    <mergeCell ref="A50:B50"/>
    <mergeCell ref="C50:D50"/>
    <mergeCell ref="L9:M9"/>
    <mergeCell ref="N9:O9"/>
    <mergeCell ref="P9:Q9"/>
    <mergeCell ref="R9:S9"/>
    <mergeCell ref="T9:U9"/>
    <mergeCell ref="M20:M32"/>
    <mergeCell ref="M33:M45"/>
    <mergeCell ref="R20:R32"/>
    <mergeCell ref="V9:W9"/>
    <mergeCell ref="A9:A10"/>
    <mergeCell ref="B9:C9"/>
    <mergeCell ref="D9:E9"/>
    <mergeCell ref="F9:G9"/>
    <mergeCell ref="H9:I9"/>
    <mergeCell ref="J9:K9"/>
    <mergeCell ref="V3:W3"/>
    <mergeCell ref="X3:Y3"/>
    <mergeCell ref="B3:C3"/>
    <mergeCell ref="D3:E3"/>
    <mergeCell ref="F3:G3"/>
    <mergeCell ref="H3:I3"/>
    <mergeCell ref="J3:K3"/>
    <mergeCell ref="L3:M3"/>
    <mergeCell ref="P4:Q4"/>
    <mergeCell ref="N3:O3"/>
    <mergeCell ref="P3:Q3"/>
    <mergeCell ref="R3:S3"/>
    <mergeCell ref="T3:U3"/>
    <mergeCell ref="X4:Y4"/>
    <mergeCell ref="Z4:AA4"/>
    <mergeCell ref="A18:A19"/>
    <mergeCell ref="B18:E18"/>
    <mergeCell ref="Z3:AA3"/>
    <mergeCell ref="A4:A5"/>
    <mergeCell ref="B4:C4"/>
    <mergeCell ref="D4:E4"/>
    <mergeCell ref="F4:G4"/>
    <mergeCell ref="H4:I4"/>
    <mergeCell ref="R4:S4"/>
    <mergeCell ref="T4:U4"/>
    <mergeCell ref="V4:W4"/>
    <mergeCell ref="J4:K4"/>
    <mergeCell ref="L4:M4"/>
    <mergeCell ref="N4:O4"/>
    <mergeCell ref="B72:H72"/>
    <mergeCell ref="B59:H59"/>
    <mergeCell ref="B67:H67"/>
    <mergeCell ref="B68:H68"/>
    <mergeCell ref="B69:H69"/>
    <mergeCell ref="B70:H70"/>
    <mergeCell ref="B71:H71"/>
    <mergeCell ref="B62:H62"/>
    <mergeCell ref="B64:H64"/>
    <mergeCell ref="B65:H65"/>
    <mergeCell ref="B66:H66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7DEE-FF03-45A8-AC8E-5251810B8070}">
  <dimension ref="A1:D29"/>
  <sheetViews>
    <sheetView workbookViewId="0">
      <selection activeCell="H24" sqref="H24"/>
    </sheetView>
  </sheetViews>
  <sheetFormatPr defaultRowHeight="12.5" x14ac:dyDescent="0.25"/>
  <cols>
    <col min="1" max="1" width="29" customWidth="1"/>
    <col min="2" max="2" width="29.1796875" customWidth="1"/>
    <col min="3" max="3" width="27.1796875" customWidth="1"/>
    <col min="4" max="4" width="18.54296875" customWidth="1"/>
  </cols>
  <sheetData>
    <row r="1" spans="1:4" ht="44.25" customHeight="1" x14ac:dyDescent="0.25">
      <c r="A1" s="1043" t="s">
        <v>290</v>
      </c>
      <c r="B1" s="1043"/>
      <c r="C1" s="1043"/>
      <c r="D1" s="1043"/>
    </row>
    <row r="2" spans="1:4" x14ac:dyDescent="0.25">
      <c r="A2" s="430" t="s">
        <v>291</v>
      </c>
      <c r="B2" s="1044" t="s">
        <v>286</v>
      </c>
      <c r="C2" s="1045"/>
      <c r="D2" s="1046"/>
    </row>
    <row r="3" spans="1:4" ht="13" x14ac:dyDescent="0.3">
      <c r="A3" s="432" t="s">
        <v>292</v>
      </c>
      <c r="B3" s="432" t="s">
        <v>293</v>
      </c>
      <c r="C3" s="432" t="s">
        <v>294</v>
      </c>
      <c r="D3" s="428" t="s">
        <v>243</v>
      </c>
    </row>
    <row r="4" spans="1:4" ht="13" x14ac:dyDescent="0.3">
      <c r="A4" s="431" t="s">
        <v>277</v>
      </c>
      <c r="B4" s="372">
        <v>1</v>
      </c>
      <c r="C4" s="372">
        <v>1</v>
      </c>
      <c r="D4" s="429">
        <f>B4-C4</f>
        <v>0</v>
      </c>
    </row>
    <row r="5" spans="1:4" ht="13" x14ac:dyDescent="0.3">
      <c r="A5" s="431" t="s">
        <v>278</v>
      </c>
      <c r="B5" s="372">
        <v>1</v>
      </c>
      <c r="C5" s="372">
        <v>1.01</v>
      </c>
      <c r="D5" s="429">
        <f t="shared" ref="D5:D9" si="0">B5-C5</f>
        <v>-1.0000000000000009E-2</v>
      </c>
    </row>
    <row r="6" spans="1:4" ht="13" x14ac:dyDescent="0.3">
      <c r="A6" s="431" t="s">
        <v>279</v>
      </c>
      <c r="B6" s="372">
        <v>1</v>
      </c>
      <c r="C6" s="372">
        <v>0.98</v>
      </c>
      <c r="D6" s="429">
        <f t="shared" si="0"/>
        <v>2.0000000000000018E-2</v>
      </c>
    </row>
    <row r="7" spans="1:4" ht="13" x14ac:dyDescent="0.3">
      <c r="A7" s="431" t="s">
        <v>280</v>
      </c>
      <c r="B7" s="372">
        <v>1</v>
      </c>
      <c r="C7" s="372">
        <v>0.99</v>
      </c>
      <c r="D7" s="429">
        <f t="shared" si="0"/>
        <v>1.0000000000000009E-2</v>
      </c>
    </row>
    <row r="8" spans="1:4" ht="13" x14ac:dyDescent="0.3">
      <c r="A8" s="431" t="s">
        <v>281</v>
      </c>
      <c r="B8" s="372">
        <v>1</v>
      </c>
      <c r="C8" s="372">
        <v>0.98</v>
      </c>
      <c r="D8" s="429">
        <f t="shared" si="0"/>
        <v>2.0000000000000018E-2</v>
      </c>
    </row>
    <row r="9" spans="1:4" ht="13" x14ac:dyDescent="0.3">
      <c r="A9" s="431" t="s">
        <v>282</v>
      </c>
      <c r="B9" s="372">
        <v>1</v>
      </c>
      <c r="C9" s="372">
        <v>1.01</v>
      </c>
      <c r="D9" s="429">
        <f t="shared" si="0"/>
        <v>-1.0000000000000009E-2</v>
      </c>
    </row>
    <row r="12" spans="1:4" x14ac:dyDescent="0.25">
      <c r="A12" s="430" t="s">
        <v>295</v>
      </c>
      <c r="B12" s="1044" t="s">
        <v>286</v>
      </c>
      <c r="C12" s="1045"/>
      <c r="D12" s="1046"/>
    </row>
    <row r="13" spans="1:4" ht="13" x14ac:dyDescent="0.3">
      <c r="A13" s="432" t="s">
        <v>292</v>
      </c>
      <c r="B13" s="432" t="s">
        <v>293</v>
      </c>
      <c r="C13" s="432" t="s">
        <v>294</v>
      </c>
      <c r="D13" s="428" t="s">
        <v>243</v>
      </c>
    </row>
    <row r="14" spans="1:4" ht="13" x14ac:dyDescent="0.3">
      <c r="A14" s="431" t="s">
        <v>277</v>
      </c>
      <c r="B14" s="372">
        <v>1</v>
      </c>
      <c r="C14" s="372">
        <v>1.01</v>
      </c>
      <c r="D14" s="429">
        <f>B14-C14</f>
        <v>-1.0000000000000009E-2</v>
      </c>
    </row>
    <row r="15" spans="1:4" ht="13" x14ac:dyDescent="0.3">
      <c r="A15" s="431" t="s">
        <v>278</v>
      </c>
      <c r="B15" s="372">
        <v>1</v>
      </c>
      <c r="C15" s="372">
        <v>1</v>
      </c>
      <c r="D15" s="429">
        <f t="shared" ref="D15:D18" si="1">B15-C15</f>
        <v>0</v>
      </c>
    </row>
    <row r="16" spans="1:4" ht="13" x14ac:dyDescent="0.3">
      <c r="A16" s="431" t="s">
        <v>279</v>
      </c>
      <c r="B16" s="372">
        <v>1</v>
      </c>
      <c r="C16" s="372">
        <v>0.99</v>
      </c>
      <c r="D16" s="429">
        <f t="shared" si="1"/>
        <v>1.0000000000000009E-2</v>
      </c>
    </row>
    <row r="17" spans="1:4" ht="13" x14ac:dyDescent="0.3">
      <c r="A17" s="431" t="s">
        <v>280</v>
      </c>
      <c r="B17" s="372">
        <v>1</v>
      </c>
      <c r="C17" s="372">
        <v>0.98</v>
      </c>
      <c r="D17" s="429">
        <f t="shared" si="1"/>
        <v>2.0000000000000018E-2</v>
      </c>
    </row>
    <row r="18" spans="1:4" ht="13" x14ac:dyDescent="0.3">
      <c r="A18" s="431" t="s">
        <v>281</v>
      </c>
      <c r="B18" s="372">
        <v>1</v>
      </c>
      <c r="C18" s="372">
        <v>0.99</v>
      </c>
      <c r="D18" s="429">
        <f t="shared" si="1"/>
        <v>1.0000000000000009E-2</v>
      </c>
    </row>
    <row r="19" spans="1:4" ht="13" x14ac:dyDescent="0.3">
      <c r="A19" s="431" t="s">
        <v>282</v>
      </c>
      <c r="B19" s="372">
        <v>1</v>
      </c>
      <c r="C19" s="372">
        <v>1.01</v>
      </c>
      <c r="D19" s="429">
        <f>B19-C19</f>
        <v>-1.0000000000000009E-2</v>
      </c>
    </row>
    <row r="22" spans="1:4" x14ac:dyDescent="0.25">
      <c r="A22" s="430" t="s">
        <v>296</v>
      </c>
      <c r="B22" s="1044" t="s">
        <v>286</v>
      </c>
      <c r="C22" s="1045"/>
      <c r="D22" s="1046"/>
    </row>
    <row r="23" spans="1:4" ht="13" x14ac:dyDescent="0.3">
      <c r="A23" s="432" t="s">
        <v>292</v>
      </c>
      <c r="B23" s="432" t="s">
        <v>293</v>
      </c>
      <c r="C23" s="432" t="s">
        <v>294</v>
      </c>
      <c r="D23" s="428" t="s">
        <v>243</v>
      </c>
    </row>
    <row r="24" spans="1:4" ht="13" x14ac:dyDescent="0.3">
      <c r="A24" s="431" t="s">
        <v>277</v>
      </c>
      <c r="B24" s="372">
        <v>1</v>
      </c>
      <c r="C24" s="372">
        <v>1</v>
      </c>
      <c r="D24" s="429">
        <f>B24-C24</f>
        <v>0</v>
      </c>
    </row>
    <row r="25" spans="1:4" ht="13" x14ac:dyDescent="0.3">
      <c r="A25" s="431" t="s">
        <v>278</v>
      </c>
      <c r="B25" s="372">
        <v>1</v>
      </c>
      <c r="C25" s="372">
        <v>1</v>
      </c>
      <c r="D25" s="429">
        <f t="shared" ref="D25:D28" si="2">B25-C25</f>
        <v>0</v>
      </c>
    </row>
    <row r="26" spans="1:4" ht="13" x14ac:dyDescent="0.3">
      <c r="A26" s="431" t="s">
        <v>279</v>
      </c>
      <c r="B26" s="372">
        <v>1</v>
      </c>
      <c r="C26" s="372">
        <v>0.99</v>
      </c>
      <c r="D26" s="429">
        <f t="shared" si="2"/>
        <v>1.0000000000000009E-2</v>
      </c>
    </row>
    <row r="27" spans="1:4" ht="13" x14ac:dyDescent="0.3">
      <c r="A27" s="431" t="s">
        <v>280</v>
      </c>
      <c r="B27" s="372">
        <v>1</v>
      </c>
      <c r="C27" s="372">
        <v>0.99</v>
      </c>
      <c r="D27" s="429">
        <f t="shared" si="2"/>
        <v>1.0000000000000009E-2</v>
      </c>
    </row>
    <row r="28" spans="1:4" ht="13" x14ac:dyDescent="0.3">
      <c r="A28" s="431" t="s">
        <v>281</v>
      </c>
      <c r="B28" s="372">
        <v>1</v>
      </c>
      <c r="C28" s="372">
        <v>0.99</v>
      </c>
      <c r="D28" s="429">
        <f t="shared" si="2"/>
        <v>1.0000000000000009E-2</v>
      </c>
    </row>
    <row r="29" spans="1:4" ht="13" x14ac:dyDescent="0.3">
      <c r="A29" s="431" t="s">
        <v>282</v>
      </c>
      <c r="B29" s="372">
        <v>1</v>
      </c>
      <c r="C29" s="372">
        <v>1</v>
      </c>
      <c r="D29" s="429">
        <f>B29-C29</f>
        <v>0</v>
      </c>
    </row>
  </sheetData>
  <sheetProtection algorithmName="SHA-512" hashValue="lNPcprNQjZW3wGU3H8uPzG5EQcbWZXRYtEW151A1snv0c058G4lDliuHGGRScbljiSRByIgU49M2R+enYvW1EA==" saltValue="2IcKK1XB25g19l7y2OAhyw==" spinCount="100000" sheet="1" objects="1" scenarios="1"/>
  <mergeCells count="4">
    <mergeCell ref="A1:D1"/>
    <mergeCell ref="B2:D2"/>
    <mergeCell ref="B12:D12"/>
    <mergeCell ref="B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LK</vt:lpstr>
      <vt:lpstr>Riwayat Revisi</vt:lpstr>
      <vt:lpstr>DB Kelistrikan</vt:lpstr>
      <vt:lpstr>DB Thermohygro</vt:lpstr>
      <vt:lpstr>ID</vt:lpstr>
      <vt:lpstr>LH</vt:lpstr>
      <vt:lpstr>UB</vt:lpstr>
      <vt:lpstr>Data Phantom</vt:lpstr>
      <vt:lpstr>Input Sertifikat</vt:lpstr>
      <vt:lpstr>SURAT KETERANGAN</vt:lpstr>
      <vt:lpstr>DB SERTIFIKAT</vt:lpstr>
      <vt:lpstr>List cetik - cetik</vt:lpstr>
      <vt:lpstr>Kesimpulan</vt:lpstr>
      <vt:lpstr>PENYELIA</vt:lpstr>
      <vt:lpstr>SERTIFIKAT</vt:lpstr>
      <vt:lpstr>ID!Print_Area</vt:lpstr>
      <vt:lpstr>LH!Print_Area</vt:lpstr>
      <vt:lpstr>LK!Print_Area</vt:lpstr>
      <vt:lpstr>PENYELIA!Print_Area</vt:lpstr>
      <vt:lpstr>SERTIFIKAT!Print_Area</vt:lpstr>
      <vt:lpstr>'SURAT KETERANGAN'!Print_Area</vt:lpstr>
      <vt:lpstr>UB!Print_Area</vt:lpstr>
    </vt:vector>
  </TitlesOfParts>
  <Manager/>
  <Company>BPFK BANJARBARU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software usg 2017</dc:creator>
  <cp:keywords/>
  <dc:description/>
  <cp:lastModifiedBy>isra mahensa</cp:lastModifiedBy>
  <cp:revision/>
  <dcterms:created xsi:type="dcterms:W3CDTF">2004-10-18T02:55:41Z</dcterms:created>
  <dcterms:modified xsi:type="dcterms:W3CDTF">2023-10-09T04:42:25Z</dcterms:modified>
  <cp:category/>
  <cp:contentStatus/>
</cp:coreProperties>
</file>