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B4003E97-BBD4-4FCF-BE35-D10E99EA7B30}" xr6:coauthVersionLast="45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Sheet1" sheetId="1" state="hidden" r:id="rId1"/>
    <sheet name="LK" sheetId="7" r:id="rId2"/>
    <sheet name="Riwayat Revisi" sheetId="22" r:id="rId3"/>
    <sheet name="ID" sheetId="2" r:id="rId4"/>
    <sheet name="LH" sheetId="20" r:id="rId5"/>
    <sheet name="BUDGETING" sheetId="10" r:id="rId6"/>
    <sheet name="Sertifikat Anak" sheetId="9" r:id="rId7"/>
    <sheet name="MPE" sheetId="12" r:id="rId8"/>
    <sheet name="Lembar Penyelia" sheetId="13" r:id="rId9"/>
    <sheet name="SERTIFIKAT" sheetId="23" r:id="rId10"/>
    <sheet name="DB Thermohygro" sheetId="21" r:id="rId11"/>
    <sheet name="Cetik Cetik" sheetId="14" r:id="rId12"/>
  </sheets>
  <definedNames>
    <definedName name="_xlnm.Print_Area" localSheetId="5">BUDGETING!$A$1:$K$127</definedName>
    <definedName name="_xlnm.Print_Area" localSheetId="10">'DB Thermohygro'!$A$1:$O$199,'DB Thermohygro'!$A$337:$O$352</definedName>
    <definedName name="_xlnm.Print_Area" localSheetId="3">ID!$A$1:$L$93</definedName>
    <definedName name="_xlnm.Print_Area" localSheetId="8">'Lembar Penyelia'!$A$1:$I$75</definedName>
    <definedName name="_xlnm.Print_Area" localSheetId="4">LH!$A$1:$I$81</definedName>
    <definedName name="_xlnm.Print_Area" localSheetId="1">LK!$A$1:$I$89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1" i="21" l="1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I8" i="14"/>
  <c r="I9" i="14"/>
  <c r="N25" i="9"/>
  <c r="N28" i="9"/>
  <c r="AA5" i="9"/>
  <c r="AA6" i="9"/>
  <c r="AA8" i="9"/>
  <c r="AA9" i="9"/>
  <c r="AA14" i="9"/>
  <c r="AA15" i="9"/>
  <c r="AA17" i="9" s="1"/>
  <c r="AA18" i="9"/>
  <c r="AA23" i="9"/>
  <c r="AA24" i="9"/>
  <c r="AA26" i="9" s="1"/>
  <c r="AA27" i="9"/>
  <c r="AA32" i="9"/>
  <c r="AA34" i="9" s="1"/>
  <c r="AA33" i="9"/>
  <c r="AA35" i="9" s="1"/>
  <c r="AA36" i="9"/>
  <c r="AA41" i="9"/>
  <c r="AA72" i="9"/>
  <c r="AA77" i="9"/>
  <c r="AA96" i="9"/>
  <c r="AK5" i="9"/>
  <c r="AT5" i="9"/>
  <c r="AK6" i="9"/>
  <c r="AL6" i="9"/>
  <c r="AN6" i="9"/>
  <c r="AO6" i="9"/>
  <c r="AT6" i="9"/>
  <c r="AU6" i="9"/>
  <c r="AW6" i="9"/>
  <c r="AX6" i="9"/>
  <c r="AK7" i="9"/>
  <c r="AM7" i="9"/>
  <c r="AN7" i="9"/>
  <c r="AT7" i="9"/>
  <c r="AV7" i="9"/>
  <c r="AW7" i="9"/>
  <c r="AK14" i="9"/>
  <c r="AL14" i="9"/>
  <c r="AT14" i="9"/>
  <c r="AU14" i="9"/>
  <c r="AJ15" i="9"/>
  <c r="AJ16" i="9" s="1"/>
  <c r="AJ17" i="9" s="1"/>
  <c r="AJ18" i="9" s="1"/>
  <c r="AJ19" i="9" s="1"/>
  <c r="AK15" i="9"/>
  <c r="AL15" i="9"/>
  <c r="AN15" i="9"/>
  <c r="AO15" i="9"/>
  <c r="AS15" i="9"/>
  <c r="AS16" i="9" s="1"/>
  <c r="AS17" i="9" s="1"/>
  <c r="AS18" i="9" s="1"/>
  <c r="AS19" i="9" s="1"/>
  <c r="AT15" i="9"/>
  <c r="AU15" i="9"/>
  <c r="AW15" i="9"/>
  <c r="AX15" i="9"/>
  <c r="AK16" i="9"/>
  <c r="AM16" i="9"/>
  <c r="AN16" i="9"/>
  <c r="AT16" i="9"/>
  <c r="AV16" i="9"/>
  <c r="AW16" i="9"/>
  <c r="AK23" i="9"/>
  <c r="AT23" i="9"/>
  <c r="AJ24" i="9"/>
  <c r="AL24" i="9"/>
  <c r="AM24" i="9"/>
  <c r="AO24" i="9"/>
  <c r="AS24" i="9"/>
  <c r="AU24" i="9"/>
  <c r="AV24" i="9"/>
  <c r="AX24" i="9"/>
  <c r="AJ25" i="9"/>
  <c r="AJ26" i="9" s="1"/>
  <c r="AJ27" i="9" s="1"/>
  <c r="AJ28" i="9" s="1"/>
  <c r="AL25" i="9"/>
  <c r="AM25" i="9"/>
  <c r="AO25" i="9"/>
  <c r="AS25" i="9"/>
  <c r="AS26" i="9" s="1"/>
  <c r="AS27" i="9" s="1"/>
  <c r="AS28" i="9" s="1"/>
  <c r="AU25" i="9"/>
  <c r="AV25" i="9"/>
  <c r="AX25" i="9"/>
  <c r="AK32" i="9"/>
  <c r="AT32" i="9"/>
  <c r="AJ33" i="9"/>
  <c r="AJ34" i="9" s="1"/>
  <c r="AJ35" i="9" s="1"/>
  <c r="AJ36" i="9" s="1"/>
  <c r="AJ37" i="9" s="1"/>
  <c r="AL33" i="9"/>
  <c r="AM33" i="9"/>
  <c r="AO33" i="9"/>
  <c r="AS33" i="9"/>
  <c r="AS34" i="9" s="1"/>
  <c r="AS35" i="9" s="1"/>
  <c r="AS36" i="9" s="1"/>
  <c r="AS37" i="9" s="1"/>
  <c r="AU33" i="9"/>
  <c r="AV33" i="9"/>
  <c r="AX33" i="9"/>
  <c r="AL34" i="9"/>
  <c r="AM34" i="9"/>
  <c r="AO34" i="9"/>
  <c r="AU34" i="9"/>
  <c r="AV34" i="9"/>
  <c r="AX34" i="9"/>
  <c r="AK41" i="9"/>
  <c r="AT41" i="9"/>
  <c r="AJ42" i="9"/>
  <c r="AL42" i="9"/>
  <c r="AM42" i="9"/>
  <c r="AO42" i="9"/>
  <c r="AS42" i="9"/>
  <c r="AU42" i="9"/>
  <c r="AV42" i="9"/>
  <c r="AX42" i="9"/>
  <c r="AJ43" i="9"/>
  <c r="AJ44" i="9" s="1"/>
  <c r="AJ45" i="9" s="1"/>
  <c r="AJ46" i="9" s="1"/>
  <c r="AL43" i="9"/>
  <c r="AM43" i="9"/>
  <c r="AO43" i="9"/>
  <c r="AS43" i="9"/>
  <c r="AU43" i="9"/>
  <c r="AV43" i="9"/>
  <c r="AX43" i="9"/>
  <c r="AS44" i="9"/>
  <c r="AS45" i="9" s="1"/>
  <c r="AS46" i="9" s="1"/>
  <c r="AK50" i="9"/>
  <c r="AT50" i="9"/>
  <c r="AJ51" i="9"/>
  <c r="AL51" i="9"/>
  <c r="AM51" i="9"/>
  <c r="AO51" i="9"/>
  <c r="AS51" i="9"/>
  <c r="AS52" i="9" s="1"/>
  <c r="AS53" i="9" s="1"/>
  <c r="AS54" i="9" s="1"/>
  <c r="AS55" i="9" s="1"/>
  <c r="AU51" i="9"/>
  <c r="AV51" i="9"/>
  <c r="AX51" i="9"/>
  <c r="AJ52" i="9"/>
  <c r="AJ53" i="9" s="1"/>
  <c r="AJ54" i="9" s="1"/>
  <c r="AJ55" i="9" s="1"/>
  <c r="AL52" i="9"/>
  <c r="AM52" i="9"/>
  <c r="AO52" i="9"/>
  <c r="AU52" i="9"/>
  <c r="AV52" i="9"/>
  <c r="AX52" i="9"/>
  <c r="AK59" i="9"/>
  <c r="AT59" i="9"/>
  <c r="AJ60" i="9"/>
  <c r="AL60" i="9"/>
  <c r="AM60" i="9"/>
  <c r="AO60" i="9"/>
  <c r="AS60" i="9"/>
  <c r="AU60" i="9"/>
  <c r="AV60" i="9"/>
  <c r="AX60" i="9"/>
  <c r="AJ61" i="9"/>
  <c r="AJ62" i="9" s="1"/>
  <c r="AJ63" i="9" s="1"/>
  <c r="AJ64" i="9" s="1"/>
  <c r="AL61" i="9"/>
  <c r="AM61" i="9"/>
  <c r="AO61" i="9"/>
  <c r="AS61" i="9"/>
  <c r="AS62" i="9" s="1"/>
  <c r="AS63" i="9" s="1"/>
  <c r="AS64" i="9" s="1"/>
  <c r="AU61" i="9"/>
  <c r="AV61" i="9"/>
  <c r="AX61" i="9"/>
  <c r="AK68" i="9"/>
  <c r="AT68" i="9"/>
  <c r="AJ69" i="9"/>
  <c r="AL69" i="9"/>
  <c r="AM69" i="9"/>
  <c r="AO69" i="9"/>
  <c r="AS69" i="9"/>
  <c r="AU69" i="9"/>
  <c r="AV69" i="9"/>
  <c r="AX69" i="9"/>
  <c r="AJ70" i="9"/>
  <c r="AJ71" i="9" s="1"/>
  <c r="AJ72" i="9" s="1"/>
  <c r="AJ73" i="9" s="1"/>
  <c r="AL70" i="9"/>
  <c r="AM70" i="9"/>
  <c r="AO70" i="9"/>
  <c r="AS70" i="9"/>
  <c r="AS71" i="9" s="1"/>
  <c r="AS72" i="9" s="1"/>
  <c r="AS73" i="9" s="1"/>
  <c r="AU70" i="9"/>
  <c r="AV70" i="9"/>
  <c r="AX70" i="9"/>
  <c r="AM114" i="9"/>
  <c r="AO114" i="9"/>
  <c r="AL115" i="9"/>
  <c r="AM115" i="9"/>
  <c r="AO115" i="9"/>
  <c r="AK114" i="9"/>
  <c r="AK113" i="9"/>
  <c r="AJ114" i="9"/>
  <c r="AJ115" i="9" s="1"/>
  <c r="AJ116" i="9" s="1"/>
  <c r="AJ117" i="9" s="1"/>
  <c r="AJ118" i="9" s="1"/>
  <c r="AV104" i="9"/>
  <c r="AX104" i="9"/>
  <c r="AV105" i="9"/>
  <c r="AX105" i="9"/>
  <c r="AU106" i="9"/>
  <c r="AV106" i="9"/>
  <c r="AX106" i="9"/>
  <c r="AT105" i="9"/>
  <c r="AT104" i="9"/>
  <c r="AS105" i="9"/>
  <c r="AS106" i="9" s="1"/>
  <c r="AS107" i="9" s="1"/>
  <c r="AS108" i="9" s="1"/>
  <c r="AS109" i="9" s="1"/>
  <c r="AM105" i="9"/>
  <c r="AO105" i="9"/>
  <c r="AL106" i="9"/>
  <c r="AM106" i="9"/>
  <c r="AO106" i="9"/>
  <c r="AK105" i="9"/>
  <c r="AK104" i="9"/>
  <c r="AJ105" i="9"/>
  <c r="AJ106" i="9" s="1"/>
  <c r="AJ107" i="9" s="1"/>
  <c r="AJ108" i="9" s="1"/>
  <c r="AJ109" i="9" s="1"/>
  <c r="AV96" i="9"/>
  <c r="AX96" i="9"/>
  <c r="AU97" i="9"/>
  <c r="AV97" i="9"/>
  <c r="AX97" i="9"/>
  <c r="AT96" i="9"/>
  <c r="AT95" i="9"/>
  <c r="AS96" i="9"/>
  <c r="AS97" i="9" s="1"/>
  <c r="AS98" i="9" s="1"/>
  <c r="AS99" i="9" s="1"/>
  <c r="AS100" i="9" s="1"/>
  <c r="AO97" i="9"/>
  <c r="AM97" i="9"/>
  <c r="AL97" i="9"/>
  <c r="AO96" i="9"/>
  <c r="AM96" i="9"/>
  <c r="AK96" i="9"/>
  <c r="AK95" i="9"/>
  <c r="AJ96" i="9"/>
  <c r="AJ97" i="9" s="1"/>
  <c r="AJ98" i="9" s="1"/>
  <c r="AJ99" i="9" s="1"/>
  <c r="AJ100" i="9" s="1"/>
  <c r="AV87" i="9"/>
  <c r="AX87" i="9"/>
  <c r="AU88" i="9"/>
  <c r="AV88" i="9"/>
  <c r="AX88" i="9"/>
  <c r="AT87" i="9"/>
  <c r="AT86" i="9"/>
  <c r="AS87" i="9"/>
  <c r="AS88" i="9" s="1"/>
  <c r="AS89" i="9" s="1"/>
  <c r="AS90" i="9" s="1"/>
  <c r="AS91" i="9" s="1"/>
  <c r="AM78" i="9"/>
  <c r="AO78" i="9"/>
  <c r="AL79" i="9"/>
  <c r="AM79" i="9"/>
  <c r="AO79" i="9"/>
  <c r="AK78" i="9"/>
  <c r="AK77" i="9"/>
  <c r="AJ78" i="9"/>
  <c r="AJ79" i="9" s="1"/>
  <c r="AJ80" i="9" s="1"/>
  <c r="AJ81" i="9" s="1"/>
  <c r="AJ82" i="9" s="1"/>
  <c r="M5" i="9"/>
  <c r="AL5" i="9" s="1"/>
  <c r="AM87" i="9"/>
  <c r="AO87" i="9"/>
  <c r="AL88" i="9"/>
  <c r="AM88" i="9"/>
  <c r="AO88" i="9"/>
  <c r="AK87" i="9"/>
  <c r="AK86" i="9"/>
  <c r="AU79" i="9"/>
  <c r="AV79" i="9"/>
  <c r="AX79" i="9"/>
  <c r="AV78" i="9"/>
  <c r="AX78" i="9"/>
  <c r="AT78" i="9"/>
  <c r="AT77" i="9"/>
  <c r="E47" i="12"/>
  <c r="E46" i="12"/>
  <c r="E45" i="12"/>
  <c r="E44" i="12"/>
  <c r="E42" i="12"/>
  <c r="E41" i="12"/>
  <c r="E40" i="12"/>
  <c r="S62" i="9"/>
  <c r="S59" i="9"/>
  <c r="S56" i="9"/>
  <c r="S53" i="9"/>
  <c r="S50" i="9"/>
  <c r="S47" i="9"/>
  <c r="S44" i="9"/>
  <c r="S41" i="9"/>
  <c r="S38" i="9"/>
  <c r="S35" i="9"/>
  <c r="AA31" i="9" l="1"/>
  <c r="AA40" i="9"/>
  <c r="AA22" i="9"/>
  <c r="AA19" i="9"/>
  <c r="AA28" i="9"/>
  <c r="AA37" i="9"/>
  <c r="AA20" i="9"/>
  <c r="AA16" i="9"/>
  <c r="AA21" i="9" s="1"/>
  <c r="AA25" i="9"/>
  <c r="AA29" i="9"/>
  <c r="AA7" i="9"/>
  <c r="AA12" i="9" s="1"/>
  <c r="AA78" i="9"/>
  <c r="AA39" i="9"/>
  <c r="AA38" i="9"/>
  <c r="AA11" i="9"/>
  <c r="AA10" i="9"/>
  <c r="AA73" i="9"/>
  <c r="AA92" i="9" s="1"/>
  <c r="AA91" i="9"/>
  <c r="AA30" i="9"/>
  <c r="AA13" i="9"/>
  <c r="A3" i="23"/>
  <c r="P27" i="9"/>
  <c r="P26" i="9"/>
  <c r="P25" i="9"/>
  <c r="P24" i="9"/>
  <c r="P23" i="9"/>
  <c r="P21" i="9"/>
  <c r="P22" i="9"/>
  <c r="P9" i="9"/>
  <c r="AO23" i="9" s="1"/>
  <c r="P8" i="9"/>
  <c r="P7" i="9"/>
  <c r="P6" i="9"/>
  <c r="AX5" i="9" s="1"/>
  <c r="P5" i="9"/>
  <c r="AO5" i="9" s="1"/>
  <c r="M31" i="9"/>
  <c r="AV6" i="9" s="1"/>
  <c r="M33" i="9"/>
  <c r="AV15" i="9" s="1"/>
  <c r="M46" i="9"/>
  <c r="M47" i="9"/>
  <c r="M48" i="9"/>
  <c r="M49" i="9"/>
  <c r="M50" i="9"/>
  <c r="M51" i="9"/>
  <c r="M52" i="9"/>
  <c r="M53" i="9"/>
  <c r="M54" i="9"/>
  <c r="AL114" i="9" s="1"/>
  <c r="O54" i="9"/>
  <c r="AN114" i="9" s="1"/>
  <c r="O53" i="9"/>
  <c r="O52" i="9"/>
  <c r="N5" i="9"/>
  <c r="AM5" i="9" s="1"/>
  <c r="M13" i="9"/>
  <c r="AL41" i="9" s="1"/>
  <c r="B29" i="13"/>
  <c r="B28" i="13"/>
  <c r="AU105" i="9" l="1"/>
  <c r="AU104" i="9"/>
  <c r="AO77" i="9"/>
  <c r="AX77" i="9"/>
  <c r="AL105" i="9"/>
  <c r="AO86" i="9"/>
  <c r="AU96" i="9"/>
  <c r="AX86" i="9"/>
  <c r="AL96" i="9"/>
  <c r="AO95" i="9"/>
  <c r="AL78" i="9"/>
  <c r="AN105" i="9"/>
  <c r="AU87" i="9"/>
  <c r="AX95" i="9"/>
  <c r="AW104" i="9"/>
  <c r="AW105" i="9"/>
  <c r="AL87" i="9"/>
  <c r="AO104" i="9"/>
  <c r="AU78" i="9"/>
  <c r="D21" i="23"/>
  <c r="B45" i="23"/>
  <c r="B46" i="23" s="1"/>
  <c r="G72" i="20"/>
  <c r="N6" i="9" l="1"/>
  <c r="AV5" i="9" s="1"/>
  <c r="N7" i="9"/>
  <c r="AN14" i="9" s="1"/>
  <c r="N8" i="9"/>
  <c r="AW14" i="9" s="1"/>
  <c r="N9" i="9"/>
  <c r="AM23" i="9" s="1"/>
  <c r="N10" i="9"/>
  <c r="AV23" i="9" s="1"/>
  <c r="N11" i="9"/>
  <c r="AM32" i="9" s="1"/>
  <c r="N12" i="9"/>
  <c r="AV32" i="9" s="1"/>
  <c r="N13" i="9"/>
  <c r="AM41" i="9" s="1"/>
  <c r="N14" i="9"/>
  <c r="AV41" i="9" s="1"/>
  <c r="N15" i="9"/>
  <c r="AM50" i="9" s="1"/>
  <c r="N16" i="9"/>
  <c r="AV50" i="9" s="1"/>
  <c r="N17" i="9"/>
  <c r="N18" i="9"/>
  <c r="N19" i="9"/>
  <c r="N20" i="9"/>
  <c r="N21" i="9"/>
  <c r="N22" i="9"/>
  <c r="N23" i="9"/>
  <c r="N24" i="9"/>
  <c r="N26" i="9"/>
  <c r="N27" i="9"/>
  <c r="N29" i="9"/>
  <c r="AM113" i="9" s="1"/>
  <c r="M6" i="9"/>
  <c r="M7" i="9"/>
  <c r="AM14" i="9" s="1"/>
  <c r="M8" i="9"/>
  <c r="AV14" i="9" s="1"/>
  <c r="M9" i="9"/>
  <c r="AL23" i="9" s="1"/>
  <c r="M10" i="9"/>
  <c r="AU23" i="9" s="1"/>
  <c r="M11" i="9"/>
  <c r="AL32" i="9" s="1"/>
  <c r="M12" i="9"/>
  <c r="AU32" i="9" s="1"/>
  <c r="M14" i="9"/>
  <c r="M15" i="9"/>
  <c r="AL50" i="9" s="1"/>
  <c r="M16" i="9"/>
  <c r="AU50" i="9" s="1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AL113" i="9" s="1"/>
  <c r="G17" i="13"/>
  <c r="H17" i="20" s="1"/>
  <c r="G16" i="13"/>
  <c r="H16" i="20" s="1"/>
  <c r="E17" i="13"/>
  <c r="F17" i="20" s="1"/>
  <c r="E16" i="13"/>
  <c r="F16" i="20" s="1"/>
  <c r="D8" i="13"/>
  <c r="I10" i="14"/>
  <c r="AN115" i="9"/>
  <c r="AW52" i="9"/>
  <c r="AN52" i="9"/>
  <c r="AW43" i="9"/>
  <c r="AN43" i="9"/>
  <c r="AW34" i="9"/>
  <c r="AN34" i="9"/>
  <c r="AW25" i="9"/>
  <c r="AN25" i="9"/>
  <c r="AX16" i="9"/>
  <c r="AO16" i="9"/>
  <c r="O56" i="9"/>
  <c r="AX7" i="9" s="1"/>
  <c r="O55" i="9"/>
  <c r="AO7" i="9" s="1"/>
  <c r="L55" i="9"/>
  <c r="AL7" i="9" s="1"/>
  <c r="M30" i="9"/>
  <c r="AM6" i="9" s="1"/>
  <c r="D23" i="23"/>
  <c r="D20" i="23"/>
  <c r="D19" i="23"/>
  <c r="B54" i="23" s="1"/>
  <c r="B55" i="23" s="1"/>
  <c r="D18" i="23"/>
  <c r="D17" i="23"/>
  <c r="D12" i="23"/>
  <c r="D9" i="23"/>
  <c r="D10" i="23"/>
  <c r="D8" i="23"/>
  <c r="F6" i="23"/>
  <c r="B43" i="23" s="1"/>
  <c r="B50" i="23"/>
  <c r="E26" i="23"/>
  <c r="D9" i="13"/>
  <c r="E9" i="20" s="1"/>
  <c r="C9" i="13"/>
  <c r="D9" i="20" s="1"/>
  <c r="A9" i="13"/>
  <c r="A9" i="20" s="1"/>
  <c r="AN70" i="9" l="1"/>
  <c r="AM77" i="9"/>
  <c r="AW106" i="9"/>
  <c r="AL77" i="9"/>
  <c r="AV68" i="9"/>
  <c r="AN106" i="9"/>
  <c r="O14" i="9"/>
  <c r="AW41" i="9" s="1"/>
  <c r="AU41" i="9"/>
  <c r="AW70" i="9"/>
  <c r="AN79" i="9"/>
  <c r="AU68" i="9"/>
  <c r="AM104" i="9"/>
  <c r="AM68" i="9"/>
  <c r="AW79" i="9"/>
  <c r="AL104" i="9"/>
  <c r="AL68" i="9"/>
  <c r="AV95" i="9"/>
  <c r="AV59" i="9"/>
  <c r="AN88" i="9"/>
  <c r="AU95" i="9"/>
  <c r="AU59" i="9"/>
  <c r="AM95" i="9"/>
  <c r="AM59" i="9"/>
  <c r="AW88" i="9"/>
  <c r="O25" i="9"/>
  <c r="AL95" i="9"/>
  <c r="AL59" i="9"/>
  <c r="AV86" i="9"/>
  <c r="AN61" i="9"/>
  <c r="AN60" i="9"/>
  <c r="AN97" i="9"/>
  <c r="AU86" i="9"/>
  <c r="AM86" i="9"/>
  <c r="AW61" i="9"/>
  <c r="AW97" i="9"/>
  <c r="AL86" i="9"/>
  <c r="O6" i="9"/>
  <c r="AW5" i="9" s="1"/>
  <c r="AU5" i="9"/>
  <c r="AV77" i="9"/>
  <c r="O22" i="9"/>
  <c r="AU77" i="9"/>
  <c r="O9" i="9"/>
  <c r="AN23" i="9" s="1"/>
  <c r="O28" i="9"/>
  <c r="O20" i="9"/>
  <c r="O12" i="9"/>
  <c r="AW32" i="9" s="1"/>
  <c r="O24" i="9"/>
  <c r="O16" i="9"/>
  <c r="AW50" i="9" s="1"/>
  <c r="O8" i="9"/>
  <c r="AX14" i="9" s="1"/>
  <c r="O5" i="9"/>
  <c r="AN5" i="9" s="1"/>
  <c r="O23" i="9"/>
  <c r="O15" i="9"/>
  <c r="AN50" i="9" s="1"/>
  <c r="O7" i="9"/>
  <c r="AO14" i="9" s="1"/>
  <c r="O27" i="9"/>
  <c r="O19" i="9"/>
  <c r="O11" i="9"/>
  <c r="AN32" i="9" s="1"/>
  <c r="O26" i="9"/>
  <c r="O18" i="9"/>
  <c r="O10" i="9"/>
  <c r="AW23" i="9" s="1"/>
  <c r="O17" i="9"/>
  <c r="O29" i="9"/>
  <c r="AN113" i="9" s="1"/>
  <c r="O21" i="9"/>
  <c r="O13" i="9"/>
  <c r="AN41" i="9" s="1"/>
  <c r="B59" i="23"/>
  <c r="B57" i="23" s="1"/>
  <c r="B58" i="23"/>
  <c r="O51" i="9"/>
  <c r="O50" i="9"/>
  <c r="O49" i="9"/>
  <c r="O48" i="9"/>
  <c r="O47" i="9"/>
  <c r="O46" i="9"/>
  <c r="O45" i="9"/>
  <c r="O44" i="9"/>
  <c r="O43" i="9"/>
  <c r="O42" i="9"/>
  <c r="O41" i="9"/>
  <c r="AW51" i="9" s="1"/>
  <c r="O40" i="9"/>
  <c r="AN51" i="9" s="1"/>
  <c r="O39" i="9"/>
  <c r="AW42" i="9" s="1"/>
  <c r="O38" i="9"/>
  <c r="AN42" i="9" s="1"/>
  <c r="O37" i="9"/>
  <c r="AW33" i="9" s="1"/>
  <c r="O36" i="9"/>
  <c r="O35" i="9"/>
  <c r="O34" i="9"/>
  <c r="AN24" i="9" s="1"/>
  <c r="D12" i="13"/>
  <c r="E12" i="20" s="1"/>
  <c r="D70" i="2"/>
  <c r="D69" i="2"/>
  <c r="D68" i="2"/>
  <c r="D67" i="2"/>
  <c r="D66" i="2"/>
  <c r="AN96" i="9" l="1"/>
  <c r="AN78" i="9"/>
  <c r="AN68" i="9"/>
  <c r="AN95" i="9"/>
  <c r="AW60" i="9"/>
  <c r="AW69" i="9"/>
  <c r="AW86" i="9"/>
  <c r="AW78" i="9"/>
  <c r="AN77" i="9"/>
  <c r="AN104" i="9"/>
  <c r="AN86" i="9"/>
  <c r="AN87" i="9"/>
  <c r="AW68" i="9"/>
  <c r="AW87" i="9"/>
  <c r="AN59" i="9"/>
  <c r="AN33" i="9"/>
  <c r="AW24" i="9"/>
  <c r="AW96" i="9"/>
  <c r="AW59" i="9"/>
  <c r="AN69" i="9"/>
  <c r="AW95" i="9"/>
  <c r="AW77" i="9"/>
  <c r="G51" i="2"/>
  <c r="P20" i="9"/>
  <c r="P19" i="9"/>
  <c r="P18" i="9"/>
  <c r="P17" i="9"/>
  <c r="P16" i="9"/>
  <c r="AX50" i="9" s="1"/>
  <c r="P15" i="9"/>
  <c r="AO50" i="9" s="1"/>
  <c r="P14" i="9"/>
  <c r="AX41" i="9" s="1"/>
  <c r="P13" i="9"/>
  <c r="AO41" i="9" s="1"/>
  <c r="P12" i="9"/>
  <c r="AX32" i="9" s="1"/>
  <c r="P11" i="9"/>
  <c r="AO32" i="9" s="1"/>
  <c r="P10" i="9"/>
  <c r="AX23" i="9" s="1"/>
  <c r="AO59" i="9" l="1"/>
  <c r="AO68" i="9"/>
  <c r="AX59" i="9"/>
  <c r="AX68" i="9"/>
  <c r="G45" i="2"/>
  <c r="B19" i="13" l="1"/>
  <c r="B19" i="20" s="1"/>
  <c r="I7" i="14" l="1"/>
  <c r="I11" i="14" s="1"/>
  <c r="B77" i="2" s="1"/>
  <c r="N342" i="21" l="1"/>
  <c r="A356" i="21"/>
  <c r="A375" i="21" s="1"/>
  <c r="A337" i="21" s="1"/>
  <c r="J374" i="21"/>
  <c r="I374" i="21"/>
  <c r="J373" i="21"/>
  <c r="I373" i="21"/>
  <c r="J372" i="21"/>
  <c r="I372" i="21"/>
  <c r="J371" i="21"/>
  <c r="I371" i="21"/>
  <c r="J370" i="21"/>
  <c r="I370" i="21"/>
  <c r="J369" i="21"/>
  <c r="I369" i="21"/>
  <c r="J368" i="21"/>
  <c r="I368" i="21"/>
  <c r="J367" i="21"/>
  <c r="I367" i="21"/>
  <c r="J366" i="21"/>
  <c r="I366" i="21"/>
  <c r="J365" i="21"/>
  <c r="I365" i="21"/>
  <c r="J364" i="21"/>
  <c r="I364" i="21"/>
  <c r="J363" i="21"/>
  <c r="I363" i="21"/>
  <c r="J362" i="21"/>
  <c r="I362" i="21"/>
  <c r="J361" i="21"/>
  <c r="I361" i="21"/>
  <c r="J360" i="21"/>
  <c r="I360" i="21"/>
  <c r="J359" i="21"/>
  <c r="I359" i="21"/>
  <c r="J358" i="21"/>
  <c r="I358" i="21"/>
  <c r="J357" i="21"/>
  <c r="I357" i="21"/>
  <c r="L335" i="21"/>
  <c r="K335" i="21"/>
  <c r="J335" i="21"/>
  <c r="E335" i="21"/>
  <c r="D335" i="21"/>
  <c r="C335" i="21"/>
  <c r="L334" i="21"/>
  <c r="K334" i="21"/>
  <c r="J334" i="21"/>
  <c r="E334" i="21"/>
  <c r="D334" i="21"/>
  <c r="C334" i="21"/>
  <c r="L333" i="21"/>
  <c r="K333" i="21"/>
  <c r="J333" i="21"/>
  <c r="E333" i="21"/>
  <c r="D333" i="21"/>
  <c r="C333" i="21"/>
  <c r="L332" i="21"/>
  <c r="K332" i="21"/>
  <c r="J332" i="21"/>
  <c r="E332" i="21"/>
  <c r="D332" i="21"/>
  <c r="C332" i="21"/>
  <c r="L331" i="21"/>
  <c r="K331" i="21"/>
  <c r="J331" i="21"/>
  <c r="E331" i="21"/>
  <c r="D331" i="21"/>
  <c r="C331" i="21"/>
  <c r="L330" i="21"/>
  <c r="K330" i="21"/>
  <c r="J330" i="21"/>
  <c r="E330" i="21"/>
  <c r="D330" i="21"/>
  <c r="C330" i="21"/>
  <c r="L329" i="21"/>
  <c r="K329" i="21"/>
  <c r="J329" i="21"/>
  <c r="E329" i="21"/>
  <c r="D329" i="21"/>
  <c r="C329" i="21"/>
  <c r="L328" i="21"/>
  <c r="K328" i="21"/>
  <c r="J328" i="21"/>
  <c r="E328" i="21"/>
  <c r="D328" i="21"/>
  <c r="C328" i="21"/>
  <c r="L327" i="21"/>
  <c r="K327" i="21"/>
  <c r="J327" i="21"/>
  <c r="E327" i="21"/>
  <c r="D327" i="21"/>
  <c r="C327" i="21"/>
  <c r="L326" i="21"/>
  <c r="K326" i="21"/>
  <c r="J326" i="21"/>
  <c r="E326" i="21"/>
  <c r="D326" i="21"/>
  <c r="C326" i="21"/>
  <c r="L325" i="21"/>
  <c r="K325" i="21"/>
  <c r="J325" i="21"/>
  <c r="E325" i="21"/>
  <c r="D325" i="21"/>
  <c r="C325" i="21"/>
  <c r="L324" i="21"/>
  <c r="K324" i="21"/>
  <c r="J324" i="21"/>
  <c r="E324" i="21"/>
  <c r="D324" i="21"/>
  <c r="C324" i="21"/>
  <c r="L323" i="21"/>
  <c r="K323" i="21"/>
  <c r="J323" i="21"/>
  <c r="E323" i="21"/>
  <c r="D323" i="21"/>
  <c r="C323" i="21"/>
  <c r="L322" i="21"/>
  <c r="K322" i="21"/>
  <c r="J322" i="21"/>
  <c r="E322" i="21"/>
  <c r="D322" i="21"/>
  <c r="C322" i="21"/>
  <c r="L321" i="21"/>
  <c r="K321" i="21"/>
  <c r="J321" i="21"/>
  <c r="E321" i="21"/>
  <c r="D321" i="21"/>
  <c r="C321" i="21"/>
  <c r="L320" i="21"/>
  <c r="K320" i="21"/>
  <c r="J320" i="21"/>
  <c r="E320" i="21"/>
  <c r="D320" i="21"/>
  <c r="C320" i="21"/>
  <c r="L319" i="21"/>
  <c r="K319" i="21"/>
  <c r="J319" i="21"/>
  <c r="E319" i="21"/>
  <c r="D319" i="21"/>
  <c r="C319" i="21"/>
  <c r="L318" i="21"/>
  <c r="K318" i="21"/>
  <c r="J318" i="21"/>
  <c r="E318" i="21"/>
  <c r="D318" i="21"/>
  <c r="C318" i="21"/>
  <c r="L316" i="21"/>
  <c r="K316" i="21"/>
  <c r="J316" i="21"/>
  <c r="E316" i="21"/>
  <c r="D316" i="21"/>
  <c r="C316" i="21"/>
  <c r="L315" i="21"/>
  <c r="K315" i="21"/>
  <c r="J315" i="21"/>
  <c r="E315" i="21"/>
  <c r="D315" i="21"/>
  <c r="C315" i="21"/>
  <c r="L314" i="21"/>
  <c r="K314" i="21"/>
  <c r="J314" i="21"/>
  <c r="E314" i="21"/>
  <c r="D314" i="21"/>
  <c r="C314" i="21"/>
  <c r="L313" i="21"/>
  <c r="K313" i="21"/>
  <c r="J313" i="21"/>
  <c r="E313" i="21"/>
  <c r="D313" i="21"/>
  <c r="C313" i="21"/>
  <c r="L312" i="21"/>
  <c r="K312" i="21"/>
  <c r="J312" i="21"/>
  <c r="E312" i="21"/>
  <c r="D312" i="21"/>
  <c r="C312" i="21"/>
  <c r="L311" i="21"/>
  <c r="K311" i="21"/>
  <c r="J311" i="21"/>
  <c r="E311" i="21"/>
  <c r="D311" i="21"/>
  <c r="C311" i="21"/>
  <c r="L310" i="21"/>
  <c r="K310" i="21"/>
  <c r="J310" i="21"/>
  <c r="E310" i="21"/>
  <c r="D310" i="21"/>
  <c r="C310" i="21"/>
  <c r="L309" i="21"/>
  <c r="K309" i="21"/>
  <c r="J309" i="21"/>
  <c r="E309" i="21"/>
  <c r="D309" i="21"/>
  <c r="C309" i="21"/>
  <c r="L308" i="21"/>
  <c r="K308" i="21"/>
  <c r="J308" i="21"/>
  <c r="E308" i="21"/>
  <c r="D308" i="21"/>
  <c r="C308" i="21"/>
  <c r="L307" i="21"/>
  <c r="K307" i="21"/>
  <c r="J307" i="21"/>
  <c r="E307" i="21"/>
  <c r="D307" i="21"/>
  <c r="C307" i="21"/>
  <c r="L306" i="21"/>
  <c r="K306" i="21"/>
  <c r="J306" i="21"/>
  <c r="E306" i="21"/>
  <c r="D306" i="21"/>
  <c r="C306" i="21"/>
  <c r="L305" i="21"/>
  <c r="K305" i="21"/>
  <c r="J305" i="21"/>
  <c r="E305" i="21"/>
  <c r="D305" i="21"/>
  <c r="C305" i="21"/>
  <c r="L304" i="21"/>
  <c r="K304" i="21"/>
  <c r="J304" i="21"/>
  <c r="E304" i="21"/>
  <c r="D304" i="21"/>
  <c r="C304" i="21"/>
  <c r="L303" i="21"/>
  <c r="K303" i="21"/>
  <c r="J303" i="21"/>
  <c r="E303" i="21"/>
  <c r="D303" i="21"/>
  <c r="C303" i="21"/>
  <c r="L302" i="21"/>
  <c r="K302" i="21"/>
  <c r="J302" i="21"/>
  <c r="E302" i="21"/>
  <c r="D302" i="21"/>
  <c r="C302" i="21"/>
  <c r="L301" i="21"/>
  <c r="K301" i="21"/>
  <c r="J301" i="21"/>
  <c r="E301" i="21"/>
  <c r="D301" i="21"/>
  <c r="C301" i="21"/>
  <c r="L300" i="21"/>
  <c r="K300" i="21"/>
  <c r="J300" i="21"/>
  <c r="E300" i="21"/>
  <c r="D300" i="21"/>
  <c r="C300" i="21"/>
  <c r="L299" i="21"/>
  <c r="K299" i="21"/>
  <c r="J299" i="21"/>
  <c r="E299" i="21"/>
  <c r="D299" i="21"/>
  <c r="C299" i="21"/>
  <c r="L297" i="21"/>
  <c r="K297" i="21"/>
  <c r="J297" i="21"/>
  <c r="E297" i="21"/>
  <c r="D297" i="21"/>
  <c r="C297" i="21"/>
  <c r="L296" i="21"/>
  <c r="K296" i="21"/>
  <c r="J296" i="21"/>
  <c r="E296" i="21"/>
  <c r="D296" i="21"/>
  <c r="C296" i="21"/>
  <c r="L295" i="21"/>
  <c r="K295" i="21"/>
  <c r="J295" i="21"/>
  <c r="E295" i="21"/>
  <c r="D295" i="21"/>
  <c r="C295" i="21"/>
  <c r="L294" i="21"/>
  <c r="K294" i="21"/>
  <c r="J294" i="21"/>
  <c r="E294" i="21"/>
  <c r="D294" i="21"/>
  <c r="C294" i="21"/>
  <c r="L293" i="21"/>
  <c r="K293" i="21"/>
  <c r="J293" i="21"/>
  <c r="E293" i="21"/>
  <c r="D293" i="21"/>
  <c r="C293" i="21"/>
  <c r="L292" i="21"/>
  <c r="K292" i="21"/>
  <c r="J292" i="21"/>
  <c r="E292" i="21"/>
  <c r="D292" i="21"/>
  <c r="C292" i="21"/>
  <c r="L291" i="21"/>
  <c r="K291" i="21"/>
  <c r="J291" i="21"/>
  <c r="E291" i="21"/>
  <c r="D291" i="21"/>
  <c r="C291" i="21"/>
  <c r="L290" i="21"/>
  <c r="K290" i="21"/>
  <c r="J290" i="21"/>
  <c r="E290" i="21"/>
  <c r="D290" i="21"/>
  <c r="C290" i="21"/>
  <c r="L289" i="21"/>
  <c r="K289" i="21"/>
  <c r="J289" i="21"/>
  <c r="E289" i="21"/>
  <c r="D289" i="21"/>
  <c r="C289" i="21"/>
  <c r="L288" i="21"/>
  <c r="K288" i="21"/>
  <c r="J288" i="21"/>
  <c r="E288" i="21"/>
  <c r="D288" i="21"/>
  <c r="C288" i="21"/>
  <c r="L287" i="21"/>
  <c r="K287" i="21"/>
  <c r="J287" i="21"/>
  <c r="E287" i="21"/>
  <c r="D287" i="21"/>
  <c r="C287" i="21"/>
  <c r="L286" i="21"/>
  <c r="K286" i="21"/>
  <c r="J286" i="21"/>
  <c r="E286" i="21"/>
  <c r="D286" i="21"/>
  <c r="C286" i="21"/>
  <c r="L285" i="21"/>
  <c r="K285" i="21"/>
  <c r="J285" i="21"/>
  <c r="E285" i="21"/>
  <c r="D285" i="21"/>
  <c r="C285" i="21"/>
  <c r="L284" i="21"/>
  <c r="K284" i="21"/>
  <c r="J284" i="21"/>
  <c r="E284" i="21"/>
  <c r="D284" i="21"/>
  <c r="C284" i="21"/>
  <c r="L283" i="21"/>
  <c r="K283" i="21"/>
  <c r="J283" i="21"/>
  <c r="E283" i="21"/>
  <c r="D283" i="21"/>
  <c r="C283" i="21"/>
  <c r="L282" i="21"/>
  <c r="K282" i="21"/>
  <c r="J282" i="21"/>
  <c r="E282" i="21"/>
  <c r="D282" i="21"/>
  <c r="C282" i="21"/>
  <c r="L281" i="21"/>
  <c r="K281" i="21"/>
  <c r="J281" i="21"/>
  <c r="E281" i="21"/>
  <c r="D281" i="21"/>
  <c r="C281" i="21"/>
  <c r="L280" i="21"/>
  <c r="K280" i="21"/>
  <c r="J280" i="21"/>
  <c r="E280" i="21"/>
  <c r="D280" i="21"/>
  <c r="C280" i="21"/>
  <c r="L278" i="21"/>
  <c r="K278" i="21"/>
  <c r="J278" i="21"/>
  <c r="E278" i="21"/>
  <c r="D278" i="21"/>
  <c r="C278" i="21"/>
  <c r="L277" i="21"/>
  <c r="K277" i="21"/>
  <c r="J277" i="21"/>
  <c r="E277" i="21"/>
  <c r="D277" i="21"/>
  <c r="C277" i="21"/>
  <c r="L276" i="21"/>
  <c r="K276" i="21"/>
  <c r="J276" i="21"/>
  <c r="E276" i="21"/>
  <c r="D276" i="21"/>
  <c r="C276" i="21"/>
  <c r="L275" i="21"/>
  <c r="K275" i="21"/>
  <c r="J275" i="21"/>
  <c r="E275" i="21"/>
  <c r="D275" i="21"/>
  <c r="C275" i="21"/>
  <c r="L274" i="21"/>
  <c r="K274" i="21"/>
  <c r="J274" i="21"/>
  <c r="E274" i="21"/>
  <c r="D274" i="21"/>
  <c r="C274" i="21"/>
  <c r="L273" i="21"/>
  <c r="K273" i="21"/>
  <c r="J273" i="21"/>
  <c r="E273" i="21"/>
  <c r="D273" i="21"/>
  <c r="C273" i="21"/>
  <c r="L272" i="21"/>
  <c r="K272" i="21"/>
  <c r="J272" i="21"/>
  <c r="E272" i="21"/>
  <c r="D272" i="21"/>
  <c r="C272" i="21"/>
  <c r="L271" i="21"/>
  <c r="K271" i="21"/>
  <c r="J271" i="21"/>
  <c r="E271" i="21"/>
  <c r="D271" i="21"/>
  <c r="C271" i="21"/>
  <c r="L270" i="21"/>
  <c r="K270" i="21"/>
  <c r="J270" i="21"/>
  <c r="E270" i="21"/>
  <c r="D270" i="21"/>
  <c r="C270" i="21"/>
  <c r="L269" i="21"/>
  <c r="K269" i="21"/>
  <c r="J269" i="21"/>
  <c r="E269" i="21"/>
  <c r="D269" i="21"/>
  <c r="C269" i="21"/>
  <c r="L268" i="21"/>
  <c r="K268" i="21"/>
  <c r="J268" i="21"/>
  <c r="E268" i="21"/>
  <c r="D268" i="21"/>
  <c r="C268" i="21"/>
  <c r="L267" i="21"/>
  <c r="K267" i="21"/>
  <c r="J267" i="21"/>
  <c r="E267" i="21"/>
  <c r="D267" i="21"/>
  <c r="C267" i="21"/>
  <c r="L266" i="21"/>
  <c r="K266" i="21"/>
  <c r="J266" i="21"/>
  <c r="E266" i="21"/>
  <c r="D266" i="21"/>
  <c r="C266" i="21"/>
  <c r="L265" i="21"/>
  <c r="K265" i="21"/>
  <c r="J265" i="21"/>
  <c r="E265" i="21"/>
  <c r="D265" i="21"/>
  <c r="C265" i="21"/>
  <c r="L264" i="21"/>
  <c r="K264" i="21"/>
  <c r="J264" i="21"/>
  <c r="E264" i="21"/>
  <c r="D264" i="21"/>
  <c r="C264" i="21"/>
  <c r="L263" i="21"/>
  <c r="K263" i="21"/>
  <c r="J263" i="21"/>
  <c r="E263" i="21"/>
  <c r="D263" i="21"/>
  <c r="C263" i="21"/>
  <c r="L262" i="21"/>
  <c r="K262" i="21"/>
  <c r="J262" i="21"/>
  <c r="E262" i="21"/>
  <c r="D262" i="21"/>
  <c r="C262" i="21"/>
  <c r="L261" i="21"/>
  <c r="K261" i="21"/>
  <c r="J261" i="21"/>
  <c r="E261" i="21"/>
  <c r="D261" i="21"/>
  <c r="C261" i="21"/>
  <c r="L259" i="21"/>
  <c r="K259" i="21"/>
  <c r="J259" i="21"/>
  <c r="E259" i="21"/>
  <c r="D259" i="21"/>
  <c r="C259" i="21"/>
  <c r="L258" i="21"/>
  <c r="K258" i="21"/>
  <c r="J258" i="21"/>
  <c r="E258" i="21"/>
  <c r="D258" i="21"/>
  <c r="C258" i="21"/>
  <c r="L257" i="21"/>
  <c r="K257" i="21"/>
  <c r="J257" i="21"/>
  <c r="E257" i="21"/>
  <c r="D257" i="21"/>
  <c r="C257" i="21"/>
  <c r="L256" i="21"/>
  <c r="K256" i="21"/>
  <c r="J256" i="21"/>
  <c r="E256" i="21"/>
  <c r="D256" i="21"/>
  <c r="C256" i="21"/>
  <c r="L255" i="21"/>
  <c r="K255" i="21"/>
  <c r="J255" i="21"/>
  <c r="E255" i="21"/>
  <c r="D255" i="21"/>
  <c r="C255" i="21"/>
  <c r="L254" i="21"/>
  <c r="K254" i="21"/>
  <c r="J254" i="21"/>
  <c r="E254" i="21"/>
  <c r="D254" i="21"/>
  <c r="C254" i="21"/>
  <c r="L253" i="21"/>
  <c r="K253" i="21"/>
  <c r="J253" i="21"/>
  <c r="E253" i="21"/>
  <c r="D253" i="21"/>
  <c r="C253" i="21"/>
  <c r="L252" i="21"/>
  <c r="K252" i="21"/>
  <c r="J252" i="21"/>
  <c r="E252" i="21"/>
  <c r="D252" i="21"/>
  <c r="C252" i="21"/>
  <c r="L251" i="21"/>
  <c r="K251" i="21"/>
  <c r="J251" i="21"/>
  <c r="E251" i="21"/>
  <c r="D251" i="21"/>
  <c r="C251" i="21"/>
  <c r="L250" i="21"/>
  <c r="K250" i="21"/>
  <c r="J250" i="21"/>
  <c r="E250" i="21"/>
  <c r="D250" i="21"/>
  <c r="C250" i="21"/>
  <c r="L249" i="21"/>
  <c r="K249" i="21"/>
  <c r="J249" i="21"/>
  <c r="E249" i="21"/>
  <c r="D249" i="21"/>
  <c r="C249" i="21"/>
  <c r="L248" i="21"/>
  <c r="K248" i="21"/>
  <c r="J248" i="21"/>
  <c r="E248" i="21"/>
  <c r="D248" i="21"/>
  <c r="C248" i="21"/>
  <c r="L247" i="21"/>
  <c r="K247" i="21"/>
  <c r="J247" i="21"/>
  <c r="E247" i="21"/>
  <c r="D247" i="21"/>
  <c r="C247" i="21"/>
  <c r="L246" i="21"/>
  <c r="K246" i="21"/>
  <c r="J246" i="21"/>
  <c r="E246" i="21"/>
  <c r="D246" i="21"/>
  <c r="C246" i="21"/>
  <c r="L245" i="21"/>
  <c r="K245" i="21"/>
  <c r="J245" i="21"/>
  <c r="E245" i="21"/>
  <c r="D245" i="21"/>
  <c r="C245" i="21"/>
  <c r="L244" i="21"/>
  <c r="K244" i="21"/>
  <c r="J244" i="21"/>
  <c r="E244" i="21"/>
  <c r="D244" i="21"/>
  <c r="C244" i="21"/>
  <c r="L243" i="21"/>
  <c r="K243" i="21"/>
  <c r="J243" i="21"/>
  <c r="E243" i="21"/>
  <c r="D243" i="21"/>
  <c r="C243" i="21"/>
  <c r="P242" i="21"/>
  <c r="L242" i="21"/>
  <c r="K242" i="21"/>
  <c r="J242" i="21"/>
  <c r="E242" i="21"/>
  <c r="D242" i="21"/>
  <c r="C242" i="21"/>
  <c r="P241" i="21"/>
  <c r="P240" i="21"/>
  <c r="L240" i="21"/>
  <c r="K240" i="21"/>
  <c r="J240" i="21"/>
  <c r="E240" i="21"/>
  <c r="D240" i="21"/>
  <c r="C240" i="21"/>
  <c r="P239" i="21"/>
  <c r="L239" i="21"/>
  <c r="K239" i="21"/>
  <c r="J239" i="21"/>
  <c r="E239" i="21"/>
  <c r="D239" i="21"/>
  <c r="C239" i="21"/>
  <c r="P238" i="21"/>
  <c r="L238" i="21"/>
  <c r="K238" i="21"/>
  <c r="J238" i="21"/>
  <c r="E238" i="21"/>
  <c r="D238" i="21"/>
  <c r="C238" i="21"/>
  <c r="P237" i="21"/>
  <c r="L237" i="21"/>
  <c r="K237" i="21"/>
  <c r="J237" i="21"/>
  <c r="E237" i="21"/>
  <c r="D237" i="21"/>
  <c r="C237" i="21"/>
  <c r="P236" i="21"/>
  <c r="L236" i="21"/>
  <c r="K236" i="21"/>
  <c r="J236" i="21"/>
  <c r="E236" i="21"/>
  <c r="D236" i="21"/>
  <c r="C236" i="21"/>
  <c r="P235" i="21"/>
  <c r="L235" i="21"/>
  <c r="K235" i="21"/>
  <c r="J235" i="21"/>
  <c r="E235" i="21"/>
  <c r="D235" i="21"/>
  <c r="C235" i="21"/>
  <c r="P234" i="21"/>
  <c r="L234" i="21"/>
  <c r="K234" i="21"/>
  <c r="J234" i="21"/>
  <c r="E234" i="21"/>
  <c r="D234" i="21"/>
  <c r="C234" i="21"/>
  <c r="P233" i="21"/>
  <c r="L233" i="21"/>
  <c r="K233" i="21"/>
  <c r="J233" i="21"/>
  <c r="E233" i="21"/>
  <c r="D233" i="21"/>
  <c r="C233" i="21"/>
  <c r="P232" i="21"/>
  <c r="L232" i="21"/>
  <c r="K232" i="21"/>
  <c r="J232" i="21"/>
  <c r="E232" i="21"/>
  <c r="D232" i="21"/>
  <c r="C232" i="21"/>
  <c r="P231" i="21"/>
  <c r="L231" i="21"/>
  <c r="K231" i="21"/>
  <c r="J231" i="21"/>
  <c r="E231" i="21"/>
  <c r="D231" i="21"/>
  <c r="C231" i="21"/>
  <c r="P230" i="21"/>
  <c r="L230" i="21"/>
  <c r="K230" i="21"/>
  <c r="J230" i="21"/>
  <c r="E230" i="21"/>
  <c r="D230" i="21"/>
  <c r="C230" i="21"/>
  <c r="P229" i="21"/>
  <c r="L229" i="21"/>
  <c r="K229" i="21"/>
  <c r="J229" i="21"/>
  <c r="E229" i="21"/>
  <c r="D229" i="21"/>
  <c r="C229" i="21"/>
  <c r="P228" i="21"/>
  <c r="L228" i="21"/>
  <c r="K228" i="21"/>
  <c r="J228" i="21"/>
  <c r="E228" i="21"/>
  <c r="D228" i="21"/>
  <c r="C228" i="21"/>
  <c r="P227" i="21"/>
  <c r="L227" i="21"/>
  <c r="K227" i="21"/>
  <c r="J227" i="21"/>
  <c r="E227" i="21"/>
  <c r="D227" i="21"/>
  <c r="C227" i="21"/>
  <c r="P226" i="21"/>
  <c r="L226" i="21"/>
  <c r="K226" i="21"/>
  <c r="J226" i="21"/>
  <c r="E226" i="21"/>
  <c r="D226" i="21"/>
  <c r="C226" i="21"/>
  <c r="P225" i="21"/>
  <c r="L225" i="21"/>
  <c r="K225" i="21"/>
  <c r="J225" i="21"/>
  <c r="E225" i="21"/>
  <c r="D225" i="21"/>
  <c r="C225" i="21"/>
  <c r="L224" i="21"/>
  <c r="K224" i="21"/>
  <c r="J224" i="21"/>
  <c r="E224" i="21"/>
  <c r="D224" i="21"/>
  <c r="C224" i="21"/>
  <c r="L223" i="21"/>
  <c r="K223" i="21"/>
  <c r="J223" i="21"/>
  <c r="E223" i="21"/>
  <c r="D223" i="21"/>
  <c r="C223" i="21"/>
  <c r="L221" i="21"/>
  <c r="K221" i="21"/>
  <c r="J221" i="21"/>
  <c r="E221" i="21"/>
  <c r="D221" i="21"/>
  <c r="C221" i="21"/>
  <c r="P220" i="21"/>
  <c r="L220" i="21"/>
  <c r="K220" i="21"/>
  <c r="J220" i="21"/>
  <c r="E220" i="21"/>
  <c r="D220" i="21"/>
  <c r="C220" i="21"/>
  <c r="P219" i="21"/>
  <c r="L219" i="21"/>
  <c r="K219" i="21"/>
  <c r="J219" i="21"/>
  <c r="E219" i="21"/>
  <c r="D219" i="21"/>
  <c r="C219" i="21"/>
  <c r="P218" i="21"/>
  <c r="L218" i="21"/>
  <c r="K218" i="21"/>
  <c r="J218" i="21"/>
  <c r="E218" i="21"/>
  <c r="D218" i="21"/>
  <c r="C218" i="21"/>
  <c r="P217" i="21"/>
  <c r="L217" i="21"/>
  <c r="K217" i="21"/>
  <c r="J217" i="21"/>
  <c r="E217" i="21"/>
  <c r="D217" i="21"/>
  <c r="C217" i="21"/>
  <c r="P216" i="21"/>
  <c r="L216" i="21"/>
  <c r="K216" i="21"/>
  <c r="J216" i="21"/>
  <c r="E216" i="21"/>
  <c r="D216" i="21"/>
  <c r="C216" i="21"/>
  <c r="P215" i="21"/>
  <c r="L215" i="21"/>
  <c r="K215" i="21"/>
  <c r="J215" i="21"/>
  <c r="E215" i="21"/>
  <c r="D215" i="21"/>
  <c r="C215" i="21"/>
  <c r="P214" i="21"/>
  <c r="L214" i="21"/>
  <c r="K214" i="21"/>
  <c r="J214" i="21"/>
  <c r="E214" i="21"/>
  <c r="D214" i="21"/>
  <c r="C214" i="21"/>
  <c r="P213" i="21"/>
  <c r="L213" i="21"/>
  <c r="K213" i="21"/>
  <c r="J213" i="21"/>
  <c r="E213" i="21"/>
  <c r="D213" i="21"/>
  <c r="C213" i="21"/>
  <c r="P212" i="21"/>
  <c r="L212" i="21"/>
  <c r="K212" i="21"/>
  <c r="J212" i="21"/>
  <c r="E212" i="21"/>
  <c r="D212" i="21"/>
  <c r="C212" i="21"/>
  <c r="P211" i="21"/>
  <c r="L211" i="21"/>
  <c r="K211" i="21"/>
  <c r="J211" i="21"/>
  <c r="E211" i="21"/>
  <c r="D211" i="21"/>
  <c r="C211" i="21"/>
  <c r="P210" i="21"/>
  <c r="L210" i="21"/>
  <c r="K210" i="21"/>
  <c r="J210" i="21"/>
  <c r="E210" i="21"/>
  <c r="D210" i="21"/>
  <c r="C210" i="21"/>
  <c r="P209" i="21"/>
  <c r="L209" i="21"/>
  <c r="K209" i="21"/>
  <c r="J209" i="21"/>
  <c r="E209" i="21"/>
  <c r="D209" i="21"/>
  <c r="C209" i="21"/>
  <c r="P208" i="21"/>
  <c r="L208" i="21"/>
  <c r="K208" i="21"/>
  <c r="J208" i="21"/>
  <c r="E208" i="21"/>
  <c r="D208" i="21"/>
  <c r="C208" i="21"/>
  <c r="P207" i="21"/>
  <c r="L207" i="21"/>
  <c r="K207" i="21"/>
  <c r="J207" i="21"/>
  <c r="E207" i="21"/>
  <c r="D207" i="21"/>
  <c r="C207" i="21"/>
  <c r="P206" i="21"/>
  <c r="L206" i="21"/>
  <c r="K206" i="21"/>
  <c r="J206" i="21"/>
  <c r="E206" i="21"/>
  <c r="D206" i="21"/>
  <c r="C206" i="21"/>
  <c r="P205" i="21"/>
  <c r="L205" i="21"/>
  <c r="K205" i="21"/>
  <c r="J205" i="21"/>
  <c r="E205" i="21"/>
  <c r="D205" i="21"/>
  <c r="C205" i="21"/>
  <c r="P204" i="21"/>
  <c r="L204" i="21"/>
  <c r="K204" i="21"/>
  <c r="J204" i="21"/>
  <c r="E204" i="21"/>
  <c r="D204" i="21"/>
  <c r="C204" i="21"/>
  <c r="P203" i="21"/>
  <c r="L198" i="21"/>
  <c r="M335" i="21" s="1"/>
  <c r="F198" i="21"/>
  <c r="F335" i="21" s="1"/>
  <c r="L197" i="21"/>
  <c r="M316" i="21" s="1"/>
  <c r="F197" i="21"/>
  <c r="F316" i="21" s="1"/>
  <c r="L196" i="21"/>
  <c r="M297" i="21" s="1"/>
  <c r="F196" i="21"/>
  <c r="F297" i="21" s="1"/>
  <c r="L195" i="21"/>
  <c r="M278" i="21" s="1"/>
  <c r="F195" i="21"/>
  <c r="F278" i="21" s="1"/>
  <c r="L194" i="21"/>
  <c r="M259" i="21" s="1"/>
  <c r="F194" i="21"/>
  <c r="F259" i="21" s="1"/>
  <c r="L193" i="21"/>
  <c r="M240" i="21" s="1"/>
  <c r="F193" i="21"/>
  <c r="F240" i="21" s="1"/>
  <c r="L192" i="21"/>
  <c r="M221" i="21" s="1"/>
  <c r="F192" i="21"/>
  <c r="F221" i="21" s="1"/>
  <c r="K191" i="21"/>
  <c r="J191" i="21"/>
  <c r="H189" i="21"/>
  <c r="L187" i="21"/>
  <c r="M334" i="21" s="1"/>
  <c r="F187" i="21"/>
  <c r="F334" i="21" s="1"/>
  <c r="L186" i="21"/>
  <c r="M315" i="21" s="1"/>
  <c r="F186" i="21"/>
  <c r="F315" i="21" s="1"/>
  <c r="L185" i="21"/>
  <c r="M296" i="21" s="1"/>
  <c r="F185" i="21"/>
  <c r="F296" i="21" s="1"/>
  <c r="L184" i="21"/>
  <c r="M277" i="21" s="1"/>
  <c r="F184" i="21"/>
  <c r="F277" i="21" s="1"/>
  <c r="L183" i="21"/>
  <c r="M258" i="21" s="1"/>
  <c r="F183" i="21"/>
  <c r="F258" i="21" s="1"/>
  <c r="L182" i="21"/>
  <c r="M239" i="21" s="1"/>
  <c r="F182" i="21"/>
  <c r="F239" i="21" s="1"/>
  <c r="L181" i="21"/>
  <c r="M220" i="21" s="1"/>
  <c r="F181" i="21"/>
  <c r="F220" i="21" s="1"/>
  <c r="K180" i="21"/>
  <c r="J180" i="21"/>
  <c r="H178" i="21"/>
  <c r="L176" i="21"/>
  <c r="M333" i="21" s="1"/>
  <c r="F176" i="21"/>
  <c r="F333" i="21" s="1"/>
  <c r="L175" i="21"/>
  <c r="M314" i="21" s="1"/>
  <c r="F175" i="21"/>
  <c r="F314" i="21" s="1"/>
  <c r="L174" i="21"/>
  <c r="M295" i="21" s="1"/>
  <c r="F174" i="21"/>
  <c r="F295" i="21" s="1"/>
  <c r="L173" i="21"/>
  <c r="M276" i="21" s="1"/>
  <c r="F173" i="21"/>
  <c r="F276" i="21" s="1"/>
  <c r="L172" i="21"/>
  <c r="M257" i="21" s="1"/>
  <c r="F172" i="21"/>
  <c r="F257" i="21" s="1"/>
  <c r="L171" i="21"/>
  <c r="M238" i="21" s="1"/>
  <c r="F171" i="21"/>
  <c r="F238" i="21" s="1"/>
  <c r="L170" i="21"/>
  <c r="M219" i="21" s="1"/>
  <c r="F170" i="21"/>
  <c r="F219" i="21" s="1"/>
  <c r="K169" i="21"/>
  <c r="J169" i="21"/>
  <c r="H167" i="21"/>
  <c r="L165" i="21"/>
  <c r="M332" i="21" s="1"/>
  <c r="F165" i="21"/>
  <c r="F332" i="21" s="1"/>
  <c r="L164" i="21"/>
  <c r="M313" i="21" s="1"/>
  <c r="F164" i="21"/>
  <c r="F313" i="21" s="1"/>
  <c r="L163" i="21"/>
  <c r="M294" i="21" s="1"/>
  <c r="F163" i="21"/>
  <c r="F294" i="21" s="1"/>
  <c r="L162" i="21"/>
  <c r="M275" i="21" s="1"/>
  <c r="F162" i="21"/>
  <c r="F275" i="21" s="1"/>
  <c r="L161" i="21"/>
  <c r="M256" i="21" s="1"/>
  <c r="F161" i="21"/>
  <c r="F256" i="21" s="1"/>
  <c r="L160" i="21"/>
  <c r="M237" i="21" s="1"/>
  <c r="F160" i="21"/>
  <c r="F237" i="21" s="1"/>
  <c r="L159" i="21"/>
  <c r="M218" i="21" s="1"/>
  <c r="F159" i="21"/>
  <c r="F218" i="21" s="1"/>
  <c r="K158" i="21"/>
  <c r="J158" i="21"/>
  <c r="H156" i="21"/>
  <c r="L154" i="21"/>
  <c r="M331" i="21" s="1"/>
  <c r="F154" i="21"/>
  <c r="F331" i="21" s="1"/>
  <c r="L153" i="21"/>
  <c r="M312" i="21" s="1"/>
  <c r="F153" i="21"/>
  <c r="F312" i="21" s="1"/>
  <c r="L152" i="21"/>
  <c r="M293" i="21" s="1"/>
  <c r="F152" i="21"/>
  <c r="F293" i="21" s="1"/>
  <c r="L151" i="21"/>
  <c r="M274" i="21" s="1"/>
  <c r="F151" i="21"/>
  <c r="F274" i="21" s="1"/>
  <c r="L150" i="21"/>
  <c r="M255" i="21" s="1"/>
  <c r="F150" i="21"/>
  <c r="F255" i="21" s="1"/>
  <c r="L149" i="21"/>
  <c r="M236" i="21" s="1"/>
  <c r="F149" i="21"/>
  <c r="F236" i="21" s="1"/>
  <c r="L148" i="21"/>
  <c r="M217" i="21" s="1"/>
  <c r="F148" i="21"/>
  <c r="F217" i="21" s="1"/>
  <c r="K147" i="21"/>
  <c r="J147" i="21"/>
  <c r="H145" i="21"/>
  <c r="L143" i="21"/>
  <c r="M330" i="21" s="1"/>
  <c r="F143" i="21"/>
  <c r="F330" i="21" s="1"/>
  <c r="L142" i="21"/>
  <c r="M311" i="21" s="1"/>
  <c r="F142" i="21"/>
  <c r="F311" i="21" s="1"/>
  <c r="L141" i="21"/>
  <c r="M292" i="21" s="1"/>
  <c r="F141" i="21"/>
  <c r="F292" i="21" s="1"/>
  <c r="L140" i="21"/>
  <c r="M273" i="21" s="1"/>
  <c r="F140" i="21"/>
  <c r="F273" i="21" s="1"/>
  <c r="L139" i="21"/>
  <c r="M254" i="21" s="1"/>
  <c r="F139" i="21"/>
  <c r="F254" i="21" s="1"/>
  <c r="L138" i="21"/>
  <c r="M235" i="21" s="1"/>
  <c r="F138" i="21"/>
  <c r="F235" i="21" s="1"/>
  <c r="L137" i="21"/>
  <c r="M216" i="21" s="1"/>
  <c r="F137" i="21"/>
  <c r="F216" i="21" s="1"/>
  <c r="K136" i="21"/>
  <c r="J136" i="21"/>
  <c r="H134" i="21"/>
  <c r="L132" i="21"/>
  <c r="M329" i="21" s="1"/>
  <c r="F132" i="21"/>
  <c r="F329" i="21" s="1"/>
  <c r="L131" i="21"/>
  <c r="M310" i="21" s="1"/>
  <c r="F131" i="21"/>
  <c r="F310" i="21" s="1"/>
  <c r="L130" i="21"/>
  <c r="M291" i="21" s="1"/>
  <c r="F130" i="21"/>
  <c r="F291" i="21" s="1"/>
  <c r="L129" i="21"/>
  <c r="M272" i="21" s="1"/>
  <c r="F129" i="21"/>
  <c r="F272" i="21" s="1"/>
  <c r="L128" i="21"/>
  <c r="M253" i="21" s="1"/>
  <c r="F128" i="21"/>
  <c r="F253" i="21" s="1"/>
  <c r="L127" i="21"/>
  <c r="M234" i="21" s="1"/>
  <c r="F127" i="21"/>
  <c r="F234" i="21" s="1"/>
  <c r="L126" i="21"/>
  <c r="M215" i="21" s="1"/>
  <c r="F126" i="21"/>
  <c r="F215" i="21" s="1"/>
  <c r="K125" i="21"/>
  <c r="J125" i="21"/>
  <c r="H123" i="21"/>
  <c r="L121" i="21"/>
  <c r="M328" i="21" s="1"/>
  <c r="F121" i="21"/>
  <c r="F328" i="21" s="1"/>
  <c r="L120" i="21"/>
  <c r="M309" i="21" s="1"/>
  <c r="F120" i="21"/>
  <c r="F309" i="21" s="1"/>
  <c r="L119" i="21"/>
  <c r="M290" i="21" s="1"/>
  <c r="F119" i="21"/>
  <c r="F290" i="21" s="1"/>
  <c r="L118" i="21"/>
  <c r="M271" i="21" s="1"/>
  <c r="F118" i="21"/>
  <c r="F271" i="21" s="1"/>
  <c r="L117" i="21"/>
  <c r="M252" i="21" s="1"/>
  <c r="F117" i="21"/>
  <c r="F252" i="21" s="1"/>
  <c r="L116" i="21"/>
  <c r="M233" i="21" s="1"/>
  <c r="F116" i="21"/>
  <c r="F233" i="21" s="1"/>
  <c r="L115" i="21"/>
  <c r="M214" i="21" s="1"/>
  <c r="F115" i="21"/>
  <c r="F214" i="21" s="1"/>
  <c r="K114" i="21"/>
  <c r="J114" i="21"/>
  <c r="H112" i="21"/>
  <c r="L110" i="21"/>
  <c r="M327" i="21" s="1"/>
  <c r="F110" i="21"/>
  <c r="F327" i="21" s="1"/>
  <c r="L109" i="21"/>
  <c r="M308" i="21" s="1"/>
  <c r="F109" i="21"/>
  <c r="F308" i="21" s="1"/>
  <c r="L108" i="21"/>
  <c r="M289" i="21" s="1"/>
  <c r="F108" i="21"/>
  <c r="F289" i="21" s="1"/>
  <c r="L107" i="21"/>
  <c r="M270" i="21" s="1"/>
  <c r="F107" i="21"/>
  <c r="F270" i="21" s="1"/>
  <c r="L106" i="21"/>
  <c r="M251" i="21" s="1"/>
  <c r="F106" i="21"/>
  <c r="F251" i="21" s="1"/>
  <c r="L105" i="21"/>
  <c r="M232" i="21" s="1"/>
  <c r="F105" i="21"/>
  <c r="F232" i="21" s="1"/>
  <c r="L104" i="21"/>
  <c r="M213" i="21" s="1"/>
  <c r="F104" i="21"/>
  <c r="F213" i="21" s="1"/>
  <c r="K103" i="21"/>
  <c r="J103" i="21"/>
  <c r="H101" i="21"/>
  <c r="L99" i="21"/>
  <c r="M326" i="21" s="1"/>
  <c r="F99" i="21"/>
  <c r="F326" i="21" s="1"/>
  <c r="L98" i="21"/>
  <c r="M307" i="21" s="1"/>
  <c r="F98" i="21"/>
  <c r="F307" i="21" s="1"/>
  <c r="L97" i="21"/>
  <c r="M288" i="21" s="1"/>
  <c r="F97" i="21"/>
  <c r="F288" i="21" s="1"/>
  <c r="L96" i="21"/>
  <c r="M269" i="21" s="1"/>
  <c r="F96" i="21"/>
  <c r="F269" i="21" s="1"/>
  <c r="L95" i="21"/>
  <c r="M250" i="21" s="1"/>
  <c r="F95" i="21"/>
  <c r="F250" i="21" s="1"/>
  <c r="L94" i="21"/>
  <c r="M231" i="21" s="1"/>
  <c r="F94" i="21"/>
  <c r="F231" i="21" s="1"/>
  <c r="L93" i="21"/>
  <c r="M212" i="21" s="1"/>
  <c r="F93" i="21"/>
  <c r="F212" i="21" s="1"/>
  <c r="K92" i="21"/>
  <c r="J92" i="21"/>
  <c r="H90" i="21"/>
  <c r="L88" i="21"/>
  <c r="M325" i="21" s="1"/>
  <c r="F88" i="21"/>
  <c r="F325" i="21" s="1"/>
  <c r="L87" i="21"/>
  <c r="M306" i="21" s="1"/>
  <c r="F87" i="21"/>
  <c r="F306" i="21" s="1"/>
  <c r="L86" i="21"/>
  <c r="M287" i="21" s="1"/>
  <c r="F86" i="21"/>
  <c r="F287" i="21" s="1"/>
  <c r="L85" i="21"/>
  <c r="M268" i="21" s="1"/>
  <c r="F85" i="21"/>
  <c r="F268" i="21" s="1"/>
  <c r="L84" i="21"/>
  <c r="M249" i="21" s="1"/>
  <c r="F84" i="21"/>
  <c r="F249" i="21" s="1"/>
  <c r="L83" i="21"/>
  <c r="M230" i="21" s="1"/>
  <c r="F83" i="21"/>
  <c r="F230" i="21" s="1"/>
  <c r="L82" i="21"/>
  <c r="M211" i="21" s="1"/>
  <c r="F82" i="21"/>
  <c r="F211" i="21" s="1"/>
  <c r="K81" i="21"/>
  <c r="J81" i="21"/>
  <c r="H79" i="21"/>
  <c r="L77" i="21"/>
  <c r="M324" i="21" s="1"/>
  <c r="F77" i="21"/>
  <c r="F324" i="21" s="1"/>
  <c r="L76" i="21"/>
  <c r="M305" i="21" s="1"/>
  <c r="F76" i="21"/>
  <c r="F305" i="21" s="1"/>
  <c r="L75" i="21"/>
  <c r="M286" i="21" s="1"/>
  <c r="F75" i="21"/>
  <c r="F286" i="21" s="1"/>
  <c r="L74" i="21"/>
  <c r="M267" i="21" s="1"/>
  <c r="F74" i="21"/>
  <c r="F267" i="21" s="1"/>
  <c r="L73" i="21"/>
  <c r="M248" i="21" s="1"/>
  <c r="F73" i="21"/>
  <c r="F248" i="21" s="1"/>
  <c r="L72" i="21"/>
  <c r="M229" i="21" s="1"/>
  <c r="F72" i="21"/>
  <c r="F229" i="21" s="1"/>
  <c r="L71" i="21"/>
  <c r="M210" i="21" s="1"/>
  <c r="F71" i="21"/>
  <c r="F210" i="21" s="1"/>
  <c r="K70" i="21"/>
  <c r="J70" i="21"/>
  <c r="H68" i="21"/>
  <c r="L66" i="21"/>
  <c r="M323" i="21" s="1"/>
  <c r="F66" i="21"/>
  <c r="F323" i="21" s="1"/>
  <c r="L65" i="21"/>
  <c r="M304" i="21" s="1"/>
  <c r="F65" i="21"/>
  <c r="F304" i="21" s="1"/>
  <c r="L64" i="21"/>
  <c r="M285" i="21" s="1"/>
  <c r="F64" i="21"/>
  <c r="F285" i="21" s="1"/>
  <c r="L63" i="21"/>
  <c r="M266" i="21" s="1"/>
  <c r="F63" i="21"/>
  <c r="F266" i="21" s="1"/>
  <c r="L62" i="21"/>
  <c r="M247" i="21" s="1"/>
  <c r="F62" i="21"/>
  <c r="F247" i="21" s="1"/>
  <c r="L61" i="21"/>
  <c r="M228" i="21" s="1"/>
  <c r="F61" i="21"/>
  <c r="F228" i="21" s="1"/>
  <c r="L60" i="21"/>
  <c r="M209" i="21" s="1"/>
  <c r="F60" i="21"/>
  <c r="F209" i="21" s="1"/>
  <c r="K59" i="21"/>
  <c r="J59" i="21"/>
  <c r="H57" i="21"/>
  <c r="L55" i="21"/>
  <c r="M322" i="21" s="1"/>
  <c r="F55" i="21"/>
  <c r="F322" i="21" s="1"/>
  <c r="L54" i="21"/>
  <c r="M303" i="21" s="1"/>
  <c r="F54" i="21"/>
  <c r="F303" i="21" s="1"/>
  <c r="L53" i="21"/>
  <c r="M284" i="21" s="1"/>
  <c r="F53" i="21"/>
  <c r="F284" i="21" s="1"/>
  <c r="L52" i="21"/>
  <c r="M265" i="21" s="1"/>
  <c r="F52" i="21"/>
  <c r="F265" i="21" s="1"/>
  <c r="L51" i="21"/>
  <c r="M246" i="21" s="1"/>
  <c r="F51" i="21"/>
  <c r="F246" i="21" s="1"/>
  <c r="L50" i="21"/>
  <c r="M223" i="21" s="1"/>
  <c r="F50" i="21"/>
  <c r="F227" i="21" s="1"/>
  <c r="L49" i="21"/>
  <c r="M208" i="21" s="1"/>
  <c r="F49" i="21"/>
  <c r="F208" i="21" s="1"/>
  <c r="K48" i="21"/>
  <c r="J48" i="21"/>
  <c r="H46" i="21"/>
  <c r="L44" i="21"/>
  <c r="M321" i="21" s="1"/>
  <c r="F44" i="21"/>
  <c r="F321" i="21" s="1"/>
  <c r="L43" i="21"/>
  <c r="M302" i="21" s="1"/>
  <c r="F43" i="21"/>
  <c r="F302" i="21" s="1"/>
  <c r="L42" i="21"/>
  <c r="M283" i="21" s="1"/>
  <c r="F42" i="21"/>
  <c r="F283" i="21" s="1"/>
  <c r="L41" i="21"/>
  <c r="M264" i="21" s="1"/>
  <c r="F41" i="21"/>
  <c r="F264" i="21" s="1"/>
  <c r="L40" i="21"/>
  <c r="M245" i="21" s="1"/>
  <c r="F40" i="21"/>
  <c r="F245" i="21" s="1"/>
  <c r="L39" i="21"/>
  <c r="M226" i="21" s="1"/>
  <c r="F39" i="21"/>
  <c r="F226" i="21" s="1"/>
  <c r="L38" i="21"/>
  <c r="M207" i="21" s="1"/>
  <c r="F38" i="21"/>
  <c r="F207" i="21" s="1"/>
  <c r="K37" i="21"/>
  <c r="J37" i="21"/>
  <c r="H35" i="21"/>
  <c r="L33" i="21"/>
  <c r="M320" i="21" s="1"/>
  <c r="F33" i="21"/>
  <c r="F320" i="21" s="1"/>
  <c r="L32" i="21"/>
  <c r="M301" i="21" s="1"/>
  <c r="F32" i="21"/>
  <c r="F301" i="21" s="1"/>
  <c r="L31" i="21"/>
  <c r="M282" i="21" s="1"/>
  <c r="F31" i="21"/>
  <c r="F282" i="21" s="1"/>
  <c r="L30" i="21"/>
  <c r="M263" i="21" s="1"/>
  <c r="F30" i="21"/>
  <c r="F263" i="21" s="1"/>
  <c r="L29" i="21"/>
  <c r="M244" i="21" s="1"/>
  <c r="F29" i="21"/>
  <c r="F244" i="21" s="1"/>
  <c r="L28" i="21"/>
  <c r="M225" i="21" s="1"/>
  <c r="F28" i="21"/>
  <c r="F225" i="21" s="1"/>
  <c r="L27" i="21"/>
  <c r="M206" i="21" s="1"/>
  <c r="F27" i="21"/>
  <c r="F206" i="21" s="1"/>
  <c r="K26" i="21"/>
  <c r="J26" i="21"/>
  <c r="H24" i="21"/>
  <c r="L22" i="21"/>
  <c r="M319" i="21" s="1"/>
  <c r="F22" i="21"/>
  <c r="F319" i="21" s="1"/>
  <c r="L21" i="21"/>
  <c r="M300" i="21" s="1"/>
  <c r="F21" i="21"/>
  <c r="F300" i="21" s="1"/>
  <c r="L20" i="21"/>
  <c r="M280" i="21" s="1"/>
  <c r="F20" i="21"/>
  <c r="F281" i="21" s="1"/>
  <c r="L19" i="21"/>
  <c r="M262" i="21" s="1"/>
  <c r="F19" i="21"/>
  <c r="F262" i="21" s="1"/>
  <c r="L18" i="21"/>
  <c r="M243" i="21" s="1"/>
  <c r="F18" i="21"/>
  <c r="F243" i="21" s="1"/>
  <c r="L17" i="21"/>
  <c r="M224" i="21" s="1"/>
  <c r="F17" i="21"/>
  <c r="F224" i="21" s="1"/>
  <c r="L16" i="21"/>
  <c r="M205" i="21" s="1"/>
  <c r="F16" i="21"/>
  <c r="F205" i="21" s="1"/>
  <c r="K15" i="21"/>
  <c r="J15" i="21"/>
  <c r="H13" i="21"/>
  <c r="L11" i="21"/>
  <c r="M318" i="21" s="1"/>
  <c r="F11" i="21"/>
  <c r="F318" i="21" s="1"/>
  <c r="L10" i="21"/>
  <c r="M299" i="21" s="1"/>
  <c r="F10" i="21"/>
  <c r="F299" i="21" s="1"/>
  <c r="L9" i="21"/>
  <c r="F9" i="21"/>
  <c r="F280" i="21" s="1"/>
  <c r="L8" i="21"/>
  <c r="M261" i="21" s="1"/>
  <c r="F8" i="21"/>
  <c r="F261" i="21" s="1"/>
  <c r="L7" i="21"/>
  <c r="M242" i="21" s="1"/>
  <c r="F7" i="21"/>
  <c r="F242" i="21" s="1"/>
  <c r="L6" i="21"/>
  <c r="F6" i="21"/>
  <c r="F223" i="21" s="1"/>
  <c r="L5" i="21"/>
  <c r="M204" i="21" s="1"/>
  <c r="F5" i="21"/>
  <c r="F204" i="21" s="1"/>
  <c r="K4" i="21"/>
  <c r="J4" i="21"/>
  <c r="H2" i="21"/>
  <c r="A55" i="12"/>
  <c r="A56" i="12" s="1"/>
  <c r="B40" i="12" s="1"/>
  <c r="F47" i="12"/>
  <c r="F41" i="12"/>
  <c r="F46" i="12"/>
  <c r="F45" i="12"/>
  <c r="F44" i="12"/>
  <c r="F42" i="12"/>
  <c r="F40" i="12"/>
  <c r="F39" i="12"/>
  <c r="F48" i="12"/>
  <c r="F43" i="12"/>
  <c r="M24" i="12"/>
  <c r="M44" i="12" s="1"/>
  <c r="D5" i="10"/>
  <c r="D17" i="10" s="1"/>
  <c r="A340" i="21" l="1"/>
  <c r="D29" i="10"/>
  <c r="D41" i="10" s="1"/>
  <c r="D53" i="10" s="1"/>
  <c r="D66" i="10" s="1"/>
  <c r="D78" i="10" s="1"/>
  <c r="D90" i="10" s="1"/>
  <c r="D102" i="10" s="1"/>
  <c r="D114" i="10" s="1"/>
  <c r="M227" i="21"/>
  <c r="D346" i="21"/>
  <c r="A342" i="21"/>
  <c r="C346" i="21"/>
  <c r="D345" i="21"/>
  <c r="D344" i="21"/>
  <c r="D343" i="21"/>
  <c r="D341" i="21"/>
  <c r="D340" i="21"/>
  <c r="B346" i="21"/>
  <c r="C345" i="21"/>
  <c r="C344" i="21"/>
  <c r="C343" i="21"/>
  <c r="A346" i="21"/>
  <c r="B345" i="21"/>
  <c r="B344" i="21"/>
  <c r="B343" i="21"/>
  <c r="B341" i="21"/>
  <c r="B340" i="21"/>
  <c r="A345" i="21"/>
  <c r="A344" i="21"/>
  <c r="A343" i="21"/>
  <c r="A341" i="21"/>
  <c r="F337" i="21"/>
  <c r="C340" i="21"/>
  <c r="B342" i="21"/>
  <c r="D342" i="21"/>
  <c r="C341" i="21"/>
  <c r="K337" i="21"/>
  <c r="C342" i="21"/>
  <c r="B337" i="21"/>
  <c r="M281" i="21"/>
  <c r="E6" i="10"/>
  <c r="E18" i="10" s="1"/>
  <c r="E30" i="10" s="1"/>
  <c r="E42" i="10" s="1"/>
  <c r="E54" i="10" s="1"/>
  <c r="E67" i="10" s="1"/>
  <c r="E79" i="10" s="1"/>
  <c r="E91" i="10" s="1"/>
  <c r="E103" i="10" s="1"/>
  <c r="E115" i="10" s="1"/>
  <c r="C18" i="10"/>
  <c r="C30" i="10" s="1"/>
  <c r="C42" i="10" s="1"/>
  <c r="C54" i="10" s="1"/>
  <c r="C67" i="10" s="1"/>
  <c r="C79" i="10" s="1"/>
  <c r="C91" i="10" s="1"/>
  <c r="C103" i="10" s="1"/>
  <c r="C115" i="10" s="1"/>
  <c r="O342" i="21" l="1"/>
  <c r="N358" i="21" s="1"/>
  <c r="F17" i="13" s="1"/>
  <c r="G17" i="20" s="1"/>
  <c r="O341" i="21"/>
  <c r="N357" i="21" s="1"/>
  <c r="F16" i="13" s="1"/>
  <c r="G16" i="20" s="1"/>
  <c r="F345" i="21"/>
  <c r="F344" i="21"/>
  <c r="F343" i="21"/>
  <c r="F341" i="21"/>
  <c r="F340" i="21"/>
  <c r="I342" i="21"/>
  <c r="H342" i="21"/>
  <c r="G342" i="21"/>
  <c r="I346" i="21"/>
  <c r="F342" i="21"/>
  <c r="H345" i="21"/>
  <c r="H340" i="21"/>
  <c r="I345" i="21"/>
  <c r="G345" i="21"/>
  <c r="I341" i="21"/>
  <c r="G343" i="21"/>
  <c r="I344" i="21"/>
  <c r="H341" i="21"/>
  <c r="H344" i="21"/>
  <c r="G341" i="21"/>
  <c r="H346" i="21"/>
  <c r="G344" i="21"/>
  <c r="H343" i="21"/>
  <c r="G340" i="21"/>
  <c r="G346" i="21"/>
  <c r="I343" i="21"/>
  <c r="I340" i="21"/>
  <c r="F346" i="21"/>
  <c r="B339" i="21"/>
  <c r="G339" i="21" s="1"/>
  <c r="G337" i="21"/>
  <c r="L337" i="21" s="1"/>
  <c r="C339" i="21"/>
  <c r="H339" i="21" s="1"/>
  <c r="C68" i="2"/>
  <c r="D51" i="13" s="1"/>
  <c r="H55" i="2" l="1"/>
  <c r="H74" i="13"/>
  <c r="B61" i="13" l="1"/>
  <c r="J28" i="2" l="1"/>
  <c r="G54" i="20"/>
  <c r="F54" i="20"/>
  <c r="D54" i="20"/>
  <c r="B54" i="20"/>
  <c r="B53" i="20"/>
  <c r="E28" i="2" l="1"/>
  <c r="E29" i="2"/>
  <c r="E30" i="2"/>
  <c r="E114" i="10"/>
  <c r="E102" i="10"/>
  <c r="E90" i="10"/>
  <c r="G90" i="10" s="1"/>
  <c r="I90" i="10" s="1"/>
  <c r="E78" i="10"/>
  <c r="E66" i="10"/>
  <c r="E53" i="10"/>
  <c r="E41" i="10"/>
  <c r="E29" i="10"/>
  <c r="E17" i="10"/>
  <c r="G43" i="2"/>
  <c r="G44" i="2"/>
  <c r="C35" i="13" s="1"/>
  <c r="C36" i="20" s="1"/>
  <c r="G46" i="2"/>
  <c r="C37" i="13" s="1"/>
  <c r="C38" i="20" s="1"/>
  <c r="G47" i="2"/>
  <c r="C38" i="13" s="1"/>
  <c r="C39" i="20" s="1"/>
  <c r="G48" i="2"/>
  <c r="C39" i="13" s="1"/>
  <c r="C40" i="20" s="1"/>
  <c r="G49" i="2"/>
  <c r="C40" i="13" s="1"/>
  <c r="C41" i="20" s="1"/>
  <c r="G50" i="2"/>
  <c r="C41" i="13" s="1"/>
  <c r="C42" i="20" s="1"/>
  <c r="C42" i="13"/>
  <c r="C43" i="20" s="1"/>
  <c r="G42" i="2"/>
  <c r="B71" i="13"/>
  <c r="B68" i="20" s="1"/>
  <c r="B62" i="13"/>
  <c r="A13" i="13"/>
  <c r="A13" i="20" s="1"/>
  <c r="M14" i="12"/>
  <c r="M34" i="12" s="1"/>
  <c r="M504" i="12"/>
  <c r="M204" i="12"/>
  <c r="M104" i="12"/>
  <c r="M114" i="12" s="1"/>
  <c r="M54" i="12"/>
  <c r="M9" i="12"/>
  <c r="M29" i="12" s="1"/>
  <c r="M6" i="12"/>
  <c r="M8" i="12" s="1"/>
  <c r="M28" i="12" s="1"/>
  <c r="M5" i="12"/>
  <c r="A2" i="9"/>
  <c r="A4" i="9" s="1"/>
  <c r="R248" i="9"/>
  <c r="Q248" i="9"/>
  <c r="R241" i="9"/>
  <c r="Q241" i="9"/>
  <c r="P29" i="9"/>
  <c r="AO113" i="9" s="1"/>
  <c r="P28" i="9"/>
  <c r="C46" i="13"/>
  <c r="C47" i="20" s="1"/>
  <c r="I55" i="2"/>
  <c r="A40" i="12"/>
  <c r="D40" i="12" s="1"/>
  <c r="A41" i="12"/>
  <c r="D41" i="12" s="1"/>
  <c r="B41" i="12" s="1"/>
  <c r="A42" i="12"/>
  <c r="D42" i="12" s="1"/>
  <c r="B42" i="12" s="1"/>
  <c r="A43" i="12"/>
  <c r="D43" i="12" s="1"/>
  <c r="E43" i="12" s="1"/>
  <c r="B43" i="12" s="1"/>
  <c r="A44" i="12"/>
  <c r="D44" i="12" s="1"/>
  <c r="B44" i="12" s="1"/>
  <c r="A45" i="12"/>
  <c r="D45" i="12" s="1"/>
  <c r="B45" i="12" s="1"/>
  <c r="A46" i="12"/>
  <c r="D46" i="12" s="1"/>
  <c r="B46" i="12" s="1"/>
  <c r="A47" i="12"/>
  <c r="D47" i="12" s="1"/>
  <c r="B47" i="12" s="1"/>
  <c r="A48" i="12"/>
  <c r="D48" i="12" s="1"/>
  <c r="A39" i="12"/>
  <c r="D39" i="12" s="1"/>
  <c r="E39" i="12" s="1"/>
  <c r="B39" i="12" s="1"/>
  <c r="P45" i="12"/>
  <c r="P42" i="12"/>
  <c r="P44" i="12" s="1"/>
  <c r="P41" i="12"/>
  <c r="P43" i="12" s="1"/>
  <c r="B30" i="20"/>
  <c r="H79" i="20"/>
  <c r="B57" i="20"/>
  <c r="B61" i="20"/>
  <c r="B64" i="20"/>
  <c r="A64" i="20"/>
  <c r="A61" i="20"/>
  <c r="B58" i="20"/>
  <c r="B59" i="20"/>
  <c r="A57" i="20"/>
  <c r="B66" i="13"/>
  <c r="F50" i="20"/>
  <c r="D4" i="20"/>
  <c r="D5" i="20"/>
  <c r="D6" i="20"/>
  <c r="D7" i="20"/>
  <c r="D8" i="20"/>
  <c r="D10" i="20"/>
  <c r="D11" i="20"/>
  <c r="D13" i="20"/>
  <c r="A5" i="20"/>
  <c r="A6" i="20"/>
  <c r="A7" i="20"/>
  <c r="A8" i="20"/>
  <c r="A10" i="20"/>
  <c r="A11" i="20"/>
  <c r="A4" i="20"/>
  <c r="A1" i="20"/>
  <c r="B69" i="20"/>
  <c r="B34" i="13"/>
  <c r="B35" i="20" s="1"/>
  <c r="B35" i="13"/>
  <c r="B36" i="20" s="1"/>
  <c r="B36" i="13"/>
  <c r="B37" i="20" s="1"/>
  <c r="B37" i="13"/>
  <c r="B38" i="20" s="1"/>
  <c r="B38" i="13"/>
  <c r="B39" i="20" s="1"/>
  <c r="B39" i="13"/>
  <c r="B40" i="20" s="1"/>
  <c r="B40" i="13"/>
  <c r="B41" i="20" s="1"/>
  <c r="B41" i="13"/>
  <c r="B42" i="20" s="1"/>
  <c r="B42" i="13"/>
  <c r="B43" i="20" s="1"/>
  <c r="B33" i="13"/>
  <c r="B34" i="20" s="1"/>
  <c r="E74" i="13"/>
  <c r="D5" i="13"/>
  <c r="E5" i="20" s="1"/>
  <c r="D6" i="13"/>
  <c r="E6" i="20" s="1"/>
  <c r="D7" i="13"/>
  <c r="E7" i="20" s="1"/>
  <c r="G57" i="13"/>
  <c r="D10" i="13"/>
  <c r="E10" i="20" s="1"/>
  <c r="D11" i="13"/>
  <c r="E11" i="20" s="1"/>
  <c r="D13" i="13"/>
  <c r="E13" i="20" s="1"/>
  <c r="D4" i="13"/>
  <c r="E4" i="20" s="1"/>
  <c r="B46" i="13"/>
  <c r="B47" i="20" s="1"/>
  <c r="E125" i="10"/>
  <c r="E124" i="10"/>
  <c r="E5" i="10"/>
  <c r="G5" i="10" s="1"/>
  <c r="I5" i="10" s="1"/>
  <c r="K5" i="10" s="1"/>
  <c r="B72" i="13"/>
  <c r="A14" i="14"/>
  <c r="A13" i="14" s="1"/>
  <c r="A5" i="2"/>
  <c r="A6" i="2"/>
  <c r="A7" i="2"/>
  <c r="A8" i="2"/>
  <c r="A10" i="2"/>
  <c r="A11" i="2"/>
  <c r="A4" i="2"/>
  <c r="B29" i="20"/>
  <c r="D21" i="13"/>
  <c r="D20" i="13"/>
  <c r="B65" i="13"/>
  <c r="B62" i="20" s="1"/>
  <c r="F18" i="2"/>
  <c r="L342" i="21" s="1"/>
  <c r="F351" i="21" s="1"/>
  <c r="F17" i="2"/>
  <c r="L341" i="21" s="1"/>
  <c r="A351" i="21" s="1"/>
  <c r="A9" i="9"/>
  <c r="S78" i="9" s="1"/>
  <c r="S90" i="9" s="1"/>
  <c r="A10" i="9"/>
  <c r="S79" i="9" s="1"/>
  <c r="S91" i="9" s="1"/>
  <c r="A11" i="9"/>
  <c r="S80" i="9" s="1"/>
  <c r="S92" i="9" s="1"/>
  <c r="A12" i="9"/>
  <c r="S81" i="9" s="1"/>
  <c r="S93" i="9" s="1"/>
  <c r="A13" i="9"/>
  <c r="S82" i="9" s="1"/>
  <c r="S94" i="9" s="1"/>
  <c r="A14" i="9"/>
  <c r="S83" i="9" s="1"/>
  <c r="S95" i="9" s="1"/>
  <c r="A15" i="9"/>
  <c r="S84" i="9" s="1"/>
  <c r="S96" i="9" s="1"/>
  <c r="A16" i="9"/>
  <c r="S85" i="9" s="1"/>
  <c r="S97" i="9" s="1"/>
  <c r="A17" i="9"/>
  <c r="S86" i="9" s="1"/>
  <c r="S98" i="9" s="1"/>
  <c r="A8" i="9"/>
  <c r="S77" i="9" s="1"/>
  <c r="S89" i="9" s="1"/>
  <c r="B111" i="10"/>
  <c r="B99" i="10"/>
  <c r="B87" i="10"/>
  <c r="B75" i="10"/>
  <c r="B63" i="10"/>
  <c r="B50" i="10"/>
  <c r="B38" i="10"/>
  <c r="B26" i="10"/>
  <c r="B14" i="10"/>
  <c r="B2" i="10"/>
  <c r="C66" i="2"/>
  <c r="C70" i="2"/>
  <c r="F51" i="13" s="1"/>
  <c r="C69" i="2"/>
  <c r="E51" i="13" s="1"/>
  <c r="C67" i="2"/>
  <c r="E67" i="2" s="1"/>
  <c r="J37" i="2"/>
  <c r="J36" i="2"/>
  <c r="J35" i="2"/>
  <c r="J34" i="2"/>
  <c r="J33" i="2"/>
  <c r="J32" i="2"/>
  <c r="J31" i="2"/>
  <c r="J30" i="2"/>
  <c r="J29" i="2"/>
  <c r="E31" i="2"/>
  <c r="E32" i="2"/>
  <c r="E33" i="2"/>
  <c r="E34" i="2"/>
  <c r="E35" i="2"/>
  <c r="E36" i="2"/>
  <c r="E37" i="2"/>
  <c r="I352" i="21" l="1"/>
  <c r="G350" i="21"/>
  <c r="I350" i="21"/>
  <c r="G352" i="21"/>
  <c r="D350" i="21"/>
  <c r="D352" i="21"/>
  <c r="B350" i="21"/>
  <c r="B352" i="21"/>
  <c r="M209" i="12"/>
  <c r="M554" i="12"/>
  <c r="M26" i="12"/>
  <c r="M226" i="12" s="1"/>
  <c r="E48" i="12"/>
  <c r="B48" i="12" s="1"/>
  <c r="M58" i="12"/>
  <c r="M158" i="12" s="1"/>
  <c r="C51" i="13"/>
  <c r="C51" i="20" s="1"/>
  <c r="B51" i="13"/>
  <c r="B51" i="20" s="1"/>
  <c r="E66" i="2"/>
  <c r="F66" i="2" s="1"/>
  <c r="G66" i="2" s="1"/>
  <c r="M7" i="12"/>
  <c r="M27" i="12" s="1"/>
  <c r="M527" i="12" s="1"/>
  <c r="M108" i="12"/>
  <c r="M106" i="12"/>
  <c r="M224" i="12"/>
  <c r="M105" i="12"/>
  <c r="M128" i="12"/>
  <c r="M208" i="12"/>
  <c r="M16" i="12"/>
  <c r="M216" i="12" s="1"/>
  <c r="M129" i="12"/>
  <c r="M25" i="12"/>
  <c r="M225" i="12" s="1"/>
  <c r="E38" i="2"/>
  <c r="D6" i="10" s="1"/>
  <c r="M10" i="12"/>
  <c r="M20" i="12" s="1"/>
  <c r="M59" i="12"/>
  <c r="M159" i="12" s="1"/>
  <c r="M205" i="12"/>
  <c r="M259" i="12"/>
  <c r="M214" i="12"/>
  <c r="M206" i="12"/>
  <c r="M505" i="12"/>
  <c r="M526" i="12"/>
  <c r="M509" i="12"/>
  <c r="M11" i="12"/>
  <c r="M111" i="12" s="1"/>
  <c r="M304" i="12"/>
  <c r="M258" i="12"/>
  <c r="M604" i="12"/>
  <c r="M524" i="12"/>
  <c r="M516" i="12"/>
  <c r="M508" i="12"/>
  <c r="M84" i="12"/>
  <c r="M89" i="12" s="1"/>
  <c r="M64" i="12"/>
  <c r="M564" i="12" s="1"/>
  <c r="M12" i="12"/>
  <c r="M62" i="12" s="1"/>
  <c r="M562" i="12" s="1"/>
  <c r="M19" i="12"/>
  <c r="M519" i="12" s="1"/>
  <c r="M144" i="12"/>
  <c r="M558" i="12"/>
  <c r="M38" i="12"/>
  <c r="M138" i="12" s="1"/>
  <c r="M534" i="12"/>
  <c r="M13" i="12"/>
  <c r="M43" i="12" s="1"/>
  <c r="M18" i="12"/>
  <c r="M518" i="12" s="1"/>
  <c r="M55" i="12"/>
  <c r="M255" i="12" s="1"/>
  <c r="M56" i="12"/>
  <c r="M256" i="12" s="1"/>
  <c r="M154" i="12"/>
  <c r="M514" i="12"/>
  <c r="M506" i="12"/>
  <c r="M109" i="12"/>
  <c r="M404" i="12"/>
  <c r="M207" i="12"/>
  <c r="M15" i="12"/>
  <c r="M515" i="12" s="1"/>
  <c r="M74" i="12"/>
  <c r="M79" i="12" s="1"/>
  <c r="M124" i="12"/>
  <c r="M116" i="12"/>
  <c r="M254" i="12"/>
  <c r="C33" i="13"/>
  <c r="C34" i="20" s="1"/>
  <c r="M42" i="12"/>
  <c r="M45" i="12"/>
  <c r="M46" i="12"/>
  <c r="M81" i="12"/>
  <c r="M94" i="12"/>
  <c r="M134" i="12"/>
  <c r="M325" i="12"/>
  <c r="M429" i="12"/>
  <c r="M525" i="12"/>
  <c r="M41" i="12"/>
  <c r="M229" i="12"/>
  <c r="M444" i="12"/>
  <c r="M428" i="12"/>
  <c r="M52" i="12"/>
  <c r="M244" i="12"/>
  <c r="M228" i="12"/>
  <c r="M39" i="12"/>
  <c r="M51" i="12"/>
  <c r="M78" i="12"/>
  <c r="M474" i="12"/>
  <c r="M434" i="12"/>
  <c r="M234" i="12"/>
  <c r="M425" i="12"/>
  <c r="M529" i="12"/>
  <c r="M49" i="12"/>
  <c r="M544" i="12"/>
  <c r="M528" i="12"/>
  <c r="M35" i="12"/>
  <c r="M36" i="12"/>
  <c r="M48" i="12"/>
  <c r="E20" i="20"/>
  <c r="I20" i="13"/>
  <c r="E21" i="20"/>
  <c r="I21" i="13"/>
  <c r="E68" i="2"/>
  <c r="D51" i="20" s="1"/>
  <c r="E69" i="2"/>
  <c r="E51" i="20" s="1"/>
  <c r="E70" i="2"/>
  <c r="F51" i="20" s="1"/>
  <c r="E46" i="13"/>
  <c r="E47" i="20" s="1"/>
  <c r="J55" i="2"/>
  <c r="G46" i="13" s="1"/>
  <c r="G47" i="20" s="1"/>
  <c r="J38" i="2"/>
  <c r="E29" i="13" s="1"/>
  <c r="E30" i="20" s="1"/>
  <c r="C28" i="13"/>
  <c r="C29" i="20" s="1"/>
  <c r="C34" i="13"/>
  <c r="C35" i="20" s="1"/>
  <c r="C36" i="13"/>
  <c r="C37" i="20" s="1"/>
  <c r="C29" i="13"/>
  <c r="C30" i="20" s="1"/>
  <c r="G17" i="10"/>
  <c r="I17" i="10" s="1"/>
  <c r="J17" i="10" s="1"/>
  <c r="G102" i="10"/>
  <c r="I102" i="10" s="1"/>
  <c r="J102" i="10" s="1"/>
  <c r="G78" i="10"/>
  <c r="I78" i="10" s="1"/>
  <c r="K78" i="10" s="1"/>
  <c r="G66" i="10"/>
  <c r="I66" i="10" s="1"/>
  <c r="J66" i="10" s="1"/>
  <c r="G53" i="10"/>
  <c r="I53" i="10" s="1"/>
  <c r="K53" i="10" s="1"/>
  <c r="G29" i="10"/>
  <c r="I29" i="10" s="1"/>
  <c r="K29" i="10" s="1"/>
  <c r="G114" i="10"/>
  <c r="I114" i="10" s="1"/>
  <c r="J114" i="10" s="1"/>
  <c r="G41" i="10"/>
  <c r="I41" i="10" s="1"/>
  <c r="J41" i="10" s="1"/>
  <c r="J90" i="10"/>
  <c r="K90" i="10"/>
  <c r="J5" i="10"/>
  <c r="E8" i="20"/>
  <c r="G55" i="20"/>
  <c r="C351" i="21" l="1"/>
  <c r="L349" i="21" s="1"/>
  <c r="M341" i="21" s="1"/>
  <c r="H351" i="21"/>
  <c r="L350" i="21" s="1"/>
  <c r="M342" i="21" s="1"/>
  <c r="M238" i="12"/>
  <c r="M110" i="12"/>
  <c r="M40" i="12"/>
  <c r="M440" i="12" s="1"/>
  <c r="M274" i="12"/>
  <c r="M126" i="12"/>
  <c r="M284" i="12"/>
  <c r="M50" i="12"/>
  <c r="M150" i="12" s="1"/>
  <c r="M125" i="12"/>
  <c r="M86" i="12"/>
  <c r="M76" i="12"/>
  <c r="M276" i="12" s="1"/>
  <c r="M538" i="12"/>
  <c r="M53" i="12"/>
  <c r="M174" i="12"/>
  <c r="M75" i="12"/>
  <c r="M375" i="12" s="1"/>
  <c r="M426" i="12"/>
  <c r="M210" i="12"/>
  <c r="S2" i="9"/>
  <c r="M327" i="12"/>
  <c r="M80" i="12"/>
  <c r="M280" i="12" s="1"/>
  <c r="M92" i="12"/>
  <c r="M584" i="12"/>
  <c r="M17" i="12"/>
  <c r="M517" i="12" s="1"/>
  <c r="M88" i="12"/>
  <c r="M388" i="12" s="1"/>
  <c r="M484" i="12"/>
  <c r="M85" i="12"/>
  <c r="M185" i="12" s="1"/>
  <c r="M93" i="12"/>
  <c r="M593" i="12" s="1"/>
  <c r="M227" i="12"/>
  <c r="M91" i="12"/>
  <c r="M184" i="12"/>
  <c r="M90" i="12"/>
  <c r="M190" i="12" s="1"/>
  <c r="M555" i="12"/>
  <c r="M211" i="12"/>
  <c r="M427" i="12"/>
  <c r="M218" i="12"/>
  <c r="M57" i="12"/>
  <c r="M257" i="12" s="1"/>
  <c r="M384" i="12"/>
  <c r="M77" i="12"/>
  <c r="M177" i="12" s="1"/>
  <c r="M47" i="12"/>
  <c r="M147" i="12" s="1"/>
  <c r="M556" i="12"/>
  <c r="M107" i="12"/>
  <c r="M559" i="12"/>
  <c r="M164" i="12"/>
  <c r="M328" i="12"/>
  <c r="M329" i="12"/>
  <c r="M87" i="12"/>
  <c r="M387" i="12" s="1"/>
  <c r="M507" i="12"/>
  <c r="M344" i="12"/>
  <c r="M37" i="12"/>
  <c r="M337" i="12" s="1"/>
  <c r="M338" i="12"/>
  <c r="M127" i="12"/>
  <c r="M156" i="12"/>
  <c r="M213" i="12"/>
  <c r="M513" i="12"/>
  <c r="M63" i="12"/>
  <c r="M163" i="12" s="1"/>
  <c r="M118" i="12"/>
  <c r="M543" i="12"/>
  <c r="M143" i="12"/>
  <c r="M243" i="12"/>
  <c r="M343" i="12"/>
  <c r="M443" i="12"/>
  <c r="M120" i="12"/>
  <c r="M520" i="12"/>
  <c r="M220" i="12"/>
  <c r="M357" i="21"/>
  <c r="M22" i="12"/>
  <c r="M422" i="12" s="1"/>
  <c r="M32" i="12"/>
  <c r="M83" i="12"/>
  <c r="M82" i="12"/>
  <c r="M408" i="12"/>
  <c r="M416" i="12"/>
  <c r="M424" i="12"/>
  <c r="M459" i="12"/>
  <c r="M405" i="12"/>
  <c r="M407" i="12"/>
  <c r="M458" i="12"/>
  <c r="M409" i="12"/>
  <c r="M417" i="12"/>
  <c r="M415" i="12"/>
  <c r="M410" i="12"/>
  <c r="M418" i="12"/>
  <c r="M438" i="12"/>
  <c r="M406" i="12"/>
  <c r="M414" i="12"/>
  <c r="M411" i="12"/>
  <c r="M419" i="12"/>
  <c r="M454" i="12"/>
  <c r="M462" i="12"/>
  <c r="M412" i="12"/>
  <c r="M420" i="12"/>
  <c r="M455" i="12"/>
  <c r="M413" i="12"/>
  <c r="M456" i="12"/>
  <c r="M464" i="12"/>
  <c r="M162" i="12"/>
  <c r="M73" i="12"/>
  <c r="M473" i="12" s="1"/>
  <c r="M72" i="12"/>
  <c r="M66" i="12"/>
  <c r="M65" i="12"/>
  <c r="M67" i="12"/>
  <c r="M68" i="12"/>
  <c r="M69" i="12"/>
  <c r="M71" i="12"/>
  <c r="M70" i="12"/>
  <c r="M370" i="12" s="1"/>
  <c r="M119" i="12"/>
  <c r="M511" i="12"/>
  <c r="M31" i="12"/>
  <c r="M61" i="12"/>
  <c r="M461" i="12" s="1"/>
  <c r="M21" i="12"/>
  <c r="M115" i="12"/>
  <c r="M215" i="12"/>
  <c r="M219" i="12"/>
  <c r="M155" i="12"/>
  <c r="M312" i="12"/>
  <c r="M320" i="12"/>
  <c r="M355" i="12"/>
  <c r="M363" i="12"/>
  <c r="M310" i="12"/>
  <c r="M334" i="12"/>
  <c r="M311" i="12"/>
  <c r="M319" i="12"/>
  <c r="M362" i="12"/>
  <c r="M313" i="12"/>
  <c r="M356" i="12"/>
  <c r="M364" i="12"/>
  <c r="M306" i="12"/>
  <c r="M314" i="12"/>
  <c r="M357" i="12"/>
  <c r="M318" i="12"/>
  <c r="M354" i="12"/>
  <c r="M307" i="12"/>
  <c r="M315" i="12"/>
  <c r="M358" i="12"/>
  <c r="M374" i="12"/>
  <c r="M308" i="12"/>
  <c r="M316" i="12"/>
  <c r="M324" i="12"/>
  <c r="M359" i="12"/>
  <c r="M305" i="12"/>
  <c r="M309" i="12"/>
  <c r="M317" i="12"/>
  <c r="M326" i="12"/>
  <c r="M510" i="12"/>
  <c r="M60" i="12"/>
  <c r="M360" i="12" s="1"/>
  <c r="M30" i="12"/>
  <c r="M430" i="12" s="1"/>
  <c r="M574" i="12"/>
  <c r="M112" i="12"/>
  <c r="M262" i="12"/>
  <c r="M264" i="12"/>
  <c r="M33" i="12"/>
  <c r="M23" i="12"/>
  <c r="M423" i="12" s="1"/>
  <c r="M212" i="12"/>
  <c r="M113" i="12"/>
  <c r="M512" i="12"/>
  <c r="M358" i="21"/>
  <c r="D103" i="10"/>
  <c r="G103" i="10" s="1"/>
  <c r="I103" i="10" s="1"/>
  <c r="K103" i="10" s="1"/>
  <c r="M136" i="12"/>
  <c r="M536" i="12"/>
  <c r="M336" i="12"/>
  <c r="M236" i="12"/>
  <c r="M436" i="12"/>
  <c r="M145" i="12"/>
  <c r="M545" i="12"/>
  <c r="M345" i="12"/>
  <c r="M245" i="12"/>
  <c r="M445" i="12"/>
  <c r="M289" i="12"/>
  <c r="M489" i="12"/>
  <c r="M189" i="12"/>
  <c r="M589" i="12"/>
  <c r="M389" i="12"/>
  <c r="M575" i="12"/>
  <c r="M175" i="12"/>
  <c r="M275" i="12"/>
  <c r="M146" i="12"/>
  <c r="M546" i="12"/>
  <c r="M346" i="12"/>
  <c r="M446" i="12"/>
  <c r="M246" i="12"/>
  <c r="M551" i="12"/>
  <c r="M351" i="12"/>
  <c r="M251" i="12"/>
  <c r="M451" i="12"/>
  <c r="M151" i="12"/>
  <c r="M439" i="12"/>
  <c r="M139" i="12"/>
  <c r="M539" i="12"/>
  <c r="M339" i="12"/>
  <c r="M239" i="12"/>
  <c r="M479" i="12"/>
  <c r="M179" i="12"/>
  <c r="M579" i="12"/>
  <c r="M379" i="12"/>
  <c r="M279" i="12"/>
  <c r="M247" i="12"/>
  <c r="M342" i="12"/>
  <c r="M242" i="12"/>
  <c r="M442" i="12"/>
  <c r="M542" i="12"/>
  <c r="M142" i="12"/>
  <c r="M193" i="12"/>
  <c r="M393" i="12"/>
  <c r="M293" i="12"/>
  <c r="M188" i="12"/>
  <c r="M588" i="12"/>
  <c r="M186" i="12"/>
  <c r="M586" i="12"/>
  <c r="M386" i="12"/>
  <c r="M486" i="12"/>
  <c r="M286" i="12"/>
  <c r="M152" i="12"/>
  <c r="M552" i="12"/>
  <c r="M352" i="12"/>
  <c r="M252" i="12"/>
  <c r="M452" i="12"/>
  <c r="M192" i="12"/>
  <c r="M592" i="12"/>
  <c r="M392" i="12"/>
  <c r="M292" i="12"/>
  <c r="M492" i="12"/>
  <c r="M241" i="12"/>
  <c r="M441" i="12"/>
  <c r="M141" i="12"/>
  <c r="M541" i="12"/>
  <c r="M341" i="12"/>
  <c r="M350" i="12"/>
  <c r="M450" i="12"/>
  <c r="M550" i="12"/>
  <c r="M240" i="12"/>
  <c r="M249" i="12"/>
  <c r="M449" i="12"/>
  <c r="M149" i="12"/>
  <c r="M549" i="12"/>
  <c r="M349" i="12"/>
  <c r="M591" i="12"/>
  <c r="M391" i="12"/>
  <c r="M291" i="12"/>
  <c r="M491" i="12"/>
  <c r="M191" i="12"/>
  <c r="M480" i="12"/>
  <c r="M99" i="12"/>
  <c r="M100" i="12"/>
  <c r="M494" i="12"/>
  <c r="M194" i="12"/>
  <c r="M101" i="12"/>
  <c r="M594" i="12"/>
  <c r="M394" i="12"/>
  <c r="M102" i="12"/>
  <c r="M98" i="12"/>
  <c r="M103" i="12"/>
  <c r="M96" i="12"/>
  <c r="M95" i="12"/>
  <c r="M294" i="12"/>
  <c r="M97" i="12"/>
  <c r="M487" i="12"/>
  <c r="M287" i="12"/>
  <c r="M187" i="12"/>
  <c r="M587" i="12"/>
  <c r="M178" i="12"/>
  <c r="M578" i="12"/>
  <c r="M378" i="12"/>
  <c r="M478" i="12"/>
  <c r="M278" i="12"/>
  <c r="M535" i="12"/>
  <c r="M335" i="12"/>
  <c r="M135" i="12"/>
  <c r="M235" i="12"/>
  <c r="M435" i="12"/>
  <c r="M577" i="12"/>
  <c r="M377" i="12"/>
  <c r="M277" i="12"/>
  <c r="M477" i="12"/>
  <c r="M248" i="12"/>
  <c r="M448" i="12"/>
  <c r="M148" i="12"/>
  <c r="M548" i="12"/>
  <c r="M348" i="12"/>
  <c r="M576" i="12"/>
  <c r="M376" i="12"/>
  <c r="M476" i="12"/>
  <c r="M153" i="12"/>
  <c r="M553" i="12"/>
  <c r="M353" i="12"/>
  <c r="M253" i="12"/>
  <c r="M453" i="12"/>
  <c r="M281" i="12"/>
  <c r="M481" i="12"/>
  <c r="M181" i="12"/>
  <c r="M581" i="12"/>
  <c r="M381" i="12"/>
  <c r="M290" i="12"/>
  <c r="M490" i="12"/>
  <c r="M590" i="12"/>
  <c r="F67" i="2"/>
  <c r="G67" i="2" s="1"/>
  <c r="F69" i="2"/>
  <c r="G69" i="2" s="1"/>
  <c r="F70" i="2"/>
  <c r="G70" i="2" s="1"/>
  <c r="K17" i="10"/>
  <c r="D67" i="10"/>
  <c r="G67" i="10" s="1"/>
  <c r="I67" i="10" s="1"/>
  <c r="J67" i="10" s="1"/>
  <c r="D115" i="10"/>
  <c r="G115" i="10" s="1"/>
  <c r="I115" i="10" s="1"/>
  <c r="K115" i="10" s="1"/>
  <c r="D91" i="10"/>
  <c r="G91" i="10" s="1"/>
  <c r="I91" i="10" s="1"/>
  <c r="K91" i="10" s="1"/>
  <c r="D79" i="10"/>
  <c r="G79" i="10" s="1"/>
  <c r="I79" i="10" s="1"/>
  <c r="K79" i="10" s="1"/>
  <c r="C123" i="10"/>
  <c r="K114" i="10"/>
  <c r="J53" i="10"/>
  <c r="K66" i="10"/>
  <c r="G6" i="10"/>
  <c r="I6" i="10" s="1"/>
  <c r="J6" i="10" s="1"/>
  <c r="J78" i="10"/>
  <c r="F68" i="2"/>
  <c r="G68" i="2" s="1"/>
  <c r="D30" i="10"/>
  <c r="G30" i="10" s="1"/>
  <c r="I30" i="10" s="1"/>
  <c r="K30" i="10" s="1"/>
  <c r="J29" i="10"/>
  <c r="D42" i="10"/>
  <c r="G42" i="10" s="1"/>
  <c r="I42" i="10" s="1"/>
  <c r="J42" i="10" s="1"/>
  <c r="D54" i="10"/>
  <c r="G54" i="10" s="1"/>
  <c r="I54" i="10" s="1"/>
  <c r="K54" i="10" s="1"/>
  <c r="D18" i="10"/>
  <c r="G18" i="10" s="1"/>
  <c r="I18" i="10" s="1"/>
  <c r="J18" i="10" s="1"/>
  <c r="K41" i="10"/>
  <c r="E28" i="13"/>
  <c r="E29" i="20" s="1"/>
  <c r="K102" i="10"/>
  <c r="M340" i="12" l="1"/>
  <c r="M537" i="12"/>
  <c r="M380" i="12"/>
  <c r="M540" i="12"/>
  <c r="M488" i="12"/>
  <c r="M463" i="12"/>
  <c r="M117" i="12"/>
  <c r="M176" i="12"/>
  <c r="M250" i="12"/>
  <c r="M457" i="12"/>
  <c r="M390" i="12"/>
  <c r="M580" i="12"/>
  <c r="M140" i="12"/>
  <c r="M288" i="12"/>
  <c r="M180" i="12"/>
  <c r="M493" i="12"/>
  <c r="M475" i="12"/>
  <c r="S11" i="9"/>
  <c r="S19" i="9"/>
  <c r="S27" i="9"/>
  <c r="S20" i="9"/>
  <c r="S13" i="9"/>
  <c r="S22" i="9"/>
  <c r="S17" i="9"/>
  <c r="S12" i="9"/>
  <c r="S28" i="9"/>
  <c r="S21" i="9"/>
  <c r="S6" i="9"/>
  <c r="S5" i="9"/>
  <c r="S29" i="9"/>
  <c r="S14" i="9"/>
  <c r="S9" i="9"/>
  <c r="S7" i="9"/>
  <c r="S15" i="9"/>
  <c r="S23" i="9"/>
  <c r="S8" i="9"/>
  <c r="S24" i="9"/>
  <c r="S16" i="9"/>
  <c r="S25" i="9"/>
  <c r="S18" i="9"/>
  <c r="S26" i="9"/>
  <c r="S10" i="9"/>
  <c r="M485" i="12"/>
  <c r="M447" i="12"/>
  <c r="M285" i="12"/>
  <c r="L345" i="21"/>
  <c r="D16" i="13"/>
  <c r="E16" i="20" s="1"/>
  <c r="M385" i="12"/>
  <c r="M585" i="12"/>
  <c r="M347" i="12"/>
  <c r="L346" i="21"/>
  <c r="D17" i="13"/>
  <c r="E17" i="20" s="1"/>
  <c r="M547" i="12"/>
  <c r="M157" i="12"/>
  <c r="M557" i="12"/>
  <c r="M217" i="12"/>
  <c r="M437" i="12"/>
  <c r="M137" i="12"/>
  <c r="M361" i="12"/>
  <c r="M237" i="12"/>
  <c r="M263" i="12"/>
  <c r="M563" i="12"/>
  <c r="M233" i="12"/>
  <c r="M333" i="12"/>
  <c r="M433" i="12"/>
  <c r="M133" i="12"/>
  <c r="M533" i="12"/>
  <c r="M221" i="12"/>
  <c r="M121" i="12"/>
  <c r="M521" i="12"/>
  <c r="M168" i="12"/>
  <c r="M568" i="12"/>
  <c r="M368" i="12"/>
  <c r="M268" i="12"/>
  <c r="M468" i="12"/>
  <c r="M169" i="12"/>
  <c r="M469" i="12"/>
  <c r="M569" i="12"/>
  <c r="M269" i="12"/>
  <c r="M369" i="12"/>
  <c r="M321" i="12"/>
  <c r="M561" i="12"/>
  <c r="M261" i="12"/>
  <c r="M161" i="12"/>
  <c r="M467" i="12"/>
  <c r="M367" i="12"/>
  <c r="M267" i="12"/>
  <c r="M567" i="12"/>
  <c r="M167" i="12"/>
  <c r="M421" i="12"/>
  <c r="M431" i="12"/>
  <c r="M131" i="12"/>
  <c r="M331" i="12"/>
  <c r="M231" i="12"/>
  <c r="M531" i="12"/>
  <c r="M365" i="12"/>
  <c r="M165" i="12"/>
  <c r="M565" i="12"/>
  <c r="M265" i="12"/>
  <c r="M282" i="12"/>
  <c r="M482" i="12"/>
  <c r="M382" i="12"/>
  <c r="M182" i="12"/>
  <c r="M582" i="12"/>
  <c r="M260" i="12"/>
  <c r="M560" i="12"/>
  <c r="M160" i="12"/>
  <c r="M466" i="12"/>
  <c r="M366" i="12"/>
  <c r="M266" i="12"/>
  <c r="M566" i="12"/>
  <c r="M166" i="12"/>
  <c r="M383" i="12"/>
  <c r="M583" i="12"/>
  <c r="M183" i="12"/>
  <c r="M283" i="12"/>
  <c r="M483" i="12"/>
  <c r="M123" i="12"/>
  <c r="M223" i="12"/>
  <c r="M523" i="12"/>
  <c r="M323" i="12"/>
  <c r="M322" i="12"/>
  <c r="M372" i="12"/>
  <c r="M472" i="12"/>
  <c r="M172" i="12"/>
  <c r="M572" i="12"/>
  <c r="M272" i="12"/>
  <c r="M465" i="12"/>
  <c r="M232" i="12"/>
  <c r="M332" i="12"/>
  <c r="M132" i="12"/>
  <c r="M532" i="12"/>
  <c r="M432" i="12"/>
  <c r="M570" i="12"/>
  <c r="M270" i="12"/>
  <c r="M470" i="12"/>
  <c r="M170" i="12"/>
  <c r="M373" i="12"/>
  <c r="M173" i="12"/>
  <c r="M573" i="12"/>
  <c r="M273" i="12"/>
  <c r="M122" i="12"/>
  <c r="M222" i="12"/>
  <c r="M522" i="12"/>
  <c r="J115" i="10"/>
  <c r="M130" i="12"/>
  <c r="M230" i="12"/>
  <c r="M530" i="12"/>
  <c r="M330" i="12"/>
  <c r="M371" i="12"/>
  <c r="M271" i="12"/>
  <c r="M571" i="12"/>
  <c r="M171" i="12"/>
  <c r="M471" i="12"/>
  <c r="M460" i="12"/>
  <c r="H66" i="2"/>
  <c r="J103" i="10"/>
  <c r="J30" i="10"/>
  <c r="J79" i="10"/>
  <c r="K67" i="10"/>
  <c r="M296" i="12"/>
  <c r="M496" i="12"/>
  <c r="M196" i="12"/>
  <c r="M596" i="12"/>
  <c r="M396" i="12"/>
  <c r="M201" i="12"/>
  <c r="M601" i="12"/>
  <c r="M401" i="12"/>
  <c r="M301" i="12"/>
  <c r="M501" i="12"/>
  <c r="M503" i="12"/>
  <c r="M303" i="12"/>
  <c r="M203" i="12"/>
  <c r="M603" i="12"/>
  <c r="M403" i="12"/>
  <c r="M200" i="12"/>
  <c r="M600" i="12"/>
  <c r="M400" i="12"/>
  <c r="M300" i="12"/>
  <c r="M500" i="12"/>
  <c r="M298" i="12"/>
  <c r="M498" i="12"/>
  <c r="M598" i="12"/>
  <c r="M398" i="12"/>
  <c r="M198" i="12"/>
  <c r="M599" i="12"/>
  <c r="M399" i="12"/>
  <c r="M299" i="12"/>
  <c r="M499" i="12"/>
  <c r="M199" i="12"/>
  <c r="M202" i="12"/>
  <c r="M602" i="12"/>
  <c r="M402" i="12"/>
  <c r="M502" i="12"/>
  <c r="M302" i="12"/>
  <c r="M495" i="12"/>
  <c r="M195" i="12"/>
  <c r="M595" i="12"/>
  <c r="M395" i="12"/>
  <c r="M295" i="12"/>
  <c r="M297" i="12"/>
  <c r="M497" i="12"/>
  <c r="M197" i="12"/>
  <c r="M597" i="12"/>
  <c r="M397" i="12"/>
  <c r="J91" i="10"/>
  <c r="K18" i="10"/>
  <c r="K6" i="10"/>
  <c r="K42" i="10"/>
  <c r="J54" i="10"/>
  <c r="X18" i="9" l="1"/>
  <c r="V18" i="9"/>
  <c r="W18" i="9"/>
  <c r="Y18" i="9"/>
  <c r="AF33" i="9" s="1"/>
  <c r="W9" i="9"/>
  <c r="AD14" i="9" s="1"/>
  <c r="Y9" i="9"/>
  <c r="AF14" i="9" s="1"/>
  <c r="V9" i="9"/>
  <c r="AC14" i="9" s="1"/>
  <c r="X9" i="9"/>
  <c r="AE14" i="9" s="1"/>
  <c r="Y17" i="9"/>
  <c r="AF32" i="9" s="1"/>
  <c r="V17" i="9"/>
  <c r="AC32" i="9" s="1"/>
  <c r="W17" i="9"/>
  <c r="AD32" i="9" s="1"/>
  <c r="X17" i="9"/>
  <c r="AE32" i="9" s="1"/>
  <c r="W25" i="9"/>
  <c r="AD77" i="9" s="1"/>
  <c r="Y25" i="9"/>
  <c r="AF77" i="9" s="1"/>
  <c r="X25" i="9"/>
  <c r="AE77" i="9" s="1"/>
  <c r="U25" i="9"/>
  <c r="AB77" i="9" s="1"/>
  <c r="V25" i="9"/>
  <c r="AC77" i="9" s="1"/>
  <c r="V14" i="9"/>
  <c r="AC24" i="9" s="1"/>
  <c r="X14" i="9"/>
  <c r="AE24" i="9" s="1"/>
  <c r="W14" i="9"/>
  <c r="AD24" i="9" s="1"/>
  <c r="Y14" i="9"/>
  <c r="AF24" i="9" s="1"/>
  <c r="X22" i="9"/>
  <c r="AE51" i="9" s="1"/>
  <c r="U22" i="9"/>
  <c r="AB51" i="9" s="1"/>
  <c r="T22" i="9"/>
  <c r="AA51" i="9" s="1"/>
  <c r="Y22" i="9"/>
  <c r="AF51" i="9" s="1"/>
  <c r="W22" i="9"/>
  <c r="AD51" i="9" s="1"/>
  <c r="V22" i="9"/>
  <c r="AC51" i="9" s="1"/>
  <c r="X7" i="9"/>
  <c r="Y7" i="9"/>
  <c r="V7" i="9"/>
  <c r="U7" i="9"/>
  <c r="V29" i="9"/>
  <c r="AC140" i="9" s="1"/>
  <c r="U29" i="9"/>
  <c r="AB140" i="9" s="1"/>
  <c r="W29" i="9"/>
  <c r="AD140" i="9" s="1"/>
  <c r="X29" i="9"/>
  <c r="AE140" i="9" s="1"/>
  <c r="Y29" i="9"/>
  <c r="AF140" i="9" s="1"/>
  <c r="V13" i="9"/>
  <c r="AC23" i="9" s="1"/>
  <c r="W13" i="9"/>
  <c r="AD23" i="9" s="1"/>
  <c r="Y13" i="9"/>
  <c r="AF23" i="9" s="1"/>
  <c r="X13" i="9"/>
  <c r="AE23" i="9" s="1"/>
  <c r="U24" i="9"/>
  <c r="AB72" i="9" s="1"/>
  <c r="V24" i="9"/>
  <c r="AC72" i="9" s="1"/>
  <c r="W24" i="9"/>
  <c r="AD72" i="9" s="1"/>
  <c r="X24" i="9"/>
  <c r="AE72" i="9" s="1"/>
  <c r="Y24" i="9"/>
  <c r="AF72" i="9" s="1"/>
  <c r="Y5" i="9"/>
  <c r="U5" i="9"/>
  <c r="V5" i="9"/>
  <c r="AC5" i="9" s="1"/>
  <c r="W5" i="9"/>
  <c r="AD5" i="9" s="1"/>
  <c r="X5" i="9"/>
  <c r="V20" i="9"/>
  <c r="AC36" i="9" s="1"/>
  <c r="X20" i="9"/>
  <c r="AE36" i="9" s="1"/>
  <c r="W20" i="9"/>
  <c r="AD36" i="9" s="1"/>
  <c r="Y20" i="9"/>
  <c r="AF36" i="9" s="1"/>
  <c r="U26" i="9"/>
  <c r="AB96" i="9" s="1"/>
  <c r="X26" i="9"/>
  <c r="AE96" i="9" s="1"/>
  <c r="V26" i="9"/>
  <c r="AC96" i="9" s="1"/>
  <c r="W26" i="9"/>
  <c r="AD96" i="9" s="1"/>
  <c r="Y26" i="9"/>
  <c r="AF96" i="9" s="1"/>
  <c r="V8" i="9"/>
  <c r="AC9" i="9" s="1"/>
  <c r="W8" i="9"/>
  <c r="AD9" i="9" s="1"/>
  <c r="X8" i="9"/>
  <c r="AE9" i="9" s="1"/>
  <c r="Y8" i="9"/>
  <c r="AF9" i="9" s="1"/>
  <c r="U8" i="9"/>
  <c r="AB9" i="9" s="1"/>
  <c r="W11" i="9"/>
  <c r="X6" i="9"/>
  <c r="V6" i="9"/>
  <c r="W6" i="9"/>
  <c r="Y6" i="9"/>
  <c r="V11" i="9"/>
  <c r="X11" i="9"/>
  <c r="U6" i="9"/>
  <c r="Y11" i="9"/>
  <c r="U27" i="9"/>
  <c r="V27" i="9"/>
  <c r="W27" i="9"/>
  <c r="X27" i="9"/>
  <c r="Y27" i="9"/>
  <c r="X12" i="9"/>
  <c r="AE18" i="9" s="1"/>
  <c r="V12" i="9"/>
  <c r="AC18" i="9" s="1"/>
  <c r="W12" i="9"/>
  <c r="AD18" i="9" s="1"/>
  <c r="Y12" i="9"/>
  <c r="AF18" i="9" s="1"/>
  <c r="V16" i="9"/>
  <c r="AC27" i="9" s="1"/>
  <c r="W16" i="9"/>
  <c r="AD27" i="9" s="1"/>
  <c r="X16" i="9"/>
  <c r="AE27" i="9" s="1"/>
  <c r="Y16" i="9"/>
  <c r="AF27" i="9" s="1"/>
  <c r="X23" i="9"/>
  <c r="T23" i="9"/>
  <c r="Y23" i="9"/>
  <c r="U23" i="9"/>
  <c r="W23" i="9"/>
  <c r="V23" i="9"/>
  <c r="Y21" i="9"/>
  <c r="AF41" i="9" s="1"/>
  <c r="U21" i="9"/>
  <c r="AB41" i="9" s="1"/>
  <c r="V21" i="9"/>
  <c r="AC41" i="9" s="1"/>
  <c r="W21" i="9"/>
  <c r="AD41" i="9" s="1"/>
  <c r="X21" i="9"/>
  <c r="AE41" i="9" s="1"/>
  <c r="V19" i="9"/>
  <c r="W19" i="9"/>
  <c r="Y19" i="9"/>
  <c r="X19" i="9"/>
  <c r="V10" i="9"/>
  <c r="AC15" i="9" s="1"/>
  <c r="W10" i="9"/>
  <c r="AD15" i="9" s="1"/>
  <c r="X10" i="9"/>
  <c r="AE15" i="9" s="1"/>
  <c r="Y10" i="9"/>
  <c r="AF15" i="9" s="1"/>
  <c r="Y15" i="9"/>
  <c r="W15" i="9"/>
  <c r="V15" i="9"/>
  <c r="X15" i="9"/>
  <c r="X28" i="9"/>
  <c r="AE126" i="9" s="1"/>
  <c r="Y28" i="9"/>
  <c r="AF126" i="9" s="1"/>
  <c r="V28" i="9"/>
  <c r="AC126" i="9" s="1"/>
  <c r="U28" i="9"/>
  <c r="AB126" i="9" s="1"/>
  <c r="W28" i="9"/>
  <c r="AD126" i="9" s="1"/>
  <c r="AC17" i="9" l="1"/>
  <c r="X45" i="9"/>
  <c r="AF34" i="9"/>
  <c r="AF39" i="9" s="1"/>
  <c r="AF49" i="9" s="1"/>
  <c r="Y48" i="9"/>
  <c r="AE25" i="9"/>
  <c r="AE30" i="9" s="1"/>
  <c r="V55" i="9"/>
  <c r="X57" i="9"/>
  <c r="X51" i="9"/>
  <c r="T36" i="9"/>
  <c r="T52" i="9"/>
  <c r="Y42" i="9"/>
  <c r="V34" i="9"/>
  <c r="T46" i="9"/>
  <c r="V48" i="9"/>
  <c r="Y37" i="9"/>
  <c r="V46" i="9"/>
  <c r="T34" i="9"/>
  <c r="X61" i="9"/>
  <c r="Y36" i="9"/>
  <c r="Y34" i="9"/>
  <c r="X55" i="9"/>
  <c r="X34" i="9"/>
  <c r="Y63" i="9"/>
  <c r="T42" i="9"/>
  <c r="V63" i="9"/>
  <c r="X36" i="9"/>
  <c r="X43" i="9"/>
  <c r="V43" i="9"/>
  <c r="T61" i="9"/>
  <c r="V36" i="9"/>
  <c r="V51" i="9"/>
  <c r="T40" i="9"/>
  <c r="X54" i="9"/>
  <c r="X60" i="9"/>
  <c r="X49" i="9"/>
  <c r="T48" i="9"/>
  <c r="V40" i="9"/>
  <c r="T60" i="9"/>
  <c r="X58" i="9"/>
  <c r="Y60" i="9"/>
  <c r="Y51" i="9"/>
  <c r="T55" i="9"/>
  <c r="X48" i="9"/>
  <c r="X46" i="9"/>
  <c r="Y57" i="9"/>
  <c r="Y61" i="9"/>
  <c r="T49" i="9"/>
  <c r="V49" i="9"/>
  <c r="Y43" i="9"/>
  <c r="T57" i="9"/>
  <c r="Y55" i="9"/>
  <c r="V54" i="9"/>
  <c r="Y54" i="9"/>
  <c r="V45" i="9"/>
  <c r="T58" i="9"/>
  <c r="X42" i="9"/>
  <c r="T37" i="9"/>
  <c r="T54" i="9"/>
  <c r="V61" i="9"/>
  <c r="V42" i="9"/>
  <c r="T51" i="9"/>
  <c r="V39" i="9"/>
  <c r="V60" i="9"/>
  <c r="X39" i="9"/>
  <c r="X40" i="9"/>
  <c r="V52" i="9"/>
  <c r="V57" i="9"/>
  <c r="Y58" i="9"/>
  <c r="X63" i="9"/>
  <c r="Y46" i="9"/>
  <c r="T63" i="9"/>
  <c r="T39" i="9"/>
  <c r="Y49" i="9"/>
  <c r="T45" i="9"/>
  <c r="V37" i="9"/>
  <c r="V58" i="9"/>
  <c r="Y39" i="9"/>
  <c r="Y52" i="9"/>
  <c r="Y40" i="9"/>
  <c r="X52" i="9"/>
  <c r="T43" i="9"/>
  <c r="Y45" i="9"/>
  <c r="X37" i="9"/>
  <c r="AC101" i="9"/>
  <c r="AC102" i="9" s="1"/>
  <c r="AC97" i="9"/>
  <c r="AC106" i="9"/>
  <c r="AC138" i="9" s="1"/>
  <c r="AC98" i="9"/>
  <c r="AC116" i="9"/>
  <c r="AC139" i="9" s="1"/>
  <c r="AB61" i="9"/>
  <c r="AB75" i="9" s="1"/>
  <c r="AB104" i="9" s="1"/>
  <c r="AC22" i="9"/>
  <c r="AC20" i="9"/>
  <c r="AC19" i="9"/>
  <c r="AB8" i="9"/>
  <c r="AB13" i="9" s="1"/>
  <c r="AB6" i="9"/>
  <c r="AB11" i="9" s="1"/>
  <c r="AE97" i="9"/>
  <c r="AE101" i="9"/>
  <c r="AE102" i="9" s="1"/>
  <c r="AE98" i="9"/>
  <c r="AE116" i="9"/>
  <c r="AE139" i="9" s="1"/>
  <c r="AE106" i="9"/>
  <c r="AE138" i="9" s="1"/>
  <c r="AB73" i="9"/>
  <c r="AB92" i="9" s="1"/>
  <c r="AB74" i="9"/>
  <c r="AB103" i="9" s="1"/>
  <c r="AC61" i="9"/>
  <c r="AC56" i="9"/>
  <c r="AC71" i="9"/>
  <c r="AC130" i="9" s="1"/>
  <c r="AC52" i="9"/>
  <c r="AD25" i="9"/>
  <c r="AD30" i="9" s="1"/>
  <c r="AD26" i="9"/>
  <c r="AD31" i="9" s="1"/>
  <c r="AC73" i="9"/>
  <c r="AC132" i="9" s="1"/>
  <c r="AC74" i="9"/>
  <c r="AC133" i="9" s="1"/>
  <c r="AD131" i="9"/>
  <c r="AD127" i="9"/>
  <c r="AD136" i="9"/>
  <c r="AD128" i="9"/>
  <c r="AD137" i="9"/>
  <c r="AF42" i="9"/>
  <c r="AF46" i="9"/>
  <c r="AF43" i="9"/>
  <c r="AF28" i="9"/>
  <c r="AF29" i="9"/>
  <c r="AE19" i="9"/>
  <c r="AE20" i="9"/>
  <c r="AB101" i="9"/>
  <c r="AB102" i="9" s="1"/>
  <c r="AB98" i="9"/>
  <c r="AB116" i="9"/>
  <c r="AB139" i="9" s="1"/>
  <c r="AB97" i="9"/>
  <c r="AB106" i="9"/>
  <c r="AB138" i="9" s="1"/>
  <c r="AD71" i="9"/>
  <c r="AD100" i="9" s="1"/>
  <c r="AD61" i="9"/>
  <c r="AD75" i="9" s="1"/>
  <c r="AD94" i="9" s="1"/>
  <c r="AD56" i="9"/>
  <c r="AE26" i="9"/>
  <c r="AE31" i="9" s="1"/>
  <c r="AD52" i="9"/>
  <c r="AC42" i="9"/>
  <c r="AC46" i="9"/>
  <c r="AB136" i="9"/>
  <c r="AB128" i="9"/>
  <c r="AB137" i="9"/>
  <c r="AB131" i="9"/>
  <c r="AB127" i="9"/>
  <c r="AE29" i="9"/>
  <c r="AE28" i="9"/>
  <c r="AB5" i="9"/>
  <c r="AF52" i="9"/>
  <c r="AF56" i="9"/>
  <c r="AF71" i="9"/>
  <c r="AF130" i="9" s="1"/>
  <c r="AF53" i="9"/>
  <c r="AF61" i="9"/>
  <c r="AF129" i="9" s="1"/>
  <c r="AC26" i="9"/>
  <c r="AC31" i="9" s="1"/>
  <c r="AC25" i="9"/>
  <c r="AC30" i="9" s="1"/>
  <c r="AC127" i="9"/>
  <c r="AC137" i="9"/>
  <c r="AC131" i="9"/>
  <c r="AC136" i="9"/>
  <c r="AC128" i="9"/>
  <c r="AD29" i="9"/>
  <c r="AD28" i="9"/>
  <c r="AF8" i="9"/>
  <c r="AF13" i="9" s="1"/>
  <c r="AF6" i="9"/>
  <c r="AF11" i="9" s="1"/>
  <c r="AD10" i="9"/>
  <c r="AF38" i="9"/>
  <c r="AF48" i="9" s="1"/>
  <c r="AF37" i="9"/>
  <c r="AF57" i="9" s="1"/>
  <c r="V86" i="9"/>
  <c r="AF5" i="9"/>
  <c r="V85" i="9"/>
  <c r="V83" i="9"/>
  <c r="V77" i="9"/>
  <c r="V82" i="9"/>
  <c r="V80" i="9"/>
  <c r="V81" i="9"/>
  <c r="V84" i="9"/>
  <c r="V79" i="9"/>
  <c r="V78" i="9"/>
  <c r="AA74" i="9"/>
  <c r="AA93" i="9" s="1"/>
  <c r="AA61" i="9"/>
  <c r="AA71" i="9"/>
  <c r="AA88" i="9"/>
  <c r="AC91" i="9"/>
  <c r="AC78" i="9"/>
  <c r="AC88" i="9"/>
  <c r="AF35" i="9"/>
  <c r="AF40" i="9" s="1"/>
  <c r="AF60" i="9" s="1"/>
  <c r="AF26" i="9"/>
  <c r="AF31" i="9" s="1"/>
  <c r="AF25" i="9"/>
  <c r="AF30" i="9" s="1"/>
  <c r="AF137" i="9"/>
  <c r="AF131" i="9"/>
  <c r="AF127" i="9"/>
  <c r="AF128" i="9"/>
  <c r="AF136" i="9"/>
  <c r="AF16" i="9"/>
  <c r="AF21" i="9" s="1"/>
  <c r="AF17" i="9"/>
  <c r="AF22" i="9" s="1"/>
  <c r="AC28" i="9"/>
  <c r="AC29" i="9"/>
  <c r="AD6" i="9"/>
  <c r="AD7" i="9" s="1"/>
  <c r="AD12" i="9" s="1"/>
  <c r="AC10" i="9"/>
  <c r="AD37" i="9"/>
  <c r="AD57" i="9" s="1"/>
  <c r="AF74" i="9"/>
  <c r="AF103" i="9" s="1"/>
  <c r="AF73" i="9"/>
  <c r="AF132" i="9" s="1"/>
  <c r="AB71" i="9"/>
  <c r="AB90" i="9" s="1"/>
  <c r="AB88" i="9"/>
  <c r="AB91" i="9"/>
  <c r="AB78" i="9"/>
  <c r="AD33" i="9"/>
  <c r="AD35" i="9" s="1"/>
  <c r="AD55" i="9" s="1"/>
  <c r="AD34" i="9"/>
  <c r="AD39" i="9" s="1"/>
  <c r="AD20" i="9"/>
  <c r="AD19" i="9"/>
  <c r="AD88" i="9"/>
  <c r="AD91" i="9"/>
  <c r="AD78" i="9"/>
  <c r="AE137" i="9"/>
  <c r="AE136" i="9"/>
  <c r="AE131" i="9"/>
  <c r="AE127" i="9"/>
  <c r="AE128" i="9"/>
  <c r="AE16" i="9"/>
  <c r="AE21" i="9" s="1"/>
  <c r="AE17" i="9"/>
  <c r="AE22" i="9" s="1"/>
  <c r="AE46" i="9"/>
  <c r="AE42" i="9"/>
  <c r="AC6" i="9"/>
  <c r="AC7" i="9" s="1"/>
  <c r="AC12" i="9" s="1"/>
  <c r="AC8" i="9"/>
  <c r="AC13" i="9" s="1"/>
  <c r="AF106" i="9"/>
  <c r="AF97" i="9"/>
  <c r="AF116" i="9"/>
  <c r="AF101" i="9"/>
  <c r="AF102" i="9" s="1"/>
  <c r="AF98" i="9"/>
  <c r="AE37" i="9"/>
  <c r="AE47" i="9" s="1"/>
  <c r="AE73" i="9"/>
  <c r="AE92" i="9" s="1"/>
  <c r="AE74" i="9"/>
  <c r="AE133" i="9" s="1"/>
  <c r="AE71" i="9"/>
  <c r="AE76" i="9" s="1"/>
  <c r="AE95" i="9" s="1"/>
  <c r="AE61" i="9"/>
  <c r="AE75" i="9" s="1"/>
  <c r="AE104" i="9" s="1"/>
  <c r="AE56" i="9"/>
  <c r="AE52" i="9"/>
  <c r="AE88" i="9"/>
  <c r="AE78" i="9"/>
  <c r="AE91" i="9"/>
  <c r="AC34" i="9"/>
  <c r="AC44" i="9" s="1"/>
  <c r="AC33" i="9"/>
  <c r="AC35" i="9" s="1"/>
  <c r="AC40" i="9" s="1"/>
  <c r="AC60" i="9" s="1"/>
  <c r="AE5" i="9"/>
  <c r="AE10" i="9" s="1"/>
  <c r="U86" i="9"/>
  <c r="U80" i="9"/>
  <c r="U84" i="9"/>
  <c r="U85" i="9"/>
  <c r="U83" i="9"/>
  <c r="U81" i="9"/>
  <c r="U79" i="9"/>
  <c r="U82" i="9"/>
  <c r="U77" i="9"/>
  <c r="U78" i="9"/>
  <c r="AD17" i="9"/>
  <c r="AD22" i="9" s="1"/>
  <c r="AD16" i="9"/>
  <c r="AD21" i="9" s="1"/>
  <c r="AD42" i="9"/>
  <c r="AD46" i="9"/>
  <c r="T90" i="9"/>
  <c r="T96" i="9"/>
  <c r="U97" i="9"/>
  <c r="U93" i="9"/>
  <c r="U96" i="9"/>
  <c r="V89" i="9"/>
  <c r="T94" i="9"/>
  <c r="V90" i="9"/>
  <c r="U94" i="9"/>
  <c r="T98" i="9"/>
  <c r="V91" i="9"/>
  <c r="U95" i="9"/>
  <c r="U98" i="9"/>
  <c r="U91" i="9"/>
  <c r="V97" i="9"/>
  <c r="U92" i="9"/>
  <c r="V95" i="9"/>
  <c r="U90" i="9"/>
  <c r="V93" i="9"/>
  <c r="T92" i="9"/>
  <c r="V96" i="9"/>
  <c r="T97" i="9"/>
  <c r="V94" i="9"/>
  <c r="T95" i="9"/>
  <c r="U89" i="9"/>
  <c r="T89" i="9"/>
  <c r="V92" i="9"/>
  <c r="T93" i="9"/>
  <c r="T91" i="9"/>
  <c r="AF19" i="9"/>
  <c r="AF20" i="9"/>
  <c r="AE8" i="9"/>
  <c r="AE13" i="9" s="1"/>
  <c r="AE6" i="9"/>
  <c r="AD116" i="9"/>
  <c r="AD101" i="9"/>
  <c r="AD102" i="9" s="1"/>
  <c r="AD97" i="9"/>
  <c r="AD106" i="9"/>
  <c r="AD98" i="9"/>
  <c r="AC37" i="9"/>
  <c r="AC47" i="9" s="1"/>
  <c r="AD73" i="9"/>
  <c r="AD92" i="9" s="1"/>
  <c r="AD74" i="9"/>
  <c r="AD103" i="9" s="1"/>
  <c r="AF91" i="9"/>
  <c r="AF78" i="9"/>
  <c r="AF88" i="9"/>
  <c r="AC16" i="9"/>
  <c r="AC21" i="9" s="1"/>
  <c r="AE33" i="9"/>
  <c r="AE35" i="9" s="1"/>
  <c r="AE40" i="9" s="1"/>
  <c r="AE50" i="9" s="1"/>
  <c r="AE34" i="9"/>
  <c r="AE39" i="9" s="1"/>
  <c r="AE59" i="9" s="1"/>
  <c r="AC92" i="9" l="1"/>
  <c r="AC38" i="9"/>
  <c r="AC58" i="9" s="1"/>
  <c r="AF93" i="9"/>
  <c r="AE7" i="9"/>
  <c r="AE12" i="9" s="1"/>
  <c r="AD43" i="9"/>
  <c r="AF54" i="9"/>
  <c r="AB93" i="9"/>
  <c r="U47" i="9"/>
  <c r="U69" i="9" s="1"/>
  <c r="Y35" i="9"/>
  <c r="W65" i="9" s="1"/>
  <c r="U35" i="9"/>
  <c r="U65" i="9" s="1"/>
  <c r="AE93" i="9"/>
  <c r="AB89" i="9"/>
  <c r="Y44" i="9"/>
  <c r="W68" i="9" s="1"/>
  <c r="AF44" i="9"/>
  <c r="AD44" i="9"/>
  <c r="AF92" i="9"/>
  <c r="AB99" i="9"/>
  <c r="AB129" i="9"/>
  <c r="AC90" i="9"/>
  <c r="U44" i="9"/>
  <c r="U68" i="9" s="1"/>
  <c r="U56" i="9"/>
  <c r="U72" i="9" s="1"/>
  <c r="U53" i="9"/>
  <c r="U71" i="9" s="1"/>
  <c r="X44" i="9"/>
  <c r="V68" i="9" s="1"/>
  <c r="X53" i="9"/>
  <c r="V71" i="9" s="1"/>
  <c r="Y38" i="9"/>
  <c r="W66" i="9" s="1"/>
  <c r="X41" i="9"/>
  <c r="V67" i="9" s="1"/>
  <c r="Y53" i="9"/>
  <c r="W71" i="9" s="1"/>
  <c r="Y56" i="9"/>
  <c r="W72" i="9" s="1"/>
  <c r="U41" i="9"/>
  <c r="U67" i="9" s="1"/>
  <c r="Y62" i="9"/>
  <c r="W74" i="9" s="1"/>
  <c r="X56" i="9"/>
  <c r="V72" i="9" s="1"/>
  <c r="X47" i="9"/>
  <c r="V69" i="9" s="1"/>
  <c r="U38" i="9"/>
  <c r="U66" i="9" s="1"/>
  <c r="X38" i="9"/>
  <c r="V66" i="9" s="1"/>
  <c r="Y47" i="9"/>
  <c r="W69" i="9" s="1"/>
  <c r="Y41" i="9"/>
  <c r="W67" i="9" s="1"/>
  <c r="X62" i="9"/>
  <c r="V74" i="9" s="1"/>
  <c r="Y50" i="9"/>
  <c r="W70" i="9" s="1"/>
  <c r="U59" i="9"/>
  <c r="U73" i="9" s="1"/>
  <c r="X50" i="9"/>
  <c r="V70" i="9" s="1"/>
  <c r="AF89" i="9"/>
  <c r="AD99" i="9"/>
  <c r="AC93" i="9"/>
  <c r="AF75" i="9"/>
  <c r="AF114" i="9" s="1"/>
  <c r="AC39" i="9"/>
  <c r="AC59" i="9" s="1"/>
  <c r="AD89" i="9"/>
  <c r="AB94" i="9"/>
  <c r="AF76" i="9"/>
  <c r="AF115" i="9" s="1"/>
  <c r="AF133" i="9"/>
  <c r="AB133" i="9"/>
  <c r="AE89" i="9"/>
  <c r="AF7" i="9"/>
  <c r="AF12" i="9" s="1"/>
  <c r="AB134" i="9"/>
  <c r="AD45" i="9"/>
  <c r="AF99" i="9"/>
  <c r="AE132" i="9"/>
  <c r="AB7" i="9"/>
  <c r="AB12" i="9" s="1"/>
  <c r="AF90" i="9"/>
  <c r="AD123" i="9"/>
  <c r="AF100" i="9"/>
  <c r="U50" i="9"/>
  <c r="U70" i="9" s="1"/>
  <c r="AF59" i="9"/>
  <c r="AC54" i="9"/>
  <c r="AF58" i="9"/>
  <c r="AE103" i="9"/>
  <c r="AE60" i="9"/>
  <c r="AF55" i="9"/>
  <c r="AB132" i="9"/>
  <c r="AF50" i="9"/>
  <c r="AD132" i="9"/>
  <c r="AE57" i="9"/>
  <c r="Y59" i="9"/>
  <c r="W73" i="9" s="1"/>
  <c r="X59" i="9"/>
  <c r="V73" i="9" s="1"/>
  <c r="AC76" i="9"/>
  <c r="AC125" i="9" s="1"/>
  <c r="U62" i="9"/>
  <c r="U74" i="9" s="1"/>
  <c r="AD40" i="9"/>
  <c r="AD87" i="9" s="1"/>
  <c r="AE135" i="9"/>
  <c r="AC11" i="9"/>
  <c r="AB10" i="9"/>
  <c r="AD49" i="9"/>
  <c r="AD59" i="9"/>
  <c r="AD11" i="9"/>
  <c r="AC64" i="9"/>
  <c r="AC66" i="9"/>
  <c r="AC70" i="9"/>
  <c r="AC63" i="9"/>
  <c r="AC62" i="9"/>
  <c r="AC65" i="9"/>
  <c r="AC67" i="9"/>
  <c r="AD104" i="9"/>
  <c r="AD117" i="9"/>
  <c r="AD118" i="9"/>
  <c r="AD120" i="9"/>
  <c r="AD122" i="9"/>
  <c r="AD119" i="9"/>
  <c r="AD121" i="9"/>
  <c r="AD124" i="9"/>
  <c r="AE55" i="9"/>
  <c r="AD93" i="9"/>
  <c r="AD38" i="9"/>
  <c r="AC75" i="9"/>
  <c r="AC124" i="9" s="1"/>
  <c r="AC55" i="9"/>
  <c r="AE121" i="9"/>
  <c r="AE120" i="9"/>
  <c r="AE123" i="9"/>
  <c r="AE122" i="9"/>
  <c r="AE119" i="9"/>
  <c r="AE118" i="9"/>
  <c r="AE117" i="9"/>
  <c r="AE125" i="9"/>
  <c r="AE124" i="9"/>
  <c r="AC117" i="9"/>
  <c r="AC118" i="9"/>
  <c r="AC122" i="9"/>
  <c r="AC120" i="9"/>
  <c r="AC121" i="9"/>
  <c r="AC119" i="9"/>
  <c r="AC123" i="9"/>
  <c r="AE84" i="9"/>
  <c r="AE83" i="9"/>
  <c r="AE82" i="9"/>
  <c r="AE87" i="9"/>
  <c r="AE81" i="9"/>
  <c r="AE80" i="9"/>
  <c r="AE86" i="9"/>
  <c r="AE79" i="9"/>
  <c r="AE49" i="9"/>
  <c r="AC83" i="9"/>
  <c r="AC80" i="9"/>
  <c r="AC84" i="9"/>
  <c r="AC81" i="9"/>
  <c r="AC79" i="9"/>
  <c r="AC82" i="9"/>
  <c r="AC87" i="9"/>
  <c r="AC100" i="9"/>
  <c r="AD107" i="9"/>
  <c r="AD110" i="9"/>
  <c r="AD111" i="9"/>
  <c r="AD109" i="9"/>
  <c r="AD112" i="9"/>
  <c r="AD114" i="9"/>
  <c r="AD108" i="9"/>
  <c r="AD113" i="9"/>
  <c r="AE53" i="9"/>
  <c r="AE38" i="9"/>
  <c r="AF117" i="9"/>
  <c r="AF118" i="9"/>
  <c r="AF123" i="9"/>
  <c r="AF121" i="9"/>
  <c r="AF120" i="9"/>
  <c r="AF119" i="9"/>
  <c r="AF122" i="9"/>
  <c r="AE43" i="9"/>
  <c r="AE134" i="9"/>
  <c r="AF139" i="9"/>
  <c r="AC89" i="9"/>
  <c r="AE11" i="9"/>
  <c r="AB130" i="9"/>
  <c r="AD54" i="9"/>
  <c r="AF47" i="9"/>
  <c r="AC57" i="9"/>
  <c r="AE105" i="9"/>
  <c r="AC99" i="9"/>
  <c r="AA75" i="9"/>
  <c r="AA94" i="9" s="1"/>
  <c r="AA89" i="9"/>
  <c r="AF83" i="9"/>
  <c r="AF87" i="9"/>
  <c r="AF80" i="9"/>
  <c r="AF82" i="9"/>
  <c r="AF85" i="9"/>
  <c r="AF79" i="9"/>
  <c r="AF81" i="9"/>
  <c r="AF84" i="9"/>
  <c r="AE94" i="9"/>
  <c r="AE44" i="9"/>
  <c r="AD90" i="9"/>
  <c r="AF68" i="9"/>
  <c r="AF67" i="9"/>
  <c r="AF70" i="9"/>
  <c r="AF64" i="9"/>
  <c r="AF65" i="9"/>
  <c r="AF69" i="9"/>
  <c r="AF62" i="9"/>
  <c r="AF63" i="9"/>
  <c r="AF66" i="9"/>
  <c r="AD53" i="9"/>
  <c r="AB108" i="9"/>
  <c r="AB110" i="9"/>
  <c r="AB113" i="9"/>
  <c r="AB112" i="9"/>
  <c r="AB107" i="9"/>
  <c r="AB114" i="9"/>
  <c r="AB111" i="9"/>
  <c r="AB109" i="9"/>
  <c r="AD133" i="9"/>
  <c r="AD47" i="9"/>
  <c r="AE62" i="9"/>
  <c r="AE64" i="9"/>
  <c r="AE69" i="9"/>
  <c r="AE66" i="9"/>
  <c r="AE63" i="9"/>
  <c r="AE67" i="9"/>
  <c r="AE65" i="9"/>
  <c r="AE70" i="9"/>
  <c r="AF107" i="9"/>
  <c r="AF113" i="9"/>
  <c r="AF108" i="9"/>
  <c r="AF111" i="9"/>
  <c r="AF112" i="9"/>
  <c r="AF109" i="9"/>
  <c r="AE45" i="9"/>
  <c r="AD86" i="9"/>
  <c r="AD82" i="9"/>
  <c r="AD79" i="9"/>
  <c r="AD83" i="9"/>
  <c r="AD81" i="9"/>
  <c r="AD80" i="9"/>
  <c r="AD84" i="9"/>
  <c r="AF86" i="9"/>
  <c r="AC50" i="9"/>
  <c r="AB100" i="9"/>
  <c r="AD138" i="9"/>
  <c r="AD130" i="9"/>
  <c r="AB76" i="9"/>
  <c r="AB115" i="9" s="1"/>
  <c r="AC108" i="9"/>
  <c r="AC109" i="9"/>
  <c r="AC113" i="9"/>
  <c r="AC110" i="9"/>
  <c r="AC111" i="9"/>
  <c r="AC107" i="9"/>
  <c r="AC112" i="9"/>
  <c r="AD76" i="9"/>
  <c r="AD125" i="9" s="1"/>
  <c r="AE130" i="9"/>
  <c r="AF138" i="9"/>
  <c r="AF110" i="9"/>
  <c r="AC45" i="9"/>
  <c r="AF10" i="9"/>
  <c r="AD134" i="9"/>
  <c r="AD139" i="9"/>
  <c r="AE100" i="9"/>
  <c r="AE90" i="9"/>
  <c r="AE54" i="9"/>
  <c r="AE129" i="9"/>
  <c r="AA90" i="9"/>
  <c r="AA76" i="9"/>
  <c r="AA95" i="9" s="1"/>
  <c r="AC129" i="9"/>
  <c r="AC43" i="9"/>
  <c r="AD65" i="9"/>
  <c r="AD64" i="9"/>
  <c r="AD62" i="9"/>
  <c r="AD63" i="9"/>
  <c r="AD66" i="9"/>
  <c r="AD69" i="9"/>
  <c r="AD67" i="9"/>
  <c r="AB119" i="9"/>
  <c r="AB122" i="9"/>
  <c r="AB118" i="9"/>
  <c r="AB123" i="9"/>
  <c r="AB120" i="9"/>
  <c r="AB124" i="9"/>
  <c r="AB117" i="9"/>
  <c r="AB121" i="9"/>
  <c r="AF45" i="9"/>
  <c r="AD129" i="9"/>
  <c r="AC53" i="9"/>
  <c r="AE109" i="9"/>
  <c r="AE113" i="9"/>
  <c r="AE108" i="9"/>
  <c r="AE114" i="9"/>
  <c r="AE110" i="9"/>
  <c r="AE111" i="9"/>
  <c r="AE107" i="9"/>
  <c r="AE112" i="9"/>
  <c r="AE115" i="9"/>
  <c r="AE99" i="9"/>
  <c r="AC103" i="9"/>
  <c r="D10" i="9"/>
  <c r="X35" i="9"/>
  <c r="C10" i="9"/>
  <c r="B10" i="9"/>
  <c r="H44" i="2" s="1"/>
  <c r="AC68" i="9" l="1"/>
  <c r="AC85" i="9"/>
  <c r="AC48" i="9"/>
  <c r="B8" i="9"/>
  <c r="H42" i="2" s="1"/>
  <c r="I42" i="2" s="1"/>
  <c r="N42" i="2" s="1"/>
  <c r="B9" i="9"/>
  <c r="H43" i="2" s="1"/>
  <c r="I43" i="2" s="1"/>
  <c r="C9" i="9"/>
  <c r="D19" i="10" s="1"/>
  <c r="G19" i="10" s="1"/>
  <c r="I19" i="10" s="1"/>
  <c r="D8" i="9"/>
  <c r="D4" i="10" s="1"/>
  <c r="G4" i="10" s="1"/>
  <c r="I4" i="10" s="1"/>
  <c r="J4" i="10" s="1"/>
  <c r="C8" i="9"/>
  <c r="D7" i="10" s="1"/>
  <c r="D9" i="9"/>
  <c r="D16" i="10" s="1"/>
  <c r="G16" i="10" s="1"/>
  <c r="I16" i="10" s="1"/>
  <c r="K16" i="10" s="1"/>
  <c r="AB125" i="9"/>
  <c r="AF104" i="9"/>
  <c r="B11" i="9"/>
  <c r="H45" i="2" s="1"/>
  <c r="I45" i="2" s="1"/>
  <c r="D28" i="10"/>
  <c r="G28" i="10" s="1"/>
  <c r="I28" i="10" s="1"/>
  <c r="D31" i="10"/>
  <c r="G31" i="10" s="1"/>
  <c r="I31" i="10" s="1"/>
  <c r="C11" i="9"/>
  <c r="AC69" i="9"/>
  <c r="AC86" i="9"/>
  <c r="D13" i="9"/>
  <c r="AC49" i="9"/>
  <c r="D11" i="9"/>
  <c r="D12" i="9"/>
  <c r="D17" i="9"/>
  <c r="AF125" i="9"/>
  <c r="B13" i="9"/>
  <c r="H47" i="2" s="1"/>
  <c r="I47" i="2" s="1"/>
  <c r="AF105" i="9"/>
  <c r="C12" i="9"/>
  <c r="C13" i="9"/>
  <c r="B12" i="9"/>
  <c r="H46" i="2" s="1"/>
  <c r="I46" i="2" s="1"/>
  <c r="AC114" i="9"/>
  <c r="AF134" i="9"/>
  <c r="AF94" i="9"/>
  <c r="D16" i="9" s="1"/>
  <c r="AC115" i="9"/>
  <c r="AF124" i="9"/>
  <c r="AF135" i="9"/>
  <c r="AF95" i="9"/>
  <c r="C15" i="9"/>
  <c r="D14" i="9"/>
  <c r="B14" i="9"/>
  <c r="H48" i="2" s="1"/>
  <c r="I48" i="2" s="1"/>
  <c r="AD70" i="9"/>
  <c r="B16" i="9"/>
  <c r="B17" i="9"/>
  <c r="H51" i="2" s="1"/>
  <c r="I51" i="2" s="1"/>
  <c r="AC95" i="9"/>
  <c r="AC105" i="9"/>
  <c r="AC135" i="9"/>
  <c r="B15" i="9"/>
  <c r="H49" i="2" s="1"/>
  <c r="I49" i="2" s="1"/>
  <c r="C16" i="9"/>
  <c r="D104" i="10" s="1"/>
  <c r="G104" i="10" s="1"/>
  <c r="I104" i="10" s="1"/>
  <c r="J104" i="10" s="1"/>
  <c r="D15" i="9"/>
  <c r="C14" i="9"/>
  <c r="AD60" i="9"/>
  <c r="AD50" i="9"/>
  <c r="C17" i="9"/>
  <c r="AD115" i="9"/>
  <c r="AB135" i="9"/>
  <c r="AB95" i="9"/>
  <c r="AB105" i="9"/>
  <c r="AD48" i="9"/>
  <c r="AD58" i="9"/>
  <c r="AE48" i="9"/>
  <c r="AE58" i="9"/>
  <c r="AE85" i="9"/>
  <c r="AD68" i="9"/>
  <c r="AD95" i="9"/>
  <c r="AD105" i="9"/>
  <c r="AD135" i="9"/>
  <c r="AD85" i="9"/>
  <c r="AE68" i="9"/>
  <c r="AC94" i="9"/>
  <c r="AC104" i="9"/>
  <c r="AC134" i="9"/>
  <c r="I44" i="2"/>
  <c r="V65" i="9"/>
  <c r="J31" i="10" l="1"/>
  <c r="K31" i="10"/>
  <c r="J28" i="10"/>
  <c r="K28" i="10"/>
  <c r="J19" i="10"/>
  <c r="K19" i="10"/>
  <c r="K20" i="10" s="1"/>
  <c r="D77" i="10"/>
  <c r="G77" i="10" s="1"/>
  <c r="I77" i="10" s="1"/>
  <c r="D52" i="10"/>
  <c r="G52" i="10" s="1"/>
  <c r="I52" i="10" s="1"/>
  <c r="D92" i="10"/>
  <c r="G92" i="10" s="1"/>
  <c r="I92" i="10" s="1"/>
  <c r="D40" i="10"/>
  <c r="G40" i="10" s="1"/>
  <c r="I40" i="10" s="1"/>
  <c r="J40" i="10" s="1"/>
  <c r="D113" i="10"/>
  <c r="G113" i="10" s="1"/>
  <c r="I113" i="10" s="1"/>
  <c r="D116" i="10"/>
  <c r="G116" i="10" s="1"/>
  <c r="I116" i="10" s="1"/>
  <c r="D43" i="10"/>
  <c r="G43" i="10" s="1"/>
  <c r="I43" i="10" s="1"/>
  <c r="D68" i="10"/>
  <c r="G68" i="10" s="1"/>
  <c r="I68" i="10" s="1"/>
  <c r="K68" i="10" s="1"/>
  <c r="D55" i="10"/>
  <c r="G55" i="10" s="1"/>
  <c r="I55" i="10" s="1"/>
  <c r="D65" i="10"/>
  <c r="G65" i="10" s="1"/>
  <c r="I65" i="10" s="1"/>
  <c r="H50" i="2"/>
  <c r="I50" i="2" s="1"/>
  <c r="D80" i="10"/>
  <c r="G80" i="10" s="1"/>
  <c r="I80" i="10" s="1"/>
  <c r="J80" i="10" s="1"/>
  <c r="D89" i="10"/>
  <c r="G89" i="10" s="1"/>
  <c r="I89" i="10" s="1"/>
  <c r="D101" i="10"/>
  <c r="G101" i="10" s="1"/>
  <c r="I101" i="10" s="1"/>
  <c r="J16" i="10"/>
  <c r="J20" i="10" s="1"/>
  <c r="J21" i="10" s="1"/>
  <c r="K104" i="10"/>
  <c r="E33" i="13"/>
  <c r="N48" i="2"/>
  <c r="E39" i="13"/>
  <c r="B87" i="13" s="1"/>
  <c r="N45" i="2"/>
  <c r="E36" i="13"/>
  <c r="B84" i="13" s="1"/>
  <c r="N51" i="2"/>
  <c r="E42" i="13"/>
  <c r="N44" i="2"/>
  <c r="E35" i="13"/>
  <c r="E36" i="20" s="1"/>
  <c r="N46" i="2"/>
  <c r="E37" i="13"/>
  <c r="B85" i="13" s="1"/>
  <c r="E38" i="13"/>
  <c r="N47" i="2"/>
  <c r="E40" i="13"/>
  <c r="N49" i="2"/>
  <c r="N43" i="2"/>
  <c r="E34" i="13"/>
  <c r="E35" i="20" s="1"/>
  <c r="K4" i="10"/>
  <c r="G7" i="10"/>
  <c r="I7" i="10" s="1"/>
  <c r="F39" i="20"/>
  <c r="F34" i="20"/>
  <c r="F41" i="20"/>
  <c r="F40" i="20"/>
  <c r="G29" i="20"/>
  <c r="F37" i="20"/>
  <c r="K32" i="10" l="1"/>
  <c r="J32" i="10"/>
  <c r="J33" i="10" s="1"/>
  <c r="K80" i="10"/>
  <c r="J92" i="10"/>
  <c r="K92" i="10"/>
  <c r="J55" i="10"/>
  <c r="K55" i="10"/>
  <c r="K101" i="10"/>
  <c r="K105" i="10" s="1"/>
  <c r="J101" i="10"/>
  <c r="J105" i="10" s="1"/>
  <c r="J106" i="10" s="1"/>
  <c r="J77" i="10"/>
  <c r="J81" i="10" s="1"/>
  <c r="J82" i="10" s="1"/>
  <c r="K77" i="10"/>
  <c r="J65" i="10"/>
  <c r="K65" i="10"/>
  <c r="K69" i="10" s="1"/>
  <c r="K52" i="10"/>
  <c r="J52" i="10"/>
  <c r="J89" i="10"/>
  <c r="K89" i="10"/>
  <c r="K43" i="10"/>
  <c r="J43" i="10"/>
  <c r="J44" i="10" s="1"/>
  <c r="J45" i="10" s="1"/>
  <c r="J116" i="10"/>
  <c r="K116" i="10"/>
  <c r="J113" i="10"/>
  <c r="K113" i="10"/>
  <c r="N50" i="2"/>
  <c r="J42" i="2" s="1"/>
  <c r="C124" i="10" s="1"/>
  <c r="B56" i="13" s="1"/>
  <c r="B55" i="20" s="1"/>
  <c r="E41" i="13"/>
  <c r="B89" i="13" s="1"/>
  <c r="J22" i="10"/>
  <c r="J23" i="10" s="1"/>
  <c r="J24" i="10" s="1"/>
  <c r="G34" i="13" s="1"/>
  <c r="G35" i="20" s="1"/>
  <c r="J68" i="10"/>
  <c r="K40" i="10"/>
  <c r="B83" i="13"/>
  <c r="E38" i="20"/>
  <c r="B82" i="13"/>
  <c r="E40" i="20"/>
  <c r="E37" i="20"/>
  <c r="B90" i="13"/>
  <c r="E41" i="20"/>
  <c r="B88" i="13"/>
  <c r="B86" i="13"/>
  <c r="E39" i="20"/>
  <c r="E43" i="20"/>
  <c r="B81" i="13"/>
  <c r="E34" i="20"/>
  <c r="K7" i="10"/>
  <c r="K8" i="10" s="1"/>
  <c r="J7" i="10"/>
  <c r="J8" i="10" s="1"/>
  <c r="J9" i="10" s="1"/>
  <c r="F35" i="20"/>
  <c r="F42" i="20"/>
  <c r="F38" i="20"/>
  <c r="F36" i="20"/>
  <c r="J69" i="10" l="1"/>
  <c r="J70" i="10" s="1"/>
  <c r="K93" i="10"/>
  <c r="K117" i="10"/>
  <c r="J34" i="10"/>
  <c r="J35" i="10" s="1"/>
  <c r="J36" i="10" s="1"/>
  <c r="G35" i="13" s="1"/>
  <c r="G36" i="20" s="1"/>
  <c r="K81" i="10"/>
  <c r="J83" i="10" s="1"/>
  <c r="J84" i="10" s="1"/>
  <c r="J85" i="10" s="1"/>
  <c r="G39" i="13" s="1"/>
  <c r="G40" i="20" s="1"/>
  <c r="E42" i="20"/>
  <c r="J93" i="10"/>
  <c r="J94" i="10" s="1"/>
  <c r="J117" i="10"/>
  <c r="J118" i="10" s="1"/>
  <c r="K56" i="10"/>
  <c r="K44" i="10"/>
  <c r="J46" i="10" s="1"/>
  <c r="J47" i="10" s="1"/>
  <c r="J48" i="10" s="1"/>
  <c r="G36" i="13" s="1"/>
  <c r="G37" i="20" s="1"/>
  <c r="J56" i="10"/>
  <c r="J107" i="10"/>
  <c r="J108" i="10" s="1"/>
  <c r="J109" i="10" s="1"/>
  <c r="G41" i="13" s="1"/>
  <c r="G42" i="20" s="1"/>
  <c r="J10" i="10"/>
  <c r="J11" i="10" s="1"/>
  <c r="C82" i="13"/>
  <c r="G30" i="20"/>
  <c r="J71" i="10" l="1"/>
  <c r="J72" i="10" s="1"/>
  <c r="J73" i="10" s="1"/>
  <c r="G38" i="13" s="1"/>
  <c r="C86" i="13" s="1"/>
  <c r="C83" i="13"/>
  <c r="J119" i="10"/>
  <c r="J120" i="10" s="1"/>
  <c r="J121" i="10" s="1"/>
  <c r="G42" i="13" s="1"/>
  <c r="H29" i="13" s="1"/>
  <c r="H30" i="20" s="1"/>
  <c r="J95" i="10"/>
  <c r="J96" i="10" s="1"/>
  <c r="J97" i="10" s="1"/>
  <c r="G40" i="13" s="1"/>
  <c r="G41" i="20" s="1"/>
  <c r="C87" i="13"/>
  <c r="C89" i="13"/>
  <c r="J57" i="10"/>
  <c r="J58" i="10"/>
  <c r="J59" i="10" s="1"/>
  <c r="J60" i="10" s="1"/>
  <c r="G37" i="13" s="1"/>
  <c r="C84" i="13"/>
  <c r="J12" i="10"/>
  <c r="G33" i="13" s="1"/>
  <c r="F43" i="20"/>
  <c r="G39" i="20" l="1"/>
  <c r="G43" i="20"/>
  <c r="C90" i="13"/>
  <c r="C125" i="10" s="1"/>
  <c r="C126" i="10" s="1"/>
  <c r="F56" i="13" s="1"/>
  <c r="K63" i="13" s="1"/>
  <c r="I56" i="13" s="1"/>
  <c r="H71" i="13" s="1"/>
  <c r="C88" i="13"/>
  <c r="H28" i="13"/>
  <c r="H29" i="20" s="1"/>
  <c r="G38" i="20"/>
  <c r="C85" i="13"/>
  <c r="G34" i="20"/>
  <c r="C81" i="13"/>
  <c r="F55" i="20" l="1"/>
  <c r="D56" i="13"/>
  <c r="D55" i="20" s="1"/>
  <c r="I71" i="13"/>
  <c r="B85" i="2" s="1"/>
  <c r="C2" i="2" s="1"/>
  <c r="A2" i="13" s="1"/>
  <c r="B69" i="13" l="1"/>
  <c r="B65" i="20"/>
  <c r="A2" i="20"/>
  <c r="M32" i="9" l="1"/>
  <c r="AM15" i="9" s="1"/>
  <c r="W7" i="9" s="1"/>
  <c r="AD8" i="9" s="1"/>
  <c r="AD13" i="9" s="1"/>
  <c r="L66" i="9" l="1"/>
  <c r="AT52" i="9" s="1"/>
  <c r="L58" i="9"/>
  <c r="AU16" i="9" s="1"/>
  <c r="L64" i="9"/>
  <c r="AT43" i="9" s="1"/>
  <c r="L65" i="9"/>
  <c r="AK52" i="9" s="1"/>
  <c r="L57" i="9"/>
  <c r="AL16" i="9" s="1"/>
  <c r="L79" i="9"/>
  <c r="AK115" i="9" s="1"/>
  <c r="L63" i="9"/>
  <c r="AK43" i="9" s="1"/>
  <c r="L72" i="9"/>
  <c r="L62" i="9"/>
  <c r="AT34" i="9" s="1"/>
  <c r="L71" i="9"/>
  <c r="L61" i="9"/>
  <c r="AK34" i="9" s="1"/>
  <c r="L78" i="9"/>
  <c r="L70" i="9"/>
  <c r="L60" i="9"/>
  <c r="AT25" i="9" s="1"/>
  <c r="L77" i="9"/>
  <c r="L69" i="9"/>
  <c r="L59" i="9"/>
  <c r="AK25" i="9" s="1"/>
  <c r="L76" i="9"/>
  <c r="L68" i="9"/>
  <c r="L74" i="9"/>
  <c r="L75" i="9"/>
  <c r="L67" i="9"/>
  <c r="L73" i="9"/>
  <c r="AK106" i="9" l="1"/>
  <c r="AT70" i="9"/>
  <c r="AT79" i="9"/>
  <c r="AK61" i="9"/>
  <c r="AK60" i="9"/>
  <c r="U17" i="9" s="1"/>
  <c r="AB32" i="9" s="1"/>
  <c r="AK70" i="9"/>
  <c r="AK97" i="9"/>
  <c r="AT88" i="9"/>
  <c r="AK79" i="9"/>
  <c r="AK88" i="9"/>
  <c r="AT106" i="9"/>
  <c r="AT61" i="9"/>
  <c r="AT97" i="9"/>
  <c r="L39" i="9"/>
  <c r="AT42" i="9" s="1"/>
  <c r="U14" i="9" s="1"/>
  <c r="AB24" i="9" s="1"/>
  <c r="L41" i="9"/>
  <c r="AT51" i="9" s="1"/>
  <c r="U16" i="9" s="1"/>
  <c r="AB27" i="9" s="1"/>
  <c r="L37" i="9"/>
  <c r="AT33" i="9" s="1"/>
  <c r="U12" i="9" s="1"/>
  <c r="AB18" i="9" s="1"/>
  <c r="L38" i="9"/>
  <c r="AK42" i="9" s="1"/>
  <c r="U13" i="9" s="1"/>
  <c r="AB23" i="9" s="1"/>
  <c r="L40" i="9"/>
  <c r="AK51" i="9" s="1"/>
  <c r="U15" i="9" s="1"/>
  <c r="L36" i="9"/>
  <c r="L44" i="9"/>
  <c r="L45" i="9"/>
  <c r="L42" i="9"/>
  <c r="L43" i="9"/>
  <c r="L56" i="9"/>
  <c r="AU7" i="9" s="1"/>
  <c r="AB28" i="9" l="1"/>
  <c r="AB29" i="9"/>
  <c r="AB26" i="9"/>
  <c r="AB31" i="9" s="1"/>
  <c r="AB25" i="9"/>
  <c r="AB30" i="9" s="1"/>
  <c r="AK69" i="9"/>
  <c r="U19" i="9" s="1"/>
  <c r="AT60" i="9"/>
  <c r="U18" i="9" s="1"/>
  <c r="AT69" i="9"/>
  <c r="U20" i="9" s="1"/>
  <c r="AB36" i="9" s="1"/>
  <c r="AB52" i="9"/>
  <c r="AB42" i="9"/>
  <c r="AB62" i="9"/>
  <c r="AB79" i="9"/>
  <c r="L35" i="9"/>
  <c r="L34" i="9"/>
  <c r="AK24" i="9" s="1"/>
  <c r="U9" i="9" s="1"/>
  <c r="AB56" i="9" l="1"/>
  <c r="AB37" i="9"/>
  <c r="AB46" i="9"/>
  <c r="AB83" i="9"/>
  <c r="AB66" i="9"/>
  <c r="AB14" i="9"/>
  <c r="AB19" i="9" s="1"/>
  <c r="AB34" i="9"/>
  <c r="AB39" i="9" s="1"/>
  <c r="AB33" i="9"/>
  <c r="AK33" i="9"/>
  <c r="U11" i="9" s="1"/>
  <c r="AT24" i="9"/>
  <c r="U10" i="9" s="1"/>
  <c r="AB15" i="9" s="1"/>
  <c r="T81" i="9" l="1"/>
  <c r="AB86" i="9"/>
  <c r="AB59" i="9"/>
  <c r="AB49" i="9"/>
  <c r="AB69" i="9"/>
  <c r="T80" i="9"/>
  <c r="T83" i="9"/>
  <c r="T78" i="9"/>
  <c r="AB35" i="9"/>
  <c r="AB53" i="9"/>
  <c r="AB43" i="9"/>
  <c r="AB63" i="9"/>
  <c r="AB80" i="9"/>
  <c r="T86" i="9"/>
  <c r="AB38" i="9"/>
  <c r="AB16" i="9"/>
  <c r="AB21" i="9" s="1"/>
  <c r="AB17" i="9"/>
  <c r="AB22" i="9" s="1"/>
  <c r="AB20" i="9"/>
  <c r="AB44" i="9"/>
  <c r="AB54" i="9"/>
  <c r="AB81" i="9"/>
  <c r="AB64" i="9"/>
  <c r="T82" i="9"/>
  <c r="T79" i="9"/>
  <c r="T84" i="9"/>
  <c r="AB47" i="9"/>
  <c r="AB57" i="9"/>
  <c r="AB67" i="9"/>
  <c r="AB84" i="9"/>
  <c r="T85" i="9"/>
  <c r="T77" i="9"/>
  <c r="AB85" i="9" l="1"/>
  <c r="AB68" i="9"/>
  <c r="AB48" i="9"/>
  <c r="AB58" i="9"/>
  <c r="AB40" i="9"/>
  <c r="AB55" i="9"/>
  <c r="AB45" i="9"/>
  <c r="AB65" i="9"/>
  <c r="AB82" i="9"/>
  <c r="AB60" i="9" l="1"/>
  <c r="AB50" i="9"/>
  <c r="AB87" i="9"/>
  <c r="AB7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hamdan syarif</author>
  </authors>
  <commentList>
    <comment ref="H3" authorId="0" shapeId="0" xr:uid="{45A2C33A-D401-4EB2-BBE8-F3F8CECCC18E}">
      <text>
        <r>
          <rPr>
            <b/>
            <sz val="9"/>
            <color indexed="81"/>
            <rFont val="Tahoma"/>
            <family val="2"/>
          </rPr>
          <t>hamdan syarif:</t>
        </r>
        <r>
          <rPr>
            <sz val="9"/>
            <color indexed="81"/>
            <rFont val="Tahoma"/>
            <family val="2"/>
          </rPr>
          <t xml:space="preserve">
Untuk MK lama atau MK sebelumnya
</t>
        </r>
      </text>
    </comment>
  </commentList>
</comments>
</file>

<file path=xl/sharedStrings.xml><?xml version="1.0" encoding="utf-8"?>
<sst xmlns="http://schemas.openxmlformats.org/spreadsheetml/2006/main" count="1609" uniqueCount="462">
  <si>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</si>
  <si>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</si>
  <si>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</si>
  <si>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</si>
  <si>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</si>
  <si>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</si>
  <si>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</si>
  <si>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</si>
  <si>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</si>
  <si>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</si>
  <si>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</si>
  <si>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</si>
  <si>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</si>
  <si>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</si>
  <si>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</si>
  <si>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</si>
  <si>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</si>
  <si>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</si>
  <si>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</si>
  <si>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</si>
  <si>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</si>
  <si>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</si>
  <si>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</si>
  <si>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</si>
  <si>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</si>
  <si>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</si>
  <si>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</si>
  <si>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</si>
  <si>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</si>
  <si>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</si>
  <si>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KALIBRASI ANALITICAL BALANCE</t>
  </si>
  <si>
    <t xml:space="preserve">Nomor Sertifikat / Nomor Surat Keterangan :  2 /           /           -           / E - </t>
  </si>
  <si>
    <t>Merek</t>
  </si>
  <si>
    <t>:</t>
  </si>
  <si>
    <t>Model/Type</t>
  </si>
  <si>
    <t>No. Seri</t>
  </si>
  <si>
    <t>Kapasitas</t>
  </si>
  <si>
    <t>Resolusi</t>
  </si>
  <si>
    <t>Tanggal Kalibrasi</t>
  </si>
  <si>
    <t>Tempat Kalibrasi</t>
  </si>
  <si>
    <t>Nama Ruang</t>
  </si>
  <si>
    <t>Metode Kerja</t>
  </si>
  <si>
    <t>I.</t>
  </si>
  <si>
    <t xml:space="preserve"> 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</si>
  <si>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</si>
  <si>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</si>
  <si>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</si>
  <si>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</si>
  <si>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</si>
  <si>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</si>
  <si>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</si>
  <si>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</si>
  <si>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</si>
  <si>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</si>
  <si>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</si>
  <si>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/>
    </r>
  </si>
  <si>
    <t>Load Setengah Kapasitas :_____g</t>
  </si>
  <si>
    <t>Load Kapasitas Maksimal :______g</t>
  </si>
  <si>
    <t>No.</t>
  </si>
  <si>
    <t>z1 (g)</t>
  </si>
  <si>
    <t>m1 (g)</t>
  </si>
  <si>
    <t xml:space="preserve">B. Penyimpangan Penunjukan </t>
  </si>
  <si>
    <t>Massa (g)</t>
  </si>
  <si>
    <t>z1</t>
  </si>
  <si>
    <t>m1</t>
  </si>
  <si>
    <t>m2</t>
  </si>
  <si>
    <t>z2</t>
  </si>
  <si>
    <t>Penggunaan Standar (g)</t>
  </si>
  <si>
    <t>Note :</t>
  </si>
  <si>
    <t>- Jangan melakukan pengeNol-an selama pengambilan data</t>
  </si>
  <si>
    <t xml:space="preserve">C. Histerisis </t>
  </si>
  <si>
    <t>Reading No.</t>
  </si>
  <si>
    <t>m'</t>
  </si>
  <si>
    <t>Penggunaan Standar</t>
  </si>
  <si>
    <t>PAN TIMBANGAN</t>
  </si>
  <si>
    <t>D. Efek Pembebanan Tidak di Pusat Pan</t>
  </si>
  <si>
    <t>M=</t>
  </si>
  <si>
    <t>Posisi</t>
  </si>
  <si>
    <t>Indication 1</t>
  </si>
  <si>
    <t>Indication 2</t>
  </si>
  <si>
    <t>Keterangan</t>
  </si>
  <si>
    <t>Ketidakpastian pengukuran pada tingkat kepercayaan 95% dengan faktor cakupan k = 2</t>
  </si>
  <si>
    <t>IV.</t>
  </si>
  <si>
    <t>Alat ukur yang digunakan</t>
  </si>
  <si>
    <t xml:space="preserve">Anak Timbangan Standar, Merek: HÄFNER, Tipe: 8.XFHM-810, SN: 8990616 </t>
  </si>
  <si>
    <t xml:space="preserve">Anak Timbangan Standar, Merek: HÄFNER, Tipe: 9.XNHM-810, SN: 6580920 </t>
  </si>
  <si>
    <t>Thermohygrometer, Merek : KIMO, KH-210-AO SN: 14082463, 15062872, 15062874, 15062875, 15062873</t>
  </si>
  <si>
    <t>Thermohygrometer, Merek : SEKONIC, ST-50A SN : HE 21-000669, HE 21-000670</t>
  </si>
  <si>
    <t>Thermohygrometer, Merek : Greisinger , GFTB 200 SN : 34903051, 34903053, 34903046, 34904091</t>
  </si>
  <si>
    <t>Thermohygrometer, Merek : EXTECH , SD700 SN :</t>
  </si>
  <si>
    <t>A.100586 / A.100609 / A.100611 / A.100616 / A.100617 / A.100618 / A.100605</t>
  </si>
  <si>
    <t>V.</t>
  </si>
  <si>
    <t>Kesimpulan</t>
  </si>
  <si>
    <r>
      <t xml:space="preserve">Alat yang dikalibrasi dalam </t>
    </r>
    <r>
      <rPr>
        <b/>
        <sz val="11"/>
        <color theme="1"/>
        <rFont val="Arial"/>
        <family val="2"/>
      </rPr>
      <t>BATAS  / MELEBIHI</t>
    </r>
    <r>
      <rPr>
        <sz val="11"/>
        <color theme="1"/>
        <rFont val="Arial"/>
        <family val="2"/>
      </rPr>
      <t xml:space="preserve">  toleransi dan dinyatakan </t>
    </r>
    <r>
      <rPr>
        <b/>
        <sz val="11"/>
        <color theme="1"/>
        <rFont val="Arial"/>
        <family val="2"/>
      </rPr>
      <t>LAIK PAKAI / TIDAK LAIK PAKAI</t>
    </r>
  </si>
  <si>
    <t>VI.</t>
  </si>
  <si>
    <t xml:space="preserve">Petugas Kalibrasi </t>
  </si>
  <si>
    <t xml:space="preserve">- m1 = Setengah dari kapasitas </t>
  </si>
  <si>
    <t>- m' = Penambahan beban mendekati kapasitas maksimum</t>
  </si>
  <si>
    <t>- m2= Beban setelah m' diambil</t>
  </si>
  <si>
    <t>- Maksimal menggunakan 2 anak timbangan</t>
  </si>
  <si>
    <t>Tanggal</t>
  </si>
  <si>
    <t>Revisi</t>
  </si>
  <si>
    <t>Nama</t>
  </si>
  <si>
    <t>Awal</t>
  </si>
  <si>
    <t>Akhir</t>
  </si>
  <si>
    <t>Ketidak Pastian Pengukuran</t>
  </si>
  <si>
    <t>Ketidakpastian Pengukuran</t>
  </si>
  <si>
    <t>Venna</t>
  </si>
  <si>
    <t>Hasil Pengujian Kondisi Fisik dan Fungsi komponen alat</t>
  </si>
  <si>
    <t>Pemeriksaan kondisi fisik dan fungsi alat</t>
  </si>
  <si>
    <t>Hasil pengukuran kinerja timbangan analitik tertelusur ke Satuan Internasional ( SI ) melalui SNSU</t>
  </si>
  <si>
    <t>Hasil pengujian kinerja timbangan analitik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</si>
  <si>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</si>
  <si>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</si>
  <si>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GM.LHK - 004-18 / REV : 0</t>
  </si>
  <si>
    <t>GM.LHK - 004-18 / REV : 1</t>
  </si>
  <si>
    <t>Titik ukur 20,40,60,80,100,120,140,160,180,200 (g)</t>
  </si>
  <si>
    <t>Titik ukur dari 0.01 - 200 (g)</t>
  </si>
  <si>
    <t>Hamdan</t>
  </si>
  <si>
    <t>Penambahan nama ruang di input data, penyelia dan LHK</t>
  </si>
  <si>
    <t>DONE</t>
  </si>
  <si>
    <t>INPUT DATA KALIBRASI ANALITICAL BALANCE</t>
  </si>
  <si>
    <t>Tangga Penerimaan Alat</t>
  </si>
  <si>
    <t>F</t>
  </si>
  <si>
    <t>G</t>
  </si>
  <si>
    <t>Ruang Bayi</t>
  </si>
  <si>
    <t>Mean</t>
  </si>
  <si>
    <t>Pemeriksaan Kondisi Fisik dan Fungsi Alat</t>
  </si>
  <si>
    <t>Baik</t>
  </si>
  <si>
    <t>A. Daya Ulang Pembacaan</t>
  </si>
  <si>
    <t>m-z (g)</t>
  </si>
  <si>
    <t>NO.</t>
  </si>
  <si>
    <t>SD</t>
  </si>
  <si>
    <t>B. Penyimpangan Penunjukan</t>
  </si>
  <si>
    <t>Mass (g)</t>
  </si>
  <si>
    <t xml:space="preserve">Rata -rata pembacaan
</t>
  </si>
  <si>
    <t>Massa konvensional</t>
  </si>
  <si>
    <t xml:space="preserve">Koreksi
</t>
  </si>
  <si>
    <t>Koreksi maksimum (g)</t>
  </si>
  <si>
    <t>Koreksi</t>
  </si>
  <si>
    <t>Rata - rata  pembacaan m1 (g)</t>
  </si>
  <si>
    <t>Rata - rata  pembacaan m2 (g)</t>
  </si>
  <si>
    <t>Hysterisis</t>
  </si>
  <si>
    <t xml:space="preserve"> </t>
  </si>
  <si>
    <t>Position</t>
  </si>
  <si>
    <t>Rata rata pembacaan</t>
  </si>
  <si>
    <t>Perbedaan posisi</t>
  </si>
  <si>
    <t>Absolute</t>
  </si>
  <si>
    <t>Maksimum</t>
  </si>
  <si>
    <t>-</t>
  </si>
  <si>
    <t>V</t>
  </si>
  <si>
    <t>Tidak terdapat grounding</t>
  </si>
  <si>
    <t>VI</t>
  </si>
  <si>
    <t>VII</t>
  </si>
  <si>
    <t>Petugas Kalibrasi</t>
  </si>
  <si>
    <t>Muhammad Zaenuri Sugiasmoro</t>
  </si>
  <si>
    <t>VIII</t>
  </si>
  <si>
    <t>Tanggal Pembuatan Laporan</t>
  </si>
  <si>
    <t>29 Juni 1993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</si>
  <si>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</si>
  <si>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</si>
  <si>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</si>
  <si>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</si>
  <si>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</si>
  <si>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t>Divisor</t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</si>
  <si>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</si>
  <si>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</si>
  <si>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</si>
  <si>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</si>
  <si>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</si>
  <si>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</si>
  <si>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</si>
  <si>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</si>
  <si>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Pembulatan hasil</t>
  </si>
  <si>
    <t>rectangular</t>
  </si>
  <si>
    <t>Daya Ulang Pembacaan</t>
  </si>
  <si>
    <t>Instability / Drif</t>
  </si>
  <si>
    <t>Jumlah</t>
  </si>
  <si>
    <t>Ketidakpastian baku</t>
  </si>
  <si>
    <t>Derajat kebebasan effektiv. Veff</t>
  </si>
  <si>
    <t>Faktor cakupan, k, untuk TK 95%</t>
  </si>
  <si>
    <t>Ketidak pastian U = k.uc</t>
  </si>
  <si>
    <r>
      <t>U</t>
    </r>
    <r>
      <rPr>
        <b/>
        <vertAlign val="subscript"/>
        <sz val="11"/>
        <rFont val="Arial"/>
        <family val="2"/>
      </rPr>
      <t>i</t>
    </r>
  </si>
  <si>
    <r>
      <t>V</t>
    </r>
    <r>
      <rPr>
        <b/>
        <vertAlign val="subscript"/>
        <sz val="11"/>
        <rFont val="Arial"/>
        <family val="2"/>
      </rPr>
      <t>i</t>
    </r>
  </si>
  <si>
    <t>SD Maksimum</t>
  </si>
  <si>
    <t>Koreksi maksimum</t>
  </si>
  <si>
    <t>Ketidak pastian maksimum</t>
  </si>
  <si>
    <t>LOP</t>
  </si>
  <si>
    <t>HASIL KALIBRASI ANALITICAL BALANCE</t>
  </si>
  <si>
    <t>IF(N24&gt;=H26;0;SUM(I24:I26))</t>
  </si>
  <si>
    <t>CLOSE</t>
  </si>
  <si>
    <t>Standar (g)</t>
  </si>
  <si>
    <t>Pembacaan Alat (g)</t>
  </si>
  <si>
    <t>Score</t>
  </si>
  <si>
    <t xml:space="preserve">C. Hysterisis </t>
  </si>
  <si>
    <t>Standar</t>
  </si>
  <si>
    <t>Pembacaan alat m1 (g)</t>
  </si>
  <si>
    <t>Pembacaan alat m2 (g)</t>
  </si>
  <si>
    <t>Hysterisis (g)</t>
  </si>
  <si>
    <t>0 (Pusat)</t>
  </si>
  <si>
    <t>1 (Depan)</t>
  </si>
  <si>
    <t>2 (Kiri)</t>
  </si>
  <si>
    <t>3 (Belakang)</t>
  </si>
  <si>
    <t>4 (Kanan)</t>
  </si>
  <si>
    <t>≤ 5 x Resolusi</t>
  </si>
  <si>
    <t>VII.</t>
  </si>
  <si>
    <t>Paraf</t>
  </si>
  <si>
    <t>Petugas  :</t>
  </si>
  <si>
    <t>Penyelia  :</t>
  </si>
  <si>
    <t>Menyetujui,</t>
  </si>
  <si>
    <t>Kepala Instalasi Laboratorium</t>
  </si>
  <si>
    <t>Donny Martha</t>
  </si>
  <si>
    <t>Pengujian dan Kalibrasi</t>
  </si>
  <si>
    <t>Choirul Huda, S.Tr. Kes</t>
  </si>
  <si>
    <t>NIP 198008062010121001</t>
  </si>
  <si>
    <t>Halaman 2 dari 2 halaman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</si>
  <si>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</si>
  <si>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</si>
  <si>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</si>
  <si>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</si>
  <si>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</si>
  <si>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</si>
  <si>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</si>
  <si>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</si>
  <si>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</si>
  <si>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</si>
  <si>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</si>
  <si>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</si>
  <si>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</si>
  <si>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</si>
  <si>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</si>
  <si>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</si>
  <si>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</si>
  <si>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</si>
  <si>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</si>
  <si>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</si>
  <si>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</si>
  <si>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</si>
  <si>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</si>
  <si>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</si>
  <si>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</si>
  <si>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</si>
  <si>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</si>
  <si>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</si>
  <si>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</si>
  <si>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</si>
  <si>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</si>
  <si>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</si>
  <si>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</si>
  <si>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</si>
  <si>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</si>
  <si>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Rata-rata standar</t>
  </si>
  <si>
    <t>Rata-rata Terkoreksi</t>
  </si>
  <si>
    <t>STDEV</t>
  </si>
  <si>
    <t>HASIL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</si>
  <si>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</si>
  <si>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</si>
  <si>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</si>
  <si>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</si>
  <si>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</si>
  <si>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</si>
  <si>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Thermohygrolight, Merek : Sekonic, Model : ST-50A, SN : HE-21.000669</t>
  </si>
  <si>
    <t>Thermohygrolight, Merek : Sekonic, Model : ST-50A, SN : HE-21.000670</t>
  </si>
  <si>
    <t>E1</t>
  </si>
  <si>
    <t>E2</t>
  </si>
  <si>
    <t>F2</t>
  </si>
  <si>
    <t>M1-2</t>
  </si>
  <si>
    <t>M2</t>
  </si>
  <si>
    <t>M2-3</t>
  </si>
  <si>
    <t>M3</t>
  </si>
  <si>
    <t>Value</t>
  </si>
  <si>
    <t>( g )</t>
  </si>
  <si>
    <t>5 000 kg</t>
  </si>
  <si>
    <t>25 000</t>
  </si>
  <si>
    <t>80 000</t>
  </si>
  <si>
    <t>250 000</t>
  </si>
  <si>
    <t>500 000</t>
  </si>
  <si>
    <t>800 000</t>
  </si>
  <si>
    <t>1 600 000</t>
  </si>
  <si>
    <t>2 500 000</t>
  </si>
  <si>
    <t>Nominal Value (g)</t>
  </si>
  <si>
    <t>2 000 kg</t>
  </si>
  <si>
    <t>10 000</t>
  </si>
  <si>
    <t>30 000</t>
  </si>
  <si>
    <t>100 000</t>
  </si>
  <si>
    <t>200 000</t>
  </si>
  <si>
    <t>300 000</t>
  </si>
  <si>
    <t>600 000</t>
  </si>
  <si>
    <t>1 000 000</t>
  </si>
  <si>
    <t>1 000 kg</t>
  </si>
  <si>
    <t>1 .600</t>
  </si>
  <si>
    <t>5 000</t>
  </si>
  <si>
    <t>16 000</t>
  </si>
  <si>
    <t>50 000</t>
  </si>
  <si>
    <t>160 000</t>
  </si>
  <si>
    <t>500 kg</t>
  </si>
  <si>
    <t>2 500</t>
  </si>
  <si>
    <t>8 000</t>
  </si>
  <si>
    <t>200 kg</t>
  </si>
  <si>
    <t>1 000</t>
  </si>
  <si>
    <t>3 000</t>
  </si>
  <si>
    <t>20 000</t>
  </si>
  <si>
    <t>60 000</t>
  </si>
  <si>
    <t>100 kl</t>
  </si>
  <si>
    <t>1 600</t>
  </si>
  <si>
    <t>50 kg</t>
  </si>
  <si>
    <t>20 kg</t>
  </si>
  <si>
    <t>10 kg</t>
  </si>
  <si>
    <t>5 kg</t>
  </si>
  <si>
    <t>2 kg</t>
  </si>
  <si>
    <t>1 kg</t>
  </si>
  <si>
    <t>1 g</t>
  </si>
  <si>
    <t>5 mg</t>
  </si>
  <si>
    <t>2 mg</t>
  </si>
  <si>
    <t>1 mg</t>
  </si>
  <si>
    <t>Input (g)</t>
  </si>
  <si>
    <t>MPE</t>
  </si>
  <si>
    <t xml:space="preserve">Anak Timbangan Standar, Merek: HÄFNER, Tipe: 8.XFHM-810, SN : 8990616  </t>
  </si>
  <si>
    <t>Perhitungan</t>
  </si>
  <si>
    <t>MK</t>
  </si>
  <si>
    <t>Drift</t>
  </si>
  <si>
    <t>NO</t>
  </si>
  <si>
    <t>Massa</t>
  </si>
  <si>
    <t>Titik Ukur</t>
  </si>
  <si>
    <t>Anak Timbangan Standar, Merek: HÄFNER, 8.XFHM-810</t>
  </si>
  <si>
    <t>Alat</t>
  </si>
  <si>
    <t>No. Urut</t>
  </si>
  <si>
    <t xml:space="preserve">Anak Timbangan Standar, Merek: HÄFNER, Tipe: </t>
  </si>
  <si>
    <t>Input</t>
  </si>
  <si>
    <t>Tidak Baik</t>
  </si>
  <si>
    <t xml:space="preserve">Nomor Sertifikat : 2 / </t>
  </si>
  <si>
    <t xml:space="preserve">Nomor Surat Keterangan : 2 / M - </t>
  </si>
  <si>
    <t>Arus bocor peralatan untuk peralatan elektromedik kelas I</t>
  </si>
  <si>
    <t>Arus bocor peralatan untuk peralatan elektromedik kelas II</t>
  </si>
  <si>
    <t>Hasil pengujian kinerja timbangan bayi tertelusur ke Satuan Internasional ( SI ) melalui MASSCAL - Jerman</t>
  </si>
  <si>
    <t>Alat yang dikalibrasi melebihi batas toleransi dan dinyatakan TIDAK LAIK PAKAI, dimana hasil pengujian kinerja LOP lebih dari 5 kali resolusi berdasarkan Keputusan Direktur Jenderal Pelayanan Kesehatan No : HK.02.02/V/0412/2020</t>
  </si>
  <si>
    <t>Choirul Huda</t>
  </si>
  <si>
    <t>Fatimah Novrianisa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</si>
  <si>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</si>
  <si>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</si>
  <si>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</si>
  <si>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</si>
  <si>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</si>
  <si>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</si>
  <si>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</si>
  <si>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Rangga Setya Hantoko</t>
  </si>
  <si>
    <t>Septia Khairunnisa</t>
  </si>
  <si>
    <t>Taufik Priawan</t>
  </si>
  <si>
    <t>Venna Filosofia</t>
  </si>
  <si>
    <t>Wardimanul Abrar</t>
  </si>
  <si>
    <t>adaad</t>
  </si>
  <si>
    <t>SERTIFIKAT KALIBRASI</t>
  </si>
  <si>
    <t>Nama Alat            :</t>
  </si>
  <si>
    <t>Nomor Order                        :</t>
  </si>
  <si>
    <t>Model / Tipe</t>
  </si>
  <si>
    <t>Nomor Seri</t>
  </si>
  <si>
    <t>Nama Pemilik      :</t>
  </si>
  <si>
    <t xml:space="preserve">Identitas Pemilik     : </t>
  </si>
  <si>
    <t>Alamat Pemilik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</si>
  <si>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</si>
  <si>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</si>
  <si>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</si>
  <si>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</si>
  <si>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</si>
  <si>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</si>
  <si>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</si>
  <si>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</si>
  <si>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</si>
  <si>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</si>
  <si>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</si>
  <si>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</si>
  <si>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</si>
  <si>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</si>
  <si>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</si>
  <si>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</si>
  <si>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</si>
  <si>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</si>
  <si>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</si>
  <si>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</si>
  <si>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</si>
  <si>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</si>
  <si>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</si>
  <si>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</si>
  <si>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</si>
  <si>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</si>
  <si>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1 / VIII - 20 / E - 011.120 DL</t>
  </si>
  <si>
    <t>a</t>
  </si>
  <si>
    <t>b</t>
  </si>
  <si>
    <t>GM.004-18</t>
  </si>
  <si>
    <t>Penambahan sertifikat balat baru dan penyesuaian dengan aplikasi</t>
  </si>
  <si>
    <t>Done</t>
  </si>
  <si>
    <t>MK.004-18</t>
  </si>
  <si>
    <t>MK 2022</t>
  </si>
  <si>
    <t>19 Desember 2022</t>
  </si>
  <si>
    <t>Update Sertifikat anak timbangan</t>
  </si>
  <si>
    <t xml:space="preserve">Done </t>
  </si>
  <si>
    <t>20.12.2022</t>
  </si>
  <si>
    <t xml:space="preserve">- Pada pengujian kinerja, timbangan bayi
- format Suhu kelembaban LHK terpisah
</t>
  </si>
  <si>
    <t>-Pada pengujian kinerja, timbangan analitik
-digabung
-update data alat LK</t>
  </si>
  <si>
    <t>LOP Ketidakpastian maks</t>
  </si>
  <si>
    <t>LOP Ketidakpastian Cmax</t>
  </si>
  <si>
    <t>E. Evaluasi Kinerja Timbangan Analitik Berdasarkan LOP</t>
  </si>
  <si>
    <t>Farid Wajidi, SKM</t>
  </si>
  <si>
    <t>NIP 196712101990031012</t>
  </si>
  <si>
    <t>Anak Timbangan Standar, Merek: HÄFNER, Tipe: 8.XFHM-810, SN: 6180321</t>
  </si>
  <si>
    <t>Azhar Alamsyah</t>
  </si>
  <si>
    <t>Dewi Nofitasari</t>
  </si>
  <si>
    <t>Muhammad Alpian Hadi</t>
  </si>
  <si>
    <t>Muhammad Ihsan Ilyas</t>
  </si>
  <si>
    <t>Ryan Rama Chaesar R</t>
  </si>
  <si>
    <t>Sholihatussa'diah</t>
  </si>
  <si>
    <t>Siti Fathul Jannah</t>
  </si>
  <si>
    <t>Vikki Akhsanudin Nurkholis</t>
  </si>
  <si>
    <t>Yurdha Algifari</t>
  </si>
  <si>
    <t>Rev 7 : 20.12.2022</t>
  </si>
  <si>
    <t>ANALITICAL BALANCE</t>
  </si>
  <si>
    <t xml:space="preserve">± </t>
  </si>
  <si>
    <t>Koreksi Max</t>
  </si>
  <si>
    <t>Ketidakpastian</t>
  </si>
  <si>
    <t>Simpangan Baku (g)</t>
  </si>
  <si>
    <t>Ketidakpastian Pengukuran (g)</t>
  </si>
  <si>
    <t>Koreksi (g)</t>
  </si>
  <si>
    <t>Koreksi Maksimum (g)</t>
  </si>
  <si>
    <t>Ketidakpastian Maksimum (g)</t>
  </si>
  <si>
    <t>LOP (g)</t>
  </si>
  <si>
    <t>Toleransi (g)</t>
  </si>
  <si>
    <t>Load :</t>
  </si>
  <si>
    <t>LAIK DAN TIDAK LAIK</t>
  </si>
  <si>
    <t xml:space="preserve">Interpolasi </t>
  </si>
  <si>
    <t>Forecast</t>
  </si>
  <si>
    <t>.Linier</t>
  </si>
  <si>
    <t>Forecast.interpolasi linier</t>
  </si>
  <si>
    <t>20 mg</t>
  </si>
  <si>
    <t>massa</t>
  </si>
  <si>
    <t>no</t>
  </si>
  <si>
    <t>0.002 *</t>
  </si>
  <si>
    <t>0.02 *</t>
  </si>
  <si>
    <t>0.2 *</t>
  </si>
  <si>
    <t>2 *</t>
  </si>
  <si>
    <t>20 *</t>
  </si>
  <si>
    <t>200 *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</si>
  <si>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</si>
  <si>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</si>
  <si>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</si>
  <si>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</si>
  <si>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Anak Timbangan Standar, Merek : HÄFNER, Tipe : 9.XNHM-810, SN : 6580920</t>
  </si>
  <si>
    <t>Anak Timbangan Standar, Merek : HÄFNER, Tipe : 8.XFHM-810, SN : 8990616</t>
  </si>
  <si>
    <t>Anak Timbangan Standar, Merek : HÄFNER, Tipe : 8.XFHM-810, SN : 6180321</t>
  </si>
  <si>
    <t>Thermohygrolight, Merek : KIMO, Model : KH-210-AO, SN : 15062463</t>
  </si>
  <si>
    <t>INTERPOLASI KOREKSI SUHU</t>
  </si>
  <si>
    <t>INTERPOLASI KOREKSI KELEMBABAN</t>
  </si>
  <si>
    <t>Thermohygrobarometer, Merek : Greisinger, Model : GFTB 200, SN : 34903046</t>
  </si>
  <si>
    <t>Thermohygrobarometer, Merek : Greisinger, Model : GFTB 200, SN : 34903053</t>
  </si>
  <si>
    <t>Thermohygrobarometer, Merek : Greisinger, Model : GFTB 200, SN : 34903051</t>
  </si>
  <si>
    <t>Thermohygrobarometer, Merek : Greisinger, Model : GFTB 200, SN : 34904091</t>
  </si>
  <si>
    <t>Thermohygrobarometer, Merek : EXTECH, Model : SD700, SN : A.100611</t>
  </si>
  <si>
    <t>Thermohygrobarometer, Merek : EXTECH, Model : SD700, SN : A.100609</t>
  </si>
  <si>
    <t>Thermohygrobarometer, Merek : EXTECH, Model : SD700, SN : A.100605</t>
  </si>
  <si>
    <t>Thermohygrobarometer, Merek : EXTECH, Model : SD700, SN : A.100617</t>
  </si>
  <si>
    <t>Thermohygrobarometer, Merek : EXTECH, Model : SD700, SN : A.100616</t>
  </si>
  <si>
    <t>Thermohygrobarometer, Merek : EXTECH, Model : SD700, SN : A.100618</t>
  </si>
  <si>
    <t>Thermohygrobarometer, Merek : EXTECH, Model : SD700, SN : A.100586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</si>
</sst>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0.0000000"/>
    <numFmt numFmtId="171" formatCode="0.00000000"/>
    <numFmt numFmtId="172" formatCode="0.000000000"/>
    <numFmt numFmtId="173" formatCode="&quot;:&quot;\ 0.0"/>
    <numFmt numFmtId="174" formatCode="&quot;m       =&quot;\ 0.00"/>
    <numFmt numFmtId="175" formatCode="&quot;m   =&quot;\ 0.00"/>
    <numFmt numFmtId="176" formatCode="&quot;Load  :&quot;\ \ 0.00\ &quot;g&quot;"/>
    <numFmt numFmtId="177" formatCode="0\ &quot;%&quot;"/>
    <numFmt numFmtId="178" formatCode="0.0\ &quot;%&quot;"/>
    <numFmt numFmtId="179" formatCode="0\ &quot;g&quot;"/>
    <numFmt numFmtId="180" formatCode="[$-421]dd\ mmmm\ yyyy;@"/>
    <numFmt numFmtId="181" formatCode="\±\ 0.000000"/>
  </numFmts>
  <fonts count="6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9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b/>
      <sz val="14"/>
      <name val="Times New Roman"/>
      <family val="1"/>
    </font>
    <font>
      <b/>
      <sz val="12"/>
      <name val="Calibri"/>
      <family val="2"/>
      <scheme val="minor"/>
    </font>
    <font>
      <b/>
      <vertAlign val="subscript"/>
      <sz val="1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28"/>
      <color theme="1"/>
      <name val="Arial"/>
      <family val="2"/>
    </font>
    <font>
      <sz val="2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0" tint="-0.34998626667073579"/>
      <name val="Calibri"/>
      <family val="2"/>
      <charset val="1"/>
      <scheme val="minor"/>
    </font>
    <font>
      <b/>
      <u/>
      <sz val="24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Arial"/>
      <family val="2"/>
    </font>
    <font>
      <b/>
      <sz val="18"/>
      <color theme="1"/>
      <name val="Arial"/>
      <family val="2"/>
    </font>
    <font>
      <sz val="11"/>
      <color theme="0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u/>
      <sz val="11"/>
      <name val="Arial"/>
      <family val="2"/>
    </font>
    <font>
      <sz val="10"/>
      <name val="Calibri"/>
      <family val="2"/>
      <scheme val="minor"/>
    </font>
    <font>
      <sz val="12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79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/>
    <xf numFmtId="0" fontId="6" fillId="0" borderId="0" xfId="0" applyFont="1"/>
    <xf numFmtId="0" fontId="0" fillId="0" borderId="0" xfId="0" applyAlignment="1">
      <alignment horizontal="right"/>
    </xf>
    <xf numFmtId="165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1" fontId="0" fillId="0" borderId="1" xfId="0" applyNumberFormat="1" applyBorder="1"/>
    <xf numFmtId="0" fontId="0" fillId="0" borderId="9" xfId="0" applyBorder="1"/>
    <xf numFmtId="0" fontId="13" fillId="0" borderId="0" xfId="0" applyFont="1"/>
    <xf numFmtId="0" fontId="14" fillId="0" borderId="0" xfId="0" applyFont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3" fillId="0" borderId="1" xfId="0" applyNumberFormat="1" applyFont="1" applyBorder="1" applyAlignment="1">
      <alignment horizontal="center"/>
    </xf>
    <xf numFmtId="170" fontId="13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8" fontId="13" fillId="0" borderId="0" xfId="0" applyNumberFormat="1" applyFont="1"/>
    <xf numFmtId="166" fontId="13" fillId="0" borderId="0" xfId="0" applyNumberFormat="1" applyFont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0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7" xfId="0" applyFont="1" applyBorder="1"/>
    <xf numFmtId="166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16" xfId="0" applyFont="1" applyBorder="1"/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8" fontId="3" fillId="0" borderId="0" xfId="0" applyNumberFormat="1" applyFont="1"/>
    <xf numFmtId="166" fontId="3" fillId="0" borderId="0" xfId="0" applyNumberFormat="1" applyFont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4" fontId="3" fillId="0" borderId="0" xfId="0" applyNumberFormat="1" applyFont="1"/>
    <xf numFmtId="16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4" fillId="0" borderId="0" xfId="0" applyFont="1" applyAlignment="1">
      <alignment horizontal="center" vertical="center"/>
    </xf>
    <xf numFmtId="0" fontId="5" fillId="0" borderId="0" xfId="0" applyFont="1" applyAlignment="1" applyProtection="1">
      <alignment vertical="center"/>
      <protection locked="0"/>
    </xf>
    <xf numFmtId="165" fontId="0" fillId="0" borderId="0" xfId="0" applyNumberFormat="1"/>
    <xf numFmtId="0" fontId="0" fillId="8" borderId="1" xfId="0" applyFill="1" applyBorder="1"/>
    <xf numFmtId="165" fontId="0" fillId="8" borderId="1" xfId="0" applyNumberFormat="1" applyFill="1" applyBorder="1"/>
    <xf numFmtId="0" fontId="18" fillId="3" borderId="0" xfId="0" applyFont="1" applyFill="1" applyAlignment="1">
      <alignment vertical="center"/>
    </xf>
    <xf numFmtId="0" fontId="26" fillId="0" borderId="0" xfId="0" applyFont="1" applyAlignment="1">
      <alignment horizontal="right" vertical="center"/>
    </xf>
    <xf numFmtId="164" fontId="26" fillId="0" borderId="0" xfId="0" quotePrefix="1" applyNumberFormat="1" applyFont="1"/>
    <xf numFmtId="0" fontId="26" fillId="0" borderId="0" xfId="0" applyFont="1" applyAlignment="1">
      <alignment horizontal="center" vertical="center"/>
    </xf>
    <xf numFmtId="0" fontId="3" fillId="0" borderId="1" xfId="0" applyFont="1" applyBorder="1"/>
    <xf numFmtId="0" fontId="2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3" fillId="0" borderId="0" xfId="0" applyFont="1" applyAlignment="1">
      <alignment vertical="center"/>
    </xf>
    <xf numFmtId="0" fontId="22" fillId="2" borderId="0" xfId="0" applyFont="1" applyFill="1" applyAlignment="1" applyProtection="1">
      <alignment vertical="top"/>
      <protection hidden="1"/>
    </xf>
    <xf numFmtId="0" fontId="3" fillId="3" borderId="0" xfId="0" applyFont="1" applyFill="1"/>
    <xf numFmtId="170" fontId="14" fillId="0" borderId="1" xfId="0" applyNumberFormat="1" applyFont="1" applyBorder="1" applyAlignment="1">
      <alignment horizontal="center"/>
    </xf>
    <xf numFmtId="0" fontId="22" fillId="3" borderId="0" xfId="0" applyFont="1" applyFill="1" applyAlignment="1" applyProtection="1">
      <alignment horizontal="center" vertical="center"/>
      <protection locked="0"/>
    </xf>
    <xf numFmtId="169" fontId="22" fillId="3" borderId="0" xfId="0" applyNumberFormat="1" applyFont="1" applyFill="1" applyAlignment="1" applyProtection="1">
      <alignment horizontal="center" vertical="center"/>
      <protection locked="0"/>
    </xf>
    <xf numFmtId="0" fontId="20" fillId="0" borderId="0" xfId="0" applyFont="1" applyAlignment="1">
      <alignment vertical="center"/>
    </xf>
    <xf numFmtId="0" fontId="22" fillId="3" borderId="0" xfId="0" applyFont="1" applyFill="1" applyAlignment="1" applyProtection="1">
      <alignment horizontal="left" vertical="center"/>
      <protection locked="0"/>
    </xf>
    <xf numFmtId="164" fontId="22" fillId="3" borderId="0" xfId="0" applyNumberFormat="1" applyFont="1" applyFill="1" applyAlignment="1" applyProtection="1">
      <alignment horizontal="left" vertical="center"/>
      <protection locked="0"/>
    </xf>
    <xf numFmtId="164" fontId="22" fillId="3" borderId="0" xfId="0" applyNumberFormat="1" applyFont="1" applyFill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vertical="center"/>
      <protection locked="0"/>
    </xf>
    <xf numFmtId="0" fontId="18" fillId="3" borderId="0" xfId="0" applyFont="1" applyFill="1" applyAlignment="1" applyProtection="1">
      <alignment horizontal="center" vertical="center"/>
      <protection locked="0"/>
    </xf>
    <xf numFmtId="0" fontId="38" fillId="3" borderId="0" xfId="1" applyFont="1" applyFill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2" fillId="3" borderId="0" xfId="1" applyFont="1" applyFill="1" applyAlignment="1" applyProtection="1">
      <alignment vertical="center"/>
      <protection locked="0"/>
    </xf>
    <xf numFmtId="0" fontId="21" fillId="3" borderId="0" xfId="1" applyFont="1" applyFill="1" applyAlignment="1" applyProtection="1">
      <alignment vertical="center"/>
      <protection locked="0"/>
    </xf>
    <xf numFmtId="165" fontId="14" fillId="0" borderId="11" xfId="0" applyNumberFormat="1" applyFont="1" applyBorder="1"/>
    <xf numFmtId="165" fontId="14" fillId="0" borderId="0" xfId="0" applyNumberFormat="1" applyFont="1"/>
    <xf numFmtId="165" fontId="14" fillId="0" borderId="16" xfId="0" applyNumberFormat="1" applyFont="1" applyBorder="1"/>
    <xf numFmtId="170" fontId="0" fillId="0" borderId="1" xfId="0" applyNumberFormat="1" applyBorder="1"/>
    <xf numFmtId="0" fontId="22" fillId="5" borderId="0" xfId="0" applyFont="1" applyFill="1"/>
    <xf numFmtId="0" fontId="21" fillId="5" borderId="1" xfId="0" applyFont="1" applyFill="1" applyBorder="1" applyAlignment="1">
      <alignment horizontal="center"/>
    </xf>
    <xf numFmtId="170" fontId="22" fillId="5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1" fillId="5" borderId="0" xfId="0" applyFont="1" applyFill="1"/>
    <xf numFmtId="0" fontId="0" fillId="14" borderId="1" xfId="0" applyFill="1" applyBorder="1"/>
    <xf numFmtId="164" fontId="0" fillId="14" borderId="1" xfId="0" applyNumberFormat="1" applyFill="1" applyBorder="1"/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/>
    <xf numFmtId="167" fontId="0" fillId="0" borderId="0" xfId="0" applyNumberFormat="1" applyAlignment="1">
      <alignment horizontal="center"/>
    </xf>
    <xf numFmtId="165" fontId="0" fillId="17" borderId="1" xfId="0" applyNumberFormat="1" applyFill="1" applyBorder="1"/>
    <xf numFmtId="165" fontId="0" fillId="17" borderId="1" xfId="0" applyNumberFormat="1" applyFill="1" applyBorder="1" applyAlignment="1">
      <alignment horizontal="center"/>
    </xf>
    <xf numFmtId="0" fontId="0" fillId="17" borderId="1" xfId="0" applyFill="1" applyBorder="1"/>
    <xf numFmtId="165" fontId="0" fillId="17" borderId="0" xfId="0" applyNumberFormat="1" applyFill="1"/>
    <xf numFmtId="167" fontId="14" fillId="0" borderId="1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>
      <alignment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169" fontId="0" fillId="12" borderId="1" xfId="0" applyNumberForma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72" fontId="41" fillId="3" borderId="9" xfId="0" applyNumberFormat="1" applyFont="1" applyFill="1" applyBorder="1" applyAlignment="1">
      <alignment horizontal="center"/>
    </xf>
    <xf numFmtId="172" fontId="41" fillId="3" borderId="1" xfId="0" applyNumberFormat="1" applyFont="1" applyFill="1" applyBorder="1" applyAlignment="1">
      <alignment horizontal="center"/>
    </xf>
    <xf numFmtId="0" fontId="2" fillId="0" borderId="0" xfId="0" applyFont="1"/>
    <xf numFmtId="165" fontId="0" fillId="18" borderId="0" xfId="0" applyNumberFormat="1" applyFill="1"/>
    <xf numFmtId="165" fontId="0" fillId="18" borderId="1" xfId="0" applyNumberFormat="1" applyFill="1" applyBorder="1"/>
    <xf numFmtId="0" fontId="0" fillId="12" borderId="0" xfId="0" applyFill="1"/>
    <xf numFmtId="0" fontId="0" fillId="14" borderId="0" xfId="0" applyFill="1"/>
    <xf numFmtId="0" fontId="2" fillId="0" borderId="11" xfId="0" applyFont="1" applyBorder="1" applyAlignment="1">
      <alignment vertical="center"/>
    </xf>
    <xf numFmtId="0" fontId="12" fillId="0" borderId="0" xfId="3" applyFont="1"/>
    <xf numFmtId="0" fontId="11" fillId="0" borderId="0" xfId="3"/>
    <xf numFmtId="0" fontId="11" fillId="0" borderId="40" xfId="3" applyBorder="1"/>
    <xf numFmtId="0" fontId="8" fillId="10" borderId="1" xfId="3" applyFont="1" applyFill="1" applyBorder="1" applyAlignment="1">
      <alignment horizontal="center" vertical="center"/>
    </xf>
    <xf numFmtId="169" fontId="8" fillId="11" borderId="1" xfId="3" applyNumberFormat="1" applyFont="1" applyFill="1" applyBorder="1" applyAlignment="1">
      <alignment horizontal="center" vertical="center"/>
    </xf>
    <xf numFmtId="0" fontId="35" fillId="11" borderId="1" xfId="3" applyFont="1" applyFill="1" applyBorder="1" applyAlignment="1">
      <alignment horizontal="center" vertical="center"/>
    </xf>
    <xf numFmtId="0" fontId="35" fillId="10" borderId="1" xfId="3" applyFont="1" applyFill="1" applyBorder="1" applyAlignment="1">
      <alignment horizontal="center" vertical="center"/>
    </xf>
    <xf numFmtId="0" fontId="11" fillId="0" borderId="1" xfId="3" applyBorder="1"/>
    <xf numFmtId="169" fontId="11" fillId="11" borderId="1" xfId="3" applyNumberFormat="1" applyFill="1" applyBorder="1" applyAlignment="1">
      <alignment horizontal="center" vertical="center"/>
    </xf>
    <xf numFmtId="2" fontId="11" fillId="10" borderId="1" xfId="3" applyNumberFormat="1" applyFill="1" applyBorder="1" applyAlignment="1">
      <alignment horizontal="center"/>
    </xf>
    <xf numFmtId="0" fontId="11" fillId="0" borderId="42" xfId="3" applyBorder="1"/>
    <xf numFmtId="169" fontId="11" fillId="11" borderId="1" xfId="3" applyNumberFormat="1" applyFill="1" applyBorder="1" applyAlignment="1">
      <alignment horizontal="center"/>
    </xf>
    <xf numFmtId="0" fontId="11" fillId="11" borderId="1" xfId="3" quotePrefix="1" applyFill="1" applyBorder="1" applyAlignment="1">
      <alignment horizontal="center"/>
    </xf>
    <xf numFmtId="0" fontId="11" fillId="0" borderId="6" xfId="3" applyBorder="1"/>
    <xf numFmtId="0" fontId="11" fillId="0" borderId="41" xfId="3" applyBorder="1"/>
    <xf numFmtId="0" fontId="11" fillId="0" borderId="24" xfId="3" applyBorder="1"/>
    <xf numFmtId="0" fontId="8" fillId="11" borderId="1" xfId="3" applyFont="1" applyFill="1" applyBorder="1" applyAlignment="1">
      <alignment horizontal="center" vertical="center"/>
    </xf>
    <xf numFmtId="169" fontId="11" fillId="11" borderId="1" xfId="3" quotePrefix="1" applyNumberFormat="1" applyFill="1" applyBorder="1" applyAlignment="1">
      <alignment horizontal="center"/>
    </xf>
    <xf numFmtId="0" fontId="11" fillId="11" borderId="0" xfId="3" applyFill="1" applyAlignment="1">
      <alignment horizontal="center"/>
    </xf>
    <xf numFmtId="0" fontId="8" fillId="10" borderId="20" xfId="3" applyFont="1" applyFill="1" applyBorder="1" applyAlignment="1">
      <alignment horizontal="center" vertical="center"/>
    </xf>
    <xf numFmtId="0" fontId="8" fillId="11" borderId="21" xfId="3" applyFont="1" applyFill="1" applyBorder="1" applyAlignment="1">
      <alignment horizontal="center" vertical="center"/>
    </xf>
    <xf numFmtId="0" fontId="35" fillId="11" borderId="55" xfId="3" applyFont="1" applyFill="1" applyBorder="1" applyAlignment="1">
      <alignment horizontal="center" vertical="center"/>
    </xf>
    <xf numFmtId="0" fontId="35" fillId="10" borderId="55" xfId="3" applyFont="1" applyFill="1" applyBorder="1" applyAlignment="1">
      <alignment horizontal="center" vertical="center"/>
    </xf>
    <xf numFmtId="0" fontId="8" fillId="10" borderId="28" xfId="3" applyFont="1" applyFill="1" applyBorder="1" applyAlignment="1">
      <alignment horizontal="center" vertical="center"/>
    </xf>
    <xf numFmtId="0" fontId="8" fillId="11" borderId="29" xfId="3" applyFont="1" applyFill="1" applyBorder="1" applyAlignment="1">
      <alignment horizontal="center" vertical="center"/>
    </xf>
    <xf numFmtId="169" fontId="11" fillId="11" borderId="43" xfId="3" applyNumberFormat="1" applyFill="1" applyBorder="1" applyAlignment="1">
      <alignment horizontal="center" vertical="center"/>
    </xf>
    <xf numFmtId="169" fontId="11" fillId="11" borderId="3" xfId="3" applyNumberFormat="1" applyFill="1" applyBorder="1" applyAlignment="1">
      <alignment horizontal="center" vertical="center"/>
    </xf>
    <xf numFmtId="2" fontId="11" fillId="10" borderId="54" xfId="3" applyNumberFormat="1" applyFill="1" applyBorder="1" applyAlignment="1">
      <alignment horizontal="center"/>
    </xf>
    <xf numFmtId="169" fontId="11" fillId="11" borderId="25" xfId="3" applyNumberFormat="1" applyFill="1" applyBorder="1" applyAlignment="1">
      <alignment horizontal="center" vertical="center"/>
    </xf>
    <xf numFmtId="2" fontId="11" fillId="10" borderId="27" xfId="3" applyNumberFormat="1" applyFill="1" applyBorder="1" applyAlignment="1">
      <alignment horizontal="center"/>
    </xf>
    <xf numFmtId="169" fontId="11" fillId="11" borderId="39" xfId="3" applyNumberFormat="1" applyFill="1" applyBorder="1" applyAlignment="1">
      <alignment horizontal="center"/>
    </xf>
    <xf numFmtId="169" fontId="11" fillId="11" borderId="52" xfId="3" applyNumberFormat="1" applyFill="1" applyBorder="1" applyAlignment="1">
      <alignment horizontal="center"/>
    </xf>
    <xf numFmtId="169" fontId="11" fillId="11" borderId="30" xfId="3" applyNumberFormat="1" applyFill="1" applyBorder="1" applyAlignment="1">
      <alignment horizontal="center"/>
    </xf>
    <xf numFmtId="2" fontId="11" fillId="10" borderId="29" xfId="3" applyNumberFormat="1" applyFill="1" applyBorder="1" applyAlignment="1">
      <alignment horizontal="center"/>
    </xf>
    <xf numFmtId="0" fontId="11" fillId="0" borderId="51" xfId="3" applyBorder="1"/>
    <xf numFmtId="0" fontId="11" fillId="11" borderId="30" xfId="3" quotePrefix="1" applyFill="1" applyBorder="1" applyAlignment="1">
      <alignment horizontal="center"/>
    </xf>
    <xf numFmtId="0" fontId="11" fillId="3" borderId="24" xfId="3" applyFill="1" applyBorder="1" applyAlignment="1">
      <alignment horizontal="center" vertical="center"/>
    </xf>
    <xf numFmtId="169" fontId="11" fillId="3" borderId="0" xfId="3" applyNumberFormat="1" applyFill="1" applyAlignment="1">
      <alignment horizontal="center"/>
    </xf>
    <xf numFmtId="0" fontId="11" fillId="3" borderId="0" xfId="3" quotePrefix="1" applyFill="1" applyAlignment="1">
      <alignment horizontal="center"/>
    </xf>
    <xf numFmtId="166" fontId="11" fillId="3" borderId="0" xfId="3" applyNumberFormat="1" applyFill="1" applyAlignment="1">
      <alignment horizontal="center"/>
    </xf>
    <xf numFmtId="0" fontId="11" fillId="3" borderId="0" xfId="3" applyFill="1"/>
    <xf numFmtId="169" fontId="8" fillId="11" borderId="29" xfId="3" applyNumberFormat="1" applyFont="1" applyFill="1" applyBorder="1" applyAlignment="1">
      <alignment horizontal="center" vertical="center"/>
    </xf>
    <xf numFmtId="169" fontId="8" fillId="11" borderId="21" xfId="3" applyNumberFormat="1" applyFont="1" applyFill="1" applyBorder="1" applyAlignment="1">
      <alignment horizontal="center" vertical="center"/>
    </xf>
    <xf numFmtId="1" fontId="11" fillId="11" borderId="43" xfId="3" applyNumberFormat="1" applyFill="1" applyBorder="1" applyAlignment="1">
      <alignment horizontal="center" vertical="center"/>
    </xf>
    <xf numFmtId="1" fontId="11" fillId="11" borderId="25" xfId="3" applyNumberFormat="1" applyFill="1" applyBorder="1" applyAlignment="1">
      <alignment horizontal="center" vertical="center"/>
    </xf>
    <xf numFmtId="1" fontId="11" fillId="11" borderId="39" xfId="3" applyNumberFormat="1" applyFill="1" applyBorder="1" applyAlignment="1">
      <alignment horizontal="center"/>
    </xf>
    <xf numFmtId="1" fontId="11" fillId="11" borderId="52" xfId="3" applyNumberFormat="1" applyFill="1" applyBorder="1" applyAlignment="1">
      <alignment horizontal="center"/>
    </xf>
    <xf numFmtId="2" fontId="11" fillId="3" borderId="0" xfId="3" applyNumberFormat="1" applyFill="1" applyAlignment="1">
      <alignment horizontal="center"/>
    </xf>
    <xf numFmtId="0" fontId="35" fillId="11" borderId="55" xfId="3" quotePrefix="1" applyFont="1" applyFill="1" applyBorder="1" applyAlignment="1">
      <alignment horizontal="center" vertical="center"/>
    </xf>
    <xf numFmtId="166" fontId="11" fillId="11" borderId="3" xfId="3" applyNumberFormat="1" applyFill="1" applyBorder="1" applyAlignment="1">
      <alignment horizontal="center" vertical="center"/>
    </xf>
    <xf numFmtId="166" fontId="11" fillId="11" borderId="1" xfId="3" applyNumberFormat="1" applyFill="1" applyBorder="1" applyAlignment="1">
      <alignment horizontal="center" vertical="center"/>
    </xf>
    <xf numFmtId="169" fontId="11" fillId="11" borderId="38" xfId="3" applyNumberFormat="1" applyFill="1" applyBorder="1" applyAlignment="1">
      <alignment horizontal="center" vertical="center"/>
    </xf>
    <xf numFmtId="169" fontId="11" fillId="11" borderId="52" xfId="3" applyNumberFormat="1" applyFill="1" applyBorder="1" applyAlignment="1">
      <alignment horizontal="center" vertical="center"/>
    </xf>
    <xf numFmtId="0" fontId="12" fillId="13" borderId="51" xfId="3" applyFont="1" applyFill="1" applyBorder="1"/>
    <xf numFmtId="0" fontId="12" fillId="13" borderId="6" xfId="3" applyFont="1" applyFill="1" applyBorder="1"/>
    <xf numFmtId="0" fontId="12" fillId="13" borderId="41" xfId="3" applyFont="1" applyFill="1" applyBorder="1"/>
    <xf numFmtId="0" fontId="29" fillId="3" borderId="40" xfId="4" applyFont="1" applyFill="1" applyBorder="1" applyAlignment="1">
      <alignment vertical="center"/>
    </xf>
    <xf numFmtId="0" fontId="29" fillId="3" borderId="40" xfId="4" applyFont="1" applyFill="1" applyBorder="1" applyAlignment="1">
      <alignment horizontal="center" vertical="center"/>
    </xf>
    <xf numFmtId="0" fontId="31" fillId="10" borderId="1" xfId="3" applyFont="1" applyFill="1" applyBorder="1" applyAlignment="1">
      <alignment horizontal="center" vertical="center"/>
    </xf>
    <xf numFmtId="0" fontId="30" fillId="10" borderId="1" xfId="4" applyFont="1" applyFill="1" applyBorder="1" applyAlignment="1">
      <alignment horizontal="center" vertical="center"/>
    </xf>
    <xf numFmtId="0" fontId="12" fillId="12" borderId="1" xfId="3" applyFont="1" applyFill="1" applyBorder="1" applyAlignment="1">
      <alignment horizontal="center" vertical="center"/>
    </xf>
    <xf numFmtId="169" fontId="28" fillId="12" borderId="5" xfId="3" applyNumberFormat="1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center" vertical="center"/>
    </xf>
    <xf numFmtId="2" fontId="12" fillId="10" borderId="1" xfId="3" applyNumberFormat="1" applyFont="1" applyFill="1" applyBorder="1" applyAlignment="1">
      <alignment horizontal="center" vertical="center"/>
    </xf>
    <xf numFmtId="0" fontId="12" fillId="12" borderId="1" xfId="3" applyFont="1" applyFill="1" applyBorder="1" applyAlignment="1">
      <alignment horizontal="center"/>
    </xf>
    <xf numFmtId="0" fontId="28" fillId="12" borderId="5" xfId="3" applyFont="1" applyFill="1" applyBorder="1" applyAlignment="1">
      <alignment horizontal="center" vertical="center"/>
    </xf>
    <xf numFmtId="0" fontId="28" fillId="12" borderId="5" xfId="3" applyFont="1" applyFill="1" applyBorder="1" applyAlignment="1">
      <alignment horizontal="center"/>
    </xf>
    <xf numFmtId="2" fontId="12" fillId="10" borderId="1" xfId="3" applyNumberFormat="1" applyFont="1" applyFill="1" applyBorder="1" applyAlignment="1">
      <alignment horizontal="center"/>
    </xf>
    <xf numFmtId="169" fontId="28" fillId="12" borderId="1" xfId="3" applyNumberFormat="1" applyFont="1" applyFill="1" applyBorder="1" applyAlignment="1">
      <alignment horizontal="center" vertical="center"/>
    </xf>
    <xf numFmtId="1" fontId="12" fillId="10" borderId="1" xfId="3" applyNumberFormat="1" applyFont="1" applyFill="1" applyBorder="1" applyAlignment="1">
      <alignment horizontal="center" vertical="center"/>
    </xf>
    <xf numFmtId="0" fontId="12" fillId="0" borderId="1" xfId="3" applyFont="1" applyBorder="1"/>
    <xf numFmtId="0" fontId="12" fillId="3" borderId="48" xfId="3" applyFont="1" applyFill="1" applyBorder="1" applyAlignment="1">
      <alignment horizontal="center" vertical="center"/>
    </xf>
    <xf numFmtId="0" fontId="12" fillId="3" borderId="4" xfId="3" applyFont="1" applyFill="1" applyBorder="1" applyAlignment="1">
      <alignment horizontal="center" vertical="center"/>
    </xf>
    <xf numFmtId="2" fontId="12" fillId="3" borderId="14" xfId="3" applyNumberFormat="1" applyFont="1" applyFill="1" applyBorder="1" applyAlignment="1">
      <alignment horizontal="center"/>
    </xf>
    <xf numFmtId="2" fontId="12" fillId="3" borderId="42" xfId="3" applyNumberFormat="1" applyFont="1" applyFill="1" applyBorder="1" applyAlignment="1">
      <alignment horizontal="center"/>
    </xf>
    <xf numFmtId="0" fontId="12" fillId="3" borderId="0" xfId="3" applyFont="1" applyFill="1"/>
    <xf numFmtId="0" fontId="12" fillId="3" borderId="1" xfId="3" applyFont="1" applyFill="1" applyBorder="1" applyAlignment="1">
      <alignment horizontal="center" vertical="center"/>
    </xf>
    <xf numFmtId="2" fontId="12" fillId="3" borderId="1" xfId="3" applyNumberFormat="1" applyFont="1" applyFill="1" applyBorder="1" applyAlignment="1">
      <alignment horizontal="center"/>
    </xf>
    <xf numFmtId="169" fontId="34" fillId="12" borderId="5" xfId="3" applyNumberFormat="1" applyFont="1" applyFill="1" applyBorder="1" applyAlignment="1">
      <alignment horizontal="center" vertical="center"/>
    </xf>
    <xf numFmtId="0" fontId="12" fillId="12" borderId="0" xfId="3" applyFont="1" applyFill="1" applyAlignment="1">
      <alignment horizontal="center" vertical="center"/>
    </xf>
    <xf numFmtId="169" fontId="28" fillId="12" borderId="0" xfId="3" applyNumberFormat="1" applyFont="1" applyFill="1" applyAlignment="1">
      <alignment horizontal="center" vertical="center"/>
    </xf>
    <xf numFmtId="169" fontId="11" fillId="0" borderId="0" xfId="3" applyNumberFormat="1" applyAlignment="1">
      <alignment horizontal="center" vertical="center"/>
    </xf>
    <xf numFmtId="2" fontId="12" fillId="3" borderId="13" xfId="3" applyNumberFormat="1" applyFont="1" applyFill="1" applyBorder="1" applyAlignment="1">
      <alignment horizontal="center" vertical="center"/>
    </xf>
    <xf numFmtId="2" fontId="12" fillId="3" borderId="50" xfId="3" applyNumberFormat="1" applyFont="1" applyFill="1" applyBorder="1" applyAlignment="1">
      <alignment horizontal="center" vertical="center"/>
    </xf>
    <xf numFmtId="0" fontId="12" fillId="3" borderId="14" xfId="3" applyFont="1" applyFill="1" applyBorder="1" applyAlignment="1">
      <alignment horizontal="center" vertical="center"/>
    </xf>
    <xf numFmtId="0" fontId="12" fillId="3" borderId="24" xfId="3" applyFont="1" applyFill="1" applyBorder="1" applyAlignment="1">
      <alignment horizontal="center" vertical="center"/>
    </xf>
    <xf numFmtId="0" fontId="12" fillId="0" borderId="24" xfId="3" applyFont="1" applyBorder="1" applyAlignment="1">
      <alignment horizontal="center" vertical="center"/>
    </xf>
    <xf numFmtId="0" fontId="12" fillId="3" borderId="0" xfId="3" applyFont="1" applyFill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29" fillId="3" borderId="20" xfId="4" applyFont="1" applyFill="1" applyBorder="1" applyAlignment="1">
      <alignment horizontal="center" vertical="center"/>
    </xf>
    <xf numFmtId="0" fontId="29" fillId="3" borderId="40" xfId="4" applyFont="1" applyFill="1" applyBorder="1" applyAlignment="1">
      <alignment horizontal="left" vertical="center" wrapText="1"/>
    </xf>
    <xf numFmtId="0" fontId="31" fillId="3" borderId="25" xfId="3" applyFont="1" applyFill="1" applyBorder="1" applyAlignment="1">
      <alignment horizontal="center" vertical="center"/>
    </xf>
    <xf numFmtId="0" fontId="30" fillId="3" borderId="25" xfId="4" applyFont="1" applyFill="1" applyBorder="1" applyAlignment="1">
      <alignment horizontal="center" vertical="center"/>
    </xf>
    <xf numFmtId="0" fontId="31" fillId="3" borderId="1" xfId="3" applyFont="1" applyFill="1" applyBorder="1" applyAlignment="1">
      <alignment horizontal="center" vertical="center"/>
    </xf>
    <xf numFmtId="0" fontId="32" fillId="3" borderId="25" xfId="4" applyFont="1" applyFill="1" applyBorder="1" applyAlignment="1">
      <alignment horizontal="center" vertical="center"/>
    </xf>
    <xf numFmtId="169" fontId="12" fillId="3" borderId="25" xfId="3" applyNumberFormat="1" applyFont="1" applyFill="1" applyBorder="1" applyAlignment="1">
      <alignment horizontal="center" vertical="center"/>
    </xf>
    <xf numFmtId="169" fontId="12" fillId="3" borderId="1" xfId="3" applyNumberFormat="1" applyFont="1" applyFill="1" applyBorder="1" applyAlignment="1">
      <alignment horizontal="center" vertical="center"/>
    </xf>
    <xf numFmtId="169" fontId="12" fillId="3" borderId="27" xfId="3" applyNumberFormat="1" applyFont="1" applyFill="1" applyBorder="1" applyAlignment="1">
      <alignment horizontal="center" vertical="center"/>
    </xf>
    <xf numFmtId="1" fontId="12" fillId="3" borderId="25" xfId="3" applyNumberFormat="1" applyFont="1" applyFill="1" applyBorder="1" applyAlignment="1">
      <alignment horizontal="center"/>
    </xf>
    <xf numFmtId="169" fontId="12" fillId="11" borderId="1" xfId="3" applyNumberFormat="1" applyFont="1" applyFill="1" applyBorder="1" applyAlignment="1">
      <alignment horizontal="center"/>
    </xf>
    <xf numFmtId="169" fontId="12" fillId="3" borderId="1" xfId="3" applyNumberFormat="1" applyFont="1" applyFill="1" applyBorder="1" applyAlignment="1">
      <alignment horizontal="center"/>
    </xf>
    <xf numFmtId="169" fontId="12" fillId="3" borderId="27" xfId="4" applyNumberFormat="1" applyFont="1" applyFill="1" applyBorder="1" applyAlignment="1">
      <alignment horizontal="center"/>
    </xf>
    <xf numFmtId="11" fontId="12" fillId="3" borderId="0" xfId="4" applyNumberFormat="1" applyFont="1" applyFill="1" applyAlignment="1">
      <alignment horizontal="center"/>
    </xf>
    <xf numFmtId="1" fontId="12" fillId="3" borderId="28" xfId="3" applyNumberFormat="1" applyFont="1" applyFill="1" applyBorder="1" applyAlignment="1">
      <alignment horizontal="center"/>
    </xf>
    <xf numFmtId="169" fontId="12" fillId="3" borderId="30" xfId="3" applyNumberFormat="1" applyFont="1" applyFill="1" applyBorder="1" applyAlignment="1">
      <alignment horizontal="center"/>
    </xf>
    <xf numFmtId="169" fontId="12" fillId="3" borderId="29" xfId="4" applyNumberFormat="1" applyFont="1" applyFill="1" applyBorder="1" applyAlignment="1">
      <alignment horizontal="center"/>
    </xf>
    <xf numFmtId="0" fontId="12" fillId="3" borderId="0" xfId="4" applyFont="1" applyFill="1" applyAlignment="1">
      <alignment horizontal="center"/>
    </xf>
    <xf numFmtId="164" fontId="12" fillId="3" borderId="0" xfId="4" applyNumberFormat="1" applyFont="1" applyFill="1" applyAlignment="1">
      <alignment horizontal="center"/>
    </xf>
    <xf numFmtId="164" fontId="12" fillId="3" borderId="42" xfId="4" applyNumberFormat="1" applyFont="1" applyFill="1" applyBorder="1" applyAlignment="1">
      <alignment horizontal="center"/>
    </xf>
    <xf numFmtId="0" fontId="28" fillId="3" borderId="42" xfId="4" applyFont="1" applyFill="1" applyBorder="1"/>
    <xf numFmtId="0" fontId="11" fillId="0" borderId="47" xfId="3" applyBorder="1"/>
    <xf numFmtId="0" fontId="32" fillId="3" borderId="42" xfId="4" applyFont="1" applyFill="1" applyBorder="1"/>
    <xf numFmtId="167" fontId="10" fillId="3" borderId="0" xfId="4" applyNumberFormat="1" applyFont="1" applyFill="1" applyAlignment="1">
      <alignment horizontal="center"/>
    </xf>
    <xf numFmtId="169" fontId="12" fillId="3" borderId="28" xfId="3" applyNumberFormat="1" applyFont="1" applyFill="1" applyBorder="1" applyAlignment="1">
      <alignment horizontal="center" vertical="center"/>
    </xf>
    <xf numFmtId="169" fontId="12" fillId="3" borderId="30" xfId="3" applyNumberFormat="1" applyFont="1" applyFill="1" applyBorder="1" applyAlignment="1">
      <alignment horizontal="center" vertical="center"/>
    </xf>
    <xf numFmtId="169" fontId="12" fillId="3" borderId="29" xfId="3" applyNumberFormat="1" applyFont="1" applyFill="1" applyBorder="1" applyAlignment="1">
      <alignment horizontal="center" vertical="center"/>
    </xf>
    <xf numFmtId="0" fontId="12" fillId="3" borderId="24" xfId="3" applyFont="1" applyFill="1" applyBorder="1"/>
    <xf numFmtId="166" fontId="33" fillId="3" borderId="0" xfId="4" applyNumberFormat="1" applyFont="1" applyFill="1" applyAlignment="1">
      <alignment horizontal="center"/>
    </xf>
    <xf numFmtId="0" fontId="10" fillId="3" borderId="0" xfId="4" applyFont="1" applyFill="1"/>
    <xf numFmtId="0" fontId="32" fillId="3" borderId="0" xfId="4" applyFont="1" applyFill="1"/>
    <xf numFmtId="164" fontId="32" fillId="3" borderId="0" xfId="4" applyNumberFormat="1" applyFont="1" applyFill="1" applyAlignment="1">
      <alignment horizontal="center"/>
    </xf>
    <xf numFmtId="0" fontId="12" fillId="3" borderId="42" xfId="3" applyFont="1" applyFill="1" applyBorder="1"/>
    <xf numFmtId="0" fontId="12" fillId="3" borderId="0" xfId="4" applyFont="1" applyFill="1"/>
    <xf numFmtId="2" fontId="30" fillId="3" borderId="0" xfId="4" applyNumberFormat="1" applyFont="1" applyFill="1" applyAlignment="1">
      <alignment horizontal="center"/>
    </xf>
    <xf numFmtId="0" fontId="12" fillId="3" borderId="6" xfId="3" applyFont="1" applyFill="1" applyBorder="1"/>
    <xf numFmtId="0" fontId="12" fillId="3" borderId="41" xfId="3" applyFont="1" applyFill="1" applyBorder="1"/>
    <xf numFmtId="2" fontId="12" fillId="3" borderId="0" xfId="4" applyNumberFormat="1" applyFont="1" applyFill="1" applyAlignment="1">
      <alignment horizontal="center"/>
    </xf>
    <xf numFmtId="0" fontId="11" fillId="0" borderId="0" xfId="3" applyProtection="1">
      <protection locked="0"/>
    </xf>
    <xf numFmtId="0" fontId="12" fillId="10" borderId="39" xfId="3" applyFont="1" applyFill="1" applyBorder="1" applyAlignment="1" applyProtection="1">
      <alignment vertical="center"/>
      <protection locked="0"/>
    </xf>
    <xf numFmtId="0" fontId="12" fillId="10" borderId="7" xfId="3" applyFont="1" applyFill="1" applyBorder="1" applyAlignment="1" applyProtection="1">
      <alignment horizontal="center" vertical="center"/>
      <protection locked="0"/>
    </xf>
    <xf numFmtId="0" fontId="12" fillId="10" borderId="7" xfId="3" applyFont="1" applyFill="1" applyBorder="1" applyAlignment="1" applyProtection="1">
      <alignment vertical="center"/>
      <protection locked="0"/>
    </xf>
    <xf numFmtId="0" fontId="12" fillId="10" borderId="9" xfId="3" applyFont="1" applyFill="1" applyBorder="1" applyAlignment="1" applyProtection="1">
      <alignment vertical="center"/>
      <protection locked="0"/>
    </xf>
    <xf numFmtId="0" fontId="12" fillId="10" borderId="5" xfId="3" applyFont="1" applyFill="1" applyBorder="1" applyAlignment="1" applyProtection="1">
      <alignment vertical="center"/>
      <protection locked="0"/>
    </xf>
    <xf numFmtId="0" fontId="12" fillId="10" borderId="20" xfId="3" applyFont="1" applyFill="1" applyBorder="1" applyAlignment="1" applyProtection="1">
      <alignment horizontal="center" vertical="center"/>
      <protection locked="0"/>
    </xf>
    <xf numFmtId="0" fontId="12" fillId="10" borderId="21" xfId="3" applyFont="1" applyFill="1" applyBorder="1" applyAlignment="1" applyProtection="1">
      <alignment horizontal="center" vertical="center"/>
      <protection locked="0"/>
    </xf>
    <xf numFmtId="0" fontId="12" fillId="10" borderId="26" xfId="3" applyFont="1" applyFill="1" applyBorder="1" applyAlignment="1" applyProtection="1">
      <alignment horizontal="center" vertical="center"/>
      <protection locked="0"/>
    </xf>
    <xf numFmtId="0" fontId="10" fillId="3" borderId="1" xfId="4" applyFont="1" applyFill="1" applyBorder="1" applyAlignment="1">
      <alignment horizontal="center" vertical="center"/>
    </xf>
    <xf numFmtId="0" fontId="18" fillId="0" borderId="1" xfId="3" applyFont="1" applyBorder="1" applyAlignment="1">
      <alignment vertical="center"/>
    </xf>
    <xf numFmtId="0" fontId="12" fillId="10" borderId="25" xfId="3" applyFont="1" applyFill="1" applyBorder="1" applyAlignment="1" applyProtection="1">
      <alignment horizontal="center" vertical="center"/>
      <protection locked="0"/>
    </xf>
    <xf numFmtId="0" fontId="12" fillId="10" borderId="27" xfId="3" applyFont="1" applyFill="1" applyBorder="1" applyAlignment="1" applyProtection="1">
      <alignment horizontal="center" vertical="center"/>
      <protection locked="0"/>
    </xf>
    <xf numFmtId="0" fontId="12" fillId="3" borderId="1" xfId="3" applyFont="1" applyFill="1" applyBorder="1"/>
    <xf numFmtId="2" fontId="18" fillId="0" borderId="1" xfId="3" applyNumberFormat="1" applyFont="1" applyBorder="1" applyAlignment="1">
      <alignment horizontal="center" vertical="center"/>
    </xf>
    <xf numFmtId="0" fontId="12" fillId="10" borderId="49" xfId="3" applyFont="1" applyFill="1" applyBorder="1" applyAlignment="1" applyProtection="1">
      <alignment horizontal="center" vertical="center"/>
      <protection locked="0"/>
    </xf>
    <xf numFmtId="0" fontId="12" fillId="10" borderId="28" xfId="3" applyFont="1" applyFill="1" applyBorder="1" applyAlignment="1" applyProtection="1">
      <alignment horizontal="center" vertical="center"/>
      <protection locked="0"/>
    </xf>
    <xf numFmtId="0" fontId="12" fillId="10" borderId="29" xfId="3" applyFont="1" applyFill="1" applyBorder="1" applyAlignment="1" applyProtection="1">
      <alignment horizontal="center" vertical="center"/>
      <protection locked="0"/>
    </xf>
    <xf numFmtId="180" fontId="11" fillId="0" borderId="1" xfId="0" applyNumberFormat="1" applyFont="1" applyBorder="1" applyAlignment="1">
      <alignment horizontal="center" vertical="center"/>
    </xf>
    <xf numFmtId="180" fontId="27" fillId="0" borderId="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0" fillId="3" borderId="0" xfId="0" applyFont="1" applyFill="1"/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4" fontId="20" fillId="3" borderId="0" xfId="0" applyNumberFormat="1" applyFont="1" applyFill="1"/>
    <xf numFmtId="0" fontId="20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179" fontId="3" fillId="3" borderId="0" xfId="0" applyNumberFormat="1" applyFont="1" applyFill="1" applyAlignment="1">
      <alignment horizontal="left"/>
    </xf>
    <xf numFmtId="0" fontId="25" fillId="3" borderId="0" xfId="0" applyFont="1" applyFill="1" applyAlignment="1">
      <alignment horizontal="center" vertical="center"/>
    </xf>
    <xf numFmtId="2" fontId="25" fillId="3" borderId="0" xfId="0" applyNumberFormat="1" applyFont="1" applyFill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/>
    <xf numFmtId="0" fontId="3" fillId="0" borderId="0" xfId="0" applyFont="1" applyAlignment="1">
      <alignment horizontal="left" vertical="top" wrapText="1"/>
    </xf>
    <xf numFmtId="0" fontId="20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Protection="1">
      <protection locked="0"/>
    </xf>
    <xf numFmtId="0" fontId="11" fillId="3" borderId="5" xfId="0" applyFont="1" applyFill="1" applyBorder="1" applyAlignment="1">
      <alignment horizontal="left" vertical="center"/>
    </xf>
    <xf numFmtId="0" fontId="27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45" fillId="0" borderId="0" xfId="0" applyFont="1"/>
    <xf numFmtId="0" fontId="11" fillId="2" borderId="1" xfId="0" applyFont="1" applyFill="1" applyBorder="1" applyAlignment="1" applyProtection="1">
      <alignment vertical="top" wrapText="1"/>
      <protection hidden="1"/>
    </xf>
    <xf numFmtId="0" fontId="11" fillId="2" borderId="5" xfId="0" applyFont="1" applyFill="1" applyBorder="1" applyAlignment="1" applyProtection="1">
      <alignment vertical="top" wrapText="1"/>
      <protection hidden="1"/>
    </xf>
    <xf numFmtId="0" fontId="27" fillId="0" borderId="1" xfId="0" applyFont="1" applyBorder="1" applyAlignment="1">
      <alignment wrapText="1"/>
    </xf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0" xfId="0" quotePrefix="1" applyFont="1" applyAlignment="1">
      <alignment wrapText="1"/>
    </xf>
    <xf numFmtId="0" fontId="47" fillId="0" borderId="0" xfId="0" applyFont="1"/>
    <xf numFmtId="0" fontId="49" fillId="0" borderId="5" xfId="0" applyFont="1" applyBorder="1" applyAlignment="1">
      <alignment horizontal="left" vertical="top"/>
    </xf>
    <xf numFmtId="0" fontId="49" fillId="0" borderId="0" xfId="0" applyFont="1"/>
    <xf numFmtId="0" fontId="47" fillId="0" borderId="5" xfId="0" applyFont="1" applyBorder="1" applyAlignment="1">
      <alignment vertical="top"/>
    </xf>
    <xf numFmtId="0" fontId="47" fillId="0" borderId="7" xfId="0" applyFont="1" applyBorder="1"/>
    <xf numFmtId="0" fontId="47" fillId="0" borderId="9" xfId="0" applyFont="1" applyBorder="1" applyAlignment="1">
      <alignment horizontal="left" vertical="top"/>
    </xf>
    <xf numFmtId="0" fontId="47" fillId="0" borderId="0" xfId="0" applyFont="1" applyAlignment="1">
      <alignment horizontal="left"/>
    </xf>
    <xf numFmtId="0" fontId="32" fillId="0" borderId="5" xfId="5" applyFont="1" applyBorder="1" applyAlignment="1">
      <alignment vertical="top"/>
    </xf>
    <xf numFmtId="0" fontId="47" fillId="0" borderId="9" xfId="0" applyFont="1" applyBorder="1"/>
    <xf numFmtId="0" fontId="32" fillId="0" borderId="9" xfId="5" applyFont="1" applyBorder="1" applyAlignment="1" applyProtection="1">
      <alignment vertical="top"/>
      <protection locked="0"/>
    </xf>
    <xf numFmtId="0" fontId="47" fillId="0" borderId="0" xfId="0" applyFont="1" applyAlignment="1">
      <alignment vertical="top"/>
    </xf>
    <xf numFmtId="180" fontId="47" fillId="0" borderId="0" xfId="0" applyNumberFormat="1" applyFont="1"/>
    <xf numFmtId="0" fontId="49" fillId="0" borderId="0" xfId="0" applyFont="1" applyAlignment="1">
      <alignment vertical="top"/>
    </xf>
    <xf numFmtId="0" fontId="32" fillId="0" borderId="0" xfId="5" applyFont="1" applyAlignment="1">
      <alignment vertical="top" wrapText="1"/>
    </xf>
    <xf numFmtId="0" fontId="32" fillId="0" borderId="0" xfId="5" applyFont="1" applyAlignment="1">
      <alignment horizontal="justify" vertical="center" wrapText="1"/>
    </xf>
    <xf numFmtId="0" fontId="8" fillId="0" borderId="0" xfId="5" applyFont="1"/>
    <xf numFmtId="0" fontId="8" fillId="0" borderId="59" xfId="5" applyFont="1" applyBorder="1"/>
    <xf numFmtId="0" fontId="47" fillId="0" borderId="40" xfId="0" applyFont="1" applyBorder="1"/>
    <xf numFmtId="0" fontId="47" fillId="0" borderId="47" xfId="0" applyFont="1" applyBorder="1"/>
    <xf numFmtId="0" fontId="8" fillId="0" borderId="24" xfId="5" applyFont="1" applyBorder="1"/>
    <xf numFmtId="0" fontId="47" fillId="0" borderId="42" xfId="0" applyFont="1" applyBorder="1"/>
    <xf numFmtId="0" fontId="8" fillId="0" borderId="24" xfId="5" applyFont="1" applyBorder="1" applyAlignment="1">
      <alignment wrapText="1"/>
    </xf>
    <xf numFmtId="0" fontId="8" fillId="0" borderId="42" xfId="5" applyFont="1" applyBorder="1"/>
    <xf numFmtId="0" fontId="49" fillId="0" borderId="0" xfId="5" applyFont="1" applyAlignment="1">
      <alignment horizontal="left" vertical="top" wrapText="1"/>
    </xf>
    <xf numFmtId="0" fontId="49" fillId="0" borderId="24" xfId="5" applyFont="1" applyBorder="1" applyAlignment="1">
      <alignment wrapText="1"/>
    </xf>
    <xf numFmtId="0" fontId="49" fillId="0" borderId="24" xfId="5" applyFont="1" applyBorder="1"/>
    <xf numFmtId="0" fontId="47" fillId="0" borderId="0" xfId="0" applyFont="1" applyAlignment="1">
      <alignment horizontal="left" vertical="top"/>
    </xf>
    <xf numFmtId="0" fontId="49" fillId="0" borderId="51" xfId="5" applyFont="1" applyBorder="1"/>
    <xf numFmtId="0" fontId="47" fillId="0" borderId="6" xfId="0" applyFont="1" applyBorder="1"/>
    <xf numFmtId="0" fontId="47" fillId="0" borderId="41" xfId="0" applyFont="1" applyBorder="1"/>
    <xf numFmtId="0" fontId="47" fillId="0" borderId="0" xfId="0" applyFont="1" applyAlignment="1">
      <alignment horizontal="left" vertical="center"/>
    </xf>
    <xf numFmtId="180" fontId="47" fillId="0" borderId="0" xfId="0" applyNumberFormat="1" applyFont="1" applyAlignment="1">
      <alignment horizontal="left" vertical="center"/>
    </xf>
    <xf numFmtId="180" fontId="3" fillId="3" borderId="0" xfId="0" applyNumberFormat="1" applyFont="1" applyFill="1" applyAlignment="1">
      <alignment horizontal="left"/>
    </xf>
    <xf numFmtId="0" fontId="3" fillId="3" borderId="14" xfId="0" applyFont="1" applyFill="1" applyBorder="1" applyAlignment="1" applyProtection="1">
      <alignment vertical="center"/>
      <protection locked="0"/>
    </xf>
    <xf numFmtId="167" fontId="3" fillId="3" borderId="0" xfId="0" applyNumberFormat="1" applyFont="1" applyFill="1" applyAlignment="1">
      <alignment horizontal="left"/>
    </xf>
    <xf numFmtId="0" fontId="12" fillId="19" borderId="0" xfId="3" applyFont="1" applyFill="1"/>
    <xf numFmtId="0" fontId="29" fillId="3" borderId="0" xfId="4" applyFont="1" applyFill="1" applyAlignment="1">
      <alignment vertical="center"/>
    </xf>
    <xf numFmtId="0" fontId="31" fillId="3" borderId="0" xfId="3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2" fontId="14" fillId="0" borderId="0" xfId="0" applyNumberFormat="1" applyFont="1"/>
    <xf numFmtId="0" fontId="27" fillId="0" borderId="1" xfId="0" quotePrefix="1" applyFont="1" applyBorder="1" applyAlignment="1">
      <alignment horizontal="left" vertical="center" wrapText="1"/>
    </xf>
    <xf numFmtId="0" fontId="22" fillId="0" borderId="0" xfId="0" applyFont="1" applyAlignment="1">
      <alignment horizontal="right" vertical="center"/>
    </xf>
    <xf numFmtId="2" fontId="11" fillId="0" borderId="0" xfId="0" applyNumberFormat="1" applyFont="1"/>
    <xf numFmtId="0" fontId="52" fillId="0" borderId="9" xfId="0" applyFont="1" applyBorder="1" applyAlignment="1">
      <alignment vertical="top"/>
    </xf>
    <xf numFmtId="165" fontId="3" fillId="3" borderId="5" xfId="0" applyNumberFormat="1" applyFont="1" applyFill="1" applyBorder="1" applyAlignment="1">
      <alignment horizontal="center"/>
    </xf>
    <xf numFmtId="181" fontId="3" fillId="3" borderId="5" xfId="0" applyNumberFormat="1" applyFont="1" applyFill="1" applyBorder="1" applyAlignment="1">
      <alignment horizontal="right"/>
    </xf>
    <xf numFmtId="165" fontId="3" fillId="3" borderId="9" xfId="0" applyNumberFormat="1" applyFont="1" applyFill="1" applyBorder="1" applyAlignment="1">
      <alignment horizontal="left"/>
    </xf>
    <xf numFmtId="165" fontId="3" fillId="0" borderId="0" xfId="0" applyNumberFormat="1" applyFont="1"/>
    <xf numFmtId="165" fontId="3" fillId="3" borderId="5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center" vertical="center"/>
    </xf>
    <xf numFmtId="167" fontId="53" fillId="5" borderId="0" xfId="0" applyNumberFormat="1" applyFont="1" applyFill="1" applyAlignment="1" applyProtection="1">
      <alignment horizontal="left" vertical="center"/>
      <protection locked="0"/>
    </xf>
    <xf numFmtId="164" fontId="53" fillId="5" borderId="1" xfId="0" applyNumberFormat="1" applyFont="1" applyFill="1" applyBorder="1" applyProtection="1">
      <protection locked="0"/>
    </xf>
    <xf numFmtId="164" fontId="53" fillId="9" borderId="1" xfId="0" applyNumberFormat="1" applyFont="1" applyFill="1" applyBorder="1" applyProtection="1">
      <protection locked="0"/>
    </xf>
    <xf numFmtId="164" fontId="53" fillId="5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3" fontId="0" fillId="3" borderId="0" xfId="0" applyNumberFormat="1" applyFill="1" applyAlignment="1">
      <alignment horizontal="right" vertical="center"/>
    </xf>
    <xf numFmtId="169" fontId="0" fillId="3" borderId="0" xfId="0" applyNumberFormat="1" applyFill="1" applyAlignment="1">
      <alignment horizontal="center" vertical="center"/>
    </xf>
    <xf numFmtId="169" fontId="0" fillId="0" borderId="0" xfId="0" applyNumberFormat="1" applyAlignment="1">
      <alignment horizontal="left" vertical="center"/>
    </xf>
    <xf numFmtId="165" fontId="0" fillId="0" borderId="9" xfId="0" applyNumberFormat="1" applyBorder="1" applyAlignment="1">
      <alignment horizontal="left" vertical="center"/>
    </xf>
    <xf numFmtId="177" fontId="3" fillId="3" borderId="0" xfId="0" applyNumberFormat="1" applyFont="1" applyFill="1" applyAlignment="1">
      <alignment horizontal="center" vertical="center"/>
    </xf>
    <xf numFmtId="167" fontId="3" fillId="0" borderId="0" xfId="0" applyNumberFormat="1" applyFont="1"/>
    <xf numFmtId="178" fontId="3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6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164" fontId="3" fillId="3" borderId="5" xfId="0" applyNumberFormat="1" applyFont="1" applyFill="1" applyBorder="1" applyAlignment="1" applyProtection="1">
      <alignment horizontal="left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4" fontId="53" fillId="3" borderId="1" xfId="0" applyNumberFormat="1" applyFont="1" applyFill="1" applyBorder="1" applyAlignment="1">
      <alignment horizontal="center" vertical="center"/>
    </xf>
    <xf numFmtId="164" fontId="53" fillId="5" borderId="1" xfId="0" applyNumberFormat="1" applyFont="1" applyFill="1" applyBorder="1" applyAlignment="1" applyProtection="1">
      <alignment horizontal="right"/>
      <protection locked="0"/>
    </xf>
    <xf numFmtId="164" fontId="53" fillId="0" borderId="5" xfId="0" applyNumberFormat="1" applyFont="1" applyBorder="1" applyAlignment="1">
      <alignment horizontal="center" vertical="center"/>
    </xf>
    <xf numFmtId="164" fontId="53" fillId="3" borderId="9" xfId="0" applyNumberFormat="1" applyFont="1" applyFill="1" applyBorder="1" applyAlignment="1">
      <alignment horizontal="left"/>
    </xf>
    <xf numFmtId="0" fontId="22" fillId="0" borderId="0" xfId="0" quotePrefix="1" applyFont="1" applyProtection="1">
      <protection locked="0"/>
    </xf>
    <xf numFmtId="0" fontId="22" fillId="0" borderId="0" xfId="0" applyFont="1" applyProtection="1">
      <protection locked="0"/>
    </xf>
    <xf numFmtId="167" fontId="0" fillId="0" borderId="1" xfId="0" applyNumberFormat="1" applyBorder="1"/>
    <xf numFmtId="167" fontId="0" fillId="3" borderId="0" xfId="0" applyNumberFormat="1" applyFill="1" applyAlignment="1">
      <alignment horizontal="center" wrapText="1"/>
    </xf>
    <xf numFmtId="167" fontId="0" fillId="0" borderId="0" xfId="0" applyNumberFormat="1"/>
    <xf numFmtId="167" fontId="5" fillId="0" borderId="0" xfId="0" applyNumberFormat="1" applyFont="1" applyAlignment="1">
      <alignment horizontal="center" vertical="center"/>
    </xf>
    <xf numFmtId="167" fontId="55" fillId="16" borderId="1" xfId="0" applyNumberFormat="1" applyFont="1" applyFill="1" applyBorder="1"/>
    <xf numFmtId="167" fontId="0" fillId="15" borderId="1" xfId="0" applyNumberFormat="1" applyFill="1" applyBorder="1" applyAlignment="1">
      <alignment vertical="center" wrapText="1"/>
    </xf>
    <xf numFmtId="167" fontId="0" fillId="0" borderId="9" xfId="0" applyNumberFormat="1" applyBorder="1"/>
    <xf numFmtId="167" fontId="0" fillId="14" borderId="9" xfId="0" applyNumberFormat="1" applyFill="1" applyBorder="1"/>
    <xf numFmtId="167" fontId="0" fillId="12" borderId="9" xfId="0" applyNumberFormat="1" applyFill="1" applyBorder="1"/>
    <xf numFmtId="167" fontId="0" fillId="12" borderId="1" xfId="0" applyNumberFormat="1" applyFill="1" applyBorder="1"/>
    <xf numFmtId="167" fontId="0" fillId="6" borderId="1" xfId="0" applyNumberFormat="1" applyFill="1" applyBorder="1"/>
    <xf numFmtId="167" fontId="0" fillId="7" borderId="1" xfId="0" applyNumberFormat="1" applyFill="1" applyBorder="1"/>
    <xf numFmtId="167" fontId="0" fillId="3" borderId="1" xfId="0" applyNumberFormat="1" applyFill="1" applyBorder="1"/>
    <xf numFmtId="167" fontId="55" fillId="12" borderId="0" xfId="0" applyNumberFormat="1" applyFont="1" applyFill="1"/>
    <xf numFmtId="167" fontId="55" fillId="16" borderId="0" xfId="0" applyNumberFormat="1" applyFont="1" applyFill="1"/>
    <xf numFmtId="170" fontId="0" fillId="0" borderId="0" xfId="0" applyNumberFormat="1"/>
    <xf numFmtId="165" fontId="0" fillId="12" borderId="0" xfId="0" applyNumberFormat="1" applyFill="1"/>
    <xf numFmtId="165" fontId="0" fillId="8" borderId="0" xfId="0" applyNumberFormat="1" applyFill="1"/>
    <xf numFmtId="0" fontId="0" fillId="21" borderId="0" xfId="0" applyFill="1"/>
    <xf numFmtId="165" fontId="0" fillId="20" borderId="0" xfId="0" applyNumberFormat="1" applyFill="1"/>
    <xf numFmtId="1" fontId="0" fillId="20" borderId="0" xfId="0" applyNumberFormat="1" applyFill="1"/>
    <xf numFmtId="1" fontId="0" fillId="8" borderId="0" xfId="0" applyNumberFormat="1" applyFill="1"/>
    <xf numFmtId="1" fontId="0" fillId="12" borderId="0" xfId="0" applyNumberFormat="1" applyFill="1"/>
    <xf numFmtId="165" fontId="0" fillId="7" borderId="1" xfId="0" applyNumberFormat="1" applyFill="1" applyBorder="1"/>
    <xf numFmtId="0" fontId="0" fillId="6" borderId="0" xfId="0" applyFill="1"/>
    <xf numFmtId="169" fontId="0" fillId="0" borderId="0" xfId="0" applyNumberFormat="1"/>
    <xf numFmtId="1" fontId="0" fillId="0" borderId="0" xfId="0" applyNumberFormat="1"/>
    <xf numFmtId="169" fontId="0" fillId="3" borderId="31" xfId="0" applyNumberFormat="1" applyFill="1" applyBorder="1" applyAlignment="1">
      <alignment horizontal="center"/>
    </xf>
    <xf numFmtId="169" fontId="0" fillId="3" borderId="22" xfId="0" applyNumberFormat="1" applyFill="1" applyBorder="1" applyAlignment="1">
      <alignment horizontal="center"/>
    </xf>
    <xf numFmtId="169" fontId="0" fillId="3" borderId="21" xfId="0" applyNumberFormat="1" applyFill="1" applyBorder="1" applyAlignment="1">
      <alignment horizontal="center"/>
    </xf>
    <xf numFmtId="169" fontId="0" fillId="3" borderId="27" xfId="0" applyNumberFormat="1" applyFill="1" applyBorder="1" applyAlignment="1">
      <alignment horizontal="center"/>
    </xf>
    <xf numFmtId="169" fontId="0" fillId="12" borderId="9" xfId="0" applyNumberFormat="1" applyFill="1" applyBorder="1" applyAlignment="1">
      <alignment horizontal="center"/>
    </xf>
    <xf numFmtId="169" fontId="0" fillId="12" borderId="27" xfId="0" applyNumberFormat="1" applyFill="1" applyBorder="1" applyAlignment="1">
      <alignment horizontal="center"/>
    </xf>
    <xf numFmtId="169" fontId="0" fillId="3" borderId="32" xfId="0" applyNumberFormat="1" applyFill="1" applyBorder="1" applyAlignment="1">
      <alignment horizontal="center"/>
    </xf>
    <xf numFmtId="169" fontId="0" fillId="3" borderId="30" xfId="0" applyNumberFormat="1" applyFill="1" applyBorder="1" applyAlignment="1">
      <alignment horizontal="center"/>
    </xf>
    <xf numFmtId="169" fontId="0" fillId="3" borderId="29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72" fontId="13" fillId="0" borderId="1" xfId="0" applyNumberFormat="1" applyFont="1" applyBorder="1" applyAlignment="1">
      <alignment horizontal="center"/>
    </xf>
    <xf numFmtId="165" fontId="0" fillId="12" borderId="1" xfId="0" applyNumberFormat="1" applyFill="1" applyBorder="1"/>
    <xf numFmtId="0" fontId="0" fillId="22" borderId="0" xfId="0" applyFill="1"/>
    <xf numFmtId="1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71" fontId="0" fillId="0" borderId="0" xfId="0" applyNumberFormat="1"/>
    <xf numFmtId="167" fontId="0" fillId="4" borderId="1" xfId="0" applyNumberFormat="1" applyFill="1" applyBorder="1"/>
    <xf numFmtId="167" fontId="0" fillId="23" borderId="1" xfId="0" applyNumberFormat="1" applyFill="1" applyBorder="1"/>
    <xf numFmtId="17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5" fontId="0" fillId="23" borderId="1" xfId="0" applyNumberFormat="1" applyFill="1" applyBorder="1" applyAlignment="1">
      <alignment horizontal="center" vertical="center"/>
    </xf>
    <xf numFmtId="165" fontId="0" fillId="23" borderId="3" xfId="0" applyNumberFormat="1" applyFill="1" applyBorder="1" applyAlignment="1">
      <alignment vertical="center"/>
    </xf>
    <xf numFmtId="165" fontId="0" fillId="23" borderId="1" xfId="0" applyNumberFormat="1" applyFill="1" applyBorder="1" applyAlignment="1">
      <alignment vertical="center"/>
    </xf>
    <xf numFmtId="166" fontId="0" fillId="0" borderId="1" xfId="0" applyNumberFormat="1" applyBorder="1"/>
    <xf numFmtId="170" fontId="0" fillId="12" borderId="1" xfId="0" applyNumberFormat="1" applyFill="1" applyBorder="1"/>
    <xf numFmtId="166" fontId="0" fillId="12" borderId="1" xfId="0" applyNumberFormat="1" applyFill="1" applyBorder="1"/>
    <xf numFmtId="166" fontId="13" fillId="0" borderId="1" xfId="0" applyNumberFormat="1" applyFont="1" applyBorder="1" applyAlignment="1">
      <alignment horizontal="center"/>
    </xf>
    <xf numFmtId="167" fontId="0" fillId="0" borderId="13" xfId="0" applyNumberFormat="1" applyBorder="1"/>
    <xf numFmtId="0" fontId="0" fillId="0" borderId="13" xfId="0" applyBorder="1"/>
    <xf numFmtId="167" fontId="55" fillId="16" borderId="9" xfId="0" applyNumberFormat="1" applyFont="1" applyFill="1" applyBorder="1"/>
    <xf numFmtId="167" fontId="0" fillId="0" borderId="3" xfId="0" applyNumberFormat="1" applyBorder="1"/>
    <xf numFmtId="167" fontId="0" fillId="0" borderId="0" xfId="0" applyNumberFormat="1" applyAlignment="1">
      <alignment vertical="center"/>
    </xf>
    <xf numFmtId="0" fontId="22" fillId="0" borderId="0" xfId="0" applyFont="1"/>
    <xf numFmtId="0" fontId="57" fillId="0" borderId="0" xfId="0" applyFont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right"/>
      <protection locked="0"/>
    </xf>
    <xf numFmtId="0" fontId="22" fillId="5" borderId="0" xfId="0" applyFont="1" applyFill="1" applyProtection="1">
      <protection locked="0"/>
    </xf>
    <xf numFmtId="0" fontId="22" fillId="5" borderId="0" xfId="0" quotePrefix="1" applyFont="1" applyFill="1" applyProtection="1">
      <protection locked="0"/>
    </xf>
    <xf numFmtId="180" fontId="22" fillId="5" borderId="0" xfId="0" applyNumberFormat="1" applyFont="1" applyFill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169" fontId="22" fillId="0" borderId="1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1" fontId="21" fillId="15" borderId="5" xfId="0" applyNumberFormat="1" applyFont="1" applyFill="1" applyBorder="1" applyAlignment="1" applyProtection="1">
      <alignment horizontal="right" vertical="center"/>
      <protection locked="0"/>
    </xf>
    <xf numFmtId="169" fontId="21" fillId="15" borderId="7" xfId="0" applyNumberFormat="1" applyFont="1" applyFill="1" applyBorder="1" applyAlignment="1" applyProtection="1">
      <alignment horizontal="center" vertical="center"/>
      <protection locked="0"/>
    </xf>
    <xf numFmtId="1" fontId="21" fillId="15" borderId="9" xfId="0" applyNumberFormat="1" applyFont="1" applyFill="1" applyBorder="1" applyAlignment="1" applyProtection="1">
      <alignment vertical="center"/>
      <protection locked="0"/>
    </xf>
    <xf numFmtId="176" fontId="21" fillId="15" borderId="1" xfId="0" applyNumberFormat="1" applyFont="1" applyFill="1" applyBorder="1" applyAlignment="1" applyProtection="1">
      <alignment horizontal="right"/>
      <protection locked="0"/>
    </xf>
    <xf numFmtId="169" fontId="21" fillId="15" borderId="1" xfId="0" applyNumberFormat="1" applyFont="1" applyFill="1" applyBorder="1" applyAlignment="1" applyProtection="1">
      <alignment horizontal="center"/>
      <protection locked="0"/>
    </xf>
    <xf numFmtId="176" fontId="21" fillId="15" borderId="1" xfId="0" applyNumberFormat="1" applyFont="1" applyFill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164" fontId="22" fillId="0" borderId="1" xfId="0" applyNumberFormat="1" applyFont="1" applyBorder="1" applyAlignment="1">
      <alignment horizontal="right"/>
    </xf>
    <xf numFmtId="164" fontId="22" fillId="0" borderId="1" xfId="0" applyNumberFormat="1" applyFont="1" applyBorder="1"/>
    <xf numFmtId="164" fontId="22" fillId="0" borderId="0" xfId="0" applyNumberFormat="1" applyFont="1" applyProtection="1">
      <protection locked="0"/>
    </xf>
    <xf numFmtId="164" fontId="21" fillId="0" borderId="1" xfId="0" applyNumberFormat="1" applyFont="1" applyBorder="1" applyProtection="1">
      <protection locked="0"/>
    </xf>
    <xf numFmtId="170" fontId="21" fillId="0" borderId="1" xfId="0" applyNumberFormat="1" applyFont="1" applyBorder="1"/>
    <xf numFmtId="0" fontId="21" fillId="0" borderId="1" xfId="0" applyFont="1" applyBorder="1" applyProtection="1">
      <protection locked="0"/>
    </xf>
    <xf numFmtId="164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165" fontId="22" fillId="0" borderId="1" xfId="0" applyNumberFormat="1" applyFont="1" applyBorder="1"/>
    <xf numFmtId="167" fontId="22" fillId="0" borderId="1" xfId="0" applyNumberFormat="1" applyFont="1" applyBorder="1"/>
    <xf numFmtId="0" fontId="22" fillId="0" borderId="0" xfId="0" applyFont="1" applyAlignment="1" applyProtection="1">
      <alignment horizontal="left"/>
      <protection locked="0"/>
    </xf>
    <xf numFmtId="164" fontId="21" fillId="0" borderId="1" xfId="0" applyNumberFormat="1" applyFont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175" fontId="21" fillId="0" borderId="0" xfId="0" applyNumberFormat="1" applyFont="1" applyProtection="1">
      <protection locked="0"/>
    </xf>
    <xf numFmtId="167" fontId="22" fillId="0" borderId="0" xfId="0" applyNumberFormat="1" applyFont="1" applyProtection="1"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2" fontId="22" fillId="0" borderId="0" xfId="0" applyNumberFormat="1" applyFont="1" applyProtection="1">
      <protection locked="0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59" fillId="0" borderId="0" xfId="0" applyFont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7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1" fontId="22" fillId="0" borderId="0" xfId="0" applyNumberFormat="1" applyFont="1" applyAlignment="1">
      <alignment horizontal="left"/>
    </xf>
    <xf numFmtId="164" fontId="22" fillId="0" borderId="0" xfId="0" applyNumberFormat="1" applyFont="1" applyAlignment="1">
      <alignment horizontal="left"/>
    </xf>
    <xf numFmtId="180" fontId="22" fillId="0" borderId="0" xfId="0" applyNumberFormat="1" applyFont="1" applyAlignment="1">
      <alignment horizontal="left"/>
    </xf>
    <xf numFmtId="0" fontId="22" fillId="3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73" fontId="22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" fontId="22" fillId="0" borderId="1" xfId="0" applyNumberFormat="1" applyFont="1" applyBorder="1" applyAlignment="1">
      <alignment horizontal="center" vertical="center"/>
    </xf>
    <xf numFmtId="164" fontId="22" fillId="3" borderId="5" xfId="0" applyNumberFormat="1" applyFont="1" applyFill="1" applyBorder="1" applyAlignment="1">
      <alignment horizontal="right"/>
    </xf>
    <xf numFmtId="164" fontId="22" fillId="0" borderId="0" xfId="0" applyNumberFormat="1" applyFont="1"/>
    <xf numFmtId="0" fontId="21" fillId="0" borderId="2" xfId="0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1" fillId="3" borderId="0" xfId="0" applyFont="1" applyFill="1"/>
    <xf numFmtId="164" fontId="22" fillId="3" borderId="0" xfId="0" applyNumberFormat="1" applyFont="1" applyFill="1"/>
    <xf numFmtId="0" fontId="22" fillId="3" borderId="0" xfId="0" applyFont="1" applyFill="1" applyAlignment="1">
      <alignment horizontal="left"/>
    </xf>
    <xf numFmtId="0" fontId="21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174" fontId="21" fillId="3" borderId="0" xfId="0" applyNumberFormat="1" applyFont="1" applyFill="1"/>
    <xf numFmtId="2" fontId="22" fillId="0" borderId="0" xfId="0" applyNumberFormat="1" applyFont="1"/>
    <xf numFmtId="0" fontId="21" fillId="3" borderId="0" xfId="0" applyFont="1" applyFill="1" applyProtection="1">
      <protection locked="0"/>
    </xf>
    <xf numFmtId="0" fontId="22" fillId="3" borderId="0" xfId="0" applyFont="1" applyFill="1" applyProtection="1">
      <protection locked="0"/>
    </xf>
    <xf numFmtId="0" fontId="61" fillId="3" borderId="0" xfId="0" applyFont="1" applyFill="1" applyProtection="1">
      <protection locked="0"/>
    </xf>
    <xf numFmtId="0" fontId="61" fillId="3" borderId="0" xfId="0" applyFont="1" applyFill="1" applyAlignment="1" applyProtection="1">
      <alignment horizontal="right"/>
      <protection locked="0"/>
    </xf>
    <xf numFmtId="0" fontId="61" fillId="0" borderId="0" xfId="0" applyFont="1" applyAlignment="1" applyProtection="1">
      <alignment horizontal="right" vertical="center"/>
      <protection locked="0"/>
    </xf>
    <xf numFmtId="164" fontId="53" fillId="3" borderId="5" xfId="0" applyNumberFormat="1" applyFont="1" applyFill="1" applyBorder="1" applyAlignment="1">
      <alignment vertical="center"/>
    </xf>
    <xf numFmtId="164" fontId="53" fillId="0" borderId="5" xfId="0" applyNumberFormat="1" applyFont="1" applyBorder="1" applyAlignment="1">
      <alignment vertical="center"/>
    </xf>
    <xf numFmtId="164" fontId="22" fillId="0" borderId="9" xfId="0" applyNumberFormat="1" applyFont="1" applyBorder="1" applyAlignment="1">
      <alignment vertical="center"/>
    </xf>
    <xf numFmtId="164" fontId="22" fillId="3" borderId="9" xfId="0" applyNumberFormat="1" applyFont="1" applyFill="1" applyBorder="1" applyAlignment="1">
      <alignment vertical="center"/>
    </xf>
    <xf numFmtId="169" fontId="53" fillId="4" borderId="1" xfId="0" applyNumberFormat="1" applyFont="1" applyFill="1" applyBorder="1" applyAlignment="1" applyProtection="1">
      <alignment horizontal="center" vertical="center"/>
      <protection locked="0"/>
    </xf>
    <xf numFmtId="164" fontId="53" fillId="0" borderId="0" xfId="0" applyNumberFormat="1" applyFont="1" applyAlignment="1">
      <alignment horizontal="left"/>
    </xf>
    <xf numFmtId="0" fontId="29" fillId="3" borderId="20" xfId="3" applyFont="1" applyFill="1" applyBorder="1" applyAlignment="1">
      <alignment horizontal="center" vertical="center"/>
    </xf>
    <xf numFmtId="169" fontId="29" fillId="3" borderId="22" xfId="3" applyNumberFormat="1" applyFont="1" applyFill="1" applyBorder="1" applyAlignment="1">
      <alignment horizontal="center"/>
    </xf>
    <xf numFmtId="169" fontId="29" fillId="3" borderId="21" xfId="3" applyNumberFormat="1" applyFont="1" applyFill="1" applyBorder="1" applyAlignment="1">
      <alignment horizontal="center"/>
    </xf>
    <xf numFmtId="0" fontId="29" fillId="3" borderId="43" xfId="3" applyFont="1" applyFill="1" applyBorder="1" applyAlignment="1">
      <alignment horizontal="center" vertical="center"/>
    </xf>
    <xf numFmtId="169" fontId="29" fillId="3" borderId="25" xfId="3" applyNumberFormat="1" applyFont="1" applyFill="1" applyBorder="1" applyAlignment="1">
      <alignment horizontal="center" vertical="center"/>
    </xf>
    <xf numFmtId="169" fontId="29" fillId="3" borderId="1" xfId="3" applyNumberFormat="1" applyFont="1" applyFill="1" applyBorder="1" applyAlignment="1">
      <alignment horizontal="center"/>
    </xf>
    <xf numFmtId="169" fontId="29" fillId="3" borderId="27" xfId="3" applyNumberFormat="1" applyFont="1" applyFill="1" applyBorder="1" applyAlignment="1">
      <alignment horizontal="center"/>
    </xf>
    <xf numFmtId="0" fontId="29" fillId="3" borderId="28" xfId="3" applyFont="1" applyFill="1" applyBorder="1" applyAlignment="1">
      <alignment horizontal="center" vertical="center"/>
    </xf>
    <xf numFmtId="169" fontId="29" fillId="3" borderId="38" xfId="3" applyNumberFormat="1" applyFont="1" applyFill="1" applyBorder="1" applyAlignment="1">
      <alignment horizontal="center"/>
    </xf>
    <xf numFmtId="169" fontId="29" fillId="3" borderId="30" xfId="3" applyNumberFormat="1" applyFont="1" applyFill="1" applyBorder="1" applyAlignment="1">
      <alignment horizontal="center"/>
    </xf>
    <xf numFmtId="169" fontId="29" fillId="3" borderId="60" xfId="3" applyNumberFormat="1" applyFont="1" applyFill="1" applyBorder="1" applyAlignment="1">
      <alignment horizontal="center"/>
    </xf>
    <xf numFmtId="166" fontId="12" fillId="3" borderId="6" xfId="3" applyNumberFormat="1" applyFont="1" applyFill="1" applyBorder="1" applyAlignment="1">
      <alignment horizontal="center"/>
    </xf>
    <xf numFmtId="169" fontId="12" fillId="20" borderId="0" xfId="3" applyNumberFormat="1" applyFont="1" applyFill="1"/>
    <xf numFmtId="2" fontId="53" fillId="5" borderId="1" xfId="0" applyNumberFormat="1" applyFont="1" applyFill="1" applyBorder="1" applyAlignment="1" applyProtection="1">
      <alignment horizontal="right"/>
      <protection locked="0"/>
    </xf>
    <xf numFmtId="2" fontId="53" fillId="5" borderId="1" xfId="0" applyNumberFormat="1" applyFont="1" applyFill="1" applyBorder="1" applyProtection="1">
      <protection locked="0"/>
    </xf>
    <xf numFmtId="0" fontId="53" fillId="5" borderId="1" xfId="0" applyFont="1" applyFill="1" applyBorder="1" applyAlignment="1" applyProtection="1">
      <alignment horizontal="center" vertical="center"/>
      <protection locked="0"/>
    </xf>
    <xf numFmtId="0" fontId="62" fillId="5" borderId="0" xfId="0" applyFont="1" applyFill="1" applyProtection="1">
      <protection locked="0"/>
    </xf>
    <xf numFmtId="179" fontId="53" fillId="0" borderId="0" xfId="0" applyNumberFormat="1" applyFont="1" applyAlignment="1" applyProtection="1">
      <alignment horizontal="left" vertical="center"/>
      <protection locked="0"/>
    </xf>
    <xf numFmtId="0" fontId="53" fillId="0" borderId="0" xfId="0" applyFont="1" applyProtection="1">
      <protection locked="0"/>
    </xf>
    <xf numFmtId="0" fontId="53" fillId="5" borderId="0" xfId="0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3" borderId="13" xfId="0" applyFont="1" applyFill="1" applyBorder="1" applyAlignment="1">
      <alignment horizontal="center" vertical="top" wrapText="1"/>
    </xf>
    <xf numFmtId="0" fontId="18" fillId="3" borderId="0" xfId="0" applyFont="1" applyFill="1" applyAlignment="1">
      <alignment horizontal="center" vertical="top" wrapText="1"/>
    </xf>
    <xf numFmtId="0" fontId="18" fillId="3" borderId="0" xfId="0" applyFont="1" applyFill="1" applyAlignment="1">
      <alignment horizontal="left" vertical="top" wrapTex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2" fillId="0" borderId="0" xfId="0" applyFont="1" applyAlignment="1" applyProtection="1">
      <alignment horizontal="left"/>
      <protection locked="0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/>
      <protection locked="0"/>
    </xf>
    <xf numFmtId="167" fontId="22" fillId="0" borderId="2" xfId="0" applyNumberFormat="1" applyFont="1" applyBorder="1" applyAlignment="1">
      <alignment horizontal="center" vertical="center"/>
    </xf>
    <xf numFmtId="167" fontId="22" fillId="0" borderId="4" xfId="0" applyNumberFormat="1" applyFont="1" applyBorder="1" applyAlignment="1">
      <alignment horizontal="center" vertical="center"/>
    </xf>
    <xf numFmtId="167" fontId="22" fillId="0" borderId="3" xfId="0" applyNumberFormat="1" applyFont="1" applyBorder="1" applyAlignment="1">
      <alignment horizontal="center" vertical="center"/>
    </xf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166" fontId="22" fillId="0" borderId="1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58" fillId="3" borderId="0" xfId="0" applyFont="1" applyFill="1" applyAlignment="1" applyProtection="1">
      <alignment horizontal="right"/>
      <protection locked="0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164" fontId="21" fillId="0" borderId="1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0" borderId="0" xfId="0" applyFont="1" applyAlignment="1" applyProtection="1">
      <alignment horizontal="left" vertical="top" wrapText="1"/>
      <protection locked="0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1" fillId="5" borderId="1" xfId="0" applyFont="1" applyFill="1" applyBorder="1" applyAlignment="1">
      <alignment horizontal="center"/>
    </xf>
    <xf numFmtId="165" fontId="0" fillId="23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165" fontId="0" fillId="23" borderId="2" xfId="0" applyNumberFormat="1" applyFill="1" applyBorder="1" applyAlignment="1">
      <alignment horizontal="center" vertical="center"/>
    </xf>
    <xf numFmtId="165" fontId="0" fillId="23" borderId="3" xfId="0" applyNumberFormat="1" applyFill="1" applyBorder="1" applyAlignment="1">
      <alignment horizontal="center" vertical="center"/>
    </xf>
    <xf numFmtId="165" fontId="0" fillId="23" borderId="5" xfId="0" applyNumberFormat="1" applyFill="1" applyBorder="1" applyAlignment="1">
      <alignment horizontal="center" vertical="center"/>
    </xf>
    <xf numFmtId="165" fontId="0" fillId="23" borderId="9" xfId="0" applyNumberFormat="1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165" fontId="0" fillId="12" borderId="4" xfId="0" applyNumberFormat="1" applyFill="1" applyBorder="1" applyAlignment="1">
      <alignment horizontal="center" vertical="center"/>
    </xf>
    <xf numFmtId="165" fontId="0" fillId="12" borderId="3" xfId="0" applyNumberForma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165" fontId="0" fillId="23" borderId="11" xfId="0" applyNumberFormat="1" applyFill="1" applyBorder="1" applyAlignment="1">
      <alignment horizontal="center" vertical="center"/>
    </xf>
    <xf numFmtId="165" fontId="0" fillId="23" borderId="12" xfId="0" applyNumberFormat="1" applyFill="1" applyBorder="1" applyAlignment="1">
      <alignment horizontal="center" vertical="center"/>
    </xf>
    <xf numFmtId="165" fontId="0" fillId="23" borderId="10" xfId="0" applyNumberFormat="1" applyFill="1" applyBorder="1" applyAlignment="1">
      <alignment horizontal="center" vertical="center"/>
    </xf>
    <xf numFmtId="165" fontId="0" fillId="23" borderId="1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5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0" fillId="6" borderId="1" xfId="0" applyNumberFormat="1" applyFill="1" applyBorder="1" applyAlignment="1">
      <alignment horizontal="center" wrapText="1"/>
    </xf>
    <xf numFmtId="16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 textRotation="90" wrapText="1"/>
    </xf>
    <xf numFmtId="167" fontId="0" fillId="15" borderId="1" xfId="0" applyNumberForma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167" fontId="0" fillId="8" borderId="0" xfId="0" applyNumberFormat="1" applyFill="1" applyAlignment="1">
      <alignment horizontal="center"/>
    </xf>
    <xf numFmtId="167" fontId="0" fillId="8" borderId="16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4" fillId="0" borderId="1" xfId="0" applyFont="1" applyBorder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2" fillId="0" borderId="2" xfId="0" applyFont="1" applyBorder="1" applyAlignment="1" applyProtection="1">
      <alignment horizontal="center"/>
      <protection locked="0"/>
    </xf>
    <xf numFmtId="0" fontId="42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64" fontId="20" fillId="3" borderId="1" xfId="0" applyNumberFormat="1" applyFont="1" applyFill="1" applyBorder="1" applyAlignment="1">
      <alignment horizontal="center" vertical="center"/>
    </xf>
    <xf numFmtId="167" fontId="3" fillId="3" borderId="10" xfId="0" applyNumberFormat="1" applyFont="1" applyFill="1" applyBorder="1" applyAlignment="1">
      <alignment horizontal="center" vertical="center"/>
    </xf>
    <xf numFmtId="167" fontId="3" fillId="3" borderId="12" xfId="0" applyNumberFormat="1" applyFont="1" applyFill="1" applyBorder="1" applyAlignment="1">
      <alignment horizontal="center" vertical="center"/>
    </xf>
    <xf numFmtId="167" fontId="3" fillId="3" borderId="15" xfId="0" applyNumberFormat="1" applyFont="1" applyFill="1" applyBorder="1" applyAlignment="1">
      <alignment horizontal="center" vertical="center"/>
    </xf>
    <xf numFmtId="167" fontId="3" fillId="3" borderId="17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177" fontId="43" fillId="0" borderId="1" xfId="0" applyNumberFormat="1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left"/>
      <protection locked="0"/>
    </xf>
    <xf numFmtId="0" fontId="32" fillId="0" borderId="0" xfId="5" applyFont="1" applyAlignment="1">
      <alignment horizontal="left" vertical="center" wrapText="1"/>
    </xf>
    <xf numFmtId="0" fontId="47" fillId="0" borderId="0" xfId="0" applyFont="1" applyAlignment="1">
      <alignment horizontal="left" vertical="top"/>
    </xf>
    <xf numFmtId="180" fontId="32" fillId="0" borderId="0" xfId="5" applyNumberFormat="1" applyFont="1" applyAlignment="1">
      <alignment horizontal="left" vertical="top" wrapText="1"/>
    </xf>
    <xf numFmtId="0" fontId="46" fillId="0" borderId="0" xfId="5" applyFont="1" applyAlignment="1" applyProtection="1">
      <alignment horizontal="center" vertical="center"/>
      <protection locked="0"/>
    </xf>
    <xf numFmtId="0" fontId="32" fillId="0" borderId="0" xfId="5" applyFont="1" applyAlignment="1">
      <alignment horizontal="center"/>
    </xf>
    <xf numFmtId="0" fontId="48" fillId="0" borderId="0" xfId="0" applyFont="1" applyAlignment="1">
      <alignment horizontal="right"/>
    </xf>
    <xf numFmtId="0" fontId="32" fillId="0" borderId="0" xfId="5" applyFont="1" applyAlignment="1" applyProtection="1">
      <alignment horizontal="left" vertical="center" wrapText="1"/>
      <protection locked="0"/>
    </xf>
    <xf numFmtId="0" fontId="32" fillId="0" borderId="5" xfId="5" applyFont="1" applyBorder="1" applyAlignment="1">
      <alignment horizontal="left" vertical="top" wrapText="1"/>
    </xf>
    <xf numFmtId="0" fontId="32" fillId="0" borderId="7" xfId="5" applyFont="1" applyBorder="1" applyAlignment="1">
      <alignment horizontal="left" vertical="top" wrapText="1"/>
    </xf>
    <xf numFmtId="0" fontId="12" fillId="3" borderId="33" xfId="3" applyFont="1" applyFill="1" applyBorder="1" applyAlignment="1">
      <alignment horizontal="center" vertical="center"/>
    </xf>
    <xf numFmtId="0" fontId="12" fillId="3" borderId="34" xfId="3" applyFont="1" applyFill="1" applyBorder="1" applyAlignment="1">
      <alignment horizontal="center" vertical="center"/>
    </xf>
    <xf numFmtId="0" fontId="29" fillId="3" borderId="0" xfId="3" applyFont="1" applyFill="1" applyAlignment="1">
      <alignment horizontal="center" vertical="center"/>
    </xf>
    <xf numFmtId="0" fontId="28" fillId="10" borderId="18" xfId="3" applyFont="1" applyFill="1" applyBorder="1" applyAlignment="1" applyProtection="1">
      <alignment horizontal="center" vertical="center"/>
      <protection locked="0"/>
    </xf>
    <xf numFmtId="0" fontId="28" fillId="10" borderId="8" xfId="3" applyFont="1" applyFill="1" applyBorder="1" applyAlignment="1" applyProtection="1">
      <alignment horizontal="center" vertical="center"/>
      <protection locked="0"/>
    </xf>
    <xf numFmtId="0" fontId="28" fillId="10" borderId="40" xfId="3" applyFont="1" applyFill="1" applyBorder="1" applyAlignment="1" applyProtection="1">
      <alignment horizontal="center" vertical="center"/>
      <protection locked="0"/>
    </xf>
    <xf numFmtId="0" fontId="28" fillId="10" borderId="19" xfId="3" applyFont="1" applyFill="1" applyBorder="1" applyAlignment="1" applyProtection="1">
      <alignment horizontal="center" vertical="center"/>
      <protection locked="0"/>
    </xf>
    <xf numFmtId="0" fontId="28" fillId="3" borderId="1" xfId="4" applyFont="1" applyFill="1" applyBorder="1" applyAlignment="1">
      <alignment horizontal="center" vertical="center"/>
    </xf>
    <xf numFmtId="0" fontId="28" fillId="10" borderId="28" xfId="3" applyFont="1" applyFill="1" applyBorder="1" applyAlignment="1" applyProtection="1">
      <alignment horizontal="center" vertical="center"/>
      <protection locked="0"/>
    </xf>
    <xf numFmtId="0" fontId="28" fillId="10" borderId="30" xfId="3" applyFont="1" applyFill="1" applyBorder="1" applyAlignment="1" applyProtection="1">
      <alignment horizontal="center" vertical="center"/>
      <protection locked="0"/>
    </xf>
    <xf numFmtId="0" fontId="28" fillId="10" borderId="38" xfId="3" applyFont="1" applyFill="1" applyBorder="1" applyAlignment="1" applyProtection="1">
      <alignment horizontal="center" vertical="center"/>
      <protection locked="0"/>
    </xf>
    <xf numFmtId="0" fontId="28" fillId="10" borderId="29" xfId="3" applyFont="1" applyFill="1" applyBorder="1" applyAlignment="1" applyProtection="1">
      <alignment horizontal="center" vertical="center"/>
      <protection locked="0"/>
    </xf>
    <xf numFmtId="0" fontId="29" fillId="3" borderId="23" xfId="4" applyFont="1" applyFill="1" applyBorder="1" applyAlignment="1">
      <alignment horizontal="left" vertical="center" wrapText="1"/>
    </xf>
    <xf numFmtId="0" fontId="29" fillId="3" borderId="8" xfId="4" applyFont="1" applyFill="1" applyBorder="1" applyAlignment="1">
      <alignment horizontal="left" vertical="center" wrapText="1"/>
    </xf>
    <xf numFmtId="0" fontId="29" fillId="3" borderId="19" xfId="4" applyFont="1" applyFill="1" applyBorder="1" applyAlignment="1">
      <alignment horizontal="left" vertical="center" wrapText="1"/>
    </xf>
    <xf numFmtId="0" fontId="31" fillId="3" borderId="1" xfId="3" applyFont="1" applyFill="1" applyBorder="1" applyAlignment="1">
      <alignment horizontal="center" vertical="center"/>
    </xf>
    <xf numFmtId="0" fontId="31" fillId="3" borderId="27" xfId="3" applyFont="1" applyFill="1" applyBorder="1" applyAlignment="1">
      <alignment horizontal="center" vertical="center"/>
    </xf>
    <xf numFmtId="0" fontId="29" fillId="3" borderId="49" xfId="3" applyFont="1" applyFill="1" applyBorder="1" applyAlignment="1">
      <alignment horizontal="center" vertical="center" wrapText="1"/>
    </xf>
    <xf numFmtId="0" fontId="29" fillId="3" borderId="48" xfId="3" applyFont="1" applyFill="1" applyBorder="1" applyAlignment="1">
      <alignment horizontal="center" vertical="center" wrapText="1"/>
    </xf>
    <xf numFmtId="0" fontId="29" fillId="3" borderId="43" xfId="3" applyFont="1" applyFill="1" applyBorder="1" applyAlignment="1">
      <alignment horizontal="center" vertical="center" wrapText="1"/>
    </xf>
    <xf numFmtId="0" fontId="29" fillId="3" borderId="1" xfId="3" applyFont="1" applyFill="1" applyBorder="1" applyAlignment="1">
      <alignment horizontal="center" vertical="center" wrapText="1"/>
    </xf>
    <xf numFmtId="0" fontId="28" fillId="3" borderId="27" xfId="4" applyFont="1" applyFill="1" applyBorder="1" applyAlignment="1">
      <alignment horizontal="center" vertical="center" wrapText="1"/>
    </xf>
    <xf numFmtId="0" fontId="12" fillId="12" borderId="0" xfId="3" applyFont="1" applyFill="1" applyAlignment="1">
      <alignment horizontal="center"/>
    </xf>
    <xf numFmtId="0" fontId="29" fillId="3" borderId="46" xfId="3" applyFont="1" applyFill="1" applyBorder="1" applyAlignment="1">
      <alignment horizontal="center" vertical="center"/>
    </xf>
    <xf numFmtId="0" fontId="29" fillId="3" borderId="45" xfId="3" applyFont="1" applyFill="1" applyBorder="1" applyAlignment="1">
      <alignment horizontal="center" vertical="center"/>
    </xf>
    <xf numFmtId="0" fontId="29" fillId="3" borderId="44" xfId="3" applyFont="1" applyFill="1" applyBorder="1" applyAlignment="1">
      <alignment horizontal="center" vertical="center"/>
    </xf>
    <xf numFmtId="0" fontId="12" fillId="10" borderId="25" xfId="3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center" vertical="center"/>
    </xf>
    <xf numFmtId="0" fontId="29" fillId="3" borderId="22" xfId="4" applyFont="1" applyFill="1" applyBorder="1" applyAlignment="1">
      <alignment horizontal="left" vertical="center" wrapText="1"/>
    </xf>
    <xf numFmtId="0" fontId="29" fillId="3" borderId="21" xfId="4" applyFont="1" applyFill="1" applyBorder="1" applyAlignment="1">
      <alignment horizontal="left" vertical="center" wrapText="1"/>
    </xf>
    <xf numFmtId="1" fontId="29" fillId="12" borderId="1" xfId="3" applyNumberFormat="1" applyFont="1" applyFill="1" applyBorder="1" applyAlignment="1">
      <alignment horizontal="center" vertical="center"/>
    </xf>
    <xf numFmtId="1" fontId="29" fillId="12" borderId="5" xfId="3" applyNumberFormat="1" applyFont="1" applyFill="1" applyBorder="1" applyAlignment="1">
      <alignment horizontal="center" vertical="center"/>
    </xf>
    <xf numFmtId="0" fontId="28" fillId="12" borderId="1" xfId="3" applyFont="1" applyFill="1" applyBorder="1" applyAlignment="1">
      <alignment horizontal="center" vertical="center"/>
    </xf>
    <xf numFmtId="0" fontId="28" fillId="12" borderId="5" xfId="3" applyFont="1" applyFill="1" applyBorder="1" applyAlignment="1">
      <alignment horizontal="center" vertical="center"/>
    </xf>
    <xf numFmtId="0" fontId="29" fillId="10" borderId="22" xfId="4" applyFont="1" applyFill="1" applyBorder="1" applyAlignment="1">
      <alignment horizontal="center" vertical="center"/>
    </xf>
    <xf numFmtId="1" fontId="29" fillId="12" borderId="22" xfId="3" applyNumberFormat="1" applyFont="1" applyFill="1" applyBorder="1" applyAlignment="1">
      <alignment horizontal="center" vertical="center"/>
    </xf>
    <xf numFmtId="1" fontId="29" fillId="12" borderId="23" xfId="3" applyNumberFormat="1" applyFont="1" applyFill="1" applyBorder="1" applyAlignment="1">
      <alignment horizontal="center" vertical="center"/>
    </xf>
    <xf numFmtId="0" fontId="31" fillId="10" borderId="1" xfId="3" applyFont="1" applyFill="1" applyBorder="1" applyAlignment="1">
      <alignment horizontal="center" vertical="center"/>
    </xf>
    <xf numFmtId="0" fontId="28" fillId="10" borderId="20" xfId="3" applyFont="1" applyFill="1" applyBorder="1" applyAlignment="1">
      <alignment horizontal="center" vertical="center"/>
    </xf>
    <xf numFmtId="0" fontId="28" fillId="10" borderId="25" xfId="3" applyFont="1" applyFill="1" applyBorder="1" applyAlignment="1">
      <alignment horizontal="center" vertical="center"/>
    </xf>
    <xf numFmtId="0" fontId="28" fillId="10" borderId="22" xfId="3" applyFont="1" applyFill="1" applyBorder="1" applyAlignment="1">
      <alignment horizontal="center" vertical="center" wrapText="1"/>
    </xf>
    <xf numFmtId="0" fontId="28" fillId="10" borderId="1" xfId="3" applyFont="1" applyFill="1" applyBorder="1" applyAlignment="1">
      <alignment horizontal="center" vertical="center" wrapText="1"/>
    </xf>
    <xf numFmtId="0" fontId="28" fillId="10" borderId="22" xfId="3" applyFont="1" applyFill="1" applyBorder="1" applyAlignment="1">
      <alignment horizontal="center" vertical="center"/>
    </xf>
    <xf numFmtId="0" fontId="28" fillId="10" borderId="1" xfId="3" applyFont="1" applyFill="1" applyBorder="1" applyAlignment="1">
      <alignment horizontal="center" vertical="center"/>
    </xf>
    <xf numFmtId="0" fontId="11" fillId="0" borderId="33" xfId="3" applyBorder="1" applyAlignment="1">
      <alignment horizontal="center" vertical="center"/>
    </xf>
    <xf numFmtId="0" fontId="11" fillId="0" borderId="53" xfId="3" applyBorder="1" applyAlignment="1">
      <alignment horizontal="center" vertical="center"/>
    </xf>
    <xf numFmtId="0" fontId="11" fillId="0" borderId="34" xfId="3" applyBorder="1" applyAlignment="1">
      <alignment horizontal="center" vertical="center"/>
    </xf>
    <xf numFmtId="0" fontId="29" fillId="10" borderId="59" xfId="4" applyFont="1" applyFill="1" applyBorder="1" applyAlignment="1">
      <alignment horizontal="center" vertical="center"/>
    </xf>
    <xf numFmtId="0" fontId="29" fillId="10" borderId="40" xfId="4" applyFont="1" applyFill="1" applyBorder="1" applyAlignment="1">
      <alignment horizontal="center" vertical="center"/>
    </xf>
    <xf numFmtId="0" fontId="29" fillId="10" borderId="47" xfId="4" applyFont="1" applyFill="1" applyBorder="1" applyAlignment="1">
      <alignment horizontal="center" vertical="center"/>
    </xf>
    <xf numFmtId="0" fontId="35" fillId="10" borderId="46" xfId="3" applyFont="1" applyFill="1" applyBorder="1" applyAlignment="1">
      <alignment horizontal="center" vertical="center"/>
    </xf>
    <xf numFmtId="0" fontId="35" fillId="10" borderId="57" xfId="3" applyFont="1" applyFill="1" applyBorder="1" applyAlignment="1">
      <alignment horizontal="center" vertical="center"/>
    </xf>
    <xf numFmtId="0" fontId="35" fillId="10" borderId="58" xfId="3" applyFont="1" applyFill="1" applyBorder="1" applyAlignment="1">
      <alignment horizontal="center" vertical="center"/>
    </xf>
    <xf numFmtId="0" fontId="35" fillId="10" borderId="45" xfId="3" applyFont="1" applyFill="1" applyBorder="1" applyAlignment="1">
      <alignment horizontal="center" vertical="center"/>
    </xf>
    <xf numFmtId="0" fontId="35" fillId="10" borderId="33" xfId="3" applyFont="1" applyFill="1" applyBorder="1" applyAlignment="1">
      <alignment horizontal="center" vertical="center"/>
    </xf>
    <xf numFmtId="0" fontId="35" fillId="10" borderId="34" xfId="3" applyFont="1" applyFill="1" applyBorder="1" applyAlignment="1">
      <alignment horizontal="center" vertical="center"/>
    </xf>
    <xf numFmtId="0" fontId="30" fillId="10" borderId="46" xfId="4" applyFont="1" applyFill="1" applyBorder="1" applyAlignment="1">
      <alignment horizontal="center" vertical="center"/>
    </xf>
    <xf numFmtId="0" fontId="30" fillId="10" borderId="57" xfId="4" applyFont="1" applyFill="1" applyBorder="1" applyAlignment="1">
      <alignment horizontal="center" vertical="center"/>
    </xf>
    <xf numFmtId="0" fontId="36" fillId="10" borderId="51" xfId="4" applyFont="1" applyFill="1" applyBorder="1" applyAlignment="1">
      <alignment horizontal="center" vertical="center"/>
    </xf>
    <xf numFmtId="0" fontId="30" fillId="10" borderId="56" xfId="4" applyFont="1" applyFill="1" applyBorder="1" applyAlignment="1">
      <alignment horizontal="center" vertical="center"/>
    </xf>
    <xf numFmtId="1" fontId="9" fillId="10" borderId="59" xfId="3" applyNumberFormat="1" applyFont="1" applyFill="1" applyBorder="1" applyAlignment="1">
      <alignment horizontal="center" vertical="center"/>
    </xf>
    <xf numFmtId="1" fontId="9" fillId="10" borderId="47" xfId="3" applyNumberFormat="1" applyFont="1" applyFill="1" applyBorder="1" applyAlignment="1">
      <alignment horizontal="center" vertical="center"/>
    </xf>
    <xf numFmtId="0" fontId="29" fillId="10" borderId="46" xfId="4" applyFont="1" applyFill="1" applyBorder="1" applyAlignment="1">
      <alignment horizontal="center" vertical="center"/>
    </xf>
    <xf numFmtId="0" fontId="29" fillId="10" borderId="45" xfId="4" applyFont="1" applyFill="1" applyBorder="1" applyAlignment="1">
      <alignment horizontal="center" vertical="center"/>
    </xf>
    <xf numFmtId="0" fontId="29" fillId="10" borderId="44" xfId="4" applyFont="1" applyFill="1" applyBorder="1" applyAlignment="1">
      <alignment horizontal="center" vertical="center"/>
    </xf>
    <xf numFmtId="0" fontId="30" fillId="10" borderId="1" xfId="4" applyFont="1" applyFill="1" applyBorder="1" applyAlignment="1">
      <alignment horizontal="center" vertical="center"/>
    </xf>
    <xf numFmtId="0" fontId="36" fillId="10" borderId="1" xfId="4" applyFont="1" applyFill="1" applyBorder="1" applyAlignment="1">
      <alignment horizontal="center" vertical="center"/>
    </xf>
    <xf numFmtId="0" fontId="11" fillId="0" borderId="59" xfId="3" applyBorder="1" applyAlignment="1">
      <alignment horizontal="center" vertical="center"/>
    </xf>
    <xf numFmtId="0" fontId="11" fillId="0" borderId="24" xfId="3" applyBorder="1" applyAlignment="1">
      <alignment horizontal="center" vertical="center"/>
    </xf>
    <xf numFmtId="0" fontId="11" fillId="0" borderId="51" xfId="3" applyBorder="1" applyAlignment="1">
      <alignment horizontal="center" vertical="center"/>
    </xf>
    <xf numFmtId="0" fontId="29" fillId="10" borderId="1" xfId="4" applyFont="1" applyFill="1" applyBorder="1" applyAlignment="1">
      <alignment horizontal="center" vertical="center"/>
    </xf>
    <xf numFmtId="1" fontId="9" fillId="10" borderId="1" xfId="3" applyNumberFormat="1" applyFont="1" applyFill="1" applyBorder="1" applyAlignment="1">
      <alignment horizontal="center" vertical="center"/>
    </xf>
    <xf numFmtId="0" fontId="35" fillId="10" borderId="1" xfId="3" applyFont="1" applyFill="1" applyBorder="1" applyAlignment="1">
      <alignment horizontal="center" vertical="center"/>
    </xf>
    <xf numFmtId="0" fontId="37" fillId="13" borderId="46" xfId="3" applyFont="1" applyFill="1" applyBorder="1" applyAlignment="1">
      <alignment horizontal="center" vertical="center"/>
    </xf>
    <xf numFmtId="0" fontId="37" fillId="13" borderId="40" xfId="3" applyFont="1" applyFill="1" applyBorder="1" applyAlignment="1">
      <alignment horizontal="center" vertical="center"/>
    </xf>
    <xf numFmtId="0" fontId="37" fillId="13" borderId="45" xfId="3" applyFont="1" applyFill="1" applyBorder="1" applyAlignment="1">
      <alignment horizontal="center" vertical="center"/>
    </xf>
    <xf numFmtId="0" fontId="37" fillId="13" borderId="47" xfId="3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4" xr:uid="{0FD8D3D6-9A0B-4891-9E6F-F65B3827FC1C}"/>
    <cellStyle name="Normal 2 3" xfId="5" xr:uid="{C3C14678-E4DC-4DB5-86BE-8513D5F4FF1A}"/>
    <cellStyle name="Normal 3" xfId="3" xr:uid="{863C9A82-B6A7-4A9C-A1F2-2609C9CF2F47}"/>
    <cellStyle name="Normal_Daftar kelistrikan (ecg)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611365</xdr:colOff>
      <xdr:row>62</xdr:row>
      <xdr:rowOff>95248</xdr:rowOff>
    </xdr:from>
    <xdr:to>
      <xdr:col>8</xdr:col>
      <xdr:colOff>506590</xdr:colOff>
      <xdr:row>67</xdr:row>
      <xdr:rowOff>65690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501537" y="11054472"/>
          <a:ext cx="979105" cy="69302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1004006</xdr:colOff>
      <xdr:row>63</xdr:row>
      <xdr:rowOff>152400</xdr:rowOff>
    </xdr:from>
    <xdr:to>
      <xdr:col>8</xdr:col>
      <xdr:colOff>67381</xdr:colOff>
      <xdr:row>65</xdr:row>
      <xdr:rowOff>1059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902450" y="11363678"/>
          <a:ext cx="142875" cy="201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982486</xdr:colOff>
      <xdr:row>64</xdr:row>
      <xdr:rowOff>167217</xdr:rowOff>
    </xdr:from>
    <xdr:to>
      <xdr:col>8</xdr:col>
      <xdr:colOff>93486</xdr:colOff>
      <xdr:row>66</xdr:row>
      <xdr:rowOff>28929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6880930" y="11554884"/>
          <a:ext cx="190500" cy="2144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198262</xdr:colOff>
      <xdr:row>63</xdr:row>
      <xdr:rowOff>173567</xdr:rowOff>
    </xdr:from>
    <xdr:to>
      <xdr:col>8</xdr:col>
      <xdr:colOff>322087</xdr:colOff>
      <xdr:row>65</xdr:row>
      <xdr:rowOff>30692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7176206" y="11384845"/>
          <a:ext cx="123825" cy="2099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984955</xdr:colOff>
      <xdr:row>62</xdr:row>
      <xdr:rowOff>144992</xdr:rowOff>
    </xdr:from>
    <xdr:to>
      <xdr:col>8</xdr:col>
      <xdr:colOff>124531</xdr:colOff>
      <xdr:row>63</xdr:row>
      <xdr:rowOff>176037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6883399" y="11165770"/>
          <a:ext cx="219076" cy="221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7</xdr:col>
      <xdr:colOff>743315</xdr:colOff>
      <xdr:row>63</xdr:row>
      <xdr:rowOff>166511</xdr:rowOff>
    </xdr:from>
    <xdr:to>
      <xdr:col>7</xdr:col>
      <xdr:colOff>914765</xdr:colOff>
      <xdr:row>65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633487" y="11311856"/>
          <a:ext cx="171450" cy="1838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972353</xdr:colOff>
      <xdr:row>66</xdr:row>
      <xdr:rowOff>12359</xdr:rowOff>
    </xdr:from>
    <xdr:to>
      <xdr:col>8</xdr:col>
      <xdr:colOff>59923</xdr:colOff>
      <xdr:row>67</xdr:row>
      <xdr:rowOff>10073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EE9963-8D1C-4123-BD39-8A34DE065A51}"/>
            </a:ext>
          </a:extLst>
        </xdr:cNvPr>
        <xdr:cNvSpPr txBox="1"/>
      </xdr:nvSpPr>
      <xdr:spPr>
        <a:xfrm>
          <a:off x="6862525" y="11508049"/>
          <a:ext cx="171450" cy="1838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  <a:p>
          <a:endParaRPr lang="en-US" sz="1100"/>
        </a:p>
      </xdr:txBody>
    </xdr:sp>
    <xdr:clientData/>
  </xdr:twoCellAnchor>
  <xdr:twoCellAnchor>
    <xdr:from>
      <xdr:col>7</xdr:col>
      <xdr:colOff>543277</xdr:colOff>
      <xdr:row>67</xdr:row>
      <xdr:rowOff>127000</xdr:rowOff>
    </xdr:from>
    <xdr:to>
      <xdr:col>8</xdr:col>
      <xdr:colOff>559918</xdr:colOff>
      <xdr:row>70</xdr:row>
      <xdr:rowOff>122474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83894A-CD03-46AF-80B6-28E6D3407B12}"/>
            </a:ext>
          </a:extLst>
        </xdr:cNvPr>
        <xdr:cNvGrpSpPr/>
      </xdr:nvGrpSpPr>
      <xdr:grpSpPr>
        <a:xfrm>
          <a:off x="6533444" y="11867444"/>
          <a:ext cx="1096141" cy="524641"/>
          <a:chOff x="5514975" y="8915400"/>
          <a:chExt cx="1057275" cy="5334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0202053-45C5-4067-A055-1E7FF48B6C02}"/>
              </a:ext>
            </a:extLst>
          </xdr:cNvPr>
          <xdr:cNvSpPr/>
        </xdr:nvSpPr>
        <xdr:spPr>
          <a:xfrm>
            <a:off x="5514975" y="8915400"/>
            <a:ext cx="1057275" cy="533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2F3608B-E0B9-4BDD-B281-C8C2187E312B}"/>
              </a:ext>
            </a:extLst>
          </xdr:cNvPr>
          <xdr:cNvSpPr txBox="1"/>
        </xdr:nvSpPr>
        <xdr:spPr>
          <a:xfrm>
            <a:off x="5924550" y="906780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E15DF09-5EDC-4087-A310-D2354E122D3A}"/>
              </a:ext>
            </a:extLst>
          </xdr:cNvPr>
          <xdr:cNvSpPr txBox="1"/>
        </xdr:nvSpPr>
        <xdr:spPr>
          <a:xfrm>
            <a:off x="6391275" y="9201151"/>
            <a:ext cx="161925" cy="190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E6999C36-6E9B-49E6-8AB7-B637825DA58B}"/>
              </a:ext>
            </a:extLst>
          </xdr:cNvPr>
          <xdr:cNvSpPr txBox="1"/>
        </xdr:nvSpPr>
        <xdr:spPr>
          <a:xfrm>
            <a:off x="5534025" y="9191625"/>
            <a:ext cx="19050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CFC85B99-E31D-4854-A7E9-5D7EEFF58C07}"/>
              </a:ext>
            </a:extLst>
          </xdr:cNvPr>
          <xdr:cNvSpPr txBox="1"/>
        </xdr:nvSpPr>
        <xdr:spPr>
          <a:xfrm>
            <a:off x="6381750" y="8943975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8BB38A04-63D6-43BD-920A-0A4BC31C7381}"/>
              </a:ext>
            </a:extLst>
          </xdr:cNvPr>
          <xdr:cNvSpPr txBox="1"/>
        </xdr:nvSpPr>
        <xdr:spPr>
          <a:xfrm>
            <a:off x="5534024" y="8943976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C24" sqref="C24"/>
    </sheetView>
  </sheetViews>
  <sheetFormatPr defaultRowHeight="14.4" x14ac:dyDescent="0.3"/>
  <cols>
    <col min="3" max="3" width="15" bestFit="1" customWidth="1"/>
    <col min="6" max="6" width="10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C2" t="s">
        <v>2</v>
      </c>
    </row>
    <row r="3" spans="1:10" x14ac:dyDescent="0.3">
      <c r="A3" t="s">
        <v>3</v>
      </c>
      <c r="C3" t="s">
        <v>4</v>
      </c>
    </row>
    <row r="4" spans="1:10" x14ac:dyDescent="0.3">
      <c r="A4" t="s">
        <v>5</v>
      </c>
      <c r="C4" t="s">
        <v>6</v>
      </c>
    </row>
    <row r="6" spans="1:10" x14ac:dyDescent="0.3">
      <c r="A6" t="s">
        <v>7</v>
      </c>
      <c r="C6" s="5" t="s">
        <v>8</v>
      </c>
    </row>
    <row r="7" spans="1:10" x14ac:dyDescent="0.3">
      <c r="A7" s="4" t="s">
        <v>9</v>
      </c>
      <c r="C7">
        <v>100.00004</v>
      </c>
      <c r="D7" t="s">
        <v>10</v>
      </c>
    </row>
    <row r="8" spans="1:10" x14ac:dyDescent="0.3">
      <c r="A8" t="s">
        <v>11</v>
      </c>
      <c r="C8">
        <v>0.15</v>
      </c>
      <c r="D8" t="s">
        <v>12</v>
      </c>
    </row>
    <row r="10" spans="1:10" x14ac:dyDescent="0.3">
      <c r="A10" s="572" t="s">
        <v>13</v>
      </c>
      <c r="B10" s="572" t="s">
        <v>14</v>
      </c>
      <c r="C10" s="572" t="s">
        <v>15</v>
      </c>
      <c r="D10" s="572" t="s">
        <v>16</v>
      </c>
      <c r="E10" s="571" t="s">
        <v>17</v>
      </c>
      <c r="F10" s="571"/>
      <c r="G10" s="571" t="s">
        <v>18</v>
      </c>
      <c r="H10" s="571" t="s">
        <v>19</v>
      </c>
      <c r="I10" s="571" t="s">
        <v>20</v>
      </c>
      <c r="J10" s="571" t="s">
        <v>21</v>
      </c>
    </row>
    <row r="11" spans="1:10" x14ac:dyDescent="0.3">
      <c r="A11" s="572"/>
      <c r="B11" s="572"/>
      <c r="C11" s="572"/>
      <c r="D11" s="572"/>
      <c r="E11" s="1" t="s">
        <v>22</v>
      </c>
      <c r="F11" s="1" t="s">
        <v>23</v>
      </c>
      <c r="G11" s="571"/>
      <c r="H11" s="571"/>
      <c r="I11" s="571"/>
      <c r="J11" s="571"/>
    </row>
    <row r="12" spans="1:10" x14ac:dyDescent="0.3">
      <c r="A12" s="571" t="s">
        <v>24</v>
      </c>
      <c r="B12" s="571" t="s">
        <v>25</v>
      </c>
      <c r="C12" s="571" t="s">
        <v>26</v>
      </c>
      <c r="D12" s="571" t="s">
        <v>27</v>
      </c>
      <c r="E12" s="571" t="s">
        <v>28</v>
      </c>
      <c r="F12" s="571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">
      <c r="A13" s="571"/>
      <c r="B13" s="571"/>
      <c r="C13" s="571"/>
      <c r="D13" s="571"/>
      <c r="E13" s="571"/>
      <c r="F13" s="571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21A2-2419-41F3-94E6-A72A6981ABA7}">
  <dimension ref="A1:H61"/>
  <sheetViews>
    <sheetView zoomScale="70" zoomScaleNormal="70" workbookViewId="0">
      <selection activeCell="H1" sqref="H1"/>
    </sheetView>
  </sheetViews>
  <sheetFormatPr defaultColWidth="9.21875" defaultRowHeight="14.4" x14ac:dyDescent="0.3"/>
  <cols>
    <col min="1" max="1" width="18.21875" style="321" customWidth="1"/>
    <col min="2" max="2" width="25" style="321" customWidth="1"/>
    <col min="3" max="3" width="2.44140625" style="321" customWidth="1"/>
    <col min="4" max="4" width="15.5546875" style="321" customWidth="1"/>
    <col min="5" max="5" width="9.21875" style="321"/>
    <col min="6" max="6" width="22" style="321" customWidth="1"/>
    <col min="7" max="16384" width="9.21875" style="321"/>
  </cols>
  <sheetData>
    <row r="1" spans="1:8" x14ac:dyDescent="0.3">
      <c r="H1" s="321" t="s">
        <v>427</v>
      </c>
    </row>
    <row r="2" spans="1:8" ht="32.25" customHeight="1" x14ac:dyDescent="0.3">
      <c r="A2" s="713" t="s">
        <v>351</v>
      </c>
      <c r="B2" s="713"/>
      <c r="C2" s="713"/>
      <c r="D2" s="713"/>
      <c r="E2" s="713"/>
      <c r="F2" s="713"/>
    </row>
    <row r="3" spans="1:8" x14ac:dyDescent="0.3">
      <c r="A3" s="714" t="str">
        <f>"Nomor : 51 /"&amp;" "&amp;ID!I2</f>
        <v>Nomor : 51 / 1 / VIII - 20 / E - 011.120 DL</v>
      </c>
      <c r="B3" s="714"/>
      <c r="C3" s="714"/>
      <c r="D3" s="714"/>
      <c r="E3" s="714"/>
      <c r="F3" s="714"/>
    </row>
    <row r="4" spans="1:8" x14ac:dyDescent="0.3">
      <c r="D4" s="715" t="s">
        <v>388</v>
      </c>
      <c r="E4" s="715"/>
      <c r="F4" s="715"/>
    </row>
    <row r="6" spans="1:8" ht="28.5" customHeight="1" x14ac:dyDescent="0.3">
      <c r="A6" s="322" t="s">
        <v>352</v>
      </c>
      <c r="B6" s="364" t="s">
        <v>415</v>
      </c>
      <c r="C6" s="323"/>
      <c r="D6" s="324" t="s">
        <v>353</v>
      </c>
      <c r="E6" s="325"/>
      <c r="F6" s="326" t="str">
        <f>MID(A3,SEARCH("E - ",A3),LEN(A3))</f>
        <v>E - 011.120 DL</v>
      </c>
    </row>
    <row r="7" spans="1:8" x14ac:dyDescent="0.3">
      <c r="A7" s="321" t="s">
        <v>143</v>
      </c>
    </row>
    <row r="8" spans="1:8" x14ac:dyDescent="0.3">
      <c r="A8" s="710" t="s">
        <v>32</v>
      </c>
      <c r="B8" s="710"/>
      <c r="C8" s="321" t="s">
        <v>33</v>
      </c>
      <c r="D8" s="351" t="str">
        <f>ID!D4</f>
        <v>a</v>
      </c>
    </row>
    <row r="9" spans="1:8" x14ac:dyDescent="0.3">
      <c r="A9" s="710" t="s">
        <v>354</v>
      </c>
      <c r="B9" s="710"/>
      <c r="C9" s="321" t="s">
        <v>33</v>
      </c>
      <c r="D9" s="351" t="str">
        <f>ID!D5</f>
        <v>b</v>
      </c>
    </row>
    <row r="10" spans="1:8" x14ac:dyDescent="0.3">
      <c r="A10" s="710" t="s">
        <v>355</v>
      </c>
      <c r="B10" s="710"/>
      <c r="C10" s="321" t="s">
        <v>33</v>
      </c>
      <c r="D10" s="351">
        <f>ID!D6</f>
        <v>122</v>
      </c>
    </row>
    <row r="11" spans="1:8" hidden="1" x14ac:dyDescent="0.3">
      <c r="A11" s="716" t="s">
        <v>36</v>
      </c>
      <c r="B11" s="716"/>
    </row>
    <row r="12" spans="1:8" x14ac:dyDescent="0.3">
      <c r="A12" s="716" t="s">
        <v>37</v>
      </c>
      <c r="B12" s="716"/>
      <c r="C12" s="321" t="s">
        <v>33</v>
      </c>
      <c r="D12" s="327">
        <f>ID!D8</f>
        <v>0.01</v>
      </c>
      <c r="E12" s="321" t="s">
        <v>10</v>
      </c>
    </row>
    <row r="14" spans="1:8" ht="27.75" customHeight="1" x14ac:dyDescent="0.3">
      <c r="A14" s="328" t="s">
        <v>356</v>
      </c>
      <c r="B14" s="329"/>
      <c r="D14" s="717" t="s">
        <v>357</v>
      </c>
      <c r="E14" s="718"/>
      <c r="F14" s="330"/>
    </row>
    <row r="16" spans="1:8" ht="36.75" customHeight="1" x14ac:dyDescent="0.3">
      <c r="A16" s="331" t="s">
        <v>358</v>
      </c>
      <c r="C16" s="331" t="s">
        <v>33</v>
      </c>
      <c r="D16" s="331" t="s">
        <v>359</v>
      </c>
    </row>
    <row r="17" spans="1:6" x14ac:dyDescent="0.3">
      <c r="A17" s="710" t="s">
        <v>360</v>
      </c>
      <c r="B17" s="710"/>
      <c r="C17" s="321" t="s">
        <v>33</v>
      </c>
      <c r="D17" s="321" t="str">
        <f>ID!D12</f>
        <v>Ruang Bayi</v>
      </c>
    </row>
    <row r="18" spans="1:6" x14ac:dyDescent="0.3">
      <c r="A18" s="710" t="s">
        <v>361</v>
      </c>
      <c r="B18" s="710"/>
      <c r="C18" s="321" t="s">
        <v>33</v>
      </c>
      <c r="D18" s="352">
        <f>ID!D9</f>
        <v>44655</v>
      </c>
    </row>
    <row r="19" spans="1:6" x14ac:dyDescent="0.3">
      <c r="A19" s="710" t="s">
        <v>38</v>
      </c>
      <c r="B19" s="710"/>
      <c r="C19" s="321" t="s">
        <v>33</v>
      </c>
      <c r="D19" s="352">
        <f>ID!D10</f>
        <v>44655</v>
      </c>
    </row>
    <row r="20" spans="1:6" x14ac:dyDescent="0.3">
      <c r="A20" s="710" t="s">
        <v>362</v>
      </c>
      <c r="B20" s="710"/>
      <c r="C20" s="321" t="s">
        <v>33</v>
      </c>
      <c r="D20" s="321" t="str">
        <f>ID!B89</f>
        <v>Muhammad Zaenuri Sugiasmoro</v>
      </c>
    </row>
    <row r="21" spans="1:6" x14ac:dyDescent="0.3">
      <c r="A21" s="710" t="s">
        <v>363</v>
      </c>
      <c r="B21" s="710"/>
      <c r="C21" s="321" t="s">
        <v>33</v>
      </c>
      <c r="D21" s="321" t="str">
        <f>ID!D11</f>
        <v>G</v>
      </c>
    </row>
    <row r="22" spans="1:6" ht="35.25" customHeight="1" x14ac:dyDescent="0.3">
      <c r="A22" s="333" t="s">
        <v>364</v>
      </c>
      <c r="C22" s="331" t="s">
        <v>33</v>
      </c>
      <c r="D22" s="711" t="s">
        <v>365</v>
      </c>
      <c r="E22" s="711"/>
      <c r="F22" s="711"/>
    </row>
    <row r="23" spans="1:6" x14ac:dyDescent="0.3">
      <c r="A23" s="323" t="s">
        <v>41</v>
      </c>
      <c r="C23" s="321" t="s">
        <v>33</v>
      </c>
      <c r="D23" s="321" t="str">
        <f>ID!D13</f>
        <v>MK.004-18</v>
      </c>
    </row>
    <row r="26" spans="1:6" ht="21.75" customHeight="1" x14ac:dyDescent="0.3">
      <c r="D26" s="334" t="s">
        <v>366</v>
      </c>
      <c r="E26" s="712">
        <f ca="1">TODAY()</f>
        <v>45307</v>
      </c>
      <c r="F26" s="712"/>
    </row>
    <row r="27" spans="1:6" x14ac:dyDescent="0.3">
      <c r="D27" s="710" t="s">
        <v>367</v>
      </c>
      <c r="E27" s="710"/>
      <c r="F27" s="710"/>
    </row>
    <row r="28" spans="1:6" x14ac:dyDescent="0.3">
      <c r="D28" s="710" t="s">
        <v>368</v>
      </c>
      <c r="E28" s="710"/>
      <c r="F28" s="710"/>
    </row>
    <row r="29" spans="1:6" x14ac:dyDescent="0.3">
      <c r="D29" s="335"/>
      <c r="E29" s="335"/>
      <c r="F29" s="336"/>
    </row>
    <row r="30" spans="1:6" x14ac:dyDescent="0.3">
      <c r="D30" s="335"/>
      <c r="E30" s="335"/>
      <c r="F30" s="336"/>
    </row>
    <row r="31" spans="1:6" x14ac:dyDescent="0.3">
      <c r="D31" s="335"/>
      <c r="E31" s="335"/>
      <c r="F31" s="336"/>
    </row>
    <row r="32" spans="1:6" x14ac:dyDescent="0.3">
      <c r="D32" s="710" t="s">
        <v>369</v>
      </c>
      <c r="E32" s="710"/>
      <c r="F32" s="710"/>
    </row>
    <row r="33" spans="1:6" x14ac:dyDescent="0.3">
      <c r="D33" s="710" t="s">
        <v>370</v>
      </c>
      <c r="E33" s="710"/>
      <c r="F33" s="710"/>
    </row>
    <row r="42" spans="1:6" ht="15" thickBot="1" x14ac:dyDescent="0.35"/>
    <row r="43" spans="1:6" x14ac:dyDescent="0.3">
      <c r="A43" s="337" t="s">
        <v>371</v>
      </c>
      <c r="B43" s="338" t="str">
        <f>F6</f>
        <v>E - 011.120 DL</v>
      </c>
      <c r="C43" s="338"/>
      <c r="D43" s="338"/>
      <c r="E43" s="339"/>
    </row>
    <row r="44" spans="1:6" x14ac:dyDescent="0.3">
      <c r="A44" s="340"/>
      <c r="E44" s="341"/>
    </row>
    <row r="45" spans="1:6" ht="27" x14ac:dyDescent="0.3">
      <c r="A45" s="342" t="s">
        <v>372</v>
      </c>
      <c r="B45" s="331" t="str">
        <f>ID!A1</f>
        <v>INPUT DATA KALIBRASI ANALITICAL BALANCE</v>
      </c>
      <c r="E45" s="341"/>
    </row>
    <row r="46" spans="1:6" ht="27" x14ac:dyDescent="0.3">
      <c r="A46" s="342" t="s">
        <v>373</v>
      </c>
      <c r="B46" s="321" t="str">
        <f>IF(B45="INPUT DATA KALIBRASI ANALITICAL BALANCE",B47,B48)</f>
        <v>SERTIFIKAT KALIBRASI</v>
      </c>
      <c r="E46" s="341"/>
    </row>
    <row r="47" spans="1:6" x14ac:dyDescent="0.3">
      <c r="A47" s="342" t="s">
        <v>374</v>
      </c>
      <c r="B47" s="343" t="s">
        <v>351</v>
      </c>
      <c r="E47" s="341"/>
    </row>
    <row r="48" spans="1:6" x14ac:dyDescent="0.3">
      <c r="A48" s="340"/>
      <c r="B48" s="343" t="s">
        <v>375</v>
      </c>
      <c r="E48" s="341"/>
    </row>
    <row r="49" spans="1:5" x14ac:dyDescent="0.3">
      <c r="A49" s="340"/>
      <c r="E49" s="341"/>
    </row>
    <row r="50" spans="1:5" ht="40.200000000000003" x14ac:dyDescent="0.3">
      <c r="A50" s="342" t="s">
        <v>376</v>
      </c>
      <c r="B50" s="321" t="str">
        <f>IF(RIGHT(A2,10)=" KALIBRASI","Kalibrasi","Pengujian")</f>
        <v>Kalibrasi</v>
      </c>
      <c r="E50" s="341"/>
    </row>
    <row r="51" spans="1:5" x14ac:dyDescent="0.3">
      <c r="A51" s="340"/>
      <c r="E51" s="341"/>
    </row>
    <row r="52" spans="1:5" ht="27.6" x14ac:dyDescent="0.3">
      <c r="A52" s="342" t="s">
        <v>377</v>
      </c>
      <c r="B52" s="344" t="s">
        <v>378</v>
      </c>
      <c r="E52" s="341"/>
    </row>
    <row r="53" spans="1:5" x14ac:dyDescent="0.3">
      <c r="A53" s="340"/>
      <c r="E53" s="341"/>
    </row>
    <row r="54" spans="1:5" ht="48.75" customHeight="1" x14ac:dyDescent="0.3">
      <c r="A54" s="345" t="s">
        <v>379</v>
      </c>
      <c r="B54" s="352">
        <f>DATE(YEAR(D19)+1,MONTH(D19),DAY(D19))</f>
        <v>45020</v>
      </c>
      <c r="E54" s="341"/>
    </row>
    <row r="55" spans="1:5" ht="27" x14ac:dyDescent="0.3">
      <c r="A55" s="342" t="s">
        <v>380</v>
      </c>
      <c r="B55" s="332" t="str">
        <f>TEXT(B54,"d mmmm yyyy")</f>
        <v>4 April 2023</v>
      </c>
      <c r="E55" s="341"/>
    </row>
    <row r="56" spans="1:5" x14ac:dyDescent="0.3">
      <c r="A56" s="340"/>
      <c r="E56" s="341"/>
    </row>
    <row r="57" spans="1:5" ht="28.2" x14ac:dyDescent="0.3">
      <c r="A57" s="345" t="s">
        <v>381</v>
      </c>
      <c r="B57" s="321" t="str">
        <f>IF(B46=B47,B58,B59)</f>
        <v>Laik Pakai, disarankan untuk dikalibrasi ulang pada tanggal 4 April 2023</v>
      </c>
      <c r="E57" s="341"/>
    </row>
    <row r="58" spans="1:5" ht="24.75" customHeight="1" x14ac:dyDescent="0.3">
      <c r="A58" s="340" t="s">
        <v>382</v>
      </c>
      <c r="B58" s="321" t="str">
        <f>CONCATENATE(B60,B55)</f>
        <v>Laik Pakai, disarankan untuk dikalibrasi ulang pada tanggal 4 April 2023</v>
      </c>
      <c r="E58" s="341"/>
    </row>
    <row r="59" spans="1:5" ht="24" customHeight="1" x14ac:dyDescent="0.3">
      <c r="A59" s="340"/>
      <c r="B59" s="321" t="str">
        <f>CONCATENATE(B61,B55)</f>
        <v>Laik Pakai, disarankan untuk diuji ulang pada tanggal 4 April 2023</v>
      </c>
      <c r="E59" s="341"/>
    </row>
    <row r="60" spans="1:5" ht="30" customHeight="1" x14ac:dyDescent="0.3">
      <c r="A60" s="346" t="s">
        <v>374</v>
      </c>
      <c r="B60" s="347" t="s">
        <v>383</v>
      </c>
      <c r="E60" s="341"/>
    </row>
    <row r="61" spans="1:5" ht="29.25" customHeight="1" thickBot="1" x14ac:dyDescent="0.35">
      <c r="A61" s="348"/>
      <c r="B61" s="349" t="s">
        <v>384</v>
      </c>
      <c r="C61" s="349"/>
      <c r="D61" s="349"/>
      <c r="E61" s="350"/>
    </row>
  </sheetData>
  <mergeCells count="20">
    <mergeCell ref="A19:B19"/>
    <mergeCell ref="A2:F2"/>
    <mergeCell ref="A3:F3"/>
    <mergeCell ref="D4:F4"/>
    <mergeCell ref="A8:B8"/>
    <mergeCell ref="A9:B9"/>
    <mergeCell ref="A10:B10"/>
    <mergeCell ref="A11:B11"/>
    <mergeCell ref="A12:B12"/>
    <mergeCell ref="D14:E14"/>
    <mergeCell ref="A17:B17"/>
    <mergeCell ref="A18:B18"/>
    <mergeCell ref="D32:F32"/>
    <mergeCell ref="D33:F33"/>
    <mergeCell ref="A20:B20"/>
    <mergeCell ref="A21:B21"/>
    <mergeCell ref="D22:F22"/>
    <mergeCell ref="E26:F26"/>
    <mergeCell ref="D27:F27"/>
    <mergeCell ref="D28:F28"/>
  </mergeCells>
  <dataValidations count="1">
    <dataValidation type="list" allowBlank="1" showInputMessage="1" showErrorMessage="1" sqref="A2:F2" xr:uid="{A1E388A4-B1CC-482D-BE27-0D4C35EBDDFF}">
      <formula1>"SERTIFIKAT KALIBRASI,SERTIFIKAT PENGUJIAN"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2E49-6526-4137-9409-BD6E250DBE27}">
  <sheetPr>
    <tabColor rgb="FF00B0F0"/>
  </sheetPr>
  <dimension ref="A1:P375"/>
  <sheetViews>
    <sheetView view="pageBreakPreview" topLeftCell="A353" zoomScale="85" zoomScaleNormal="100" zoomScaleSheetLayoutView="85" workbookViewId="0">
      <selection activeCell="J363" sqref="J363"/>
    </sheetView>
  </sheetViews>
  <sheetFormatPr defaultColWidth="8.77734375" defaultRowHeight="13.2" x14ac:dyDescent="0.25"/>
  <cols>
    <col min="1" max="5" width="8.77734375" style="137"/>
    <col min="6" max="6" width="11.5546875" style="137" customWidth="1"/>
    <col min="7" max="10" width="8.77734375" style="137"/>
    <col min="11" max="11" width="9.5546875" style="137" customWidth="1"/>
    <col min="12" max="16384" width="8.77734375" style="137"/>
  </cols>
  <sheetData>
    <row r="1" spans="1:16" ht="18" thickBot="1" x14ac:dyDescent="0.3">
      <c r="A1" s="792" t="s">
        <v>216</v>
      </c>
      <c r="B1" s="793"/>
      <c r="C1" s="793"/>
      <c r="D1" s="793"/>
      <c r="E1" s="793"/>
      <c r="F1" s="793"/>
      <c r="G1" s="794"/>
      <c r="H1" s="793"/>
      <c r="I1" s="793"/>
      <c r="J1" s="793"/>
      <c r="K1" s="793"/>
      <c r="L1" s="793"/>
      <c r="M1" s="794"/>
      <c r="N1" s="793"/>
      <c r="O1" s="795"/>
      <c r="P1" s="136"/>
    </row>
    <row r="2" spans="1:16" x14ac:dyDescent="0.25">
      <c r="A2" s="786">
        <v>1</v>
      </c>
      <c r="B2" s="789" t="s">
        <v>217</v>
      </c>
      <c r="C2" s="789"/>
      <c r="D2" s="789"/>
      <c r="E2" s="789"/>
      <c r="F2" s="789"/>
      <c r="G2" s="138"/>
      <c r="H2" s="789" t="str">
        <f>B2</f>
        <v>KOREKSI KIMO THERMOHYGROMETER 15062873</v>
      </c>
      <c r="I2" s="789"/>
      <c r="J2" s="789"/>
      <c r="K2" s="789"/>
      <c r="L2" s="789"/>
      <c r="M2" s="138"/>
      <c r="N2" s="790" t="s">
        <v>218</v>
      </c>
      <c r="O2" s="790"/>
      <c r="P2" s="136"/>
    </row>
    <row r="3" spans="1:16" x14ac:dyDescent="0.25">
      <c r="A3" s="787"/>
      <c r="B3" s="791" t="s">
        <v>219</v>
      </c>
      <c r="C3" s="791"/>
      <c r="D3" s="791" t="s">
        <v>220</v>
      </c>
      <c r="E3" s="791"/>
      <c r="F3" s="791" t="s">
        <v>221</v>
      </c>
      <c r="H3" s="791" t="s">
        <v>222</v>
      </c>
      <c r="I3" s="791"/>
      <c r="J3" s="791" t="s">
        <v>220</v>
      </c>
      <c r="K3" s="791"/>
      <c r="L3" s="791" t="s">
        <v>221</v>
      </c>
      <c r="N3" s="139" t="s">
        <v>219</v>
      </c>
      <c r="O3" s="140">
        <v>0.6</v>
      </c>
      <c r="P3" s="136"/>
    </row>
    <row r="4" spans="1:16" ht="14.4" x14ac:dyDescent="0.25">
      <c r="A4" s="787"/>
      <c r="B4" s="784" t="s">
        <v>223</v>
      </c>
      <c r="C4" s="784"/>
      <c r="D4" s="141">
        <v>2020</v>
      </c>
      <c r="E4" s="141">
        <v>2017</v>
      </c>
      <c r="F4" s="791"/>
      <c r="H4" s="785" t="s">
        <v>224</v>
      </c>
      <c r="I4" s="784"/>
      <c r="J4" s="142">
        <f>D4</f>
        <v>2020</v>
      </c>
      <c r="K4" s="142">
        <f>E4</f>
        <v>2017</v>
      </c>
      <c r="L4" s="791"/>
      <c r="N4" s="139" t="s">
        <v>224</v>
      </c>
      <c r="O4" s="140">
        <v>3.1</v>
      </c>
      <c r="P4" s="136"/>
    </row>
    <row r="5" spans="1:16" x14ac:dyDescent="0.25">
      <c r="A5" s="787"/>
      <c r="B5" s="143"/>
      <c r="C5" s="144">
        <v>15</v>
      </c>
      <c r="D5" s="144">
        <v>-0.5</v>
      </c>
      <c r="E5" s="144">
        <v>0.3</v>
      </c>
      <c r="F5" s="145">
        <f t="shared" ref="F5:F11" si="0">0.5*(MAX(D5:E5)-MIN(D5:E5))</f>
        <v>0.4</v>
      </c>
      <c r="H5" s="143"/>
      <c r="I5" s="144">
        <v>35</v>
      </c>
      <c r="J5" s="144">
        <v>-6</v>
      </c>
      <c r="K5" s="144">
        <v>-9.4</v>
      </c>
      <c r="L5" s="145">
        <f t="shared" ref="L5:L11" si="1">0.5*(MAX(J5:K5)-MIN(J5:K5))</f>
        <v>1.7000000000000002</v>
      </c>
      <c r="O5" s="146"/>
      <c r="P5" s="136"/>
    </row>
    <row r="6" spans="1:16" x14ac:dyDescent="0.25">
      <c r="A6" s="787"/>
      <c r="B6" s="143"/>
      <c r="C6" s="144">
        <v>20</v>
      </c>
      <c r="D6" s="144">
        <v>-0.2</v>
      </c>
      <c r="E6" s="144">
        <v>0.2</v>
      </c>
      <c r="F6" s="145">
        <f>0.5*(MAX(D6:E6)-MIN(D6:E6))</f>
        <v>0.2</v>
      </c>
      <c r="H6" s="143"/>
      <c r="I6" s="144">
        <v>40</v>
      </c>
      <c r="J6" s="144">
        <v>-5.8</v>
      </c>
      <c r="K6" s="144">
        <v>-8.6</v>
      </c>
      <c r="L6" s="145">
        <f t="shared" si="1"/>
        <v>1.4</v>
      </c>
      <c r="O6" s="146"/>
      <c r="P6" s="136"/>
    </row>
    <row r="7" spans="1:16" x14ac:dyDescent="0.25">
      <c r="A7" s="787"/>
      <c r="B7" s="143"/>
      <c r="C7" s="144">
        <v>25</v>
      </c>
      <c r="D7" s="144">
        <v>0</v>
      </c>
      <c r="E7" s="144">
        <v>0.1</v>
      </c>
      <c r="F7" s="145">
        <f t="shared" si="0"/>
        <v>0.05</v>
      </c>
      <c r="H7" s="143"/>
      <c r="I7" s="144">
        <v>50</v>
      </c>
      <c r="J7" s="144">
        <v>-5.3</v>
      </c>
      <c r="K7" s="144">
        <v>-7.2</v>
      </c>
      <c r="L7" s="145">
        <f t="shared" si="1"/>
        <v>0.95000000000000018</v>
      </c>
      <c r="O7" s="146"/>
      <c r="P7" s="136"/>
    </row>
    <row r="8" spans="1:16" x14ac:dyDescent="0.25">
      <c r="A8" s="787"/>
      <c r="B8" s="143"/>
      <c r="C8" s="147">
        <v>30</v>
      </c>
      <c r="D8" s="148">
        <v>0</v>
      </c>
      <c r="E8" s="148">
        <v>-0.2</v>
      </c>
      <c r="F8" s="145">
        <f t="shared" si="0"/>
        <v>0.1</v>
      </c>
      <c r="H8" s="143"/>
      <c r="I8" s="147">
        <v>60</v>
      </c>
      <c r="J8" s="148">
        <v>-4.4000000000000004</v>
      </c>
      <c r="K8" s="148">
        <v>-5.2</v>
      </c>
      <c r="L8" s="145">
        <f t="shared" si="1"/>
        <v>0.39999999999999991</v>
      </c>
      <c r="O8" s="146"/>
      <c r="P8" s="136"/>
    </row>
    <row r="9" spans="1:16" x14ac:dyDescent="0.25">
      <c r="A9" s="787"/>
      <c r="B9" s="143"/>
      <c r="C9" s="147">
        <v>35</v>
      </c>
      <c r="D9" s="148">
        <v>-0.1</v>
      </c>
      <c r="E9" s="148">
        <v>-0.5</v>
      </c>
      <c r="F9" s="145">
        <f t="shared" si="0"/>
        <v>0.2</v>
      </c>
      <c r="H9" s="143"/>
      <c r="I9" s="147">
        <v>70</v>
      </c>
      <c r="J9" s="148">
        <v>-3.2</v>
      </c>
      <c r="K9" s="148">
        <v>-2.6</v>
      </c>
      <c r="L9" s="145">
        <f t="shared" si="1"/>
        <v>0.30000000000000004</v>
      </c>
      <c r="O9" s="146"/>
      <c r="P9" s="136"/>
    </row>
    <row r="10" spans="1:16" x14ac:dyDescent="0.25">
      <c r="A10" s="787"/>
      <c r="B10" s="143"/>
      <c r="C10" s="147">
        <v>37</v>
      </c>
      <c r="D10" s="148">
        <v>-0.2</v>
      </c>
      <c r="E10" s="148">
        <v>-0.6</v>
      </c>
      <c r="F10" s="145">
        <f t="shared" si="0"/>
        <v>0.19999999999999998</v>
      </c>
      <c r="H10" s="143"/>
      <c r="I10" s="147">
        <v>80</v>
      </c>
      <c r="J10" s="148">
        <v>-1.6</v>
      </c>
      <c r="K10" s="148">
        <v>0.7</v>
      </c>
      <c r="L10" s="145">
        <f t="shared" si="1"/>
        <v>1.1499999999999999</v>
      </c>
      <c r="O10" s="146"/>
      <c r="P10" s="136"/>
    </row>
    <row r="11" spans="1:16" ht="13.8" thickBot="1" x14ac:dyDescent="0.3">
      <c r="A11" s="788"/>
      <c r="B11" s="143"/>
      <c r="C11" s="147">
        <v>40</v>
      </c>
      <c r="D11" s="148">
        <v>-0.3</v>
      </c>
      <c r="E11" s="148">
        <v>-0.8</v>
      </c>
      <c r="F11" s="145">
        <f t="shared" si="0"/>
        <v>0.25</v>
      </c>
      <c r="G11" s="149"/>
      <c r="H11" s="143"/>
      <c r="I11" s="147">
        <v>90</v>
      </c>
      <c r="J11" s="148">
        <v>0.3</v>
      </c>
      <c r="K11" s="148">
        <v>4.5</v>
      </c>
      <c r="L11" s="145">
        <f t="shared" si="1"/>
        <v>2.1</v>
      </c>
      <c r="M11" s="149"/>
      <c r="N11" s="149"/>
      <c r="O11" s="150"/>
      <c r="P11" s="136"/>
    </row>
    <row r="12" spans="1:16" ht="13.8" thickBot="1" x14ac:dyDescent="0.3">
      <c r="A12" s="151"/>
      <c r="B12" s="151"/>
      <c r="O12" s="146"/>
      <c r="P12" s="136"/>
    </row>
    <row r="13" spans="1:16" x14ac:dyDescent="0.25">
      <c r="A13" s="786">
        <v>2</v>
      </c>
      <c r="B13" s="789" t="s">
        <v>225</v>
      </c>
      <c r="C13" s="789"/>
      <c r="D13" s="789"/>
      <c r="E13" s="789"/>
      <c r="F13" s="789"/>
      <c r="G13" s="138"/>
      <c r="H13" s="789" t="str">
        <f>B13</f>
        <v>KOREKSI KIMO THERMOHYGROMETER 15062874</v>
      </c>
      <c r="I13" s="789"/>
      <c r="J13" s="789"/>
      <c r="K13" s="789"/>
      <c r="L13" s="789"/>
      <c r="M13" s="138"/>
      <c r="N13" s="790" t="s">
        <v>218</v>
      </c>
      <c r="O13" s="790"/>
      <c r="P13" s="136"/>
    </row>
    <row r="14" spans="1:16" x14ac:dyDescent="0.25">
      <c r="A14" s="787"/>
      <c r="B14" s="791" t="s">
        <v>219</v>
      </c>
      <c r="C14" s="791"/>
      <c r="D14" s="791" t="s">
        <v>220</v>
      </c>
      <c r="E14" s="791"/>
      <c r="F14" s="791" t="s">
        <v>221</v>
      </c>
      <c r="H14" s="791" t="s">
        <v>222</v>
      </c>
      <c r="I14" s="791"/>
      <c r="J14" s="791" t="s">
        <v>220</v>
      </c>
      <c r="K14" s="791"/>
      <c r="L14" s="791" t="s">
        <v>221</v>
      </c>
      <c r="N14" s="139" t="s">
        <v>219</v>
      </c>
      <c r="O14" s="152">
        <v>0.3</v>
      </c>
      <c r="P14" s="136"/>
    </row>
    <row r="15" spans="1:16" ht="14.4" x14ac:dyDescent="0.25">
      <c r="A15" s="787"/>
      <c r="B15" s="784" t="s">
        <v>223</v>
      </c>
      <c r="C15" s="784"/>
      <c r="D15" s="141">
        <v>2018</v>
      </c>
      <c r="E15" s="141">
        <v>2017</v>
      </c>
      <c r="F15" s="791"/>
      <c r="H15" s="785" t="s">
        <v>224</v>
      </c>
      <c r="I15" s="784"/>
      <c r="J15" s="142">
        <f>D15</f>
        <v>2018</v>
      </c>
      <c r="K15" s="142">
        <f>E15</f>
        <v>2017</v>
      </c>
      <c r="L15" s="791"/>
      <c r="N15" s="139" t="s">
        <v>224</v>
      </c>
      <c r="O15" s="152">
        <v>3.3</v>
      </c>
      <c r="P15" s="136"/>
    </row>
    <row r="16" spans="1:16" x14ac:dyDescent="0.25">
      <c r="A16" s="787"/>
      <c r="B16" s="143"/>
      <c r="C16" s="144">
        <v>15</v>
      </c>
      <c r="D16" s="144">
        <v>0</v>
      </c>
      <c r="E16" s="144">
        <v>0.5</v>
      </c>
      <c r="F16" s="145">
        <f t="shared" ref="F16:F22" si="2">0.5*(MAX(D16:E16)-MIN(D16:E16))</f>
        <v>0.25</v>
      </c>
      <c r="H16" s="143"/>
      <c r="I16" s="144">
        <v>35</v>
      </c>
      <c r="J16" s="144">
        <v>-1.6</v>
      </c>
      <c r="K16" s="144">
        <v>-0.9</v>
      </c>
      <c r="L16" s="145">
        <f t="shared" ref="L16:L22" si="3">0.5*(MAX(J16:K16)-MIN(J16:K16))</f>
        <v>0.35000000000000003</v>
      </c>
      <c r="O16" s="146"/>
      <c r="P16" s="136"/>
    </row>
    <row r="17" spans="1:16" x14ac:dyDescent="0.25">
      <c r="A17" s="787"/>
      <c r="B17" s="143"/>
      <c r="C17" s="144">
        <v>20</v>
      </c>
      <c r="D17" s="144">
        <v>-0.1</v>
      </c>
      <c r="E17" s="144">
        <v>0</v>
      </c>
      <c r="F17" s="145">
        <f t="shared" si="2"/>
        <v>0.05</v>
      </c>
      <c r="H17" s="143"/>
      <c r="I17" s="144">
        <v>40</v>
      </c>
      <c r="J17" s="144">
        <v>-1.6</v>
      </c>
      <c r="K17" s="144">
        <v>-1.1000000000000001</v>
      </c>
      <c r="L17" s="145">
        <f t="shared" si="3"/>
        <v>0.25</v>
      </c>
      <c r="O17" s="146"/>
      <c r="P17" s="136"/>
    </row>
    <row r="18" spans="1:16" x14ac:dyDescent="0.25">
      <c r="A18" s="787"/>
      <c r="B18" s="143"/>
      <c r="C18" s="144">
        <v>25</v>
      </c>
      <c r="D18" s="144">
        <v>-0.2</v>
      </c>
      <c r="E18" s="144">
        <v>-0.5</v>
      </c>
      <c r="F18" s="145">
        <f t="shared" si="2"/>
        <v>0.15</v>
      </c>
      <c r="H18" s="143"/>
      <c r="I18" s="144">
        <v>50</v>
      </c>
      <c r="J18" s="144">
        <v>-1.5</v>
      </c>
      <c r="K18" s="144">
        <v>-1.4</v>
      </c>
      <c r="L18" s="145">
        <f t="shared" si="3"/>
        <v>5.0000000000000044E-2</v>
      </c>
      <c r="O18" s="146"/>
      <c r="P18" s="136"/>
    </row>
    <row r="19" spans="1:16" x14ac:dyDescent="0.25">
      <c r="A19" s="787"/>
      <c r="B19" s="143"/>
      <c r="C19" s="147">
        <v>30</v>
      </c>
      <c r="D19" s="153">
        <v>-0.3</v>
      </c>
      <c r="E19" s="147">
        <v>-1</v>
      </c>
      <c r="F19" s="145">
        <f t="shared" si="2"/>
        <v>0.35</v>
      </c>
      <c r="H19" s="143"/>
      <c r="I19" s="147">
        <v>60</v>
      </c>
      <c r="J19" s="153">
        <v>-1.3</v>
      </c>
      <c r="K19" s="147">
        <v>-1.3</v>
      </c>
      <c r="L19" s="145">
        <f t="shared" si="3"/>
        <v>0</v>
      </c>
      <c r="O19" s="146"/>
      <c r="P19" s="136"/>
    </row>
    <row r="20" spans="1:16" x14ac:dyDescent="0.25">
      <c r="A20" s="787"/>
      <c r="B20" s="143"/>
      <c r="C20" s="147">
        <v>35</v>
      </c>
      <c r="D20" s="153">
        <v>-0.3</v>
      </c>
      <c r="E20" s="147">
        <v>-1.6</v>
      </c>
      <c r="F20" s="145">
        <f t="shared" si="2"/>
        <v>0.65</v>
      </c>
      <c r="H20" s="143"/>
      <c r="I20" s="147">
        <v>70</v>
      </c>
      <c r="J20" s="153">
        <v>-1.1000000000000001</v>
      </c>
      <c r="K20" s="147">
        <v>-1</v>
      </c>
      <c r="L20" s="145">
        <f t="shared" si="3"/>
        <v>5.0000000000000044E-2</v>
      </c>
      <c r="O20" s="146"/>
      <c r="P20" s="136"/>
    </row>
    <row r="21" spans="1:16" x14ac:dyDescent="0.25">
      <c r="A21" s="787"/>
      <c r="B21" s="143"/>
      <c r="C21" s="147">
        <v>37</v>
      </c>
      <c r="D21" s="153">
        <v>-0.3</v>
      </c>
      <c r="E21" s="147">
        <v>-1.8</v>
      </c>
      <c r="F21" s="145">
        <f t="shared" si="2"/>
        <v>0.75</v>
      </c>
      <c r="H21" s="143"/>
      <c r="I21" s="147">
        <v>80</v>
      </c>
      <c r="J21" s="153">
        <v>-0.7</v>
      </c>
      <c r="K21" s="147">
        <v>-0.4</v>
      </c>
      <c r="L21" s="145">
        <f t="shared" si="3"/>
        <v>0.14999999999999997</v>
      </c>
      <c r="O21" s="146"/>
      <c r="P21" s="136"/>
    </row>
    <row r="22" spans="1:16" ht="13.8" thickBot="1" x14ac:dyDescent="0.3">
      <c r="A22" s="788"/>
      <c r="B22" s="143"/>
      <c r="C22" s="147">
        <v>40</v>
      </c>
      <c r="D22" s="153">
        <v>-0.3</v>
      </c>
      <c r="E22" s="147">
        <v>-2.1</v>
      </c>
      <c r="F22" s="145">
        <f t="shared" si="2"/>
        <v>0.9</v>
      </c>
      <c r="G22" s="149"/>
      <c r="H22" s="143"/>
      <c r="I22" s="147">
        <v>90</v>
      </c>
      <c r="J22" s="153">
        <v>-0.3</v>
      </c>
      <c r="K22" s="147">
        <v>0.6</v>
      </c>
      <c r="L22" s="145">
        <f t="shared" si="3"/>
        <v>0.44999999999999996</v>
      </c>
      <c r="M22" s="149"/>
      <c r="N22" s="149"/>
      <c r="O22" s="150"/>
      <c r="P22" s="136"/>
    </row>
    <row r="23" spans="1:16" ht="13.8" thickBot="1" x14ac:dyDescent="0.3">
      <c r="A23" s="151"/>
      <c r="B23" s="151"/>
      <c r="O23" s="146"/>
      <c r="P23" s="136"/>
    </row>
    <row r="24" spans="1:16" x14ac:dyDescent="0.25">
      <c r="A24" s="786">
        <v>3</v>
      </c>
      <c r="B24" s="789" t="s">
        <v>226</v>
      </c>
      <c r="C24" s="789"/>
      <c r="D24" s="789"/>
      <c r="E24" s="789"/>
      <c r="F24" s="789"/>
      <c r="G24" s="138"/>
      <c r="H24" s="789" t="str">
        <f>B24</f>
        <v>KOREKSI KIMO THERMOHYGROMETER 14082463</v>
      </c>
      <c r="I24" s="789"/>
      <c r="J24" s="789"/>
      <c r="K24" s="789"/>
      <c r="L24" s="789"/>
      <c r="M24" s="138"/>
      <c r="N24" s="790" t="s">
        <v>218</v>
      </c>
      <c r="O24" s="790"/>
      <c r="P24" s="136"/>
    </row>
    <row r="25" spans="1:16" x14ac:dyDescent="0.25">
      <c r="A25" s="787"/>
      <c r="B25" s="791" t="s">
        <v>219</v>
      </c>
      <c r="C25" s="791"/>
      <c r="D25" s="791" t="s">
        <v>220</v>
      </c>
      <c r="E25" s="791"/>
      <c r="F25" s="791" t="s">
        <v>221</v>
      </c>
      <c r="H25" s="791" t="s">
        <v>222</v>
      </c>
      <c r="I25" s="791"/>
      <c r="J25" s="791" t="s">
        <v>220</v>
      </c>
      <c r="K25" s="791"/>
      <c r="L25" s="791" t="s">
        <v>221</v>
      </c>
      <c r="N25" s="139" t="s">
        <v>219</v>
      </c>
      <c r="O25" s="152">
        <v>0.3</v>
      </c>
      <c r="P25" s="136"/>
    </row>
    <row r="26" spans="1:16" ht="14.4" x14ac:dyDescent="0.25">
      <c r="A26" s="787"/>
      <c r="B26" s="784" t="s">
        <v>223</v>
      </c>
      <c r="C26" s="784"/>
      <c r="D26" s="141">
        <v>2018</v>
      </c>
      <c r="E26" s="141">
        <v>2017</v>
      </c>
      <c r="F26" s="791"/>
      <c r="H26" s="785" t="s">
        <v>224</v>
      </c>
      <c r="I26" s="784"/>
      <c r="J26" s="142">
        <f>D26</f>
        <v>2018</v>
      </c>
      <c r="K26" s="142">
        <f>E26</f>
        <v>2017</v>
      </c>
      <c r="L26" s="791"/>
      <c r="N26" s="139" t="s">
        <v>224</v>
      </c>
      <c r="O26" s="152">
        <v>3.1</v>
      </c>
      <c r="P26" s="136"/>
    </row>
    <row r="27" spans="1:16" x14ac:dyDescent="0.25">
      <c r="A27" s="787"/>
      <c r="B27" s="143"/>
      <c r="C27" s="144">
        <v>15</v>
      </c>
      <c r="D27" s="144">
        <v>0</v>
      </c>
      <c r="E27" s="144">
        <v>0.2</v>
      </c>
      <c r="F27" s="145">
        <f t="shared" ref="F27:F33" si="4">0.5*(MAX(D27:E27)-MIN(D27:E27))</f>
        <v>0.1</v>
      </c>
      <c r="H27" s="143"/>
      <c r="I27" s="144">
        <v>30</v>
      </c>
      <c r="J27" s="144">
        <v>-5.7</v>
      </c>
      <c r="K27" s="144">
        <v>-1.1000000000000001</v>
      </c>
      <c r="L27" s="145">
        <f t="shared" ref="L27:L33" si="5">0.5*(MAX(J27:K27)-MIN(J27:K27))</f>
        <v>2.2999999999999998</v>
      </c>
      <c r="O27" s="146"/>
      <c r="P27" s="136"/>
    </row>
    <row r="28" spans="1:16" x14ac:dyDescent="0.25">
      <c r="A28" s="787"/>
      <c r="B28" s="143"/>
      <c r="C28" s="144">
        <v>20</v>
      </c>
      <c r="D28" s="144">
        <v>0</v>
      </c>
      <c r="E28" s="144">
        <v>0</v>
      </c>
      <c r="F28" s="145">
        <f t="shared" si="4"/>
        <v>0</v>
      </c>
      <c r="H28" s="143"/>
      <c r="I28" s="144">
        <v>40</v>
      </c>
      <c r="J28" s="144">
        <v>-5.3</v>
      </c>
      <c r="K28" s="144">
        <v>-1.9</v>
      </c>
      <c r="L28" s="145">
        <f t="shared" si="5"/>
        <v>1.7</v>
      </c>
      <c r="O28" s="146"/>
      <c r="P28" s="136"/>
    </row>
    <row r="29" spans="1:16" x14ac:dyDescent="0.25">
      <c r="A29" s="787"/>
      <c r="B29" s="143"/>
      <c r="C29" s="144">
        <v>25</v>
      </c>
      <c r="D29" s="144">
        <v>-0.1</v>
      </c>
      <c r="E29" s="144">
        <v>-0.2</v>
      </c>
      <c r="F29" s="145">
        <f t="shared" si="4"/>
        <v>0.05</v>
      </c>
      <c r="H29" s="143"/>
      <c r="I29" s="144">
        <v>50</v>
      </c>
      <c r="J29" s="144">
        <v>-4.9000000000000004</v>
      </c>
      <c r="K29" s="144">
        <v>-2.2999999999999998</v>
      </c>
      <c r="L29" s="145">
        <f t="shared" si="5"/>
        <v>1.3000000000000003</v>
      </c>
      <c r="O29" s="146"/>
      <c r="P29" s="136"/>
    </row>
    <row r="30" spans="1:16" x14ac:dyDescent="0.25">
      <c r="A30" s="787"/>
      <c r="B30" s="143"/>
      <c r="C30" s="147">
        <v>30</v>
      </c>
      <c r="D30" s="153">
        <v>-0.3</v>
      </c>
      <c r="E30" s="147">
        <v>-0.3</v>
      </c>
      <c r="F30" s="145">
        <f t="shared" si="4"/>
        <v>0</v>
      </c>
      <c r="H30" s="143"/>
      <c r="I30" s="147">
        <v>60</v>
      </c>
      <c r="J30" s="153">
        <v>-4.3</v>
      </c>
      <c r="K30" s="147">
        <v>-2.2000000000000002</v>
      </c>
      <c r="L30" s="145">
        <f t="shared" si="5"/>
        <v>1.0499999999999998</v>
      </c>
      <c r="O30" s="146"/>
      <c r="P30" s="136"/>
    </row>
    <row r="31" spans="1:16" x14ac:dyDescent="0.25">
      <c r="A31" s="787"/>
      <c r="B31" s="143"/>
      <c r="C31" s="147">
        <v>35</v>
      </c>
      <c r="D31" s="153">
        <v>-0.5</v>
      </c>
      <c r="E31" s="147">
        <v>-0.4</v>
      </c>
      <c r="F31" s="145">
        <f t="shared" si="4"/>
        <v>4.9999999999999989E-2</v>
      </c>
      <c r="H31" s="143"/>
      <c r="I31" s="147">
        <v>70</v>
      </c>
      <c r="J31" s="153">
        <v>-3.6</v>
      </c>
      <c r="K31" s="147">
        <v>-1.6</v>
      </c>
      <c r="L31" s="145">
        <f t="shared" si="5"/>
        <v>1</v>
      </c>
      <c r="O31" s="146"/>
      <c r="P31" s="136"/>
    </row>
    <row r="32" spans="1:16" x14ac:dyDescent="0.25">
      <c r="A32" s="787"/>
      <c r="B32" s="143"/>
      <c r="C32" s="147">
        <v>37</v>
      </c>
      <c r="D32" s="153">
        <v>-0.6</v>
      </c>
      <c r="E32" s="147">
        <v>-0.5</v>
      </c>
      <c r="F32" s="145">
        <f t="shared" si="4"/>
        <v>4.9999999999999989E-2</v>
      </c>
      <c r="H32" s="143"/>
      <c r="I32" s="147">
        <v>80</v>
      </c>
      <c r="J32" s="153">
        <v>-2.9</v>
      </c>
      <c r="K32" s="147">
        <v>-0.6</v>
      </c>
      <c r="L32" s="145">
        <f t="shared" si="5"/>
        <v>1.1499999999999999</v>
      </c>
      <c r="O32" s="146"/>
      <c r="P32" s="136"/>
    </row>
    <row r="33" spans="1:16" ht="13.8" thickBot="1" x14ac:dyDescent="0.3">
      <c r="A33" s="788"/>
      <c r="B33" s="143"/>
      <c r="C33" s="147">
        <v>40</v>
      </c>
      <c r="D33" s="153">
        <v>-0.7</v>
      </c>
      <c r="E33" s="147">
        <v>-0.5</v>
      </c>
      <c r="F33" s="145">
        <f t="shared" si="4"/>
        <v>9.9999999999999978E-2</v>
      </c>
      <c r="G33" s="149"/>
      <c r="H33" s="143"/>
      <c r="I33" s="147">
        <v>90</v>
      </c>
      <c r="J33" s="153">
        <v>-2</v>
      </c>
      <c r="K33" s="147">
        <v>0.9</v>
      </c>
      <c r="L33" s="145">
        <f t="shared" si="5"/>
        <v>1.45</v>
      </c>
      <c r="M33" s="149"/>
      <c r="N33" s="149"/>
      <c r="O33" s="150"/>
      <c r="P33" s="136"/>
    </row>
    <row r="34" spans="1:16" ht="13.8" thickBot="1" x14ac:dyDescent="0.3">
      <c r="A34" s="151"/>
      <c r="B34" s="151"/>
      <c r="H34" s="154"/>
      <c r="O34" s="146"/>
      <c r="P34" s="136"/>
    </row>
    <row r="35" spans="1:16" ht="13.8" thickBot="1" x14ac:dyDescent="0.3">
      <c r="A35" s="763">
        <v>4</v>
      </c>
      <c r="B35" s="766" t="s">
        <v>227</v>
      </c>
      <c r="C35" s="767"/>
      <c r="D35" s="767"/>
      <c r="E35" s="767"/>
      <c r="F35" s="768"/>
      <c r="G35" s="138"/>
      <c r="H35" s="766" t="str">
        <f>B35</f>
        <v>KOREKSI KIMO THERMOHYGROMETER 15062872</v>
      </c>
      <c r="I35" s="767"/>
      <c r="J35" s="767"/>
      <c r="K35" s="767"/>
      <c r="L35" s="768"/>
      <c r="M35" s="138"/>
      <c r="N35" s="779" t="s">
        <v>218</v>
      </c>
      <c r="O35" s="780"/>
      <c r="P35" s="136"/>
    </row>
    <row r="36" spans="1:16" ht="13.8" thickBot="1" x14ac:dyDescent="0.3">
      <c r="A36" s="764"/>
      <c r="B36" s="769" t="s">
        <v>219</v>
      </c>
      <c r="C36" s="770"/>
      <c r="D36" s="771" t="s">
        <v>220</v>
      </c>
      <c r="E36" s="772"/>
      <c r="F36" s="773" t="s">
        <v>221</v>
      </c>
      <c r="H36" s="769" t="s">
        <v>222</v>
      </c>
      <c r="I36" s="770"/>
      <c r="J36" s="771" t="s">
        <v>220</v>
      </c>
      <c r="K36" s="772"/>
      <c r="L36" s="773" t="s">
        <v>221</v>
      </c>
      <c r="N36" s="155" t="s">
        <v>219</v>
      </c>
      <c r="O36" s="156">
        <v>0.6</v>
      </c>
      <c r="P36" s="136"/>
    </row>
    <row r="37" spans="1:16" ht="15" thickBot="1" x14ac:dyDescent="0.3">
      <c r="A37" s="764"/>
      <c r="B37" s="775" t="s">
        <v>223</v>
      </c>
      <c r="C37" s="776"/>
      <c r="D37" s="157">
        <v>2017</v>
      </c>
      <c r="E37" s="157">
        <v>2015</v>
      </c>
      <c r="F37" s="774"/>
      <c r="H37" s="777" t="s">
        <v>224</v>
      </c>
      <c r="I37" s="778"/>
      <c r="J37" s="158">
        <f>D37</f>
        <v>2017</v>
      </c>
      <c r="K37" s="158">
        <f>E37</f>
        <v>2015</v>
      </c>
      <c r="L37" s="774"/>
      <c r="N37" s="159" t="s">
        <v>224</v>
      </c>
      <c r="O37" s="160">
        <v>2.6</v>
      </c>
      <c r="P37" s="136"/>
    </row>
    <row r="38" spans="1:16" x14ac:dyDescent="0.25">
      <c r="A38" s="764"/>
      <c r="C38" s="161">
        <v>15</v>
      </c>
      <c r="D38" s="162">
        <v>-0.1</v>
      </c>
      <c r="E38" s="162">
        <v>0.4</v>
      </c>
      <c r="F38" s="163">
        <f t="shared" ref="F38:F44" si="6">0.5*(MAX(D38:E38)-MIN(D38:E38))</f>
        <v>0.25</v>
      </c>
      <c r="H38" s="151"/>
      <c r="I38" s="161">
        <v>35</v>
      </c>
      <c r="J38" s="162">
        <v>-1.7</v>
      </c>
      <c r="K38" s="162">
        <v>-0.8</v>
      </c>
      <c r="L38" s="163">
        <f t="shared" ref="L38:L44" si="7">0.5*(MAX(J38:K38)-MIN(J38:K38))</f>
        <v>0.44999999999999996</v>
      </c>
      <c r="O38" s="146"/>
      <c r="P38" s="136"/>
    </row>
    <row r="39" spans="1:16" x14ac:dyDescent="0.25">
      <c r="A39" s="764"/>
      <c r="C39" s="164">
        <v>20</v>
      </c>
      <c r="D39" s="144">
        <v>-0.3</v>
      </c>
      <c r="E39" s="144">
        <v>0</v>
      </c>
      <c r="F39" s="165">
        <f>0.5*(MAX(D39:E39)-MIN(D39:E39))</f>
        <v>0.15</v>
      </c>
      <c r="H39" s="151"/>
      <c r="I39" s="164">
        <v>40</v>
      </c>
      <c r="J39" s="144">
        <v>-1.5</v>
      </c>
      <c r="K39" s="144">
        <v>-0.9</v>
      </c>
      <c r="L39" s="165">
        <f t="shared" si="7"/>
        <v>0.3</v>
      </c>
      <c r="O39" s="146"/>
      <c r="P39" s="136"/>
    </row>
    <row r="40" spans="1:16" x14ac:dyDescent="0.25">
      <c r="A40" s="764"/>
      <c r="C40" s="164">
        <v>25</v>
      </c>
      <c r="D40" s="144">
        <v>-0.5</v>
      </c>
      <c r="E40" s="144">
        <v>-0.5</v>
      </c>
      <c r="F40" s="165">
        <f t="shared" si="6"/>
        <v>0</v>
      </c>
      <c r="H40" s="151"/>
      <c r="I40" s="164">
        <v>50</v>
      </c>
      <c r="J40" s="144">
        <v>-1</v>
      </c>
      <c r="K40" s="144">
        <v>-1</v>
      </c>
      <c r="L40" s="165">
        <f t="shared" si="7"/>
        <v>0</v>
      </c>
      <c r="O40" s="146"/>
      <c r="P40" s="136"/>
    </row>
    <row r="41" spans="1:16" x14ac:dyDescent="0.25">
      <c r="A41" s="764"/>
      <c r="C41" s="166">
        <v>30</v>
      </c>
      <c r="D41" s="148">
        <v>-0.6</v>
      </c>
      <c r="E41" s="147">
        <v>-1</v>
      </c>
      <c r="F41" s="165">
        <f t="shared" si="6"/>
        <v>0.2</v>
      </c>
      <c r="H41" s="151"/>
      <c r="I41" s="166">
        <v>60</v>
      </c>
      <c r="J41" s="148">
        <v>-0.3</v>
      </c>
      <c r="K41" s="147">
        <v>-0.9</v>
      </c>
      <c r="L41" s="165">
        <f t="shared" si="7"/>
        <v>0.30000000000000004</v>
      </c>
      <c r="O41" s="146"/>
      <c r="P41" s="136"/>
    </row>
    <row r="42" spans="1:16" x14ac:dyDescent="0.25">
      <c r="A42" s="764"/>
      <c r="C42" s="166">
        <v>35</v>
      </c>
      <c r="D42" s="148">
        <v>-0.6</v>
      </c>
      <c r="E42" s="147">
        <v>-1.5</v>
      </c>
      <c r="F42" s="165">
        <f t="shared" si="6"/>
        <v>0.45</v>
      </c>
      <c r="H42" s="151"/>
      <c r="I42" s="166">
        <v>70</v>
      </c>
      <c r="J42" s="148">
        <v>0.7</v>
      </c>
      <c r="K42" s="147">
        <v>-0.7</v>
      </c>
      <c r="L42" s="165">
        <f t="shared" si="7"/>
        <v>0.7</v>
      </c>
      <c r="O42" s="146"/>
      <c r="P42" s="136"/>
    </row>
    <row r="43" spans="1:16" x14ac:dyDescent="0.25">
      <c r="A43" s="764"/>
      <c r="C43" s="166">
        <v>37</v>
      </c>
      <c r="D43" s="148">
        <v>-0.6</v>
      </c>
      <c r="E43" s="147">
        <v>-1.8</v>
      </c>
      <c r="F43" s="165">
        <f t="shared" si="6"/>
        <v>0.60000000000000009</v>
      </c>
      <c r="H43" s="151"/>
      <c r="I43" s="166">
        <v>80</v>
      </c>
      <c r="J43" s="148">
        <v>1.9</v>
      </c>
      <c r="K43" s="147">
        <v>-0.4</v>
      </c>
      <c r="L43" s="165">
        <f t="shared" si="7"/>
        <v>1.1499999999999999</v>
      </c>
      <c r="O43" s="146"/>
      <c r="P43" s="136"/>
    </row>
    <row r="44" spans="1:16" ht="13.8" thickBot="1" x14ac:dyDescent="0.3">
      <c r="A44" s="765"/>
      <c r="B44" s="149"/>
      <c r="C44" s="167">
        <v>40</v>
      </c>
      <c r="D44" s="148">
        <v>-0.6</v>
      </c>
      <c r="E44" s="168">
        <v>-2.1</v>
      </c>
      <c r="F44" s="169">
        <f t="shared" si="6"/>
        <v>0.75</v>
      </c>
      <c r="G44" s="149"/>
      <c r="H44" s="170"/>
      <c r="I44" s="167">
        <v>90</v>
      </c>
      <c r="J44" s="171">
        <v>3.3</v>
      </c>
      <c r="K44" s="168">
        <v>0.2</v>
      </c>
      <c r="L44" s="169">
        <f t="shared" si="7"/>
        <v>1.5499999999999998</v>
      </c>
      <c r="M44" s="149"/>
      <c r="N44" s="149"/>
      <c r="O44" s="150"/>
      <c r="P44" s="136"/>
    </row>
    <row r="45" spans="1:16" ht="13.8" thickBot="1" x14ac:dyDescent="0.3">
      <c r="A45" s="151"/>
      <c r="B45" s="151"/>
      <c r="O45" s="146"/>
      <c r="P45" s="136"/>
    </row>
    <row r="46" spans="1:16" ht="13.8" thickBot="1" x14ac:dyDescent="0.3">
      <c r="A46" s="763">
        <v>5</v>
      </c>
      <c r="B46" s="766" t="s">
        <v>228</v>
      </c>
      <c r="C46" s="767"/>
      <c r="D46" s="767"/>
      <c r="E46" s="767"/>
      <c r="F46" s="768"/>
      <c r="G46" s="138"/>
      <c r="H46" s="766" t="str">
        <f>B46</f>
        <v>KOREKSI KIMO THERMOHYGROMETER 15062875</v>
      </c>
      <c r="I46" s="767"/>
      <c r="J46" s="767"/>
      <c r="K46" s="767"/>
      <c r="L46" s="768"/>
      <c r="M46" s="138"/>
      <c r="N46" s="779" t="s">
        <v>218</v>
      </c>
      <c r="O46" s="780"/>
      <c r="P46" s="136"/>
    </row>
    <row r="47" spans="1:16" ht="13.8" thickBot="1" x14ac:dyDescent="0.3">
      <c r="A47" s="764"/>
      <c r="B47" s="769" t="s">
        <v>219</v>
      </c>
      <c r="C47" s="770"/>
      <c r="D47" s="771" t="s">
        <v>220</v>
      </c>
      <c r="E47" s="772"/>
      <c r="F47" s="773" t="s">
        <v>221</v>
      </c>
      <c r="H47" s="769" t="s">
        <v>222</v>
      </c>
      <c r="I47" s="770"/>
      <c r="J47" s="771" t="s">
        <v>220</v>
      </c>
      <c r="K47" s="772"/>
      <c r="L47" s="773" t="s">
        <v>221</v>
      </c>
      <c r="N47" s="155" t="s">
        <v>219</v>
      </c>
      <c r="O47" s="156">
        <v>0.4</v>
      </c>
      <c r="P47" s="136"/>
    </row>
    <row r="48" spans="1:16" ht="15" thickBot="1" x14ac:dyDescent="0.3">
      <c r="A48" s="764"/>
      <c r="B48" s="775" t="s">
        <v>223</v>
      </c>
      <c r="C48" s="776"/>
      <c r="D48" s="157">
        <v>2020</v>
      </c>
      <c r="E48" s="157">
        <v>2017</v>
      </c>
      <c r="F48" s="774"/>
      <c r="H48" s="777" t="s">
        <v>224</v>
      </c>
      <c r="I48" s="778"/>
      <c r="J48" s="158">
        <f>D48</f>
        <v>2020</v>
      </c>
      <c r="K48" s="158">
        <f>E48</f>
        <v>2017</v>
      </c>
      <c r="L48" s="774"/>
      <c r="N48" s="159" t="s">
        <v>224</v>
      </c>
      <c r="O48" s="160">
        <v>2.8</v>
      </c>
      <c r="P48" s="136"/>
    </row>
    <row r="49" spans="1:16" x14ac:dyDescent="0.25">
      <c r="A49" s="764"/>
      <c r="C49" s="161">
        <v>15</v>
      </c>
      <c r="D49" s="162">
        <v>-0.3</v>
      </c>
      <c r="E49" s="162">
        <v>0.3</v>
      </c>
      <c r="F49" s="163">
        <f t="shared" ref="F49:F55" si="8">0.5*(MAX(D49:E49)-MIN(D49:E49))</f>
        <v>0.3</v>
      </c>
      <c r="H49" s="151"/>
      <c r="I49" s="161">
        <v>35</v>
      </c>
      <c r="J49" s="162">
        <v>-7.7</v>
      </c>
      <c r="K49" s="162">
        <v>-9.6</v>
      </c>
      <c r="L49" s="163">
        <f t="shared" ref="L49:L55" si="9">0.5*(MAX(J49:K49)-MIN(J49:K49))</f>
        <v>0.94999999999999973</v>
      </c>
      <c r="O49" s="146"/>
      <c r="P49" s="136"/>
    </row>
    <row r="50" spans="1:16" x14ac:dyDescent="0.25">
      <c r="A50" s="764"/>
      <c r="C50" s="164">
        <v>20</v>
      </c>
      <c r="D50" s="144">
        <v>0.1</v>
      </c>
      <c r="E50" s="144">
        <v>0.3</v>
      </c>
      <c r="F50" s="165">
        <f t="shared" si="8"/>
        <v>9.9999999999999992E-2</v>
      </c>
      <c r="H50" s="151"/>
      <c r="I50" s="164">
        <v>40</v>
      </c>
      <c r="J50" s="144">
        <v>-7.2</v>
      </c>
      <c r="K50" s="144">
        <v>-8</v>
      </c>
      <c r="L50" s="165">
        <f t="shared" si="9"/>
        <v>0.39999999999999991</v>
      </c>
      <c r="O50" s="146"/>
      <c r="P50" s="136"/>
    </row>
    <row r="51" spans="1:16" x14ac:dyDescent="0.25">
      <c r="A51" s="764"/>
      <c r="C51" s="164">
        <v>25</v>
      </c>
      <c r="D51" s="144">
        <v>0.4</v>
      </c>
      <c r="E51" s="144">
        <v>0.2</v>
      </c>
      <c r="F51" s="165">
        <f t="shared" si="8"/>
        <v>0.1</v>
      </c>
      <c r="H51" s="151"/>
      <c r="I51" s="164">
        <v>50</v>
      </c>
      <c r="J51" s="144">
        <v>-6.2</v>
      </c>
      <c r="K51" s="144">
        <v>-6.2</v>
      </c>
      <c r="L51" s="165">
        <f t="shared" si="9"/>
        <v>0</v>
      </c>
      <c r="O51" s="146"/>
      <c r="P51" s="136"/>
    </row>
    <row r="52" spans="1:16" x14ac:dyDescent="0.25">
      <c r="A52" s="764"/>
      <c r="C52" s="166">
        <v>30</v>
      </c>
      <c r="D52" s="148">
        <v>0.6</v>
      </c>
      <c r="E52" s="148">
        <v>0.1</v>
      </c>
      <c r="F52" s="165">
        <f t="shared" si="8"/>
        <v>0.25</v>
      </c>
      <c r="H52" s="151"/>
      <c r="I52" s="166">
        <v>60</v>
      </c>
      <c r="J52" s="148">
        <v>-5.2</v>
      </c>
      <c r="K52" s="148">
        <v>-4.2</v>
      </c>
      <c r="L52" s="165">
        <f t="shared" si="9"/>
        <v>0.5</v>
      </c>
      <c r="O52" s="146"/>
      <c r="P52" s="136"/>
    </row>
    <row r="53" spans="1:16" x14ac:dyDescent="0.25">
      <c r="A53" s="764"/>
      <c r="C53" s="166">
        <v>35</v>
      </c>
      <c r="D53" s="148">
        <v>0.7</v>
      </c>
      <c r="E53" s="148">
        <v>0</v>
      </c>
      <c r="F53" s="165">
        <f t="shared" si="8"/>
        <v>0.35</v>
      </c>
      <c r="H53" s="151"/>
      <c r="I53" s="166">
        <v>70</v>
      </c>
      <c r="J53" s="148">
        <v>-4.0999999999999996</v>
      </c>
      <c r="K53" s="148">
        <v>-2.1</v>
      </c>
      <c r="L53" s="165">
        <f t="shared" si="9"/>
        <v>0.99999999999999978</v>
      </c>
      <c r="O53" s="146"/>
      <c r="P53" s="136"/>
    </row>
    <row r="54" spans="1:16" x14ac:dyDescent="0.25">
      <c r="A54" s="764"/>
      <c r="C54" s="166">
        <v>37</v>
      </c>
      <c r="D54" s="148">
        <v>0.7</v>
      </c>
      <c r="E54" s="148">
        <v>0</v>
      </c>
      <c r="F54" s="165">
        <f t="shared" si="8"/>
        <v>0.35</v>
      </c>
      <c r="H54" s="151"/>
      <c r="I54" s="166">
        <v>80</v>
      </c>
      <c r="J54" s="148">
        <v>-3</v>
      </c>
      <c r="K54" s="148">
        <v>0.2</v>
      </c>
      <c r="L54" s="165">
        <f t="shared" si="9"/>
        <v>1.6</v>
      </c>
      <c r="O54" s="146"/>
      <c r="P54" s="136"/>
    </row>
    <row r="55" spans="1:16" ht="13.8" thickBot="1" x14ac:dyDescent="0.3">
      <c r="A55" s="765"/>
      <c r="B55" s="149"/>
      <c r="C55" s="167">
        <v>40</v>
      </c>
      <c r="D55" s="171">
        <v>0.7</v>
      </c>
      <c r="E55" s="171">
        <v>-0.1</v>
      </c>
      <c r="F55" s="169">
        <f t="shared" si="8"/>
        <v>0.39999999999999997</v>
      </c>
      <c r="G55" s="149"/>
      <c r="H55" s="170"/>
      <c r="I55" s="167">
        <v>90</v>
      </c>
      <c r="J55" s="171">
        <v>-1.8</v>
      </c>
      <c r="K55" s="171">
        <v>2.7</v>
      </c>
      <c r="L55" s="169">
        <f t="shared" si="9"/>
        <v>2.25</v>
      </c>
      <c r="M55" s="149"/>
      <c r="N55" s="149"/>
      <c r="O55" s="150"/>
      <c r="P55" s="136"/>
    </row>
    <row r="56" spans="1:16" ht="13.8" thickBot="1" x14ac:dyDescent="0.3">
      <c r="A56" s="172"/>
      <c r="B56" s="173"/>
      <c r="C56" s="173"/>
      <c r="D56" s="173"/>
      <c r="E56" s="174"/>
      <c r="F56" s="175"/>
      <c r="G56" s="176"/>
      <c r="H56" s="173"/>
      <c r="I56" s="173"/>
      <c r="J56" s="173"/>
      <c r="K56" s="174"/>
      <c r="L56" s="175"/>
      <c r="O56" s="146"/>
      <c r="P56" s="136"/>
    </row>
    <row r="57" spans="1:16" ht="13.8" thickBot="1" x14ac:dyDescent="0.3">
      <c r="A57" s="763">
        <v>6</v>
      </c>
      <c r="B57" s="766" t="s">
        <v>229</v>
      </c>
      <c r="C57" s="767"/>
      <c r="D57" s="767"/>
      <c r="E57" s="767"/>
      <c r="F57" s="768"/>
      <c r="G57" s="138"/>
      <c r="H57" s="766" t="str">
        <f>B57</f>
        <v>KOREKSI GREISINGER 34903046</v>
      </c>
      <c r="I57" s="767"/>
      <c r="J57" s="767"/>
      <c r="K57" s="767"/>
      <c r="L57" s="768"/>
      <c r="M57" s="138"/>
      <c r="N57" s="779" t="s">
        <v>218</v>
      </c>
      <c r="O57" s="780"/>
      <c r="P57" s="136"/>
    </row>
    <row r="58" spans="1:16" ht="13.8" thickBot="1" x14ac:dyDescent="0.3">
      <c r="A58" s="764"/>
      <c r="B58" s="769" t="s">
        <v>219</v>
      </c>
      <c r="C58" s="770"/>
      <c r="D58" s="771" t="s">
        <v>220</v>
      </c>
      <c r="E58" s="772"/>
      <c r="F58" s="773" t="s">
        <v>221</v>
      </c>
      <c r="H58" s="769" t="s">
        <v>222</v>
      </c>
      <c r="I58" s="770"/>
      <c r="J58" s="771" t="s">
        <v>220</v>
      </c>
      <c r="K58" s="772"/>
      <c r="L58" s="773" t="s">
        <v>221</v>
      </c>
      <c r="N58" s="155" t="s">
        <v>219</v>
      </c>
      <c r="O58" s="156">
        <v>0.8</v>
      </c>
      <c r="P58" s="136"/>
    </row>
    <row r="59" spans="1:16" ht="15" thickBot="1" x14ac:dyDescent="0.3">
      <c r="A59" s="764"/>
      <c r="B59" s="775" t="s">
        <v>223</v>
      </c>
      <c r="C59" s="776"/>
      <c r="D59" s="157">
        <v>2019</v>
      </c>
      <c r="E59" s="157">
        <v>2018</v>
      </c>
      <c r="F59" s="774"/>
      <c r="H59" s="777" t="s">
        <v>224</v>
      </c>
      <c r="I59" s="778"/>
      <c r="J59" s="158">
        <f>D59</f>
        <v>2019</v>
      </c>
      <c r="K59" s="158">
        <f>E59</f>
        <v>2018</v>
      </c>
      <c r="L59" s="774"/>
      <c r="N59" s="159" t="s">
        <v>224</v>
      </c>
      <c r="O59" s="177">
        <v>2.6</v>
      </c>
      <c r="P59" s="136"/>
    </row>
    <row r="60" spans="1:16" x14ac:dyDescent="0.25">
      <c r="A60" s="764"/>
      <c r="C60" s="161">
        <v>15</v>
      </c>
      <c r="D60" s="162">
        <v>0.4</v>
      </c>
      <c r="E60" s="162">
        <v>0.4</v>
      </c>
      <c r="F60" s="163">
        <f t="shared" ref="F60:F66" si="10">0.5*(MAX(D60:E60)-MIN(D60:E60))</f>
        <v>0</v>
      </c>
      <c r="H60" s="151"/>
      <c r="I60" s="161">
        <v>30</v>
      </c>
      <c r="J60" s="162">
        <v>-1.5</v>
      </c>
      <c r="K60" s="162">
        <v>-4.9000000000000004</v>
      </c>
      <c r="L60" s="163">
        <f t="shared" ref="L60:L66" si="11">0.5*(MAX(J60:K60)-MIN(J60:K60))</f>
        <v>1.7000000000000002</v>
      </c>
      <c r="O60" s="146"/>
      <c r="P60" s="136"/>
    </row>
    <row r="61" spans="1:16" x14ac:dyDescent="0.25">
      <c r="A61" s="764"/>
      <c r="C61" s="164">
        <v>20</v>
      </c>
      <c r="D61" s="144">
        <v>0.3</v>
      </c>
      <c r="E61" s="144">
        <v>0.2</v>
      </c>
      <c r="F61" s="165">
        <f t="shared" si="10"/>
        <v>4.9999999999999989E-2</v>
      </c>
      <c r="H61" s="151"/>
      <c r="I61" s="164">
        <v>40</v>
      </c>
      <c r="J61" s="144">
        <v>-3.8</v>
      </c>
      <c r="K61" s="144">
        <v>-3.4</v>
      </c>
      <c r="L61" s="165">
        <f t="shared" si="11"/>
        <v>0.19999999999999996</v>
      </c>
      <c r="O61" s="146"/>
      <c r="P61" s="136"/>
    </row>
    <row r="62" spans="1:16" x14ac:dyDescent="0.25">
      <c r="A62" s="764"/>
      <c r="C62" s="164">
        <v>25</v>
      </c>
      <c r="D62" s="144">
        <v>0.2</v>
      </c>
      <c r="E62" s="144">
        <v>-0.1</v>
      </c>
      <c r="F62" s="165">
        <f t="shared" si="10"/>
        <v>0.15000000000000002</v>
      </c>
      <c r="H62" s="151"/>
      <c r="I62" s="164">
        <v>50</v>
      </c>
      <c r="J62" s="144">
        <v>-5.4</v>
      </c>
      <c r="K62" s="144">
        <v>-2.5</v>
      </c>
      <c r="L62" s="165">
        <f t="shared" si="11"/>
        <v>1.4500000000000002</v>
      </c>
      <c r="O62" s="146"/>
      <c r="P62" s="136"/>
    </row>
    <row r="63" spans="1:16" x14ac:dyDescent="0.25">
      <c r="A63" s="764"/>
      <c r="C63" s="166">
        <v>30</v>
      </c>
      <c r="D63" s="147">
        <v>0.1</v>
      </c>
      <c r="E63" s="147">
        <v>-0.5</v>
      </c>
      <c r="F63" s="165">
        <f t="shared" si="10"/>
        <v>0.3</v>
      </c>
      <c r="H63" s="151"/>
      <c r="I63" s="166">
        <v>60</v>
      </c>
      <c r="J63" s="147">
        <v>-6.4</v>
      </c>
      <c r="K63" s="147">
        <v>-2</v>
      </c>
      <c r="L63" s="165">
        <f t="shared" si="11"/>
        <v>2.2000000000000002</v>
      </c>
      <c r="O63" s="146"/>
      <c r="P63" s="136"/>
    </row>
    <row r="64" spans="1:16" x14ac:dyDescent="0.25">
      <c r="A64" s="764"/>
      <c r="C64" s="166">
        <v>35</v>
      </c>
      <c r="D64" s="147">
        <v>0.1</v>
      </c>
      <c r="E64" s="147">
        <v>-0.9</v>
      </c>
      <c r="F64" s="165">
        <f t="shared" si="10"/>
        <v>0.5</v>
      </c>
      <c r="H64" s="151"/>
      <c r="I64" s="166">
        <v>70</v>
      </c>
      <c r="J64" s="147">
        <v>-6.7</v>
      </c>
      <c r="K64" s="147">
        <v>-2.1</v>
      </c>
      <c r="L64" s="165">
        <f t="shared" si="11"/>
        <v>2.2999999999999998</v>
      </c>
      <c r="O64" s="146"/>
      <c r="P64" s="136"/>
    </row>
    <row r="65" spans="1:16" x14ac:dyDescent="0.25">
      <c r="A65" s="764"/>
      <c r="C65" s="166">
        <v>37</v>
      </c>
      <c r="D65" s="147">
        <v>0.1</v>
      </c>
      <c r="E65" s="147">
        <v>-1.1000000000000001</v>
      </c>
      <c r="F65" s="165">
        <f t="shared" si="10"/>
        <v>0.60000000000000009</v>
      </c>
      <c r="H65" s="151"/>
      <c r="I65" s="166">
        <v>80</v>
      </c>
      <c r="J65" s="147">
        <v>-6.3</v>
      </c>
      <c r="K65" s="147">
        <v>-2.6</v>
      </c>
      <c r="L65" s="165">
        <f t="shared" si="11"/>
        <v>1.8499999999999999</v>
      </c>
      <c r="O65" s="146"/>
      <c r="P65" s="136"/>
    </row>
    <row r="66" spans="1:16" ht="13.8" thickBot="1" x14ac:dyDescent="0.3">
      <c r="A66" s="765"/>
      <c r="B66" s="149"/>
      <c r="C66" s="167">
        <v>40</v>
      </c>
      <c r="D66" s="168">
        <v>0.1</v>
      </c>
      <c r="E66" s="168">
        <v>-1.4</v>
      </c>
      <c r="F66" s="169">
        <f t="shared" si="10"/>
        <v>0.75</v>
      </c>
      <c r="G66" s="149"/>
      <c r="H66" s="170"/>
      <c r="I66" s="167">
        <v>90</v>
      </c>
      <c r="J66" s="168">
        <v>-5.2</v>
      </c>
      <c r="K66" s="168">
        <v>-2.6</v>
      </c>
      <c r="L66" s="169">
        <f t="shared" si="11"/>
        <v>1.3</v>
      </c>
      <c r="M66" s="149"/>
      <c r="N66" s="149"/>
      <c r="O66" s="150"/>
      <c r="P66" s="136"/>
    </row>
    <row r="67" spans="1:16" ht="13.8" thickBot="1" x14ac:dyDescent="0.3">
      <c r="A67" s="172"/>
      <c r="B67" s="173"/>
      <c r="C67" s="173"/>
      <c r="D67" s="173"/>
      <c r="E67" s="174"/>
      <c r="F67" s="175"/>
      <c r="G67" s="176"/>
      <c r="H67" s="173"/>
      <c r="I67" s="173"/>
      <c r="J67" s="173"/>
      <c r="K67" s="174"/>
      <c r="L67" s="175"/>
      <c r="O67" s="146"/>
      <c r="P67" s="136"/>
    </row>
    <row r="68" spans="1:16" ht="13.8" thickBot="1" x14ac:dyDescent="0.3">
      <c r="A68" s="763">
        <v>7</v>
      </c>
      <c r="B68" s="766" t="s">
        <v>230</v>
      </c>
      <c r="C68" s="767"/>
      <c r="D68" s="767"/>
      <c r="E68" s="767"/>
      <c r="F68" s="768"/>
      <c r="G68" s="138"/>
      <c r="H68" s="766" t="str">
        <f>B68</f>
        <v>KOREKSI GREISINGER 34903053</v>
      </c>
      <c r="I68" s="767"/>
      <c r="J68" s="767"/>
      <c r="K68" s="767"/>
      <c r="L68" s="768"/>
      <c r="M68" s="138"/>
      <c r="N68" s="779" t="s">
        <v>218</v>
      </c>
      <c r="O68" s="780"/>
      <c r="P68" s="136"/>
    </row>
    <row r="69" spans="1:16" ht="13.8" thickBot="1" x14ac:dyDescent="0.3">
      <c r="A69" s="764"/>
      <c r="B69" s="769" t="s">
        <v>219</v>
      </c>
      <c r="C69" s="770"/>
      <c r="D69" s="771" t="s">
        <v>220</v>
      </c>
      <c r="E69" s="772"/>
      <c r="F69" s="773" t="s">
        <v>221</v>
      </c>
      <c r="H69" s="769" t="s">
        <v>222</v>
      </c>
      <c r="I69" s="770"/>
      <c r="J69" s="771" t="s">
        <v>220</v>
      </c>
      <c r="K69" s="772"/>
      <c r="L69" s="773" t="s">
        <v>221</v>
      </c>
      <c r="N69" s="155" t="s">
        <v>219</v>
      </c>
      <c r="O69" s="156">
        <v>0.3</v>
      </c>
      <c r="P69" s="136"/>
    </row>
    <row r="70" spans="1:16" ht="15" thickBot="1" x14ac:dyDescent="0.3">
      <c r="A70" s="764"/>
      <c r="B70" s="775" t="s">
        <v>223</v>
      </c>
      <c r="C70" s="776"/>
      <c r="D70" s="157">
        <v>2018</v>
      </c>
      <c r="E70" s="157">
        <v>2017</v>
      </c>
      <c r="F70" s="774"/>
      <c r="H70" s="777" t="s">
        <v>224</v>
      </c>
      <c r="I70" s="778"/>
      <c r="J70" s="158">
        <f>D70</f>
        <v>2018</v>
      </c>
      <c r="K70" s="158">
        <f>E70</f>
        <v>2017</v>
      </c>
      <c r="L70" s="774"/>
      <c r="N70" s="159" t="s">
        <v>224</v>
      </c>
      <c r="O70" s="160">
        <v>2.2999999999999998</v>
      </c>
      <c r="P70" s="136"/>
    </row>
    <row r="71" spans="1:16" x14ac:dyDescent="0.25">
      <c r="A71" s="764"/>
      <c r="C71" s="161">
        <v>15</v>
      </c>
      <c r="D71" s="162">
        <v>0.3</v>
      </c>
      <c r="E71" s="162">
        <v>0.2</v>
      </c>
      <c r="F71" s="163">
        <f t="shared" ref="F71:F77" si="12">0.5*(MAX(D71:E71)-MIN(D71:E71))</f>
        <v>4.9999999999999989E-2</v>
      </c>
      <c r="H71" s="151"/>
      <c r="I71" s="161">
        <v>30</v>
      </c>
      <c r="J71" s="162">
        <v>1.8</v>
      </c>
      <c r="K71" s="162">
        <v>-0.1</v>
      </c>
      <c r="L71" s="163">
        <f t="shared" ref="L71:L77" si="13">0.5*(MAX(J71:K71)-MIN(J71:K71))</f>
        <v>0.95000000000000007</v>
      </c>
      <c r="O71" s="146"/>
      <c r="P71" s="136"/>
    </row>
    <row r="72" spans="1:16" x14ac:dyDescent="0.25">
      <c r="A72" s="764"/>
      <c r="C72" s="164">
        <v>20</v>
      </c>
      <c r="D72" s="144">
        <v>0.1</v>
      </c>
      <c r="E72" s="144">
        <v>0.1</v>
      </c>
      <c r="F72" s="165">
        <f t="shared" si="12"/>
        <v>0</v>
      </c>
      <c r="H72" s="151"/>
      <c r="I72" s="164">
        <v>40</v>
      </c>
      <c r="J72" s="144">
        <v>1.2</v>
      </c>
      <c r="K72" s="144">
        <v>0</v>
      </c>
      <c r="L72" s="165">
        <f t="shared" si="13"/>
        <v>0.6</v>
      </c>
      <c r="O72" s="146"/>
      <c r="P72" s="136"/>
    </row>
    <row r="73" spans="1:16" x14ac:dyDescent="0.25">
      <c r="A73" s="764"/>
      <c r="C73" s="164">
        <v>25</v>
      </c>
      <c r="D73" s="144">
        <v>-0.2</v>
      </c>
      <c r="E73" s="144">
        <v>0</v>
      </c>
      <c r="F73" s="165">
        <f t="shared" si="12"/>
        <v>0.1</v>
      </c>
      <c r="H73" s="151"/>
      <c r="I73" s="164">
        <v>50</v>
      </c>
      <c r="J73" s="144">
        <v>0.8</v>
      </c>
      <c r="K73" s="144">
        <v>0.6</v>
      </c>
      <c r="L73" s="165">
        <f t="shared" si="13"/>
        <v>0.10000000000000003</v>
      </c>
      <c r="O73" s="146"/>
      <c r="P73" s="136"/>
    </row>
    <row r="74" spans="1:16" x14ac:dyDescent="0.25">
      <c r="A74" s="764"/>
      <c r="C74" s="166">
        <v>30</v>
      </c>
      <c r="D74" s="147">
        <v>-0.6</v>
      </c>
      <c r="E74" s="147">
        <v>-0.1</v>
      </c>
      <c r="F74" s="165">
        <f t="shared" si="12"/>
        <v>0.25</v>
      </c>
      <c r="H74" s="151"/>
      <c r="I74" s="166">
        <v>60</v>
      </c>
      <c r="J74" s="147">
        <v>0.7</v>
      </c>
      <c r="K74" s="147">
        <v>1.5</v>
      </c>
      <c r="L74" s="165">
        <f t="shared" si="13"/>
        <v>0.4</v>
      </c>
      <c r="O74" s="146"/>
      <c r="P74" s="136"/>
    </row>
    <row r="75" spans="1:16" x14ac:dyDescent="0.25">
      <c r="A75" s="764"/>
      <c r="C75" s="166">
        <v>35</v>
      </c>
      <c r="D75" s="147">
        <v>-1.1000000000000001</v>
      </c>
      <c r="E75" s="147">
        <v>-0.1</v>
      </c>
      <c r="F75" s="165">
        <f t="shared" si="12"/>
        <v>0.5</v>
      </c>
      <c r="H75" s="151"/>
      <c r="I75" s="166">
        <v>70</v>
      </c>
      <c r="J75" s="147">
        <v>0.9</v>
      </c>
      <c r="K75" s="147">
        <v>2.8</v>
      </c>
      <c r="L75" s="165">
        <f t="shared" si="13"/>
        <v>0.95</v>
      </c>
      <c r="O75" s="146"/>
      <c r="P75" s="136"/>
    </row>
    <row r="76" spans="1:16" x14ac:dyDescent="0.25">
      <c r="A76" s="764"/>
      <c r="C76" s="166">
        <v>37</v>
      </c>
      <c r="D76" s="147">
        <v>-1.4</v>
      </c>
      <c r="E76" s="147">
        <v>-0.1</v>
      </c>
      <c r="F76" s="165">
        <f t="shared" si="12"/>
        <v>0.64999999999999991</v>
      </c>
      <c r="H76" s="151"/>
      <c r="I76" s="166">
        <v>80</v>
      </c>
      <c r="J76" s="147">
        <v>1.2</v>
      </c>
      <c r="K76" s="147">
        <v>4.4000000000000004</v>
      </c>
      <c r="L76" s="165">
        <f t="shared" si="13"/>
        <v>1.6</v>
      </c>
      <c r="O76" s="146"/>
      <c r="P76" s="136"/>
    </row>
    <row r="77" spans="1:16" ht="13.8" thickBot="1" x14ac:dyDescent="0.3">
      <c r="A77" s="765"/>
      <c r="B77" s="149"/>
      <c r="C77" s="167">
        <v>40</v>
      </c>
      <c r="D77" s="168">
        <v>-1.7</v>
      </c>
      <c r="E77" s="168">
        <v>-0.1</v>
      </c>
      <c r="F77" s="169">
        <f t="shared" si="12"/>
        <v>0.79999999999999993</v>
      </c>
      <c r="G77" s="149"/>
      <c r="H77" s="170"/>
      <c r="I77" s="167">
        <v>90</v>
      </c>
      <c r="J77" s="168">
        <v>1.8</v>
      </c>
      <c r="K77" s="168">
        <v>4.4000000000000004</v>
      </c>
      <c r="L77" s="169">
        <f t="shared" si="13"/>
        <v>1.3000000000000003</v>
      </c>
      <c r="M77" s="149"/>
      <c r="N77" s="149"/>
      <c r="O77" s="150"/>
      <c r="P77" s="136"/>
    </row>
    <row r="78" spans="1:16" ht="13.8" thickBot="1" x14ac:dyDescent="0.3">
      <c r="A78" s="172"/>
      <c r="B78" s="173"/>
      <c r="C78" s="173"/>
      <c r="D78" s="173"/>
      <c r="E78" s="174"/>
      <c r="F78" s="175"/>
      <c r="G78" s="176"/>
      <c r="H78" s="173"/>
      <c r="I78" s="173"/>
      <c r="J78" s="173"/>
      <c r="K78" s="174"/>
      <c r="L78" s="175"/>
      <c r="O78" s="146"/>
      <c r="P78" s="136"/>
    </row>
    <row r="79" spans="1:16" ht="13.8" thickBot="1" x14ac:dyDescent="0.3">
      <c r="A79" s="763">
        <v>8</v>
      </c>
      <c r="B79" s="766" t="s">
        <v>231</v>
      </c>
      <c r="C79" s="767"/>
      <c r="D79" s="767"/>
      <c r="E79" s="767"/>
      <c r="F79" s="768"/>
      <c r="G79" s="138"/>
      <c r="H79" s="766" t="str">
        <f>B79</f>
        <v>KOREKSI GREISINGER 34903051</v>
      </c>
      <c r="I79" s="767"/>
      <c r="J79" s="767"/>
      <c r="K79" s="767"/>
      <c r="L79" s="768"/>
      <c r="M79" s="138"/>
      <c r="N79" s="779" t="s">
        <v>218</v>
      </c>
      <c r="O79" s="780"/>
      <c r="P79" s="136"/>
    </row>
    <row r="80" spans="1:16" ht="13.8" thickBot="1" x14ac:dyDescent="0.3">
      <c r="A80" s="764"/>
      <c r="B80" s="769" t="s">
        <v>219</v>
      </c>
      <c r="C80" s="770"/>
      <c r="D80" s="771" t="s">
        <v>220</v>
      </c>
      <c r="E80" s="772"/>
      <c r="F80" s="773" t="s">
        <v>221</v>
      </c>
      <c r="H80" s="769" t="s">
        <v>222</v>
      </c>
      <c r="I80" s="770"/>
      <c r="J80" s="771" t="s">
        <v>220</v>
      </c>
      <c r="K80" s="772"/>
      <c r="L80" s="773" t="s">
        <v>221</v>
      </c>
      <c r="N80" s="155" t="s">
        <v>219</v>
      </c>
      <c r="O80" s="178">
        <v>0.3</v>
      </c>
      <c r="P80" s="136"/>
    </row>
    <row r="81" spans="1:16" ht="15" thickBot="1" x14ac:dyDescent="0.3">
      <c r="A81" s="764"/>
      <c r="B81" s="775" t="s">
        <v>223</v>
      </c>
      <c r="C81" s="776"/>
      <c r="D81" s="157">
        <v>2019</v>
      </c>
      <c r="E81" s="157">
        <v>2017</v>
      </c>
      <c r="F81" s="774"/>
      <c r="H81" s="777" t="s">
        <v>224</v>
      </c>
      <c r="I81" s="778"/>
      <c r="J81" s="158">
        <f>D81</f>
        <v>2019</v>
      </c>
      <c r="K81" s="158">
        <f>E81</f>
        <v>2017</v>
      </c>
      <c r="L81" s="774"/>
      <c r="N81" s="159" t="s">
        <v>224</v>
      </c>
      <c r="O81" s="177">
        <v>2.6</v>
      </c>
      <c r="P81" s="136"/>
    </row>
    <row r="82" spans="1:16" x14ac:dyDescent="0.25">
      <c r="A82" s="764"/>
      <c r="C82" s="179">
        <v>15</v>
      </c>
      <c r="D82" s="162">
        <v>0</v>
      </c>
      <c r="E82" s="162">
        <v>-0.2</v>
      </c>
      <c r="F82" s="163">
        <f t="shared" ref="F82:F88" si="14">0.5*(MAX(D82:E82)-MIN(D82:E82))</f>
        <v>0.1</v>
      </c>
      <c r="H82" s="151"/>
      <c r="I82" s="179">
        <v>30</v>
      </c>
      <c r="J82" s="162">
        <v>-1.4</v>
      </c>
      <c r="K82" s="162">
        <v>1</v>
      </c>
      <c r="L82" s="163">
        <f t="shared" ref="L82:L88" si="15">0.5*(MAX(J82:K82)-MIN(J82:K82))</f>
        <v>1.2</v>
      </c>
      <c r="O82" s="146"/>
      <c r="P82" s="136"/>
    </row>
    <row r="83" spans="1:16" x14ac:dyDescent="0.25">
      <c r="A83" s="764"/>
      <c r="C83" s="180">
        <v>20</v>
      </c>
      <c r="D83" s="162">
        <v>-0.2</v>
      </c>
      <c r="E83" s="162">
        <v>-0.2</v>
      </c>
      <c r="F83" s="165">
        <f>0.5*(MAX(D83:E83)-MIN(D83:E83))</f>
        <v>0</v>
      </c>
      <c r="H83" s="151"/>
      <c r="I83" s="180">
        <v>40</v>
      </c>
      <c r="J83" s="144">
        <v>-1.2</v>
      </c>
      <c r="K83" s="144">
        <v>1.1000000000000001</v>
      </c>
      <c r="L83" s="165">
        <f t="shared" si="15"/>
        <v>1.1499999999999999</v>
      </c>
      <c r="O83" s="146"/>
      <c r="P83" s="136"/>
    </row>
    <row r="84" spans="1:16" x14ac:dyDescent="0.25">
      <c r="A84" s="764"/>
      <c r="C84" s="180">
        <v>25</v>
      </c>
      <c r="D84" s="162">
        <v>-0.4</v>
      </c>
      <c r="E84" s="162">
        <v>-0.2</v>
      </c>
      <c r="F84" s="165">
        <f t="shared" si="14"/>
        <v>0.1</v>
      </c>
      <c r="H84" s="151"/>
      <c r="I84" s="180">
        <v>50</v>
      </c>
      <c r="J84" s="144">
        <v>-1.2</v>
      </c>
      <c r="K84" s="144">
        <v>1.3</v>
      </c>
      <c r="L84" s="165">
        <f t="shared" si="15"/>
        <v>1.25</v>
      </c>
      <c r="O84" s="146"/>
      <c r="P84" s="136"/>
    </row>
    <row r="85" spans="1:16" x14ac:dyDescent="0.25">
      <c r="A85" s="764"/>
      <c r="C85" s="181">
        <v>30</v>
      </c>
      <c r="D85" s="162">
        <v>-0.4</v>
      </c>
      <c r="E85" s="162">
        <v>-0.2</v>
      </c>
      <c r="F85" s="165">
        <f t="shared" si="14"/>
        <v>0.1</v>
      </c>
      <c r="H85" s="151"/>
      <c r="I85" s="181">
        <v>60</v>
      </c>
      <c r="J85" s="147">
        <v>-1.1000000000000001</v>
      </c>
      <c r="K85" s="147">
        <v>1.7</v>
      </c>
      <c r="L85" s="165">
        <f t="shared" si="15"/>
        <v>1.4</v>
      </c>
      <c r="O85" s="146"/>
      <c r="P85" s="136"/>
    </row>
    <row r="86" spans="1:16" x14ac:dyDescent="0.25">
      <c r="A86" s="764"/>
      <c r="C86" s="181">
        <v>35</v>
      </c>
      <c r="D86" s="147">
        <v>-0.5</v>
      </c>
      <c r="E86" s="147">
        <v>-0.3</v>
      </c>
      <c r="F86" s="165">
        <f t="shared" si="14"/>
        <v>0.1</v>
      </c>
      <c r="H86" s="151"/>
      <c r="I86" s="181">
        <v>70</v>
      </c>
      <c r="J86" s="147">
        <v>-1.2</v>
      </c>
      <c r="K86" s="147">
        <v>2.1</v>
      </c>
      <c r="L86" s="165">
        <f t="shared" si="15"/>
        <v>1.65</v>
      </c>
      <c r="O86" s="146"/>
      <c r="P86" s="136"/>
    </row>
    <row r="87" spans="1:16" x14ac:dyDescent="0.25">
      <c r="A87" s="764"/>
      <c r="C87" s="181">
        <v>37</v>
      </c>
      <c r="D87" s="147">
        <v>-0.5</v>
      </c>
      <c r="E87" s="147">
        <v>-0.3</v>
      </c>
      <c r="F87" s="165">
        <f t="shared" si="14"/>
        <v>0.1</v>
      </c>
      <c r="H87" s="151"/>
      <c r="I87" s="181">
        <v>80</v>
      </c>
      <c r="J87" s="147">
        <v>-1.2</v>
      </c>
      <c r="K87" s="147">
        <v>2.6</v>
      </c>
      <c r="L87" s="165">
        <f t="shared" si="15"/>
        <v>1.9</v>
      </c>
      <c r="O87" s="146"/>
      <c r="P87" s="136"/>
    </row>
    <row r="88" spans="1:16" ht="13.8" thickBot="1" x14ac:dyDescent="0.3">
      <c r="A88" s="765"/>
      <c r="B88" s="149"/>
      <c r="C88" s="182">
        <v>40</v>
      </c>
      <c r="D88" s="168">
        <v>-0.4</v>
      </c>
      <c r="E88" s="168">
        <v>-0.4</v>
      </c>
      <c r="F88" s="169">
        <f t="shared" si="14"/>
        <v>0</v>
      </c>
      <c r="G88" s="149"/>
      <c r="H88" s="170"/>
      <c r="I88" s="182">
        <v>90</v>
      </c>
      <c r="J88" s="168">
        <v>-1.3</v>
      </c>
      <c r="K88" s="168">
        <v>2.6</v>
      </c>
      <c r="L88" s="169">
        <f t="shared" si="15"/>
        <v>1.9500000000000002</v>
      </c>
      <c r="M88" s="149"/>
      <c r="N88" s="149"/>
      <c r="O88" s="150"/>
      <c r="P88" s="136"/>
    </row>
    <row r="89" spans="1:16" ht="13.8" thickBot="1" x14ac:dyDescent="0.3">
      <c r="A89" s="172"/>
      <c r="B89" s="173"/>
      <c r="C89" s="173"/>
      <c r="D89" s="173"/>
      <c r="E89" s="174"/>
      <c r="F89" s="183"/>
      <c r="G89" s="176"/>
      <c r="H89" s="173"/>
      <c r="I89" s="173"/>
      <c r="J89" s="173"/>
      <c r="K89" s="174"/>
      <c r="L89" s="183"/>
      <c r="O89" s="146"/>
      <c r="P89" s="136"/>
    </row>
    <row r="90" spans="1:16" ht="13.8" thickBot="1" x14ac:dyDescent="0.3">
      <c r="A90" s="763">
        <v>9</v>
      </c>
      <c r="B90" s="766" t="s">
        <v>232</v>
      </c>
      <c r="C90" s="767"/>
      <c r="D90" s="767"/>
      <c r="E90" s="767"/>
      <c r="F90" s="768"/>
      <c r="G90" s="138"/>
      <c r="H90" s="766" t="str">
        <f>B90</f>
        <v>KOREKSI GREISINGER 34904091</v>
      </c>
      <c r="I90" s="767"/>
      <c r="J90" s="767"/>
      <c r="K90" s="767"/>
      <c r="L90" s="768"/>
      <c r="M90" s="138"/>
      <c r="N90" s="779" t="s">
        <v>218</v>
      </c>
      <c r="O90" s="780"/>
      <c r="P90" s="136"/>
    </row>
    <row r="91" spans="1:16" ht="13.8" thickBot="1" x14ac:dyDescent="0.3">
      <c r="A91" s="764"/>
      <c r="B91" s="769" t="s">
        <v>219</v>
      </c>
      <c r="C91" s="770"/>
      <c r="D91" s="771" t="s">
        <v>220</v>
      </c>
      <c r="E91" s="772"/>
      <c r="F91" s="773" t="s">
        <v>221</v>
      </c>
      <c r="H91" s="769" t="s">
        <v>222</v>
      </c>
      <c r="I91" s="770"/>
      <c r="J91" s="771" t="s">
        <v>220</v>
      </c>
      <c r="K91" s="772"/>
      <c r="L91" s="773" t="s">
        <v>221</v>
      </c>
      <c r="N91" s="155" t="s">
        <v>219</v>
      </c>
      <c r="O91" s="178">
        <v>0.3</v>
      </c>
      <c r="P91" s="136"/>
    </row>
    <row r="92" spans="1:16" ht="15" thickBot="1" x14ac:dyDescent="0.3">
      <c r="A92" s="764"/>
      <c r="B92" s="775" t="s">
        <v>223</v>
      </c>
      <c r="C92" s="776"/>
      <c r="D92" s="157">
        <v>2019</v>
      </c>
      <c r="E92" s="184" t="s">
        <v>149</v>
      </c>
      <c r="F92" s="774"/>
      <c r="H92" s="777" t="s">
        <v>224</v>
      </c>
      <c r="I92" s="778"/>
      <c r="J92" s="158">
        <f>D92</f>
        <v>2019</v>
      </c>
      <c r="K92" s="158" t="str">
        <f>E92</f>
        <v>-</v>
      </c>
      <c r="L92" s="774"/>
      <c r="N92" s="159" t="s">
        <v>224</v>
      </c>
      <c r="O92" s="177">
        <v>2.4</v>
      </c>
      <c r="P92" s="136"/>
    </row>
    <row r="93" spans="1:16" x14ac:dyDescent="0.25">
      <c r="A93" s="764"/>
      <c r="B93" s="151"/>
      <c r="C93" s="179">
        <v>15</v>
      </c>
      <c r="D93" s="162">
        <v>0</v>
      </c>
      <c r="E93" s="185" t="s">
        <v>149</v>
      </c>
      <c r="F93" s="163">
        <f t="shared" ref="F93" si="16">0.5*(MAX(D93:E93)-MIN(D93:E93))</f>
        <v>0</v>
      </c>
      <c r="H93" s="151"/>
      <c r="I93" s="179">
        <v>30</v>
      </c>
      <c r="J93" s="162">
        <v>-1.2</v>
      </c>
      <c r="K93" s="185" t="s">
        <v>149</v>
      </c>
      <c r="L93" s="163">
        <f t="shared" ref="L93:L99" si="17">0.5*(MAX(J93:K93)-MIN(J93:K93))</f>
        <v>0</v>
      </c>
      <c r="O93" s="146"/>
      <c r="P93" s="136"/>
    </row>
    <row r="94" spans="1:16" x14ac:dyDescent="0.25">
      <c r="A94" s="764"/>
      <c r="B94" s="151"/>
      <c r="C94" s="180">
        <v>20</v>
      </c>
      <c r="D94" s="162">
        <v>-0.2</v>
      </c>
      <c r="E94" s="186" t="s">
        <v>149</v>
      </c>
      <c r="F94" s="165">
        <f>0.5*(MAX(D94:E94)-MIN(D94:E94))</f>
        <v>0</v>
      </c>
      <c r="H94" s="151"/>
      <c r="I94" s="180">
        <v>40</v>
      </c>
      <c r="J94" s="162">
        <v>-1</v>
      </c>
      <c r="K94" s="186" t="s">
        <v>149</v>
      </c>
      <c r="L94" s="165">
        <f t="shared" si="17"/>
        <v>0</v>
      </c>
      <c r="O94" s="146"/>
      <c r="P94" s="136"/>
    </row>
    <row r="95" spans="1:16" x14ac:dyDescent="0.25">
      <c r="A95" s="764"/>
      <c r="B95" s="151"/>
      <c r="C95" s="180">
        <v>25</v>
      </c>
      <c r="D95" s="162">
        <v>-0.4</v>
      </c>
      <c r="E95" s="186" t="s">
        <v>149</v>
      </c>
      <c r="F95" s="165">
        <f t="shared" ref="F95:F99" si="18">0.5*(MAX(D95:E95)-MIN(D95:E95))</f>
        <v>0</v>
      </c>
      <c r="H95" s="151"/>
      <c r="I95" s="180">
        <v>50</v>
      </c>
      <c r="J95" s="162">
        <v>-0.9</v>
      </c>
      <c r="K95" s="186" t="s">
        <v>149</v>
      </c>
      <c r="L95" s="165">
        <f t="shared" si="17"/>
        <v>0</v>
      </c>
      <c r="O95" s="146"/>
      <c r="P95" s="136"/>
    </row>
    <row r="96" spans="1:16" x14ac:dyDescent="0.25">
      <c r="A96" s="764"/>
      <c r="B96" s="151"/>
      <c r="C96" s="181">
        <v>30</v>
      </c>
      <c r="D96" s="162">
        <v>-0.5</v>
      </c>
      <c r="E96" s="148" t="s">
        <v>149</v>
      </c>
      <c r="F96" s="165">
        <f t="shared" si="18"/>
        <v>0</v>
      </c>
      <c r="H96" s="151"/>
      <c r="I96" s="181">
        <v>60</v>
      </c>
      <c r="J96" s="162">
        <v>-0.8</v>
      </c>
      <c r="K96" s="148" t="s">
        <v>149</v>
      </c>
      <c r="L96" s="165">
        <f t="shared" si="17"/>
        <v>0</v>
      </c>
      <c r="O96" s="146"/>
      <c r="P96" s="136"/>
    </row>
    <row r="97" spans="1:16" x14ac:dyDescent="0.25">
      <c r="A97" s="764"/>
      <c r="B97" s="151"/>
      <c r="C97" s="181">
        <v>35</v>
      </c>
      <c r="D97" s="162">
        <v>-0.5</v>
      </c>
      <c r="E97" s="148" t="s">
        <v>149</v>
      </c>
      <c r="F97" s="165">
        <f t="shared" si="18"/>
        <v>0</v>
      </c>
      <c r="H97" s="151"/>
      <c r="I97" s="181">
        <v>70</v>
      </c>
      <c r="J97" s="162">
        <v>-0.6</v>
      </c>
      <c r="K97" s="148" t="s">
        <v>149</v>
      </c>
      <c r="L97" s="165">
        <f t="shared" si="17"/>
        <v>0</v>
      </c>
      <c r="O97" s="146"/>
      <c r="P97" s="136"/>
    </row>
    <row r="98" spans="1:16" x14ac:dyDescent="0.25">
      <c r="A98" s="764"/>
      <c r="B98" s="151"/>
      <c r="C98" s="181">
        <v>37</v>
      </c>
      <c r="D98" s="162">
        <v>-0.5</v>
      </c>
      <c r="E98" s="148" t="s">
        <v>149</v>
      </c>
      <c r="F98" s="165">
        <f t="shared" si="18"/>
        <v>0</v>
      </c>
      <c r="H98" s="151"/>
      <c r="I98" s="181">
        <v>80</v>
      </c>
      <c r="J98" s="162">
        <v>-0.5</v>
      </c>
      <c r="K98" s="148" t="s">
        <v>149</v>
      </c>
      <c r="L98" s="165">
        <f t="shared" si="17"/>
        <v>0</v>
      </c>
      <c r="O98" s="146"/>
      <c r="P98" s="136"/>
    </row>
    <row r="99" spans="1:16" ht="13.8" thickBot="1" x14ac:dyDescent="0.3">
      <c r="A99" s="765"/>
      <c r="B99" s="170"/>
      <c r="C99" s="182">
        <v>40</v>
      </c>
      <c r="D99" s="187">
        <v>-0.4</v>
      </c>
      <c r="E99" s="171" t="s">
        <v>149</v>
      </c>
      <c r="F99" s="169">
        <f t="shared" si="18"/>
        <v>0</v>
      </c>
      <c r="G99" s="149"/>
      <c r="H99" s="170"/>
      <c r="I99" s="182">
        <v>90</v>
      </c>
      <c r="J99" s="187">
        <v>-0.2</v>
      </c>
      <c r="K99" s="171" t="s">
        <v>149</v>
      </c>
      <c r="L99" s="169">
        <f t="shared" si="17"/>
        <v>0</v>
      </c>
      <c r="M99" s="149"/>
      <c r="N99" s="149"/>
      <c r="O99" s="150"/>
      <c r="P99" s="136"/>
    </row>
    <row r="100" spans="1:16" ht="13.8" thickBot="1" x14ac:dyDescent="0.3">
      <c r="A100" s="172"/>
      <c r="B100" s="173"/>
      <c r="C100" s="173"/>
      <c r="D100" s="173"/>
      <c r="E100" s="174"/>
      <c r="F100" s="183"/>
      <c r="G100" s="176"/>
      <c r="H100" s="173"/>
      <c r="I100" s="173"/>
      <c r="J100" s="173"/>
      <c r="K100" s="174"/>
      <c r="L100" s="183"/>
      <c r="M100" s="176"/>
      <c r="O100" s="146"/>
      <c r="P100" s="136"/>
    </row>
    <row r="101" spans="1:16" ht="13.8" thickBot="1" x14ac:dyDescent="0.3">
      <c r="A101" s="763">
        <v>10</v>
      </c>
      <c r="B101" s="766" t="s">
        <v>233</v>
      </c>
      <c r="C101" s="767"/>
      <c r="D101" s="767"/>
      <c r="E101" s="767"/>
      <c r="F101" s="768"/>
      <c r="G101" s="138"/>
      <c r="H101" s="781" t="str">
        <f>B101</f>
        <v>KOREKSI Sekonic HE-21.000669</v>
      </c>
      <c r="I101" s="782"/>
      <c r="J101" s="782"/>
      <c r="K101" s="782"/>
      <c r="L101" s="783"/>
      <c r="M101" s="138"/>
      <c r="N101" s="779" t="s">
        <v>218</v>
      </c>
      <c r="O101" s="780"/>
      <c r="P101" s="136"/>
    </row>
    <row r="102" spans="1:16" ht="13.8" thickBot="1" x14ac:dyDescent="0.3">
      <c r="A102" s="764"/>
      <c r="B102" s="769" t="s">
        <v>219</v>
      </c>
      <c r="C102" s="770"/>
      <c r="D102" s="771" t="s">
        <v>220</v>
      </c>
      <c r="E102" s="772"/>
      <c r="F102" s="773" t="s">
        <v>221</v>
      </c>
      <c r="H102" s="769" t="s">
        <v>222</v>
      </c>
      <c r="I102" s="770"/>
      <c r="J102" s="771" t="s">
        <v>220</v>
      </c>
      <c r="K102" s="772"/>
      <c r="L102" s="773" t="s">
        <v>221</v>
      </c>
      <c r="N102" s="155" t="s">
        <v>219</v>
      </c>
      <c r="O102" s="178">
        <v>0.3</v>
      </c>
      <c r="P102" s="136"/>
    </row>
    <row r="103" spans="1:16" ht="15" thickBot="1" x14ac:dyDescent="0.3">
      <c r="A103" s="764"/>
      <c r="B103" s="775" t="s">
        <v>223</v>
      </c>
      <c r="C103" s="776"/>
      <c r="D103" s="157">
        <v>2019</v>
      </c>
      <c r="E103" s="157">
        <v>2016</v>
      </c>
      <c r="F103" s="774"/>
      <c r="H103" s="777" t="s">
        <v>224</v>
      </c>
      <c r="I103" s="778"/>
      <c r="J103" s="158">
        <f>D103</f>
        <v>2019</v>
      </c>
      <c r="K103" s="158">
        <f>E103</f>
        <v>2016</v>
      </c>
      <c r="L103" s="774"/>
      <c r="N103" s="159" t="s">
        <v>224</v>
      </c>
      <c r="O103" s="177">
        <v>1.5</v>
      </c>
      <c r="P103" s="136"/>
    </row>
    <row r="104" spans="1:16" x14ac:dyDescent="0.25">
      <c r="A104" s="764"/>
      <c r="C104" s="179">
        <v>15</v>
      </c>
      <c r="D104" s="162">
        <v>0.2</v>
      </c>
      <c r="E104" s="162">
        <v>0.2</v>
      </c>
      <c r="F104" s="163">
        <f t="shared" ref="F104:F110" si="19">0.5*(MAX(D104:E104)-MIN(D104:E104))</f>
        <v>0</v>
      </c>
      <c r="H104" s="151"/>
      <c r="I104" s="179">
        <v>30</v>
      </c>
      <c r="J104" s="162">
        <v>-2.9</v>
      </c>
      <c r="K104" s="162">
        <v>-5.8</v>
      </c>
      <c r="L104" s="163">
        <f t="shared" ref="L104:L107" si="20">0.5*(MAX(J104:K104)-MIN(J104:K104))</f>
        <v>1.45</v>
      </c>
      <c r="O104" s="146"/>
      <c r="P104" s="136"/>
    </row>
    <row r="105" spans="1:16" x14ac:dyDescent="0.25">
      <c r="A105" s="764"/>
      <c r="C105" s="180">
        <v>20</v>
      </c>
      <c r="D105" s="144">
        <v>0.2</v>
      </c>
      <c r="E105" s="144">
        <v>-0.7</v>
      </c>
      <c r="F105" s="165">
        <f t="shared" si="19"/>
        <v>0.44999999999999996</v>
      </c>
      <c r="H105" s="151"/>
      <c r="I105" s="180">
        <v>40</v>
      </c>
      <c r="J105" s="144">
        <v>-3.3</v>
      </c>
      <c r="K105" s="144">
        <v>-6.4</v>
      </c>
      <c r="L105" s="165">
        <f t="shared" si="20"/>
        <v>1.5500000000000003</v>
      </c>
      <c r="O105" s="146"/>
      <c r="P105" s="136"/>
    </row>
    <row r="106" spans="1:16" x14ac:dyDescent="0.25">
      <c r="A106" s="764"/>
      <c r="C106" s="180">
        <v>25</v>
      </c>
      <c r="D106" s="144">
        <v>0.1</v>
      </c>
      <c r="E106" s="144">
        <v>-0.5</v>
      </c>
      <c r="F106" s="165">
        <f t="shared" si="19"/>
        <v>0.3</v>
      </c>
      <c r="H106" s="151"/>
      <c r="I106" s="180">
        <v>50</v>
      </c>
      <c r="J106" s="144">
        <v>-3.1</v>
      </c>
      <c r="K106" s="144">
        <v>-6.1</v>
      </c>
      <c r="L106" s="165">
        <f t="shared" si="20"/>
        <v>1.4999999999999998</v>
      </c>
      <c r="O106" s="146"/>
      <c r="P106" s="136"/>
    </row>
    <row r="107" spans="1:16" x14ac:dyDescent="0.25">
      <c r="A107" s="764"/>
      <c r="C107" s="181">
        <v>30</v>
      </c>
      <c r="D107" s="147">
        <v>0.1</v>
      </c>
      <c r="E107" s="147">
        <v>0.2</v>
      </c>
      <c r="F107" s="165">
        <f t="shared" si="19"/>
        <v>0.05</v>
      </c>
      <c r="H107" s="151"/>
      <c r="I107" s="181">
        <v>60</v>
      </c>
      <c r="J107" s="147">
        <v>-2.1</v>
      </c>
      <c r="K107" s="147">
        <v>-5.6</v>
      </c>
      <c r="L107" s="165">
        <f t="shared" si="20"/>
        <v>1.7499999999999998</v>
      </c>
      <c r="O107" s="146"/>
      <c r="P107" s="136"/>
    </row>
    <row r="108" spans="1:16" x14ac:dyDescent="0.25">
      <c r="A108" s="764"/>
      <c r="C108" s="181">
        <v>35</v>
      </c>
      <c r="D108" s="147">
        <v>0.2</v>
      </c>
      <c r="E108" s="147">
        <v>0.8</v>
      </c>
      <c r="F108" s="165">
        <f t="shared" si="19"/>
        <v>0.30000000000000004</v>
      </c>
      <c r="H108" s="151"/>
      <c r="I108" s="181">
        <v>70</v>
      </c>
      <c r="J108" s="147">
        <v>-0.3</v>
      </c>
      <c r="K108" s="147">
        <v>-5.0999999999999996</v>
      </c>
      <c r="L108" s="165">
        <f>0.5*(MAX(J108:K108)-MIN(J108:K108))</f>
        <v>2.4</v>
      </c>
      <c r="O108" s="146"/>
      <c r="P108" s="136"/>
    </row>
    <row r="109" spans="1:16" x14ac:dyDescent="0.25">
      <c r="A109" s="764"/>
      <c r="C109" s="181">
        <v>37</v>
      </c>
      <c r="D109" s="147">
        <v>0.2</v>
      </c>
      <c r="E109" s="147">
        <v>0.4</v>
      </c>
      <c r="F109" s="165">
        <f t="shared" si="19"/>
        <v>0.1</v>
      </c>
      <c r="H109" s="151"/>
      <c r="I109" s="181">
        <v>80</v>
      </c>
      <c r="J109" s="147">
        <v>2.2000000000000002</v>
      </c>
      <c r="K109" s="147">
        <v>-4.7</v>
      </c>
      <c r="L109" s="165">
        <f t="shared" ref="L109:L110" si="21">0.5*(MAX(J109:K109)-MIN(J109:K109))</f>
        <v>3.45</v>
      </c>
      <c r="O109" s="146"/>
      <c r="P109" s="136"/>
    </row>
    <row r="110" spans="1:16" ht="13.8" thickBot="1" x14ac:dyDescent="0.3">
      <c r="A110" s="765"/>
      <c r="B110" s="149"/>
      <c r="C110" s="182">
        <v>40</v>
      </c>
      <c r="D110" s="188">
        <v>0.2</v>
      </c>
      <c r="E110" s="188">
        <v>0</v>
      </c>
      <c r="F110" s="169">
        <f t="shared" si="19"/>
        <v>0.1</v>
      </c>
      <c r="G110" s="149"/>
      <c r="H110" s="170"/>
      <c r="I110" s="182">
        <v>90</v>
      </c>
      <c r="J110" s="167">
        <v>5.4</v>
      </c>
      <c r="K110" s="167">
        <v>0</v>
      </c>
      <c r="L110" s="169">
        <f t="shared" si="21"/>
        <v>2.7</v>
      </c>
      <c r="M110" s="149"/>
      <c r="N110" s="149"/>
      <c r="O110" s="150"/>
      <c r="P110" s="136"/>
    </row>
    <row r="111" spans="1:16" ht="13.8" thickBot="1" x14ac:dyDescent="0.3">
      <c r="A111" s="172"/>
      <c r="B111" s="173"/>
      <c r="C111" s="173"/>
      <c r="D111" s="173"/>
      <c r="E111" s="174"/>
      <c r="F111" s="183"/>
      <c r="G111" s="176"/>
      <c r="H111" s="173"/>
      <c r="I111" s="173"/>
      <c r="J111" s="173"/>
      <c r="K111" s="174"/>
      <c r="L111" s="183"/>
      <c r="M111" s="176"/>
      <c r="O111" s="146"/>
      <c r="P111" s="136"/>
    </row>
    <row r="112" spans="1:16" ht="13.8" thickBot="1" x14ac:dyDescent="0.3">
      <c r="A112" s="763">
        <v>11</v>
      </c>
      <c r="B112" s="766" t="s">
        <v>234</v>
      </c>
      <c r="C112" s="767"/>
      <c r="D112" s="767"/>
      <c r="E112" s="767"/>
      <c r="F112" s="768"/>
      <c r="G112" s="138"/>
      <c r="H112" s="781" t="str">
        <f>B112</f>
        <v>KOREKSI Sekonic HE-21.000670</v>
      </c>
      <c r="I112" s="782"/>
      <c r="J112" s="782"/>
      <c r="K112" s="782"/>
      <c r="L112" s="783"/>
      <c r="M112" s="138"/>
      <c r="N112" s="779" t="s">
        <v>218</v>
      </c>
      <c r="O112" s="780"/>
      <c r="P112" s="136"/>
    </row>
    <row r="113" spans="1:16" ht="13.8" thickBot="1" x14ac:dyDescent="0.3">
      <c r="A113" s="764"/>
      <c r="B113" s="769" t="s">
        <v>219</v>
      </c>
      <c r="C113" s="770"/>
      <c r="D113" s="771" t="s">
        <v>220</v>
      </c>
      <c r="E113" s="772"/>
      <c r="F113" s="773" t="s">
        <v>221</v>
      </c>
      <c r="H113" s="769" t="s">
        <v>222</v>
      </c>
      <c r="I113" s="770"/>
      <c r="J113" s="771" t="s">
        <v>220</v>
      </c>
      <c r="K113" s="772"/>
      <c r="L113" s="773" t="s">
        <v>221</v>
      </c>
      <c r="N113" s="155" t="s">
        <v>219</v>
      </c>
      <c r="O113" s="178">
        <v>0.3</v>
      </c>
      <c r="P113" s="136"/>
    </row>
    <row r="114" spans="1:16" ht="15" thickBot="1" x14ac:dyDescent="0.3">
      <c r="A114" s="764"/>
      <c r="B114" s="775" t="s">
        <v>223</v>
      </c>
      <c r="C114" s="776"/>
      <c r="D114" s="157">
        <v>2020</v>
      </c>
      <c r="E114" s="184" t="s">
        <v>149</v>
      </c>
      <c r="F114" s="774"/>
      <c r="H114" s="777" t="s">
        <v>224</v>
      </c>
      <c r="I114" s="778"/>
      <c r="J114" s="158">
        <f>D114</f>
        <v>2020</v>
      </c>
      <c r="K114" s="158" t="str">
        <f>E114</f>
        <v>-</v>
      </c>
      <c r="L114" s="774"/>
      <c r="N114" s="159" t="s">
        <v>224</v>
      </c>
      <c r="O114" s="177">
        <v>1.8</v>
      </c>
      <c r="P114" s="136"/>
    </row>
    <row r="115" spans="1:16" x14ac:dyDescent="0.25">
      <c r="A115" s="764"/>
      <c r="C115" s="161">
        <v>15</v>
      </c>
      <c r="D115" s="162">
        <v>0.3</v>
      </c>
      <c r="E115" s="185" t="s">
        <v>149</v>
      </c>
      <c r="F115" s="163">
        <f t="shared" ref="F115:F121" si="22">0.5*(MAX(D115:E115)-MIN(D115:E115))</f>
        <v>0</v>
      </c>
      <c r="H115" s="151"/>
      <c r="I115" s="161">
        <v>35</v>
      </c>
      <c r="J115" s="162">
        <v>-5.2</v>
      </c>
      <c r="K115" s="185" t="s">
        <v>149</v>
      </c>
      <c r="L115" s="163">
        <f t="shared" ref="L115:L121" si="23">0.5*(MAX(J115:K115)-MIN(J115:K115))</f>
        <v>0</v>
      </c>
      <c r="O115" s="146"/>
      <c r="P115" s="136"/>
    </row>
    <row r="116" spans="1:16" x14ac:dyDescent="0.25">
      <c r="A116" s="764"/>
      <c r="C116" s="164">
        <v>20</v>
      </c>
      <c r="D116" s="144">
        <v>0.4</v>
      </c>
      <c r="E116" s="186" t="s">
        <v>149</v>
      </c>
      <c r="F116" s="165">
        <f t="shared" si="22"/>
        <v>0</v>
      </c>
      <c r="H116" s="151"/>
      <c r="I116" s="164">
        <v>40</v>
      </c>
      <c r="J116" s="144">
        <v>-5.5</v>
      </c>
      <c r="K116" s="186" t="s">
        <v>149</v>
      </c>
      <c r="L116" s="165">
        <f t="shared" si="23"/>
        <v>0</v>
      </c>
      <c r="O116" s="146"/>
      <c r="P116" s="136"/>
    </row>
    <row r="117" spans="1:16" x14ac:dyDescent="0.25">
      <c r="A117" s="764"/>
      <c r="C117" s="164">
        <v>25</v>
      </c>
      <c r="D117" s="144">
        <v>0.4</v>
      </c>
      <c r="E117" s="186" t="s">
        <v>149</v>
      </c>
      <c r="F117" s="165">
        <f t="shared" si="22"/>
        <v>0</v>
      </c>
      <c r="H117" s="151"/>
      <c r="I117" s="164">
        <v>50</v>
      </c>
      <c r="J117" s="144">
        <v>-5.5</v>
      </c>
      <c r="K117" s="186" t="s">
        <v>149</v>
      </c>
      <c r="L117" s="165">
        <f t="shared" si="23"/>
        <v>0</v>
      </c>
      <c r="O117" s="146"/>
      <c r="P117" s="136"/>
    </row>
    <row r="118" spans="1:16" x14ac:dyDescent="0.25">
      <c r="A118" s="764"/>
      <c r="C118" s="166">
        <v>30</v>
      </c>
      <c r="D118" s="147">
        <v>0.5</v>
      </c>
      <c r="E118" s="148" t="s">
        <v>149</v>
      </c>
      <c r="F118" s="165">
        <f t="shared" si="22"/>
        <v>0</v>
      </c>
      <c r="H118" s="151"/>
      <c r="I118" s="166">
        <v>60</v>
      </c>
      <c r="J118" s="147">
        <v>-4.8</v>
      </c>
      <c r="K118" s="148" t="s">
        <v>149</v>
      </c>
      <c r="L118" s="165">
        <f t="shared" si="23"/>
        <v>0</v>
      </c>
      <c r="O118" s="146"/>
      <c r="P118" s="136"/>
    </row>
    <row r="119" spans="1:16" x14ac:dyDescent="0.25">
      <c r="A119" s="764"/>
      <c r="C119" s="166">
        <v>35</v>
      </c>
      <c r="D119" s="147">
        <v>0.5</v>
      </c>
      <c r="E119" s="148" t="s">
        <v>149</v>
      </c>
      <c r="F119" s="165">
        <f t="shared" si="22"/>
        <v>0</v>
      </c>
      <c r="H119" s="151"/>
      <c r="I119" s="166">
        <v>70</v>
      </c>
      <c r="J119" s="147">
        <v>-3.4</v>
      </c>
      <c r="K119" s="148" t="s">
        <v>149</v>
      </c>
      <c r="L119" s="165">
        <f t="shared" si="23"/>
        <v>0</v>
      </c>
      <c r="O119" s="146"/>
      <c r="P119" s="136"/>
    </row>
    <row r="120" spans="1:16" x14ac:dyDescent="0.25">
      <c r="A120" s="764"/>
      <c r="C120" s="166">
        <v>37</v>
      </c>
      <c r="D120" s="147">
        <v>0.5</v>
      </c>
      <c r="E120" s="148" t="s">
        <v>149</v>
      </c>
      <c r="F120" s="165">
        <f t="shared" si="22"/>
        <v>0</v>
      </c>
      <c r="H120" s="151"/>
      <c r="I120" s="166">
        <v>80</v>
      </c>
      <c r="J120" s="147">
        <v>-1.4</v>
      </c>
      <c r="K120" s="148" t="s">
        <v>149</v>
      </c>
      <c r="L120" s="165">
        <f t="shared" si="23"/>
        <v>0</v>
      </c>
      <c r="O120" s="146"/>
      <c r="P120" s="136"/>
    </row>
    <row r="121" spans="1:16" ht="13.8" thickBot="1" x14ac:dyDescent="0.3">
      <c r="A121" s="765"/>
      <c r="B121" s="149"/>
      <c r="C121" s="167">
        <v>40</v>
      </c>
      <c r="D121" s="168">
        <v>0.5</v>
      </c>
      <c r="E121" s="171" t="s">
        <v>149</v>
      </c>
      <c r="F121" s="169">
        <f t="shared" si="22"/>
        <v>0</v>
      </c>
      <c r="G121" s="149"/>
      <c r="H121" s="170"/>
      <c r="I121" s="167">
        <v>90</v>
      </c>
      <c r="J121" s="168">
        <v>1.3</v>
      </c>
      <c r="K121" s="171" t="s">
        <v>149</v>
      </c>
      <c r="L121" s="169">
        <f t="shared" si="23"/>
        <v>0</v>
      </c>
      <c r="M121" s="149"/>
      <c r="N121" s="149"/>
      <c r="O121" s="150"/>
      <c r="P121" s="136"/>
    </row>
    <row r="122" spans="1:16" ht="13.8" thickBot="1" x14ac:dyDescent="0.3">
      <c r="A122" s="172"/>
      <c r="B122" s="173"/>
      <c r="C122" s="173"/>
      <c r="D122" s="173"/>
      <c r="E122" s="174"/>
      <c r="F122" s="183"/>
      <c r="G122" s="176"/>
      <c r="H122" s="173"/>
      <c r="I122" s="173"/>
      <c r="J122" s="173"/>
      <c r="K122" s="174"/>
      <c r="L122" s="183"/>
      <c r="O122" s="146"/>
      <c r="P122" s="136"/>
    </row>
    <row r="123" spans="1:16" ht="13.8" thickBot="1" x14ac:dyDescent="0.3">
      <c r="A123" s="763">
        <v>12</v>
      </c>
      <c r="B123" s="766" t="s">
        <v>235</v>
      </c>
      <c r="C123" s="767"/>
      <c r="D123" s="767"/>
      <c r="E123" s="767"/>
      <c r="F123" s="768"/>
      <c r="G123" s="138"/>
      <c r="H123" s="766" t="str">
        <f>B123</f>
        <v>KOREKSI EXTECH A.100611</v>
      </c>
      <c r="I123" s="767"/>
      <c r="J123" s="767"/>
      <c r="K123" s="767"/>
      <c r="L123" s="768"/>
      <c r="M123" s="138"/>
      <c r="N123" s="779" t="s">
        <v>218</v>
      </c>
      <c r="O123" s="780"/>
      <c r="P123" s="136"/>
    </row>
    <row r="124" spans="1:16" ht="13.8" thickBot="1" x14ac:dyDescent="0.3">
      <c r="A124" s="764"/>
      <c r="B124" s="769" t="s">
        <v>219</v>
      </c>
      <c r="C124" s="770"/>
      <c r="D124" s="771" t="s">
        <v>220</v>
      </c>
      <c r="E124" s="772"/>
      <c r="F124" s="773" t="s">
        <v>221</v>
      </c>
      <c r="H124" s="769" t="s">
        <v>222</v>
      </c>
      <c r="I124" s="770"/>
      <c r="J124" s="771" t="s">
        <v>220</v>
      </c>
      <c r="K124" s="772"/>
      <c r="L124" s="773" t="s">
        <v>221</v>
      </c>
      <c r="N124" s="155" t="s">
        <v>219</v>
      </c>
      <c r="O124" s="178">
        <v>0.3</v>
      </c>
      <c r="P124" s="136"/>
    </row>
    <row r="125" spans="1:16" ht="15" thickBot="1" x14ac:dyDescent="0.3">
      <c r="A125" s="764"/>
      <c r="B125" s="775" t="s">
        <v>223</v>
      </c>
      <c r="C125" s="776"/>
      <c r="D125" s="157">
        <v>2020</v>
      </c>
      <c r="E125" s="184" t="s">
        <v>149</v>
      </c>
      <c r="F125" s="774"/>
      <c r="H125" s="777" t="s">
        <v>224</v>
      </c>
      <c r="I125" s="778"/>
      <c r="J125" s="158">
        <f>D125</f>
        <v>2020</v>
      </c>
      <c r="K125" s="158" t="str">
        <f>E125</f>
        <v>-</v>
      </c>
      <c r="L125" s="774"/>
      <c r="N125" s="159" t="s">
        <v>224</v>
      </c>
      <c r="O125" s="177">
        <v>2.7</v>
      </c>
      <c r="P125" s="136"/>
    </row>
    <row r="126" spans="1:16" x14ac:dyDescent="0.25">
      <c r="A126" s="764"/>
      <c r="C126" s="161">
        <v>15</v>
      </c>
      <c r="D126" s="162">
        <v>-0.6</v>
      </c>
      <c r="E126" s="185" t="s">
        <v>149</v>
      </c>
      <c r="F126" s="163">
        <f t="shared" ref="F126:F132" si="24">0.5*(MAX(D126:E126)-MIN(D126:E126))</f>
        <v>0</v>
      </c>
      <c r="H126" s="151"/>
      <c r="I126" s="161">
        <v>35</v>
      </c>
      <c r="J126" s="162">
        <v>-0.4</v>
      </c>
      <c r="K126" s="185" t="s">
        <v>149</v>
      </c>
      <c r="L126" s="163">
        <f t="shared" ref="L126:L132" si="25">0.5*(MAX(J126:K126)-MIN(J126:K126))</f>
        <v>0</v>
      </c>
      <c r="O126" s="146"/>
      <c r="P126" s="136"/>
    </row>
    <row r="127" spans="1:16" x14ac:dyDescent="0.25">
      <c r="A127" s="764"/>
      <c r="C127" s="164">
        <v>20</v>
      </c>
      <c r="D127" s="144">
        <v>-0.5</v>
      </c>
      <c r="E127" s="186" t="s">
        <v>149</v>
      </c>
      <c r="F127" s="165">
        <f t="shared" si="24"/>
        <v>0</v>
      </c>
      <c r="H127" s="151"/>
      <c r="I127" s="164">
        <v>40</v>
      </c>
      <c r="J127" s="144">
        <v>-0.3</v>
      </c>
      <c r="K127" s="186" t="s">
        <v>149</v>
      </c>
      <c r="L127" s="165">
        <f t="shared" si="25"/>
        <v>0</v>
      </c>
      <c r="O127" s="146"/>
      <c r="P127" s="136"/>
    </row>
    <row r="128" spans="1:16" x14ac:dyDescent="0.25">
      <c r="A128" s="764"/>
      <c r="C128" s="164">
        <v>25</v>
      </c>
      <c r="D128" s="144">
        <v>-0.4</v>
      </c>
      <c r="E128" s="186" t="s">
        <v>149</v>
      </c>
      <c r="F128" s="165">
        <f t="shared" si="24"/>
        <v>0</v>
      </c>
      <c r="H128" s="151"/>
      <c r="I128" s="164">
        <v>50</v>
      </c>
      <c r="J128" s="144">
        <v>-0.3</v>
      </c>
      <c r="K128" s="186" t="s">
        <v>149</v>
      </c>
      <c r="L128" s="165">
        <f t="shared" si="25"/>
        <v>0</v>
      </c>
      <c r="O128" s="146"/>
      <c r="P128" s="136"/>
    </row>
    <row r="129" spans="1:16" x14ac:dyDescent="0.25">
      <c r="A129" s="764"/>
      <c r="C129" s="166">
        <v>30</v>
      </c>
      <c r="D129" s="147">
        <v>-0.2</v>
      </c>
      <c r="E129" s="148" t="s">
        <v>149</v>
      </c>
      <c r="F129" s="165">
        <f t="shared" si="24"/>
        <v>0</v>
      </c>
      <c r="H129" s="151"/>
      <c r="I129" s="166">
        <v>60</v>
      </c>
      <c r="J129" s="147">
        <v>-0.5</v>
      </c>
      <c r="K129" s="148" t="s">
        <v>149</v>
      </c>
      <c r="L129" s="165">
        <f t="shared" si="25"/>
        <v>0</v>
      </c>
      <c r="O129" s="146"/>
      <c r="P129" s="136"/>
    </row>
    <row r="130" spans="1:16" x14ac:dyDescent="0.25">
      <c r="A130" s="764"/>
      <c r="C130" s="166">
        <v>35</v>
      </c>
      <c r="D130" s="147">
        <v>-0.1</v>
      </c>
      <c r="E130" s="148" t="s">
        <v>149</v>
      </c>
      <c r="F130" s="165">
        <f t="shared" si="24"/>
        <v>0</v>
      </c>
      <c r="H130" s="151"/>
      <c r="I130" s="166">
        <v>70</v>
      </c>
      <c r="J130" s="147">
        <v>-0.8</v>
      </c>
      <c r="K130" s="148" t="s">
        <v>149</v>
      </c>
      <c r="L130" s="165">
        <f t="shared" si="25"/>
        <v>0</v>
      </c>
      <c r="O130" s="146"/>
      <c r="P130" s="136"/>
    </row>
    <row r="131" spans="1:16" x14ac:dyDescent="0.25">
      <c r="A131" s="764"/>
      <c r="C131" s="166">
        <v>37</v>
      </c>
      <c r="D131" s="147">
        <v>-0.1</v>
      </c>
      <c r="E131" s="148" t="s">
        <v>149</v>
      </c>
      <c r="F131" s="165">
        <f t="shared" si="24"/>
        <v>0</v>
      </c>
      <c r="H131" s="151"/>
      <c r="I131" s="166">
        <v>80</v>
      </c>
      <c r="J131" s="147">
        <v>-1.3</v>
      </c>
      <c r="K131" s="148" t="s">
        <v>149</v>
      </c>
      <c r="L131" s="165">
        <f t="shared" si="25"/>
        <v>0</v>
      </c>
      <c r="O131" s="146"/>
      <c r="P131" s="136"/>
    </row>
    <row r="132" spans="1:16" ht="13.8" thickBot="1" x14ac:dyDescent="0.3">
      <c r="A132" s="765"/>
      <c r="B132" s="149"/>
      <c r="C132" s="167">
        <v>40</v>
      </c>
      <c r="D132" s="168">
        <v>0</v>
      </c>
      <c r="E132" s="171" t="s">
        <v>149</v>
      </c>
      <c r="F132" s="169">
        <f t="shared" si="24"/>
        <v>0</v>
      </c>
      <c r="G132" s="149"/>
      <c r="H132" s="170"/>
      <c r="I132" s="167">
        <v>90</v>
      </c>
      <c r="J132" s="168">
        <v>-2</v>
      </c>
      <c r="K132" s="171" t="s">
        <v>149</v>
      </c>
      <c r="L132" s="169">
        <f t="shared" si="25"/>
        <v>0</v>
      </c>
      <c r="M132" s="149"/>
      <c r="N132" s="149"/>
      <c r="O132" s="150"/>
      <c r="P132" s="136"/>
    </row>
    <row r="133" spans="1:16" ht="13.8" thickBot="1" x14ac:dyDescent="0.3">
      <c r="A133" s="172"/>
      <c r="B133" s="173"/>
      <c r="C133" s="173"/>
      <c r="D133" s="173"/>
      <c r="E133" s="174"/>
      <c r="F133" s="183"/>
      <c r="G133" s="176"/>
      <c r="H133" s="173"/>
      <c r="I133" s="173"/>
      <c r="J133" s="173"/>
      <c r="K133" s="174"/>
      <c r="L133" s="183"/>
      <c r="O133" s="146"/>
      <c r="P133" s="136"/>
    </row>
    <row r="134" spans="1:16" ht="13.8" thickBot="1" x14ac:dyDescent="0.3">
      <c r="A134" s="763">
        <v>13</v>
      </c>
      <c r="B134" s="766" t="s">
        <v>236</v>
      </c>
      <c r="C134" s="767"/>
      <c r="D134" s="767"/>
      <c r="E134" s="767"/>
      <c r="F134" s="768"/>
      <c r="G134" s="138"/>
      <c r="H134" s="766" t="str">
        <f>B134</f>
        <v>KOREKSI EXTECH A.100609</v>
      </c>
      <c r="I134" s="767"/>
      <c r="J134" s="767"/>
      <c r="K134" s="767"/>
      <c r="L134" s="768"/>
      <c r="M134" s="138"/>
      <c r="N134" s="779" t="s">
        <v>218</v>
      </c>
      <c r="O134" s="780"/>
      <c r="P134" s="136"/>
    </row>
    <row r="135" spans="1:16" ht="13.8" thickBot="1" x14ac:dyDescent="0.3">
      <c r="A135" s="764"/>
      <c r="B135" s="769" t="s">
        <v>219</v>
      </c>
      <c r="C135" s="770"/>
      <c r="D135" s="771" t="s">
        <v>220</v>
      </c>
      <c r="E135" s="772"/>
      <c r="F135" s="773" t="s">
        <v>221</v>
      </c>
      <c r="H135" s="769" t="s">
        <v>222</v>
      </c>
      <c r="I135" s="770"/>
      <c r="J135" s="771" t="s">
        <v>220</v>
      </c>
      <c r="K135" s="772"/>
      <c r="L135" s="773" t="s">
        <v>221</v>
      </c>
      <c r="N135" s="155" t="s">
        <v>219</v>
      </c>
      <c r="O135" s="178">
        <v>0.4</v>
      </c>
      <c r="P135" s="136"/>
    </row>
    <row r="136" spans="1:16" ht="15" thickBot="1" x14ac:dyDescent="0.3">
      <c r="A136" s="764"/>
      <c r="B136" s="775" t="s">
        <v>223</v>
      </c>
      <c r="C136" s="776"/>
      <c r="D136" s="157">
        <v>2020</v>
      </c>
      <c r="E136" s="184" t="s">
        <v>149</v>
      </c>
      <c r="F136" s="774"/>
      <c r="H136" s="777" t="s">
        <v>224</v>
      </c>
      <c r="I136" s="778"/>
      <c r="J136" s="158">
        <f>D136</f>
        <v>2020</v>
      </c>
      <c r="K136" s="158" t="str">
        <f>E136</f>
        <v>-</v>
      </c>
      <c r="L136" s="774"/>
      <c r="N136" s="159" t="s">
        <v>224</v>
      </c>
      <c r="O136" s="177">
        <v>2.2000000000000002</v>
      </c>
      <c r="P136" s="136"/>
    </row>
    <row r="137" spans="1:16" x14ac:dyDescent="0.25">
      <c r="A137" s="764"/>
      <c r="C137" s="161">
        <v>15</v>
      </c>
      <c r="D137" s="162">
        <v>-0.2</v>
      </c>
      <c r="E137" s="185" t="s">
        <v>149</v>
      </c>
      <c r="F137" s="163">
        <f t="shared" ref="F137:F143" si="26">0.5*(MAX(D137:E137)-MIN(D137:E137))</f>
        <v>0</v>
      </c>
      <c r="H137" s="151"/>
      <c r="I137" s="161">
        <v>35</v>
      </c>
      <c r="J137" s="162">
        <v>0.6</v>
      </c>
      <c r="K137" s="185" t="s">
        <v>149</v>
      </c>
      <c r="L137" s="163">
        <f t="shared" ref="L137:L143" si="27">0.5*(MAX(J137:K137)-MIN(J137:K137))</f>
        <v>0</v>
      </c>
      <c r="O137" s="146"/>
      <c r="P137" s="136"/>
    </row>
    <row r="138" spans="1:16" x14ac:dyDescent="0.25">
      <c r="A138" s="764"/>
      <c r="C138" s="164">
        <v>20</v>
      </c>
      <c r="D138" s="144">
        <v>-0.1</v>
      </c>
      <c r="E138" s="186" t="s">
        <v>149</v>
      </c>
      <c r="F138" s="165">
        <f t="shared" si="26"/>
        <v>0</v>
      </c>
      <c r="H138" s="151"/>
      <c r="I138" s="164">
        <v>40</v>
      </c>
      <c r="J138" s="144">
        <v>0.3</v>
      </c>
      <c r="K138" s="186" t="s">
        <v>149</v>
      </c>
      <c r="L138" s="165">
        <f t="shared" si="27"/>
        <v>0</v>
      </c>
      <c r="O138" s="146"/>
      <c r="P138" s="136"/>
    </row>
    <row r="139" spans="1:16" x14ac:dyDescent="0.25">
      <c r="A139" s="764"/>
      <c r="C139" s="164">
        <v>25</v>
      </c>
      <c r="D139" s="144">
        <v>-0.1</v>
      </c>
      <c r="E139" s="186" t="s">
        <v>149</v>
      </c>
      <c r="F139" s="165">
        <f t="shared" si="26"/>
        <v>0</v>
      </c>
      <c r="H139" s="151"/>
      <c r="I139" s="164">
        <v>50</v>
      </c>
      <c r="J139" s="144">
        <v>-0.2</v>
      </c>
      <c r="K139" s="186" t="s">
        <v>149</v>
      </c>
      <c r="L139" s="165">
        <f t="shared" si="27"/>
        <v>0</v>
      </c>
      <c r="O139" s="146"/>
      <c r="P139" s="136"/>
    </row>
    <row r="140" spans="1:16" x14ac:dyDescent="0.25">
      <c r="A140" s="764"/>
      <c r="C140" s="166">
        <v>30</v>
      </c>
      <c r="D140" s="147">
        <v>-0.3</v>
      </c>
      <c r="E140" s="148" t="s">
        <v>149</v>
      </c>
      <c r="F140" s="165">
        <f t="shared" si="26"/>
        <v>0</v>
      </c>
      <c r="H140" s="151"/>
      <c r="I140" s="166">
        <v>60</v>
      </c>
      <c r="J140" s="147">
        <v>-0.6</v>
      </c>
      <c r="K140" s="148" t="s">
        <v>149</v>
      </c>
      <c r="L140" s="165">
        <f t="shared" si="27"/>
        <v>0</v>
      </c>
      <c r="O140" s="146"/>
      <c r="P140" s="136"/>
    </row>
    <row r="141" spans="1:16" x14ac:dyDescent="0.25">
      <c r="A141" s="764"/>
      <c r="C141" s="166">
        <v>35</v>
      </c>
      <c r="D141" s="147">
        <v>-0.6</v>
      </c>
      <c r="E141" s="148" t="s">
        <v>149</v>
      </c>
      <c r="F141" s="165">
        <f t="shared" si="26"/>
        <v>0</v>
      </c>
      <c r="H141" s="151"/>
      <c r="I141" s="166">
        <v>70</v>
      </c>
      <c r="J141" s="147">
        <v>-0.8</v>
      </c>
      <c r="K141" s="148" t="s">
        <v>149</v>
      </c>
      <c r="L141" s="165">
        <f t="shared" si="27"/>
        <v>0</v>
      </c>
      <c r="O141" s="146"/>
      <c r="P141" s="136"/>
    </row>
    <row r="142" spans="1:16" x14ac:dyDescent="0.25">
      <c r="A142" s="764"/>
      <c r="C142" s="166">
        <v>37</v>
      </c>
      <c r="D142" s="147">
        <v>-0.8</v>
      </c>
      <c r="E142" s="148" t="s">
        <v>149</v>
      </c>
      <c r="F142" s="165">
        <f t="shared" si="26"/>
        <v>0</v>
      </c>
      <c r="H142" s="151"/>
      <c r="I142" s="166">
        <v>80</v>
      </c>
      <c r="J142" s="147">
        <v>-0.9</v>
      </c>
      <c r="K142" s="148" t="s">
        <v>149</v>
      </c>
      <c r="L142" s="165">
        <f t="shared" si="27"/>
        <v>0</v>
      </c>
      <c r="O142" s="146"/>
      <c r="P142" s="136"/>
    </row>
    <row r="143" spans="1:16" ht="13.8" thickBot="1" x14ac:dyDescent="0.3">
      <c r="A143" s="765"/>
      <c r="B143" s="149"/>
      <c r="C143" s="167">
        <v>40</v>
      </c>
      <c r="D143" s="168">
        <v>-1.1000000000000001</v>
      </c>
      <c r="E143" s="171" t="s">
        <v>149</v>
      </c>
      <c r="F143" s="169">
        <f t="shared" si="26"/>
        <v>0</v>
      </c>
      <c r="G143" s="149"/>
      <c r="H143" s="170"/>
      <c r="I143" s="167">
        <v>90</v>
      </c>
      <c r="J143" s="168">
        <v>-0.8</v>
      </c>
      <c r="K143" s="171" t="s">
        <v>149</v>
      </c>
      <c r="L143" s="169">
        <f t="shared" si="27"/>
        <v>0</v>
      </c>
      <c r="M143" s="149"/>
      <c r="N143" s="149"/>
      <c r="O143" s="150"/>
      <c r="P143" s="136"/>
    </row>
    <row r="144" spans="1:16" ht="13.8" thickBot="1" x14ac:dyDescent="0.3">
      <c r="A144" s="172"/>
      <c r="B144" s="173"/>
      <c r="C144" s="173"/>
      <c r="D144" s="173"/>
      <c r="E144" s="174"/>
      <c r="F144" s="183"/>
      <c r="G144" s="176"/>
      <c r="H144" s="173"/>
      <c r="I144" s="173"/>
      <c r="J144" s="173"/>
      <c r="K144" s="174"/>
      <c r="L144" s="183"/>
      <c r="O144" s="146"/>
      <c r="P144" s="136"/>
    </row>
    <row r="145" spans="1:16" ht="13.8" thickBot="1" x14ac:dyDescent="0.3">
      <c r="A145" s="763">
        <v>14</v>
      </c>
      <c r="B145" s="766" t="s">
        <v>237</v>
      </c>
      <c r="C145" s="767"/>
      <c r="D145" s="767"/>
      <c r="E145" s="767"/>
      <c r="F145" s="768"/>
      <c r="G145" s="138"/>
      <c r="H145" s="766" t="str">
        <f>B145</f>
        <v>KOREKSI EXTECH A.100605</v>
      </c>
      <c r="I145" s="767"/>
      <c r="J145" s="767"/>
      <c r="K145" s="767"/>
      <c r="L145" s="768"/>
      <c r="M145" s="138"/>
      <c r="N145" s="779" t="s">
        <v>218</v>
      </c>
      <c r="O145" s="780"/>
      <c r="P145" s="136"/>
    </row>
    <row r="146" spans="1:16" ht="13.8" thickBot="1" x14ac:dyDescent="0.3">
      <c r="A146" s="764"/>
      <c r="B146" s="769" t="s">
        <v>219</v>
      </c>
      <c r="C146" s="770"/>
      <c r="D146" s="771" t="s">
        <v>220</v>
      </c>
      <c r="E146" s="772"/>
      <c r="F146" s="773" t="s">
        <v>221</v>
      </c>
      <c r="H146" s="769" t="s">
        <v>222</v>
      </c>
      <c r="I146" s="770"/>
      <c r="J146" s="771" t="s">
        <v>220</v>
      </c>
      <c r="K146" s="772"/>
      <c r="L146" s="773" t="s">
        <v>221</v>
      </c>
      <c r="N146" s="155" t="s">
        <v>219</v>
      </c>
      <c r="O146" s="178">
        <v>0.3</v>
      </c>
      <c r="P146" s="136"/>
    </row>
    <row r="147" spans="1:16" ht="15" thickBot="1" x14ac:dyDescent="0.3">
      <c r="A147" s="764"/>
      <c r="B147" s="775" t="s">
        <v>223</v>
      </c>
      <c r="C147" s="776"/>
      <c r="D147" s="157">
        <v>2020</v>
      </c>
      <c r="E147" s="184" t="s">
        <v>149</v>
      </c>
      <c r="F147" s="774"/>
      <c r="H147" s="777" t="s">
        <v>224</v>
      </c>
      <c r="I147" s="778"/>
      <c r="J147" s="158">
        <f>D147</f>
        <v>2020</v>
      </c>
      <c r="K147" s="158" t="str">
        <f>E147</f>
        <v>-</v>
      </c>
      <c r="L147" s="774"/>
      <c r="N147" s="159" t="s">
        <v>224</v>
      </c>
      <c r="O147" s="177">
        <v>2.7</v>
      </c>
      <c r="P147" s="136"/>
    </row>
    <row r="148" spans="1:16" x14ac:dyDescent="0.25">
      <c r="A148" s="764"/>
      <c r="C148" s="161">
        <v>15</v>
      </c>
      <c r="D148" s="162">
        <v>-0.7</v>
      </c>
      <c r="E148" s="185" t="s">
        <v>149</v>
      </c>
      <c r="F148" s="163">
        <f t="shared" ref="F148:F154" si="28">0.5*(MAX(D148:E148)-MIN(D148:E148))</f>
        <v>0</v>
      </c>
      <c r="H148" s="151"/>
      <c r="I148" s="161">
        <v>35</v>
      </c>
      <c r="J148" s="162">
        <v>-1.4</v>
      </c>
      <c r="K148" s="185" t="s">
        <v>149</v>
      </c>
      <c r="L148" s="163">
        <f t="shared" ref="L148:L154" si="29">0.5*(MAX(J148:K148)-MIN(J148:K148))</f>
        <v>0</v>
      </c>
      <c r="O148" s="146"/>
      <c r="P148" s="136"/>
    </row>
    <row r="149" spans="1:16" x14ac:dyDescent="0.25">
      <c r="A149" s="764"/>
      <c r="C149" s="164">
        <v>20</v>
      </c>
      <c r="D149" s="144">
        <v>-0.4</v>
      </c>
      <c r="E149" s="186" t="s">
        <v>149</v>
      </c>
      <c r="F149" s="165">
        <f t="shared" si="28"/>
        <v>0</v>
      </c>
      <c r="H149" s="151"/>
      <c r="I149" s="164">
        <v>40</v>
      </c>
      <c r="J149" s="144">
        <v>-1.3</v>
      </c>
      <c r="K149" s="186" t="s">
        <v>149</v>
      </c>
      <c r="L149" s="165">
        <f t="shared" si="29"/>
        <v>0</v>
      </c>
      <c r="O149" s="146"/>
      <c r="P149" s="136"/>
    </row>
    <row r="150" spans="1:16" x14ac:dyDescent="0.25">
      <c r="A150" s="764"/>
      <c r="C150" s="164">
        <v>25</v>
      </c>
      <c r="D150" s="144">
        <v>-0.2</v>
      </c>
      <c r="E150" s="186" t="s">
        <v>149</v>
      </c>
      <c r="F150" s="165">
        <f t="shared" si="28"/>
        <v>0</v>
      </c>
      <c r="H150" s="151"/>
      <c r="I150" s="164">
        <v>50</v>
      </c>
      <c r="J150" s="144">
        <v>-1.3</v>
      </c>
      <c r="K150" s="186" t="s">
        <v>149</v>
      </c>
      <c r="L150" s="165">
        <f t="shared" si="29"/>
        <v>0</v>
      </c>
      <c r="O150" s="146"/>
      <c r="P150" s="136"/>
    </row>
    <row r="151" spans="1:16" x14ac:dyDescent="0.25">
      <c r="A151" s="764"/>
      <c r="C151" s="166">
        <v>30</v>
      </c>
      <c r="D151" s="147">
        <v>0.1</v>
      </c>
      <c r="E151" s="148" t="s">
        <v>149</v>
      </c>
      <c r="F151" s="165">
        <f t="shared" si="28"/>
        <v>0</v>
      </c>
      <c r="H151" s="151"/>
      <c r="I151" s="166">
        <v>60</v>
      </c>
      <c r="J151" s="147">
        <v>-1.5</v>
      </c>
      <c r="K151" s="148" t="s">
        <v>149</v>
      </c>
      <c r="L151" s="165">
        <f t="shared" si="29"/>
        <v>0</v>
      </c>
      <c r="O151" s="146"/>
      <c r="P151" s="136"/>
    </row>
    <row r="152" spans="1:16" x14ac:dyDescent="0.25">
      <c r="A152" s="764"/>
      <c r="C152" s="166">
        <v>35</v>
      </c>
      <c r="D152" s="147">
        <v>0.3</v>
      </c>
      <c r="E152" s="148" t="s">
        <v>149</v>
      </c>
      <c r="F152" s="165">
        <f t="shared" si="28"/>
        <v>0</v>
      </c>
      <c r="H152" s="151"/>
      <c r="I152" s="166">
        <v>70</v>
      </c>
      <c r="J152" s="147">
        <v>-1.9</v>
      </c>
      <c r="K152" s="148" t="s">
        <v>149</v>
      </c>
      <c r="L152" s="165">
        <f t="shared" si="29"/>
        <v>0</v>
      </c>
      <c r="O152" s="146"/>
      <c r="P152" s="136"/>
    </row>
    <row r="153" spans="1:16" x14ac:dyDescent="0.25">
      <c r="A153" s="764"/>
      <c r="C153" s="166">
        <v>37</v>
      </c>
      <c r="D153" s="147">
        <v>0.4</v>
      </c>
      <c r="E153" s="148" t="s">
        <v>149</v>
      </c>
      <c r="F153" s="165">
        <f t="shared" si="28"/>
        <v>0</v>
      </c>
      <c r="H153" s="151"/>
      <c r="I153" s="166">
        <v>80</v>
      </c>
      <c r="J153" s="147">
        <v>-2.5</v>
      </c>
      <c r="K153" s="148" t="s">
        <v>149</v>
      </c>
      <c r="L153" s="165">
        <f t="shared" si="29"/>
        <v>0</v>
      </c>
      <c r="O153" s="146"/>
      <c r="P153" s="136"/>
    </row>
    <row r="154" spans="1:16" ht="13.8" thickBot="1" x14ac:dyDescent="0.3">
      <c r="A154" s="765"/>
      <c r="B154" s="149"/>
      <c r="C154" s="167">
        <v>40</v>
      </c>
      <c r="D154" s="168">
        <v>0.5</v>
      </c>
      <c r="E154" s="171" t="s">
        <v>149</v>
      </c>
      <c r="F154" s="169">
        <f t="shared" si="28"/>
        <v>0</v>
      </c>
      <c r="G154" s="149"/>
      <c r="H154" s="170"/>
      <c r="I154" s="167">
        <v>90</v>
      </c>
      <c r="J154" s="168">
        <v>-3.2</v>
      </c>
      <c r="K154" s="171" t="s">
        <v>149</v>
      </c>
      <c r="L154" s="169">
        <f t="shared" si="29"/>
        <v>0</v>
      </c>
      <c r="M154" s="149"/>
      <c r="N154" s="149"/>
      <c r="O154" s="150"/>
      <c r="P154" s="136"/>
    </row>
    <row r="155" spans="1:16" ht="13.8" thickBot="1" x14ac:dyDescent="0.3">
      <c r="A155" s="172"/>
      <c r="B155" s="173"/>
      <c r="C155" s="173"/>
      <c r="D155" s="173"/>
      <c r="E155" s="174"/>
      <c r="F155" s="183"/>
      <c r="G155" s="176"/>
      <c r="H155" s="173"/>
      <c r="I155" s="173"/>
      <c r="J155" s="173"/>
      <c r="K155" s="174"/>
      <c r="L155" s="183"/>
      <c r="O155" s="146"/>
      <c r="P155" s="136"/>
    </row>
    <row r="156" spans="1:16" ht="13.8" thickBot="1" x14ac:dyDescent="0.3">
      <c r="A156" s="763">
        <v>15</v>
      </c>
      <c r="B156" s="766" t="s">
        <v>238</v>
      </c>
      <c r="C156" s="767"/>
      <c r="D156" s="767"/>
      <c r="E156" s="767"/>
      <c r="F156" s="768"/>
      <c r="G156" s="138"/>
      <c r="H156" s="766" t="str">
        <f>B156</f>
        <v>KOREKSI EXTECH A.100617</v>
      </c>
      <c r="I156" s="767"/>
      <c r="J156" s="767"/>
      <c r="K156" s="767"/>
      <c r="L156" s="768"/>
      <c r="M156" s="138"/>
      <c r="N156" s="779" t="s">
        <v>218</v>
      </c>
      <c r="O156" s="780"/>
      <c r="P156" s="136"/>
    </row>
    <row r="157" spans="1:16" ht="13.8" thickBot="1" x14ac:dyDescent="0.3">
      <c r="A157" s="764"/>
      <c r="B157" s="769" t="s">
        <v>219</v>
      </c>
      <c r="C157" s="770"/>
      <c r="D157" s="771" t="s">
        <v>220</v>
      </c>
      <c r="E157" s="772"/>
      <c r="F157" s="773" t="s">
        <v>221</v>
      </c>
      <c r="H157" s="769" t="s">
        <v>222</v>
      </c>
      <c r="I157" s="770"/>
      <c r="J157" s="771" t="s">
        <v>220</v>
      </c>
      <c r="K157" s="772"/>
      <c r="L157" s="773" t="s">
        <v>221</v>
      </c>
      <c r="N157" s="155" t="s">
        <v>219</v>
      </c>
      <c r="O157" s="178">
        <v>0.3</v>
      </c>
      <c r="P157" s="136"/>
    </row>
    <row r="158" spans="1:16" ht="15" thickBot="1" x14ac:dyDescent="0.3">
      <c r="A158" s="764"/>
      <c r="B158" s="775" t="s">
        <v>223</v>
      </c>
      <c r="C158" s="776"/>
      <c r="D158" s="157">
        <v>2020</v>
      </c>
      <c r="E158" s="184" t="s">
        <v>149</v>
      </c>
      <c r="F158" s="774"/>
      <c r="H158" s="777" t="s">
        <v>224</v>
      </c>
      <c r="I158" s="778"/>
      <c r="J158" s="158">
        <f>D158</f>
        <v>2020</v>
      </c>
      <c r="K158" s="158" t="str">
        <f>E158</f>
        <v>-</v>
      </c>
      <c r="L158" s="774"/>
      <c r="N158" s="159" t="s">
        <v>224</v>
      </c>
      <c r="O158" s="177">
        <v>2.8</v>
      </c>
      <c r="P158" s="136"/>
    </row>
    <row r="159" spans="1:16" x14ac:dyDescent="0.25">
      <c r="A159" s="764"/>
      <c r="C159" s="161">
        <v>15</v>
      </c>
      <c r="D159" s="162">
        <v>0.1</v>
      </c>
      <c r="E159" s="185" t="s">
        <v>149</v>
      </c>
      <c r="F159" s="163">
        <f t="shared" ref="F159:F165" si="30">0.5*(MAX(D159:E159)-MIN(D159:E159))</f>
        <v>0</v>
      </c>
      <c r="H159" s="151"/>
      <c r="I159" s="161">
        <v>30</v>
      </c>
      <c r="J159" s="162">
        <v>0.1</v>
      </c>
      <c r="K159" s="185" t="s">
        <v>149</v>
      </c>
      <c r="L159" s="163">
        <f t="shared" ref="L159:L165" si="31">0.5*(MAX(J159:K159)-MIN(J159:K159))</f>
        <v>0</v>
      </c>
      <c r="O159" s="146"/>
      <c r="P159" s="136"/>
    </row>
    <row r="160" spans="1:16" x14ac:dyDescent="0.25">
      <c r="A160" s="764"/>
      <c r="C160" s="164">
        <v>20</v>
      </c>
      <c r="D160" s="144">
        <v>0.1</v>
      </c>
      <c r="E160" s="186" t="s">
        <v>149</v>
      </c>
      <c r="F160" s="165">
        <f t="shared" si="30"/>
        <v>0</v>
      </c>
      <c r="H160" s="151"/>
      <c r="I160" s="164">
        <v>40</v>
      </c>
      <c r="J160" s="144">
        <v>0.2</v>
      </c>
      <c r="K160" s="186" t="s">
        <v>149</v>
      </c>
      <c r="L160" s="165">
        <f t="shared" si="31"/>
        <v>0</v>
      </c>
      <c r="O160" s="146"/>
      <c r="P160" s="136"/>
    </row>
    <row r="161" spans="1:16" x14ac:dyDescent="0.25">
      <c r="A161" s="764"/>
      <c r="C161" s="164">
        <v>25</v>
      </c>
      <c r="D161" s="144">
        <v>0</v>
      </c>
      <c r="E161" s="186" t="s">
        <v>149</v>
      </c>
      <c r="F161" s="165">
        <f t="shared" si="30"/>
        <v>0</v>
      </c>
      <c r="H161" s="151"/>
      <c r="I161" s="164">
        <v>50</v>
      </c>
      <c r="J161" s="144">
        <v>0.2</v>
      </c>
      <c r="K161" s="186" t="s">
        <v>149</v>
      </c>
      <c r="L161" s="165">
        <f t="shared" si="31"/>
        <v>0</v>
      </c>
      <c r="O161" s="146"/>
      <c r="P161" s="136"/>
    </row>
    <row r="162" spans="1:16" x14ac:dyDescent="0.25">
      <c r="A162" s="764"/>
      <c r="C162" s="166">
        <v>30</v>
      </c>
      <c r="D162" s="147">
        <v>-0.2</v>
      </c>
      <c r="E162" s="148" t="s">
        <v>149</v>
      </c>
      <c r="F162" s="165">
        <f t="shared" si="30"/>
        <v>0</v>
      </c>
      <c r="H162" s="151"/>
      <c r="I162" s="166">
        <v>60</v>
      </c>
      <c r="J162" s="147">
        <v>0</v>
      </c>
      <c r="K162" s="148" t="s">
        <v>149</v>
      </c>
      <c r="L162" s="165">
        <f t="shared" si="31"/>
        <v>0</v>
      </c>
      <c r="O162" s="146"/>
      <c r="P162" s="136"/>
    </row>
    <row r="163" spans="1:16" x14ac:dyDescent="0.25">
      <c r="A163" s="764"/>
      <c r="C163" s="166">
        <v>35</v>
      </c>
      <c r="D163" s="147">
        <v>-0.5</v>
      </c>
      <c r="E163" s="148" t="s">
        <v>149</v>
      </c>
      <c r="F163" s="165">
        <f t="shared" si="30"/>
        <v>0</v>
      </c>
      <c r="H163" s="151"/>
      <c r="I163" s="166">
        <v>70</v>
      </c>
      <c r="J163" s="147">
        <v>-0.3</v>
      </c>
      <c r="K163" s="148" t="s">
        <v>149</v>
      </c>
      <c r="L163" s="165">
        <f t="shared" si="31"/>
        <v>0</v>
      </c>
      <c r="O163" s="146"/>
      <c r="P163" s="136"/>
    </row>
    <row r="164" spans="1:16" x14ac:dyDescent="0.25">
      <c r="A164" s="764"/>
      <c r="C164" s="166">
        <v>37</v>
      </c>
      <c r="D164" s="147">
        <v>-0.6</v>
      </c>
      <c r="E164" s="148" t="s">
        <v>149</v>
      </c>
      <c r="F164" s="165">
        <f t="shared" si="30"/>
        <v>0</v>
      </c>
      <c r="H164" s="151"/>
      <c r="I164" s="166">
        <v>80</v>
      </c>
      <c r="J164" s="147">
        <v>-0.8</v>
      </c>
      <c r="K164" s="148" t="s">
        <v>149</v>
      </c>
      <c r="L164" s="165">
        <f t="shared" si="31"/>
        <v>0</v>
      </c>
      <c r="O164" s="146"/>
      <c r="P164" s="136"/>
    </row>
    <row r="165" spans="1:16" ht="13.8" thickBot="1" x14ac:dyDescent="0.3">
      <c r="A165" s="765"/>
      <c r="B165" s="149"/>
      <c r="C165" s="167">
        <v>40</v>
      </c>
      <c r="D165" s="168">
        <v>-0.8</v>
      </c>
      <c r="E165" s="171" t="s">
        <v>149</v>
      </c>
      <c r="F165" s="169">
        <f t="shared" si="30"/>
        <v>0</v>
      </c>
      <c r="G165" s="149"/>
      <c r="H165" s="170"/>
      <c r="I165" s="167">
        <v>90</v>
      </c>
      <c r="J165" s="168">
        <v>-1.4</v>
      </c>
      <c r="K165" s="171" t="s">
        <v>149</v>
      </c>
      <c r="L165" s="169">
        <f t="shared" si="31"/>
        <v>0</v>
      </c>
      <c r="M165" s="149"/>
      <c r="N165" s="149"/>
      <c r="O165" s="150"/>
      <c r="P165" s="136"/>
    </row>
    <row r="166" spans="1:16" ht="13.8" thickBot="1" x14ac:dyDescent="0.3">
      <c r="A166" s="172"/>
      <c r="B166" s="173"/>
      <c r="C166" s="173"/>
      <c r="D166" s="173"/>
      <c r="E166" s="174"/>
      <c r="F166" s="183"/>
      <c r="G166" s="176"/>
      <c r="H166" s="173"/>
      <c r="I166" s="173"/>
      <c r="J166" s="173"/>
      <c r="K166" s="174"/>
      <c r="L166" s="183"/>
      <c r="O166" s="146"/>
      <c r="P166" s="136"/>
    </row>
    <row r="167" spans="1:16" ht="13.8" thickBot="1" x14ac:dyDescent="0.3">
      <c r="A167" s="763">
        <v>16</v>
      </c>
      <c r="B167" s="766" t="s">
        <v>239</v>
      </c>
      <c r="C167" s="767"/>
      <c r="D167" s="767"/>
      <c r="E167" s="767"/>
      <c r="F167" s="768"/>
      <c r="G167" s="138"/>
      <c r="H167" s="766" t="str">
        <f>B167</f>
        <v>KOREKSI EXTECH A.100616</v>
      </c>
      <c r="I167" s="767"/>
      <c r="J167" s="767"/>
      <c r="K167" s="767"/>
      <c r="L167" s="768"/>
      <c r="M167" s="138"/>
      <c r="N167" s="779" t="s">
        <v>218</v>
      </c>
      <c r="O167" s="780"/>
      <c r="P167" s="136"/>
    </row>
    <row r="168" spans="1:16" ht="13.8" thickBot="1" x14ac:dyDescent="0.3">
      <c r="A168" s="764"/>
      <c r="B168" s="769" t="s">
        <v>219</v>
      </c>
      <c r="C168" s="770"/>
      <c r="D168" s="771" t="s">
        <v>220</v>
      </c>
      <c r="E168" s="772"/>
      <c r="F168" s="773" t="s">
        <v>221</v>
      </c>
      <c r="H168" s="769" t="s">
        <v>222</v>
      </c>
      <c r="I168" s="770"/>
      <c r="J168" s="771" t="s">
        <v>220</v>
      </c>
      <c r="K168" s="772"/>
      <c r="L168" s="773" t="s">
        <v>221</v>
      </c>
      <c r="N168" s="155" t="s">
        <v>219</v>
      </c>
      <c r="O168" s="178">
        <v>0.4</v>
      </c>
      <c r="P168" s="136"/>
    </row>
    <row r="169" spans="1:16" ht="15" thickBot="1" x14ac:dyDescent="0.3">
      <c r="A169" s="764"/>
      <c r="B169" s="775" t="s">
        <v>223</v>
      </c>
      <c r="C169" s="776"/>
      <c r="D169" s="157">
        <v>2020</v>
      </c>
      <c r="E169" s="184" t="s">
        <v>149</v>
      </c>
      <c r="F169" s="774"/>
      <c r="H169" s="777" t="s">
        <v>224</v>
      </c>
      <c r="I169" s="778"/>
      <c r="J169" s="158">
        <f>D169</f>
        <v>2020</v>
      </c>
      <c r="K169" s="158" t="str">
        <f>E169</f>
        <v>-</v>
      </c>
      <c r="L169" s="774"/>
      <c r="N169" s="159" t="s">
        <v>224</v>
      </c>
      <c r="O169" s="177">
        <v>2.2000000000000002</v>
      </c>
      <c r="P169" s="136"/>
    </row>
    <row r="170" spans="1:16" x14ac:dyDescent="0.25">
      <c r="A170" s="764"/>
      <c r="C170" s="161">
        <v>15</v>
      </c>
      <c r="D170" s="162">
        <v>0.1</v>
      </c>
      <c r="E170" s="185" t="s">
        <v>149</v>
      </c>
      <c r="F170" s="163">
        <f t="shared" ref="F170:F176" si="32">0.5*(MAX(D170:E170)-MIN(D170:E170))</f>
        <v>0</v>
      </c>
      <c r="H170" s="151"/>
      <c r="I170" s="161">
        <v>30</v>
      </c>
      <c r="J170" s="162">
        <v>-1.6</v>
      </c>
      <c r="K170" s="185" t="s">
        <v>149</v>
      </c>
      <c r="L170" s="163">
        <f t="shared" ref="L170:L176" si="33">0.5*(MAX(J170:K170)-MIN(J170:K170))</f>
        <v>0</v>
      </c>
      <c r="O170" s="146"/>
      <c r="P170" s="136"/>
    </row>
    <row r="171" spans="1:16" x14ac:dyDescent="0.25">
      <c r="A171" s="764"/>
      <c r="C171" s="164">
        <v>20</v>
      </c>
      <c r="D171" s="144">
        <v>0.2</v>
      </c>
      <c r="E171" s="186" t="s">
        <v>149</v>
      </c>
      <c r="F171" s="165">
        <f t="shared" si="32"/>
        <v>0</v>
      </c>
      <c r="H171" s="151"/>
      <c r="I171" s="164">
        <v>40</v>
      </c>
      <c r="J171" s="144">
        <v>-1.4</v>
      </c>
      <c r="K171" s="186" t="s">
        <v>149</v>
      </c>
      <c r="L171" s="165">
        <f t="shared" si="33"/>
        <v>0</v>
      </c>
      <c r="O171" s="146"/>
      <c r="P171" s="136"/>
    </row>
    <row r="172" spans="1:16" x14ac:dyDescent="0.25">
      <c r="A172" s="764"/>
      <c r="C172" s="164">
        <v>25</v>
      </c>
      <c r="D172" s="144">
        <v>0.2</v>
      </c>
      <c r="E172" s="186" t="s">
        <v>149</v>
      </c>
      <c r="F172" s="165">
        <f t="shared" si="32"/>
        <v>0</v>
      </c>
      <c r="H172" s="151"/>
      <c r="I172" s="164">
        <v>50</v>
      </c>
      <c r="J172" s="144">
        <v>-1.4</v>
      </c>
      <c r="K172" s="186" t="s">
        <v>149</v>
      </c>
      <c r="L172" s="165">
        <f t="shared" si="33"/>
        <v>0</v>
      </c>
      <c r="O172" s="146"/>
      <c r="P172" s="136"/>
    </row>
    <row r="173" spans="1:16" x14ac:dyDescent="0.25">
      <c r="A173" s="764"/>
      <c r="C173" s="166">
        <v>30</v>
      </c>
      <c r="D173" s="147">
        <v>0.2</v>
      </c>
      <c r="E173" s="148" t="s">
        <v>149</v>
      </c>
      <c r="F173" s="165">
        <f t="shared" si="32"/>
        <v>0</v>
      </c>
      <c r="H173" s="151"/>
      <c r="I173" s="166">
        <v>60</v>
      </c>
      <c r="J173" s="147">
        <v>-1.5</v>
      </c>
      <c r="K173" s="148" t="s">
        <v>149</v>
      </c>
      <c r="L173" s="165">
        <f t="shared" si="33"/>
        <v>0</v>
      </c>
      <c r="O173" s="146"/>
      <c r="P173" s="136"/>
    </row>
    <row r="174" spans="1:16" x14ac:dyDescent="0.25">
      <c r="A174" s="764"/>
      <c r="C174" s="166">
        <v>35</v>
      </c>
      <c r="D174" s="147">
        <v>0.1</v>
      </c>
      <c r="E174" s="148" t="s">
        <v>149</v>
      </c>
      <c r="F174" s="165">
        <f t="shared" si="32"/>
        <v>0</v>
      </c>
      <c r="H174" s="151"/>
      <c r="I174" s="166">
        <v>70</v>
      </c>
      <c r="J174" s="147">
        <v>-1.8</v>
      </c>
      <c r="K174" s="148" t="s">
        <v>149</v>
      </c>
      <c r="L174" s="165">
        <f t="shared" si="33"/>
        <v>0</v>
      </c>
      <c r="O174" s="146"/>
      <c r="P174" s="136"/>
    </row>
    <row r="175" spans="1:16" x14ac:dyDescent="0.25">
      <c r="A175" s="764"/>
      <c r="C175" s="166">
        <v>37</v>
      </c>
      <c r="D175" s="147">
        <v>0</v>
      </c>
      <c r="E175" s="148" t="s">
        <v>149</v>
      </c>
      <c r="F175" s="165">
        <f t="shared" si="32"/>
        <v>0</v>
      </c>
      <c r="H175" s="151"/>
      <c r="I175" s="166">
        <v>80</v>
      </c>
      <c r="J175" s="147">
        <v>-2.2999999999999998</v>
      </c>
      <c r="K175" s="148" t="s">
        <v>149</v>
      </c>
      <c r="L175" s="165">
        <f t="shared" si="33"/>
        <v>0</v>
      </c>
      <c r="O175" s="146"/>
      <c r="P175" s="136"/>
    </row>
    <row r="176" spans="1:16" ht="13.8" thickBot="1" x14ac:dyDescent="0.3">
      <c r="A176" s="765"/>
      <c r="B176" s="149"/>
      <c r="C176" s="167">
        <v>40</v>
      </c>
      <c r="D176" s="168">
        <v>0</v>
      </c>
      <c r="E176" s="171" t="s">
        <v>149</v>
      </c>
      <c r="F176" s="169">
        <f t="shared" si="32"/>
        <v>0</v>
      </c>
      <c r="G176" s="149"/>
      <c r="H176" s="170"/>
      <c r="I176" s="167">
        <v>90</v>
      </c>
      <c r="J176" s="168">
        <v>-3</v>
      </c>
      <c r="K176" s="171" t="s">
        <v>149</v>
      </c>
      <c r="L176" s="169">
        <f t="shared" si="33"/>
        <v>0</v>
      </c>
      <c r="M176" s="149"/>
      <c r="N176" s="149"/>
      <c r="O176" s="150"/>
      <c r="P176" s="136"/>
    </row>
    <row r="177" spans="1:16" ht="13.8" thickBot="1" x14ac:dyDescent="0.3">
      <c r="A177" s="172"/>
      <c r="B177" s="173"/>
      <c r="C177" s="173"/>
      <c r="D177" s="173"/>
      <c r="E177" s="174"/>
      <c r="F177" s="183"/>
      <c r="G177" s="176"/>
      <c r="H177" s="173"/>
      <c r="I177" s="173"/>
      <c r="J177" s="173"/>
      <c r="K177" s="174"/>
      <c r="L177" s="183"/>
      <c r="O177" s="146"/>
      <c r="P177" s="136"/>
    </row>
    <row r="178" spans="1:16" ht="13.8" thickBot="1" x14ac:dyDescent="0.3">
      <c r="A178" s="763">
        <v>17</v>
      </c>
      <c r="B178" s="766" t="s">
        <v>240</v>
      </c>
      <c r="C178" s="767"/>
      <c r="D178" s="767"/>
      <c r="E178" s="767"/>
      <c r="F178" s="768"/>
      <c r="G178" s="138"/>
      <c r="H178" s="766" t="str">
        <f>B178</f>
        <v>KOREKSI EXTECH A.100618</v>
      </c>
      <c r="I178" s="767"/>
      <c r="J178" s="767"/>
      <c r="K178" s="767"/>
      <c r="L178" s="768"/>
      <c r="M178" s="138"/>
      <c r="N178" s="779" t="s">
        <v>218</v>
      </c>
      <c r="O178" s="780"/>
      <c r="P178" s="136"/>
    </row>
    <row r="179" spans="1:16" ht="13.8" thickBot="1" x14ac:dyDescent="0.3">
      <c r="A179" s="764"/>
      <c r="B179" s="769" t="s">
        <v>219</v>
      </c>
      <c r="C179" s="770"/>
      <c r="D179" s="771" t="s">
        <v>220</v>
      </c>
      <c r="E179" s="772"/>
      <c r="F179" s="773" t="s">
        <v>221</v>
      </c>
      <c r="H179" s="769" t="s">
        <v>222</v>
      </c>
      <c r="I179" s="770"/>
      <c r="J179" s="771" t="s">
        <v>220</v>
      </c>
      <c r="K179" s="772"/>
      <c r="L179" s="773" t="s">
        <v>221</v>
      </c>
      <c r="N179" s="155" t="s">
        <v>219</v>
      </c>
      <c r="O179" s="178">
        <v>0.3</v>
      </c>
      <c r="P179" s="136"/>
    </row>
    <row r="180" spans="1:16" ht="15" thickBot="1" x14ac:dyDescent="0.3">
      <c r="A180" s="764"/>
      <c r="B180" s="775" t="s">
        <v>223</v>
      </c>
      <c r="C180" s="776"/>
      <c r="D180" s="157">
        <v>2020</v>
      </c>
      <c r="E180" s="184" t="s">
        <v>149</v>
      </c>
      <c r="F180" s="774"/>
      <c r="H180" s="777" t="s">
        <v>224</v>
      </c>
      <c r="I180" s="778"/>
      <c r="J180" s="158">
        <f>D180</f>
        <v>2020</v>
      </c>
      <c r="K180" s="158" t="str">
        <f>E180</f>
        <v>-</v>
      </c>
      <c r="L180" s="774"/>
      <c r="N180" s="159" t="s">
        <v>224</v>
      </c>
      <c r="O180" s="177">
        <v>1.6</v>
      </c>
      <c r="P180" s="136"/>
    </row>
    <row r="181" spans="1:16" x14ac:dyDescent="0.25">
      <c r="A181" s="764"/>
      <c r="C181" s="161">
        <v>15</v>
      </c>
      <c r="D181" s="162">
        <v>0</v>
      </c>
      <c r="E181" s="185" t="s">
        <v>149</v>
      </c>
      <c r="F181" s="163">
        <f t="shared" ref="F181:F187" si="34">0.5*(MAX(D181:E181)-MIN(D181:E181))</f>
        <v>0</v>
      </c>
      <c r="H181" s="151"/>
      <c r="I181" s="161">
        <v>30</v>
      </c>
      <c r="J181" s="162">
        <v>-0.4</v>
      </c>
      <c r="K181" s="185" t="s">
        <v>149</v>
      </c>
      <c r="L181" s="163">
        <f t="shared" ref="L181:L187" si="35">0.5*(MAX(J181:K181)-MIN(J181:K181))</f>
        <v>0</v>
      </c>
      <c r="O181" s="146"/>
      <c r="P181" s="136"/>
    </row>
    <row r="182" spans="1:16" x14ac:dyDescent="0.25">
      <c r="A182" s="764"/>
      <c r="C182" s="164">
        <v>20</v>
      </c>
      <c r="D182" s="144">
        <v>-0.1</v>
      </c>
      <c r="E182" s="186" t="s">
        <v>149</v>
      </c>
      <c r="F182" s="165">
        <f t="shared" si="34"/>
        <v>0</v>
      </c>
      <c r="H182" s="151"/>
      <c r="I182" s="164">
        <v>40</v>
      </c>
      <c r="J182" s="144">
        <v>-0.2</v>
      </c>
      <c r="K182" s="186" t="s">
        <v>149</v>
      </c>
      <c r="L182" s="165">
        <f t="shared" si="35"/>
        <v>0</v>
      </c>
      <c r="O182" s="146"/>
      <c r="P182" s="136"/>
    </row>
    <row r="183" spans="1:16" x14ac:dyDescent="0.25">
      <c r="A183" s="764"/>
      <c r="C183" s="164">
        <v>25</v>
      </c>
      <c r="D183" s="144">
        <v>-0.2</v>
      </c>
      <c r="E183" s="186" t="s">
        <v>149</v>
      </c>
      <c r="F183" s="165">
        <f t="shared" si="34"/>
        <v>0</v>
      </c>
      <c r="H183" s="151"/>
      <c r="I183" s="164">
        <v>50</v>
      </c>
      <c r="J183" s="144">
        <v>-0.2</v>
      </c>
      <c r="K183" s="186" t="s">
        <v>149</v>
      </c>
      <c r="L183" s="165">
        <f t="shared" si="35"/>
        <v>0</v>
      </c>
      <c r="O183" s="146"/>
      <c r="P183" s="136"/>
    </row>
    <row r="184" spans="1:16" x14ac:dyDescent="0.25">
      <c r="A184" s="764"/>
      <c r="C184" s="166">
        <v>30</v>
      </c>
      <c r="D184" s="147">
        <v>-0.2</v>
      </c>
      <c r="E184" s="148" t="s">
        <v>149</v>
      </c>
      <c r="F184" s="165">
        <f t="shared" si="34"/>
        <v>0</v>
      </c>
      <c r="H184" s="151"/>
      <c r="I184" s="166">
        <v>60</v>
      </c>
      <c r="J184" s="147">
        <v>-0.2</v>
      </c>
      <c r="K184" s="148" t="s">
        <v>149</v>
      </c>
      <c r="L184" s="165">
        <f t="shared" si="35"/>
        <v>0</v>
      </c>
      <c r="O184" s="146"/>
      <c r="P184" s="136"/>
    </row>
    <row r="185" spans="1:16" x14ac:dyDescent="0.25">
      <c r="A185" s="764"/>
      <c r="C185" s="166">
        <v>35</v>
      </c>
      <c r="D185" s="147">
        <v>-0.3</v>
      </c>
      <c r="E185" s="148" t="s">
        <v>149</v>
      </c>
      <c r="F185" s="165">
        <f t="shared" si="34"/>
        <v>0</v>
      </c>
      <c r="H185" s="151"/>
      <c r="I185" s="166">
        <v>70</v>
      </c>
      <c r="J185" s="147">
        <v>-0.3</v>
      </c>
      <c r="K185" s="148" t="s">
        <v>149</v>
      </c>
      <c r="L185" s="165">
        <f t="shared" si="35"/>
        <v>0</v>
      </c>
      <c r="O185" s="146"/>
      <c r="P185" s="136"/>
    </row>
    <row r="186" spans="1:16" x14ac:dyDescent="0.25">
      <c r="A186" s="764"/>
      <c r="C186" s="166">
        <v>37</v>
      </c>
      <c r="D186" s="147">
        <v>-0.3</v>
      </c>
      <c r="E186" s="148" t="s">
        <v>149</v>
      </c>
      <c r="F186" s="165">
        <f t="shared" si="34"/>
        <v>0</v>
      </c>
      <c r="H186" s="151"/>
      <c r="I186" s="166">
        <v>80</v>
      </c>
      <c r="J186" s="147">
        <v>-0.5</v>
      </c>
      <c r="K186" s="148" t="s">
        <v>149</v>
      </c>
      <c r="L186" s="165">
        <f t="shared" si="35"/>
        <v>0</v>
      </c>
      <c r="O186" s="146"/>
      <c r="P186" s="136"/>
    </row>
    <row r="187" spans="1:16" ht="13.8" thickBot="1" x14ac:dyDescent="0.3">
      <c r="A187" s="765"/>
      <c r="B187" s="149"/>
      <c r="C187" s="167">
        <v>40</v>
      </c>
      <c r="D187" s="168">
        <v>-0.4</v>
      </c>
      <c r="E187" s="171" t="s">
        <v>149</v>
      </c>
      <c r="F187" s="169">
        <f t="shared" si="34"/>
        <v>0</v>
      </c>
      <c r="G187" s="149"/>
      <c r="H187" s="170"/>
      <c r="I187" s="167">
        <v>90</v>
      </c>
      <c r="J187" s="168">
        <v>-0.8</v>
      </c>
      <c r="K187" s="171" t="s">
        <v>149</v>
      </c>
      <c r="L187" s="169">
        <f t="shared" si="35"/>
        <v>0</v>
      </c>
      <c r="M187" s="149"/>
      <c r="N187" s="149"/>
      <c r="O187" s="150"/>
      <c r="P187" s="136"/>
    </row>
    <row r="188" spans="1:16" ht="13.8" thickBot="1" x14ac:dyDescent="0.3">
      <c r="A188" s="172"/>
      <c r="B188" s="173"/>
      <c r="C188" s="173"/>
      <c r="D188" s="173"/>
      <c r="E188" s="174"/>
      <c r="F188" s="183"/>
      <c r="G188" s="176"/>
      <c r="H188" s="173"/>
      <c r="I188" s="173"/>
      <c r="J188" s="173"/>
      <c r="K188" s="174"/>
      <c r="L188" s="183"/>
      <c r="O188" s="146"/>
      <c r="P188" s="136"/>
    </row>
    <row r="189" spans="1:16" ht="13.8" thickBot="1" x14ac:dyDescent="0.3">
      <c r="A189" s="763">
        <v>18</v>
      </c>
      <c r="B189" s="766" t="s">
        <v>241</v>
      </c>
      <c r="C189" s="767"/>
      <c r="D189" s="767"/>
      <c r="E189" s="767"/>
      <c r="F189" s="768"/>
      <c r="G189" s="138"/>
      <c r="H189" s="766" t="str">
        <f>B189</f>
        <v>KOREKSI EXTECH A.100586</v>
      </c>
      <c r="I189" s="767"/>
      <c r="J189" s="767"/>
      <c r="K189" s="767"/>
      <c r="L189" s="768"/>
      <c r="M189" s="138"/>
      <c r="N189" s="779" t="s">
        <v>218</v>
      </c>
      <c r="O189" s="780"/>
      <c r="P189" s="136"/>
    </row>
    <row r="190" spans="1:16" ht="13.8" thickBot="1" x14ac:dyDescent="0.3">
      <c r="A190" s="764"/>
      <c r="B190" s="769" t="s">
        <v>219</v>
      </c>
      <c r="C190" s="770"/>
      <c r="D190" s="771" t="s">
        <v>220</v>
      </c>
      <c r="E190" s="772"/>
      <c r="F190" s="773" t="s">
        <v>221</v>
      </c>
      <c r="H190" s="769" t="s">
        <v>222</v>
      </c>
      <c r="I190" s="770"/>
      <c r="J190" s="771" t="s">
        <v>220</v>
      </c>
      <c r="K190" s="772"/>
      <c r="L190" s="773" t="s">
        <v>221</v>
      </c>
      <c r="N190" s="155" t="s">
        <v>219</v>
      </c>
      <c r="O190" s="178">
        <v>0.3</v>
      </c>
      <c r="P190" s="136"/>
    </row>
    <row r="191" spans="1:16" ht="15" thickBot="1" x14ac:dyDescent="0.3">
      <c r="A191" s="764"/>
      <c r="B191" s="775" t="s">
        <v>223</v>
      </c>
      <c r="C191" s="776"/>
      <c r="D191" s="157">
        <v>2017</v>
      </c>
      <c r="E191" s="184" t="s">
        <v>149</v>
      </c>
      <c r="F191" s="774"/>
      <c r="H191" s="777" t="s">
        <v>224</v>
      </c>
      <c r="I191" s="778"/>
      <c r="J191" s="158">
        <f>D191</f>
        <v>2017</v>
      </c>
      <c r="K191" s="158" t="str">
        <f>E191</f>
        <v>-</v>
      </c>
      <c r="L191" s="774"/>
      <c r="N191" s="159" t="s">
        <v>224</v>
      </c>
      <c r="O191" s="177">
        <v>2</v>
      </c>
      <c r="P191" s="136"/>
    </row>
    <row r="192" spans="1:16" x14ac:dyDescent="0.25">
      <c r="A192" s="764"/>
      <c r="C192" s="161">
        <v>15</v>
      </c>
      <c r="D192" s="162">
        <v>0</v>
      </c>
      <c r="E192" s="185" t="s">
        <v>149</v>
      </c>
      <c r="F192" s="163">
        <f t="shared" ref="F192:F198" si="36">0.5*(MAX(D192:E192)-MIN(D192:E192))</f>
        <v>0</v>
      </c>
      <c r="H192" s="151"/>
      <c r="I192" s="161">
        <v>30</v>
      </c>
      <c r="J192" s="162">
        <v>-0.4</v>
      </c>
      <c r="K192" s="185" t="s">
        <v>149</v>
      </c>
      <c r="L192" s="163">
        <f t="shared" ref="L192:L198" si="37">0.5*(MAX(J192:K192)-MIN(J192:K192))</f>
        <v>0</v>
      </c>
      <c r="O192" s="146"/>
      <c r="P192" s="136"/>
    </row>
    <row r="193" spans="1:16" x14ac:dyDescent="0.25">
      <c r="A193" s="764"/>
      <c r="C193" s="164">
        <v>20</v>
      </c>
      <c r="D193" s="144">
        <v>0</v>
      </c>
      <c r="E193" s="186" t="s">
        <v>149</v>
      </c>
      <c r="F193" s="165">
        <f t="shared" si="36"/>
        <v>0</v>
      </c>
      <c r="H193" s="151"/>
      <c r="I193" s="164">
        <v>40</v>
      </c>
      <c r="J193" s="144">
        <v>-0.1</v>
      </c>
      <c r="K193" s="186" t="s">
        <v>149</v>
      </c>
      <c r="L193" s="165">
        <f t="shared" si="37"/>
        <v>0</v>
      </c>
      <c r="O193" s="146"/>
      <c r="P193" s="136"/>
    </row>
    <row r="194" spans="1:16" x14ac:dyDescent="0.25">
      <c r="A194" s="764"/>
      <c r="C194" s="164">
        <v>25</v>
      </c>
      <c r="D194" s="144">
        <v>0</v>
      </c>
      <c r="E194" s="186" t="s">
        <v>149</v>
      </c>
      <c r="F194" s="165">
        <f t="shared" si="36"/>
        <v>0</v>
      </c>
      <c r="H194" s="151"/>
      <c r="I194" s="164">
        <v>50</v>
      </c>
      <c r="J194" s="144">
        <v>0</v>
      </c>
      <c r="K194" s="186" t="s">
        <v>149</v>
      </c>
      <c r="L194" s="165">
        <f t="shared" si="37"/>
        <v>0</v>
      </c>
      <c r="O194" s="146"/>
      <c r="P194" s="136"/>
    </row>
    <row r="195" spans="1:16" x14ac:dyDescent="0.25">
      <c r="A195" s="764"/>
      <c r="C195" s="166">
        <v>30</v>
      </c>
      <c r="D195" s="147">
        <v>-0.1</v>
      </c>
      <c r="E195" s="148" t="s">
        <v>149</v>
      </c>
      <c r="F195" s="165">
        <f t="shared" si="36"/>
        <v>0</v>
      </c>
      <c r="H195" s="151"/>
      <c r="I195" s="166">
        <v>60</v>
      </c>
      <c r="J195" s="147">
        <v>0</v>
      </c>
      <c r="K195" s="148" t="s">
        <v>149</v>
      </c>
      <c r="L195" s="165">
        <f t="shared" si="37"/>
        <v>0</v>
      </c>
      <c r="O195" s="146"/>
      <c r="P195" s="136"/>
    </row>
    <row r="196" spans="1:16" x14ac:dyDescent="0.25">
      <c r="A196" s="764"/>
      <c r="C196" s="166">
        <v>35</v>
      </c>
      <c r="D196" s="147">
        <v>-0.2</v>
      </c>
      <c r="E196" s="148" t="s">
        <v>149</v>
      </c>
      <c r="F196" s="165">
        <f t="shared" si="36"/>
        <v>0</v>
      </c>
      <c r="H196" s="151"/>
      <c r="I196" s="166">
        <v>70</v>
      </c>
      <c r="J196" s="147">
        <v>-0.1</v>
      </c>
      <c r="K196" s="148" t="s">
        <v>149</v>
      </c>
      <c r="L196" s="165">
        <f t="shared" si="37"/>
        <v>0</v>
      </c>
      <c r="O196" s="146"/>
      <c r="P196" s="136"/>
    </row>
    <row r="197" spans="1:16" x14ac:dyDescent="0.25">
      <c r="A197" s="764"/>
      <c r="C197" s="166">
        <v>37</v>
      </c>
      <c r="D197" s="147">
        <v>-0.3</v>
      </c>
      <c r="E197" s="148" t="s">
        <v>149</v>
      </c>
      <c r="F197" s="165">
        <f t="shared" si="36"/>
        <v>0</v>
      </c>
      <c r="H197" s="151"/>
      <c r="I197" s="166">
        <v>80</v>
      </c>
      <c r="J197" s="147">
        <v>-0.5</v>
      </c>
      <c r="K197" s="148" t="s">
        <v>149</v>
      </c>
      <c r="L197" s="165">
        <f t="shared" si="37"/>
        <v>0</v>
      </c>
      <c r="O197" s="146"/>
      <c r="P197" s="136"/>
    </row>
    <row r="198" spans="1:16" ht="13.8" thickBot="1" x14ac:dyDescent="0.3">
      <c r="A198" s="765"/>
      <c r="B198" s="149"/>
      <c r="C198" s="167">
        <v>40</v>
      </c>
      <c r="D198" s="168">
        <v>-0.4</v>
      </c>
      <c r="E198" s="171" t="s">
        <v>149</v>
      </c>
      <c r="F198" s="169">
        <f t="shared" si="36"/>
        <v>0</v>
      </c>
      <c r="G198" s="149"/>
      <c r="H198" s="170"/>
      <c r="I198" s="167">
        <v>90</v>
      </c>
      <c r="J198" s="168">
        <v>-0.9</v>
      </c>
      <c r="K198" s="171" t="s">
        <v>149</v>
      </c>
      <c r="L198" s="169">
        <f t="shared" si="37"/>
        <v>0</v>
      </c>
      <c r="M198" s="149"/>
      <c r="N198" s="149"/>
      <c r="O198" s="150"/>
      <c r="P198" s="136"/>
    </row>
    <row r="199" spans="1:16" ht="13.8" thickBot="1" x14ac:dyDescent="0.3">
      <c r="A199" s="189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1"/>
      <c r="P199" s="136"/>
    </row>
    <row r="200" spans="1:16" ht="13.8" thickBot="1" x14ac:dyDescent="0.3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</row>
    <row r="201" spans="1:16" x14ac:dyDescent="0.25">
      <c r="A201" s="757" t="s">
        <v>242</v>
      </c>
      <c r="B201" s="759" t="s">
        <v>243</v>
      </c>
      <c r="C201" s="753" t="s">
        <v>244</v>
      </c>
      <c r="D201" s="753"/>
      <c r="E201" s="753"/>
      <c r="F201" s="753"/>
      <c r="G201" s="192"/>
      <c r="H201" s="761" t="s">
        <v>242</v>
      </c>
      <c r="I201" s="759" t="s">
        <v>243</v>
      </c>
      <c r="J201" s="753" t="s">
        <v>244</v>
      </c>
      <c r="K201" s="753"/>
      <c r="L201" s="753"/>
      <c r="M201" s="753"/>
      <c r="N201" s="193"/>
      <c r="O201" s="754" t="s">
        <v>218</v>
      </c>
      <c r="P201" s="755"/>
    </row>
    <row r="202" spans="1:16" ht="13.8" x14ac:dyDescent="0.25">
      <c r="A202" s="758"/>
      <c r="B202" s="760"/>
      <c r="C202" s="194" t="s">
        <v>219</v>
      </c>
      <c r="D202" s="756" t="s">
        <v>220</v>
      </c>
      <c r="E202" s="756"/>
      <c r="F202" s="756" t="s">
        <v>221</v>
      </c>
      <c r="G202" s="136"/>
      <c r="H202" s="762"/>
      <c r="I202" s="760"/>
      <c r="J202" s="194" t="s">
        <v>222</v>
      </c>
      <c r="K202" s="756" t="s">
        <v>220</v>
      </c>
      <c r="L202" s="756"/>
      <c r="M202" s="756" t="s">
        <v>221</v>
      </c>
      <c r="N202" s="136"/>
      <c r="O202" s="751" t="s">
        <v>219</v>
      </c>
      <c r="P202" s="752"/>
    </row>
    <row r="203" spans="1:16" ht="14.4" x14ac:dyDescent="0.25">
      <c r="A203" s="758"/>
      <c r="B203" s="760"/>
      <c r="C203" s="195" t="s">
        <v>245</v>
      </c>
      <c r="D203" s="194"/>
      <c r="E203" s="194"/>
      <c r="F203" s="756"/>
      <c r="G203" s="136"/>
      <c r="H203" s="762"/>
      <c r="I203" s="760"/>
      <c r="J203" s="195" t="s">
        <v>224</v>
      </c>
      <c r="K203" s="194"/>
      <c r="L203" s="194"/>
      <c r="M203" s="756"/>
      <c r="N203" s="136"/>
      <c r="O203" s="196">
        <v>1</v>
      </c>
      <c r="P203" s="197">
        <f>O3</f>
        <v>0.6</v>
      </c>
    </row>
    <row r="204" spans="1:16" x14ac:dyDescent="0.25">
      <c r="A204" s="745" t="s">
        <v>246</v>
      </c>
      <c r="B204" s="198">
        <v>1</v>
      </c>
      <c r="C204" s="199">
        <f>C5</f>
        <v>15</v>
      </c>
      <c r="D204" s="199">
        <f t="shared" ref="D204:F204" si="38">D5</f>
        <v>-0.5</v>
      </c>
      <c r="E204" s="199">
        <f t="shared" si="38"/>
        <v>0.3</v>
      </c>
      <c r="F204" s="199">
        <f t="shared" si="38"/>
        <v>0.4</v>
      </c>
      <c r="G204" s="136"/>
      <c r="H204" s="746" t="s">
        <v>246</v>
      </c>
      <c r="I204" s="198">
        <v>1</v>
      </c>
      <c r="J204" s="199">
        <f>I5</f>
        <v>35</v>
      </c>
      <c r="K204" s="199">
        <f t="shared" ref="K204:M204" si="39">J5</f>
        <v>-6</v>
      </c>
      <c r="L204" s="199">
        <f t="shared" si="39"/>
        <v>-9.4</v>
      </c>
      <c r="M204" s="199">
        <f t="shared" si="39"/>
        <v>1.7000000000000002</v>
      </c>
      <c r="N204" s="136"/>
      <c r="O204" s="200">
        <v>2</v>
      </c>
      <c r="P204" s="201">
        <f>O14</f>
        <v>0.3</v>
      </c>
    </row>
    <row r="205" spans="1:16" x14ac:dyDescent="0.25">
      <c r="A205" s="745"/>
      <c r="B205" s="198">
        <v>2</v>
      </c>
      <c r="C205" s="199">
        <f>C16</f>
        <v>15</v>
      </c>
      <c r="D205" s="199">
        <f t="shared" ref="D205:F205" si="40">D16</f>
        <v>0</v>
      </c>
      <c r="E205" s="199">
        <f t="shared" si="40"/>
        <v>0.5</v>
      </c>
      <c r="F205" s="199">
        <f t="shared" si="40"/>
        <v>0.25</v>
      </c>
      <c r="G205" s="136"/>
      <c r="H205" s="746"/>
      <c r="I205" s="198">
        <v>2</v>
      </c>
      <c r="J205" s="199">
        <f>I16</f>
        <v>35</v>
      </c>
      <c r="K205" s="199">
        <f t="shared" ref="K205:M205" si="41">J16</f>
        <v>-1.6</v>
      </c>
      <c r="L205" s="199">
        <f t="shared" si="41"/>
        <v>-0.9</v>
      </c>
      <c r="M205" s="199">
        <f t="shared" si="41"/>
        <v>0.35000000000000003</v>
      </c>
      <c r="N205" s="136"/>
      <c r="O205" s="200">
        <v>3</v>
      </c>
      <c r="P205" s="202">
        <f>O25</f>
        <v>0.3</v>
      </c>
    </row>
    <row r="206" spans="1:16" x14ac:dyDescent="0.25">
      <c r="A206" s="745"/>
      <c r="B206" s="198">
        <v>3</v>
      </c>
      <c r="C206" s="199">
        <f>C27</f>
        <v>15</v>
      </c>
      <c r="D206" s="199">
        <f t="shared" ref="D206:F206" si="42">D27</f>
        <v>0</v>
      </c>
      <c r="E206" s="199">
        <f t="shared" si="42"/>
        <v>0.2</v>
      </c>
      <c r="F206" s="199">
        <f t="shared" si="42"/>
        <v>0.1</v>
      </c>
      <c r="G206" s="136"/>
      <c r="H206" s="746"/>
      <c r="I206" s="198">
        <v>3</v>
      </c>
      <c r="J206" s="199">
        <f>I27</f>
        <v>30</v>
      </c>
      <c r="K206" s="199">
        <f t="shared" ref="K206:M206" si="43">J27</f>
        <v>-5.7</v>
      </c>
      <c r="L206" s="199">
        <f t="shared" si="43"/>
        <v>-1.1000000000000001</v>
      </c>
      <c r="M206" s="199">
        <f t="shared" si="43"/>
        <v>2.2999999999999998</v>
      </c>
      <c r="N206" s="136"/>
      <c r="O206" s="200">
        <v>4</v>
      </c>
      <c r="P206" s="202">
        <f>O36</f>
        <v>0.6</v>
      </c>
    </row>
    <row r="207" spans="1:16" x14ac:dyDescent="0.25">
      <c r="A207" s="745"/>
      <c r="B207" s="198">
        <v>4</v>
      </c>
      <c r="C207" s="203">
        <f>C38</f>
        <v>15</v>
      </c>
      <c r="D207" s="203">
        <f t="shared" ref="D207:F207" si="44">D38</f>
        <v>-0.1</v>
      </c>
      <c r="E207" s="203">
        <f t="shared" si="44"/>
        <v>0.4</v>
      </c>
      <c r="F207" s="203">
        <f t="shared" si="44"/>
        <v>0.25</v>
      </c>
      <c r="G207" s="136"/>
      <c r="H207" s="746"/>
      <c r="I207" s="198">
        <v>4</v>
      </c>
      <c r="J207" s="203">
        <f>I38</f>
        <v>35</v>
      </c>
      <c r="K207" s="203">
        <f t="shared" ref="K207:M207" si="45">J38</f>
        <v>-1.7</v>
      </c>
      <c r="L207" s="203">
        <f t="shared" si="45"/>
        <v>-0.8</v>
      </c>
      <c r="M207" s="203">
        <f t="shared" si="45"/>
        <v>0.44999999999999996</v>
      </c>
      <c r="N207" s="136"/>
      <c r="O207" s="200">
        <v>5</v>
      </c>
      <c r="P207" s="202">
        <f>O47</f>
        <v>0.4</v>
      </c>
    </row>
    <row r="208" spans="1:16" x14ac:dyDescent="0.25">
      <c r="A208" s="745"/>
      <c r="B208" s="198">
        <v>5</v>
      </c>
      <c r="C208" s="203">
        <f>C49</f>
        <v>15</v>
      </c>
      <c r="D208" s="203">
        <f t="shared" ref="D208:F208" si="46">D49</f>
        <v>-0.3</v>
      </c>
      <c r="E208" s="203">
        <f t="shared" si="46"/>
        <v>0.3</v>
      </c>
      <c r="F208" s="203">
        <f t="shared" si="46"/>
        <v>0.3</v>
      </c>
      <c r="G208" s="136"/>
      <c r="H208" s="746"/>
      <c r="I208" s="198">
        <v>5</v>
      </c>
      <c r="J208" s="203">
        <f>I49</f>
        <v>35</v>
      </c>
      <c r="K208" s="203">
        <f t="shared" ref="K208:M208" si="47">J49</f>
        <v>-7.7</v>
      </c>
      <c r="L208" s="203">
        <f t="shared" si="47"/>
        <v>-9.6</v>
      </c>
      <c r="M208" s="203">
        <f t="shared" si="47"/>
        <v>0.94999999999999973</v>
      </c>
      <c r="N208" s="136"/>
      <c r="O208" s="196">
        <v>6</v>
      </c>
      <c r="P208" s="197">
        <f>O58</f>
        <v>0.8</v>
      </c>
    </row>
    <row r="209" spans="1:16" x14ac:dyDescent="0.25">
      <c r="A209" s="745"/>
      <c r="B209" s="198">
        <v>6</v>
      </c>
      <c r="C209" s="203">
        <f>C60</f>
        <v>15</v>
      </c>
      <c r="D209" s="203">
        <f t="shared" ref="D209:F209" si="48">D60</f>
        <v>0.4</v>
      </c>
      <c r="E209" s="203">
        <f t="shared" si="48"/>
        <v>0.4</v>
      </c>
      <c r="F209" s="203">
        <f t="shared" si="48"/>
        <v>0</v>
      </c>
      <c r="G209" s="136"/>
      <c r="H209" s="746"/>
      <c r="I209" s="198">
        <v>6</v>
      </c>
      <c r="J209" s="203">
        <f>I60</f>
        <v>30</v>
      </c>
      <c r="K209" s="203">
        <f t="shared" ref="K209:M209" si="49">J60</f>
        <v>-1.5</v>
      </c>
      <c r="L209" s="203">
        <f t="shared" si="49"/>
        <v>-4.9000000000000004</v>
      </c>
      <c r="M209" s="203">
        <f t="shared" si="49"/>
        <v>1.7000000000000002</v>
      </c>
      <c r="N209" s="136"/>
      <c r="O209" s="196">
        <v>7</v>
      </c>
      <c r="P209" s="197">
        <f>O69</f>
        <v>0.3</v>
      </c>
    </row>
    <row r="210" spans="1:16" x14ac:dyDescent="0.25">
      <c r="A210" s="745"/>
      <c r="B210" s="198">
        <v>7</v>
      </c>
      <c r="C210" s="203">
        <f>C71</f>
        <v>15</v>
      </c>
      <c r="D210" s="203">
        <f t="shared" ref="D210:F210" si="50">D71</f>
        <v>0.3</v>
      </c>
      <c r="E210" s="203">
        <f t="shared" si="50"/>
        <v>0.2</v>
      </c>
      <c r="F210" s="203">
        <f t="shared" si="50"/>
        <v>4.9999999999999989E-2</v>
      </c>
      <c r="G210" s="136"/>
      <c r="H210" s="746"/>
      <c r="I210" s="198">
        <v>7</v>
      </c>
      <c r="J210" s="203">
        <f>I71</f>
        <v>30</v>
      </c>
      <c r="K210" s="203">
        <f t="shared" ref="K210:M210" si="51">J71</f>
        <v>1.8</v>
      </c>
      <c r="L210" s="203">
        <f t="shared" si="51"/>
        <v>-0.1</v>
      </c>
      <c r="M210" s="203">
        <f t="shared" si="51"/>
        <v>0.95000000000000007</v>
      </c>
      <c r="N210" s="136"/>
      <c r="O210" s="196">
        <v>8</v>
      </c>
      <c r="P210" s="197">
        <f>O80</f>
        <v>0.3</v>
      </c>
    </row>
    <row r="211" spans="1:16" x14ac:dyDescent="0.25">
      <c r="A211" s="745"/>
      <c r="B211" s="198">
        <v>8</v>
      </c>
      <c r="C211" s="203">
        <f>C82</f>
        <v>15</v>
      </c>
      <c r="D211" s="203">
        <f t="shared" ref="D211:F211" si="52">D82</f>
        <v>0</v>
      </c>
      <c r="E211" s="203">
        <f t="shared" si="52"/>
        <v>-0.2</v>
      </c>
      <c r="F211" s="203">
        <f t="shared" si="52"/>
        <v>0.1</v>
      </c>
      <c r="G211" s="136"/>
      <c r="H211" s="746"/>
      <c r="I211" s="198">
        <v>8</v>
      </c>
      <c r="J211" s="203">
        <f>I82</f>
        <v>30</v>
      </c>
      <c r="K211" s="203">
        <f t="shared" ref="K211:M211" si="53">J82</f>
        <v>-1.4</v>
      </c>
      <c r="L211" s="203">
        <f t="shared" si="53"/>
        <v>1</v>
      </c>
      <c r="M211" s="203">
        <f t="shared" si="53"/>
        <v>1.2</v>
      </c>
      <c r="N211" s="136"/>
      <c r="O211" s="196">
        <v>9</v>
      </c>
      <c r="P211" s="197">
        <f>O91</f>
        <v>0.3</v>
      </c>
    </row>
    <row r="212" spans="1:16" x14ac:dyDescent="0.25">
      <c r="A212" s="745"/>
      <c r="B212" s="198">
        <v>9</v>
      </c>
      <c r="C212" s="203">
        <f>C93</f>
        <v>15</v>
      </c>
      <c r="D212" s="203">
        <f t="shared" ref="D212:F212" si="54">D93</f>
        <v>0</v>
      </c>
      <c r="E212" s="203" t="str">
        <f t="shared" si="54"/>
        <v>-</v>
      </c>
      <c r="F212" s="203">
        <f t="shared" si="54"/>
        <v>0</v>
      </c>
      <c r="G212" s="136"/>
      <c r="H212" s="746"/>
      <c r="I212" s="198">
        <v>9</v>
      </c>
      <c r="J212" s="203">
        <f>I93</f>
        <v>30</v>
      </c>
      <c r="K212" s="203">
        <f t="shared" ref="K212:M212" si="55">J93</f>
        <v>-1.2</v>
      </c>
      <c r="L212" s="203" t="str">
        <f t="shared" si="55"/>
        <v>-</v>
      </c>
      <c r="M212" s="203">
        <f t="shared" si="55"/>
        <v>0</v>
      </c>
      <c r="N212" s="136"/>
      <c r="O212" s="196">
        <v>10</v>
      </c>
      <c r="P212" s="197">
        <f>O102</f>
        <v>0.3</v>
      </c>
    </row>
    <row r="213" spans="1:16" x14ac:dyDescent="0.25">
      <c r="A213" s="745"/>
      <c r="B213" s="198">
        <v>10</v>
      </c>
      <c r="C213" s="203">
        <f>C104</f>
        <v>15</v>
      </c>
      <c r="D213" s="203">
        <f t="shared" ref="D213:F213" si="56">D104</f>
        <v>0.2</v>
      </c>
      <c r="E213" s="203">
        <f t="shared" si="56"/>
        <v>0.2</v>
      </c>
      <c r="F213" s="203">
        <f t="shared" si="56"/>
        <v>0</v>
      </c>
      <c r="G213" s="136"/>
      <c r="H213" s="746"/>
      <c r="I213" s="198">
        <v>10</v>
      </c>
      <c r="J213" s="203">
        <f>I104</f>
        <v>30</v>
      </c>
      <c r="K213" s="203">
        <f t="shared" ref="K213:M213" si="57">J104</f>
        <v>-2.9</v>
      </c>
      <c r="L213" s="203">
        <f t="shared" si="57"/>
        <v>-5.8</v>
      </c>
      <c r="M213" s="203">
        <f t="shared" si="57"/>
        <v>1.45</v>
      </c>
      <c r="N213" s="136"/>
      <c r="O213" s="196">
        <v>11</v>
      </c>
      <c r="P213" s="197">
        <f>O113</f>
        <v>0.3</v>
      </c>
    </row>
    <row r="214" spans="1:16" x14ac:dyDescent="0.25">
      <c r="A214" s="745"/>
      <c r="B214" s="198">
        <v>11</v>
      </c>
      <c r="C214" s="203">
        <f>C115</f>
        <v>15</v>
      </c>
      <c r="D214" s="203">
        <f t="shared" ref="D214:F214" si="58">D115</f>
        <v>0.3</v>
      </c>
      <c r="E214" s="203" t="str">
        <f t="shared" si="58"/>
        <v>-</v>
      </c>
      <c r="F214" s="203">
        <f t="shared" si="58"/>
        <v>0</v>
      </c>
      <c r="G214" s="136"/>
      <c r="H214" s="746"/>
      <c r="I214" s="198">
        <v>11</v>
      </c>
      <c r="J214" s="203">
        <f>I115</f>
        <v>35</v>
      </c>
      <c r="K214" s="203">
        <f t="shared" ref="K214:M214" si="59">J115</f>
        <v>-5.2</v>
      </c>
      <c r="L214" s="203" t="str">
        <f t="shared" si="59"/>
        <v>-</v>
      </c>
      <c r="M214" s="203">
        <f t="shared" si="59"/>
        <v>0</v>
      </c>
      <c r="N214" s="136"/>
      <c r="O214" s="196">
        <v>12</v>
      </c>
      <c r="P214" s="204">
        <f>O124</f>
        <v>0.3</v>
      </c>
    </row>
    <row r="215" spans="1:16" x14ac:dyDescent="0.25">
      <c r="A215" s="745"/>
      <c r="B215" s="198">
        <v>12</v>
      </c>
      <c r="C215" s="203">
        <f>C126</f>
        <v>15</v>
      </c>
      <c r="D215" s="203">
        <f t="shared" ref="D215:F215" si="60">D126</f>
        <v>-0.6</v>
      </c>
      <c r="E215" s="203" t="str">
        <f t="shared" si="60"/>
        <v>-</v>
      </c>
      <c r="F215" s="203">
        <f t="shared" si="60"/>
        <v>0</v>
      </c>
      <c r="G215" s="136"/>
      <c r="H215" s="746"/>
      <c r="I215" s="205">
        <v>12</v>
      </c>
      <c r="J215" s="203">
        <f>I126</f>
        <v>35</v>
      </c>
      <c r="K215" s="203">
        <f t="shared" ref="K215:M215" si="61">J126</f>
        <v>-0.4</v>
      </c>
      <c r="L215" s="203" t="str">
        <f t="shared" si="61"/>
        <v>-</v>
      </c>
      <c r="M215" s="203">
        <f t="shared" si="61"/>
        <v>0</v>
      </c>
      <c r="N215" s="136"/>
      <c r="O215" s="196">
        <v>13</v>
      </c>
      <c r="P215" s="204">
        <f>O135</f>
        <v>0.4</v>
      </c>
    </row>
    <row r="216" spans="1:16" x14ac:dyDescent="0.25">
      <c r="A216" s="745"/>
      <c r="B216" s="198">
        <v>13</v>
      </c>
      <c r="C216" s="203">
        <f>C137</f>
        <v>15</v>
      </c>
      <c r="D216" s="203">
        <f t="shared" ref="D216:F216" si="62">D137</f>
        <v>-0.2</v>
      </c>
      <c r="E216" s="203" t="str">
        <f t="shared" si="62"/>
        <v>-</v>
      </c>
      <c r="F216" s="203">
        <f t="shared" si="62"/>
        <v>0</v>
      </c>
      <c r="G216" s="136"/>
      <c r="H216" s="746"/>
      <c r="I216" s="198">
        <v>13</v>
      </c>
      <c r="J216" s="203">
        <f>I137</f>
        <v>35</v>
      </c>
      <c r="K216" s="203">
        <f t="shared" ref="K216:M216" si="63">J137</f>
        <v>0.6</v>
      </c>
      <c r="L216" s="203" t="str">
        <f t="shared" si="63"/>
        <v>-</v>
      </c>
      <c r="M216" s="203">
        <f t="shared" si="63"/>
        <v>0</v>
      </c>
      <c r="N216" s="136"/>
      <c r="O216" s="196">
        <v>14</v>
      </c>
      <c r="P216" s="204">
        <f>O146</f>
        <v>0.3</v>
      </c>
    </row>
    <row r="217" spans="1:16" x14ac:dyDescent="0.25">
      <c r="A217" s="745"/>
      <c r="B217" s="198">
        <v>14</v>
      </c>
      <c r="C217" s="203">
        <f>C148</f>
        <v>15</v>
      </c>
      <c r="D217" s="203">
        <f t="shared" ref="D217:F217" si="64">D148</f>
        <v>-0.7</v>
      </c>
      <c r="E217" s="203" t="str">
        <f t="shared" si="64"/>
        <v>-</v>
      </c>
      <c r="F217" s="203">
        <f t="shared" si="64"/>
        <v>0</v>
      </c>
      <c r="G217" s="136"/>
      <c r="H217" s="746"/>
      <c r="I217" s="198">
        <v>14</v>
      </c>
      <c r="J217" s="203">
        <f>I148</f>
        <v>35</v>
      </c>
      <c r="K217" s="203">
        <f t="shared" ref="K217:M217" si="65">J148</f>
        <v>-1.4</v>
      </c>
      <c r="L217" s="203" t="str">
        <f t="shared" si="65"/>
        <v>-</v>
      </c>
      <c r="M217" s="203">
        <f t="shared" si="65"/>
        <v>0</v>
      </c>
      <c r="N217" s="136"/>
      <c r="O217" s="196">
        <v>15</v>
      </c>
      <c r="P217" s="204">
        <f>O157</f>
        <v>0.3</v>
      </c>
    </row>
    <row r="218" spans="1:16" x14ac:dyDescent="0.25">
      <c r="A218" s="745"/>
      <c r="B218" s="198">
        <v>15</v>
      </c>
      <c r="C218" s="203">
        <f>C159</f>
        <v>15</v>
      </c>
      <c r="D218" s="203">
        <f t="shared" ref="D218:F218" si="66">D159</f>
        <v>0.1</v>
      </c>
      <c r="E218" s="203" t="str">
        <f t="shared" si="66"/>
        <v>-</v>
      </c>
      <c r="F218" s="203">
        <f t="shared" si="66"/>
        <v>0</v>
      </c>
      <c r="G218" s="136"/>
      <c r="H218" s="746"/>
      <c r="I218" s="198">
        <v>15</v>
      </c>
      <c r="J218" s="203">
        <f>I159</f>
        <v>30</v>
      </c>
      <c r="K218" s="203">
        <f t="shared" ref="K218:M218" si="67">J159</f>
        <v>0.1</v>
      </c>
      <c r="L218" s="203" t="str">
        <f t="shared" si="67"/>
        <v>-</v>
      </c>
      <c r="M218" s="203">
        <f t="shared" si="67"/>
        <v>0</v>
      </c>
      <c r="N218" s="136"/>
      <c r="O218" s="196">
        <v>16</v>
      </c>
      <c r="P218" s="204">
        <f>O168</f>
        <v>0.4</v>
      </c>
    </row>
    <row r="219" spans="1:16" x14ac:dyDescent="0.25">
      <c r="A219" s="745"/>
      <c r="B219" s="198">
        <v>16</v>
      </c>
      <c r="C219" s="203">
        <f>C170</f>
        <v>15</v>
      </c>
      <c r="D219" s="203">
        <f t="shared" ref="D219:F219" si="68">D170</f>
        <v>0.1</v>
      </c>
      <c r="E219" s="203" t="str">
        <f t="shared" si="68"/>
        <v>-</v>
      </c>
      <c r="F219" s="203">
        <f t="shared" si="68"/>
        <v>0</v>
      </c>
      <c r="G219" s="136"/>
      <c r="H219" s="746"/>
      <c r="I219" s="198">
        <v>16</v>
      </c>
      <c r="J219" s="203">
        <f>I170</f>
        <v>30</v>
      </c>
      <c r="K219" s="203">
        <f t="shared" ref="K219:M219" si="69">J170</f>
        <v>-1.6</v>
      </c>
      <c r="L219" s="203" t="str">
        <f t="shared" si="69"/>
        <v>-</v>
      </c>
      <c r="M219" s="203">
        <f t="shared" si="69"/>
        <v>0</v>
      </c>
      <c r="N219" s="136"/>
      <c r="O219" s="196">
        <v>17</v>
      </c>
      <c r="P219" s="204">
        <f>O179</f>
        <v>0.3</v>
      </c>
    </row>
    <row r="220" spans="1:16" x14ac:dyDescent="0.25">
      <c r="A220" s="745"/>
      <c r="B220" s="198">
        <v>17</v>
      </c>
      <c r="C220" s="203">
        <f>C181</f>
        <v>15</v>
      </c>
      <c r="D220" s="203">
        <f t="shared" ref="D220:F220" si="70">D181</f>
        <v>0</v>
      </c>
      <c r="E220" s="203" t="str">
        <f t="shared" si="70"/>
        <v>-</v>
      </c>
      <c r="F220" s="203">
        <f t="shared" si="70"/>
        <v>0</v>
      </c>
      <c r="G220" s="136"/>
      <c r="H220" s="746"/>
      <c r="I220" s="198">
        <v>17</v>
      </c>
      <c r="J220" s="203">
        <f>I181</f>
        <v>30</v>
      </c>
      <c r="K220" s="203">
        <f t="shared" ref="K220:M220" si="71">J181</f>
        <v>-0.4</v>
      </c>
      <c r="L220" s="203" t="str">
        <f t="shared" si="71"/>
        <v>-</v>
      </c>
      <c r="M220" s="203">
        <f t="shared" si="71"/>
        <v>0</v>
      </c>
      <c r="N220" s="136"/>
      <c r="O220" s="196">
        <v>18</v>
      </c>
      <c r="P220" s="204">
        <f>O190</f>
        <v>0.3</v>
      </c>
    </row>
    <row r="221" spans="1:16" x14ac:dyDescent="0.25">
      <c r="A221" s="745"/>
      <c r="B221" s="198">
        <v>18</v>
      </c>
      <c r="C221" s="203">
        <f>C192</f>
        <v>15</v>
      </c>
      <c r="D221" s="203">
        <f t="shared" ref="D221:F221" si="72">D192</f>
        <v>0</v>
      </c>
      <c r="E221" s="203" t="str">
        <f t="shared" si="72"/>
        <v>-</v>
      </c>
      <c r="F221" s="203">
        <f t="shared" si="72"/>
        <v>0</v>
      </c>
      <c r="G221" s="136"/>
      <c r="H221" s="746"/>
      <c r="I221" s="198">
        <v>18</v>
      </c>
      <c r="J221" s="203">
        <f>I192</f>
        <v>30</v>
      </c>
      <c r="K221" s="203">
        <f t="shared" ref="K221:M221" si="73">J192</f>
        <v>-0.4</v>
      </c>
      <c r="L221" s="203" t="str">
        <f t="shared" si="73"/>
        <v>-</v>
      </c>
      <c r="M221" s="203">
        <f t="shared" si="73"/>
        <v>0</v>
      </c>
      <c r="N221" s="136"/>
      <c r="O221" s="196">
        <v>19</v>
      </c>
      <c r="P221" s="206"/>
    </row>
    <row r="222" spans="1:16" x14ac:dyDescent="0.25">
      <c r="A222" s="207"/>
      <c r="B222" s="208"/>
      <c r="C222" s="209"/>
      <c r="D222" s="209"/>
      <c r="E222" s="209"/>
      <c r="F222" s="210"/>
      <c r="G222" s="211"/>
      <c r="H222" s="212"/>
      <c r="I222" s="212"/>
      <c r="J222" s="213"/>
      <c r="K222" s="213"/>
      <c r="L222" s="213"/>
      <c r="M222" s="213"/>
      <c r="N222" s="211"/>
      <c r="O222" s="211"/>
      <c r="P222" s="211"/>
    </row>
    <row r="223" spans="1:16" x14ac:dyDescent="0.25">
      <c r="A223" s="745" t="s">
        <v>247</v>
      </c>
      <c r="B223" s="198">
        <v>1</v>
      </c>
      <c r="C223" s="203">
        <f>C6</f>
        <v>20</v>
      </c>
      <c r="D223" s="203">
        <f t="shared" ref="D223:F223" si="74">D6</f>
        <v>-0.2</v>
      </c>
      <c r="E223" s="203">
        <f t="shared" si="74"/>
        <v>0.2</v>
      </c>
      <c r="F223" s="203">
        <f t="shared" si="74"/>
        <v>0.2</v>
      </c>
      <c r="G223" s="136"/>
      <c r="H223" s="746" t="s">
        <v>247</v>
      </c>
      <c r="I223" s="198">
        <v>1</v>
      </c>
      <c r="J223" s="203">
        <f>I6</f>
        <v>40</v>
      </c>
      <c r="K223" s="203">
        <f t="shared" ref="K223:M223" si="75">J50</f>
        <v>-7.2</v>
      </c>
      <c r="L223" s="203">
        <f t="shared" si="75"/>
        <v>-8</v>
      </c>
      <c r="M223" s="203">
        <f t="shared" si="75"/>
        <v>0.39999999999999991</v>
      </c>
      <c r="N223" s="136"/>
      <c r="O223" s="749" t="s">
        <v>218</v>
      </c>
      <c r="P223" s="750"/>
    </row>
    <row r="224" spans="1:16" x14ac:dyDescent="0.25">
      <c r="A224" s="745"/>
      <c r="B224" s="198">
        <v>2</v>
      </c>
      <c r="C224" s="203">
        <f>C17</f>
        <v>20</v>
      </c>
      <c r="D224" s="203">
        <f t="shared" ref="D224:F224" si="76">D17</f>
        <v>-0.1</v>
      </c>
      <c r="E224" s="203">
        <f t="shared" si="76"/>
        <v>0</v>
      </c>
      <c r="F224" s="203">
        <f t="shared" si="76"/>
        <v>0.05</v>
      </c>
      <c r="G224" s="136"/>
      <c r="H224" s="746"/>
      <c r="I224" s="198">
        <v>2</v>
      </c>
      <c r="J224" s="203">
        <f>I17</f>
        <v>40</v>
      </c>
      <c r="K224" s="203">
        <f t="shared" ref="K224:M224" si="77">J17</f>
        <v>-1.6</v>
      </c>
      <c r="L224" s="203">
        <f t="shared" si="77"/>
        <v>-1.1000000000000001</v>
      </c>
      <c r="M224" s="203">
        <f t="shared" si="77"/>
        <v>0.25</v>
      </c>
      <c r="N224" s="136"/>
      <c r="O224" s="751" t="s">
        <v>222</v>
      </c>
      <c r="P224" s="752"/>
    </row>
    <row r="225" spans="1:16" x14ac:dyDescent="0.25">
      <c r="A225" s="745"/>
      <c r="B225" s="198">
        <v>3</v>
      </c>
      <c r="C225" s="199">
        <f>C28</f>
        <v>20</v>
      </c>
      <c r="D225" s="199">
        <f t="shared" ref="D225:F225" si="78">D28</f>
        <v>0</v>
      </c>
      <c r="E225" s="199">
        <f t="shared" si="78"/>
        <v>0</v>
      </c>
      <c r="F225" s="199">
        <f t="shared" si="78"/>
        <v>0</v>
      </c>
      <c r="G225" s="136"/>
      <c r="H225" s="746"/>
      <c r="I225" s="198">
        <v>3</v>
      </c>
      <c r="J225" s="199">
        <f>I28</f>
        <v>40</v>
      </c>
      <c r="K225" s="199">
        <f t="shared" ref="K225:M225" si="79">J28</f>
        <v>-5.3</v>
      </c>
      <c r="L225" s="199">
        <f t="shared" si="79"/>
        <v>-1.9</v>
      </c>
      <c r="M225" s="199">
        <f t="shared" si="79"/>
        <v>1.7</v>
      </c>
      <c r="N225" s="136"/>
      <c r="O225" s="196">
        <v>1</v>
      </c>
      <c r="P225" s="197">
        <f>O4</f>
        <v>3.1</v>
      </c>
    </row>
    <row r="226" spans="1:16" x14ac:dyDescent="0.25">
      <c r="A226" s="745"/>
      <c r="B226" s="198">
        <v>4</v>
      </c>
      <c r="C226" s="199">
        <f>C39</f>
        <v>20</v>
      </c>
      <c r="D226" s="199">
        <f t="shared" ref="D226:F226" si="80">D39</f>
        <v>-0.3</v>
      </c>
      <c r="E226" s="199">
        <f t="shared" si="80"/>
        <v>0</v>
      </c>
      <c r="F226" s="199">
        <f t="shared" si="80"/>
        <v>0.15</v>
      </c>
      <c r="G226" s="136"/>
      <c r="H226" s="746"/>
      <c r="I226" s="198">
        <v>4</v>
      </c>
      <c r="J226" s="199">
        <f>I39</f>
        <v>40</v>
      </c>
      <c r="K226" s="199">
        <f t="shared" ref="K226:M226" si="81">J39</f>
        <v>-1.5</v>
      </c>
      <c r="L226" s="199">
        <f t="shared" si="81"/>
        <v>-0.9</v>
      </c>
      <c r="M226" s="199">
        <f t="shared" si="81"/>
        <v>0.3</v>
      </c>
      <c r="N226" s="136"/>
      <c r="O226" s="200">
        <v>2</v>
      </c>
      <c r="P226" s="201">
        <f>O15</f>
        <v>3.3</v>
      </c>
    </row>
    <row r="227" spans="1:16" x14ac:dyDescent="0.25">
      <c r="A227" s="745"/>
      <c r="B227" s="198">
        <v>5</v>
      </c>
      <c r="C227" s="199">
        <f>C50</f>
        <v>20</v>
      </c>
      <c r="D227" s="199">
        <f t="shared" ref="D227:F227" si="82">D50</f>
        <v>0.1</v>
      </c>
      <c r="E227" s="199">
        <f t="shared" si="82"/>
        <v>0.3</v>
      </c>
      <c r="F227" s="199">
        <f t="shared" si="82"/>
        <v>9.9999999999999992E-2</v>
      </c>
      <c r="G227" s="136"/>
      <c r="H227" s="746"/>
      <c r="I227" s="198">
        <v>5</v>
      </c>
      <c r="J227" s="199">
        <f>I50</f>
        <v>40</v>
      </c>
      <c r="K227" s="199">
        <f t="shared" ref="K227:M227" si="83">J50</f>
        <v>-7.2</v>
      </c>
      <c r="L227" s="199">
        <f t="shared" si="83"/>
        <v>-8</v>
      </c>
      <c r="M227" s="199">
        <f t="shared" si="83"/>
        <v>0.39999999999999991</v>
      </c>
      <c r="N227" s="136"/>
      <c r="O227" s="200">
        <v>3</v>
      </c>
      <c r="P227" s="202">
        <f>O26</f>
        <v>3.1</v>
      </c>
    </row>
    <row r="228" spans="1:16" x14ac:dyDescent="0.25">
      <c r="A228" s="745"/>
      <c r="B228" s="198">
        <v>6</v>
      </c>
      <c r="C228" s="199">
        <f>C61</f>
        <v>20</v>
      </c>
      <c r="D228" s="199">
        <f t="shared" ref="D228:F228" si="84">D61</f>
        <v>0.3</v>
      </c>
      <c r="E228" s="199">
        <f t="shared" si="84"/>
        <v>0.2</v>
      </c>
      <c r="F228" s="199">
        <f t="shared" si="84"/>
        <v>4.9999999999999989E-2</v>
      </c>
      <c r="G228" s="136"/>
      <c r="H228" s="746"/>
      <c r="I228" s="198">
        <v>6</v>
      </c>
      <c r="J228" s="199">
        <f>I61</f>
        <v>40</v>
      </c>
      <c r="K228" s="199">
        <f t="shared" ref="K228:M228" si="85">J61</f>
        <v>-3.8</v>
      </c>
      <c r="L228" s="199">
        <f t="shared" si="85"/>
        <v>-3.4</v>
      </c>
      <c r="M228" s="199">
        <f t="shared" si="85"/>
        <v>0.19999999999999996</v>
      </c>
      <c r="N228" s="136"/>
      <c r="O228" s="200">
        <v>4</v>
      </c>
      <c r="P228" s="202">
        <f>O37</f>
        <v>2.6</v>
      </c>
    </row>
    <row r="229" spans="1:16" x14ac:dyDescent="0.25">
      <c r="A229" s="745"/>
      <c r="B229" s="198">
        <v>7</v>
      </c>
      <c r="C229" s="199">
        <f>C72</f>
        <v>20</v>
      </c>
      <c r="D229" s="199">
        <f t="shared" ref="D229:F229" si="86">D72</f>
        <v>0.1</v>
      </c>
      <c r="E229" s="199">
        <f t="shared" si="86"/>
        <v>0.1</v>
      </c>
      <c r="F229" s="199">
        <f t="shared" si="86"/>
        <v>0</v>
      </c>
      <c r="G229" s="136"/>
      <c r="H229" s="746"/>
      <c r="I229" s="198">
        <v>7</v>
      </c>
      <c r="J229" s="199">
        <f>I72</f>
        <v>40</v>
      </c>
      <c r="K229" s="199">
        <f t="shared" ref="K229:M229" si="87">J72</f>
        <v>1.2</v>
      </c>
      <c r="L229" s="199">
        <f t="shared" si="87"/>
        <v>0</v>
      </c>
      <c r="M229" s="199">
        <f t="shared" si="87"/>
        <v>0.6</v>
      </c>
      <c r="N229" s="136"/>
      <c r="O229" s="200">
        <v>5</v>
      </c>
      <c r="P229" s="202">
        <f>O48</f>
        <v>2.8</v>
      </c>
    </row>
    <row r="230" spans="1:16" x14ac:dyDescent="0.25">
      <c r="A230" s="745"/>
      <c r="B230" s="198">
        <v>8</v>
      </c>
      <c r="C230" s="199">
        <f>C83</f>
        <v>20</v>
      </c>
      <c r="D230" s="199">
        <f t="shared" ref="D230:F230" si="88">D83</f>
        <v>-0.2</v>
      </c>
      <c r="E230" s="199">
        <f t="shared" si="88"/>
        <v>-0.2</v>
      </c>
      <c r="F230" s="199">
        <f t="shared" si="88"/>
        <v>0</v>
      </c>
      <c r="G230" s="136"/>
      <c r="H230" s="746"/>
      <c r="I230" s="198">
        <v>8</v>
      </c>
      <c r="J230" s="199">
        <f>I83</f>
        <v>40</v>
      </c>
      <c r="K230" s="199">
        <f t="shared" ref="K230:M230" si="89">J83</f>
        <v>-1.2</v>
      </c>
      <c r="L230" s="199">
        <f t="shared" si="89"/>
        <v>1.1000000000000001</v>
      </c>
      <c r="M230" s="199">
        <f t="shared" si="89"/>
        <v>1.1499999999999999</v>
      </c>
      <c r="N230" s="136"/>
      <c r="O230" s="196">
        <v>6</v>
      </c>
      <c r="P230" s="197">
        <f>O59</f>
        <v>2.6</v>
      </c>
    </row>
    <row r="231" spans="1:16" x14ac:dyDescent="0.25">
      <c r="A231" s="745"/>
      <c r="B231" s="198">
        <v>9</v>
      </c>
      <c r="C231" s="199">
        <f>C94</f>
        <v>20</v>
      </c>
      <c r="D231" s="199">
        <f t="shared" ref="D231:F231" si="90">D94</f>
        <v>-0.2</v>
      </c>
      <c r="E231" s="199" t="str">
        <f t="shared" si="90"/>
        <v>-</v>
      </c>
      <c r="F231" s="199">
        <f t="shared" si="90"/>
        <v>0</v>
      </c>
      <c r="G231" s="136"/>
      <c r="H231" s="746"/>
      <c r="I231" s="198">
        <v>9</v>
      </c>
      <c r="J231" s="199">
        <f>I94</f>
        <v>40</v>
      </c>
      <c r="K231" s="199">
        <f t="shared" ref="K231:M231" si="91">J94</f>
        <v>-1</v>
      </c>
      <c r="L231" s="199" t="str">
        <f t="shared" si="91"/>
        <v>-</v>
      </c>
      <c r="M231" s="199">
        <f t="shared" si="91"/>
        <v>0</v>
      </c>
      <c r="N231" s="136"/>
      <c r="O231" s="196">
        <v>7</v>
      </c>
      <c r="P231" s="197">
        <f>O70</f>
        <v>2.2999999999999998</v>
      </c>
    </row>
    <row r="232" spans="1:16" x14ac:dyDescent="0.25">
      <c r="A232" s="745"/>
      <c r="B232" s="198">
        <v>10</v>
      </c>
      <c r="C232" s="199">
        <f>C105</f>
        <v>20</v>
      </c>
      <c r="D232" s="199">
        <f t="shared" ref="D232:F232" si="92">D105</f>
        <v>0.2</v>
      </c>
      <c r="E232" s="199">
        <f t="shared" si="92"/>
        <v>-0.7</v>
      </c>
      <c r="F232" s="199">
        <f t="shared" si="92"/>
        <v>0.44999999999999996</v>
      </c>
      <c r="G232" s="136"/>
      <c r="H232" s="746"/>
      <c r="I232" s="198">
        <v>10</v>
      </c>
      <c r="J232" s="199">
        <f>I105</f>
        <v>40</v>
      </c>
      <c r="K232" s="199">
        <f t="shared" ref="K232:M232" si="93">J105</f>
        <v>-3.3</v>
      </c>
      <c r="L232" s="199">
        <f t="shared" si="93"/>
        <v>-6.4</v>
      </c>
      <c r="M232" s="199">
        <f t="shared" si="93"/>
        <v>1.5500000000000003</v>
      </c>
      <c r="N232" s="136"/>
      <c r="O232" s="196">
        <v>8</v>
      </c>
      <c r="P232" s="197">
        <f>O81</f>
        <v>2.6</v>
      </c>
    </row>
    <row r="233" spans="1:16" x14ac:dyDescent="0.25">
      <c r="A233" s="745"/>
      <c r="B233" s="198">
        <v>11</v>
      </c>
      <c r="C233" s="199">
        <f>C116</f>
        <v>20</v>
      </c>
      <c r="D233" s="199">
        <f t="shared" ref="D233:F233" si="94">D116</f>
        <v>0.4</v>
      </c>
      <c r="E233" s="199" t="str">
        <f t="shared" si="94"/>
        <v>-</v>
      </c>
      <c r="F233" s="199">
        <f t="shared" si="94"/>
        <v>0</v>
      </c>
      <c r="G233" s="136"/>
      <c r="H233" s="746"/>
      <c r="I233" s="198">
        <v>11</v>
      </c>
      <c r="J233" s="199">
        <f>I116</f>
        <v>40</v>
      </c>
      <c r="K233" s="199">
        <f t="shared" ref="K233:M233" si="95">J116</f>
        <v>-5.5</v>
      </c>
      <c r="L233" s="199" t="str">
        <f t="shared" si="95"/>
        <v>-</v>
      </c>
      <c r="M233" s="199">
        <f t="shared" si="95"/>
        <v>0</v>
      </c>
      <c r="N233" s="136"/>
      <c r="O233" s="196">
        <v>9</v>
      </c>
      <c r="P233" s="197">
        <f>O92</f>
        <v>2.4</v>
      </c>
    </row>
    <row r="234" spans="1:16" x14ac:dyDescent="0.25">
      <c r="A234" s="745"/>
      <c r="B234" s="198">
        <v>12</v>
      </c>
      <c r="C234" s="199">
        <f>C127</f>
        <v>20</v>
      </c>
      <c r="D234" s="199">
        <f t="shared" ref="D234:F234" si="96">D127</f>
        <v>-0.5</v>
      </c>
      <c r="E234" s="199" t="str">
        <f t="shared" si="96"/>
        <v>-</v>
      </c>
      <c r="F234" s="199">
        <f t="shared" si="96"/>
        <v>0</v>
      </c>
      <c r="G234" s="136"/>
      <c r="H234" s="746"/>
      <c r="I234" s="198">
        <v>12</v>
      </c>
      <c r="J234" s="199">
        <f>I127</f>
        <v>40</v>
      </c>
      <c r="K234" s="199">
        <f t="shared" ref="K234:M234" si="97">J127</f>
        <v>-0.3</v>
      </c>
      <c r="L234" s="199" t="str">
        <f t="shared" si="97"/>
        <v>-</v>
      </c>
      <c r="M234" s="199">
        <f t="shared" si="97"/>
        <v>0</v>
      </c>
      <c r="N234" s="136"/>
      <c r="O234" s="196">
        <v>10</v>
      </c>
      <c r="P234" s="197">
        <f>O103</f>
        <v>1.5</v>
      </c>
    </row>
    <row r="235" spans="1:16" x14ac:dyDescent="0.25">
      <c r="A235" s="745"/>
      <c r="B235" s="198">
        <v>13</v>
      </c>
      <c r="C235" s="199">
        <f>C138</f>
        <v>20</v>
      </c>
      <c r="D235" s="199">
        <f t="shared" ref="D235:F235" si="98">D138</f>
        <v>-0.1</v>
      </c>
      <c r="E235" s="199" t="str">
        <f t="shared" si="98"/>
        <v>-</v>
      </c>
      <c r="F235" s="199">
        <f t="shared" si="98"/>
        <v>0</v>
      </c>
      <c r="G235" s="136"/>
      <c r="H235" s="746"/>
      <c r="I235" s="198">
        <v>13</v>
      </c>
      <c r="J235" s="199">
        <f>I138</f>
        <v>40</v>
      </c>
      <c r="K235" s="199">
        <f t="shared" ref="K235:M235" si="99">J138</f>
        <v>0.3</v>
      </c>
      <c r="L235" s="199" t="str">
        <f t="shared" si="99"/>
        <v>-</v>
      </c>
      <c r="M235" s="199">
        <f t="shared" si="99"/>
        <v>0</v>
      </c>
      <c r="N235" s="136"/>
      <c r="O235" s="196">
        <v>11</v>
      </c>
      <c r="P235" s="197">
        <f>O114</f>
        <v>1.8</v>
      </c>
    </row>
    <row r="236" spans="1:16" x14ac:dyDescent="0.25">
      <c r="A236" s="745"/>
      <c r="B236" s="198">
        <v>14</v>
      </c>
      <c r="C236" s="199">
        <f>C149</f>
        <v>20</v>
      </c>
      <c r="D236" s="199">
        <f t="shared" ref="D236:F236" si="100">D149</f>
        <v>-0.4</v>
      </c>
      <c r="E236" s="199" t="str">
        <f t="shared" si="100"/>
        <v>-</v>
      </c>
      <c r="F236" s="199">
        <f t="shared" si="100"/>
        <v>0</v>
      </c>
      <c r="G236" s="136"/>
      <c r="H236" s="746"/>
      <c r="I236" s="198">
        <v>14</v>
      </c>
      <c r="J236" s="199">
        <f>I149</f>
        <v>40</v>
      </c>
      <c r="K236" s="199">
        <f t="shared" ref="K236:M236" si="101">J149</f>
        <v>-1.3</v>
      </c>
      <c r="L236" s="199" t="str">
        <f t="shared" si="101"/>
        <v>-</v>
      </c>
      <c r="M236" s="199">
        <f t="shared" si="101"/>
        <v>0</v>
      </c>
      <c r="N236" s="136"/>
      <c r="O236" s="196">
        <v>12</v>
      </c>
      <c r="P236" s="214">
        <f>O125</f>
        <v>2.7</v>
      </c>
    </row>
    <row r="237" spans="1:16" x14ac:dyDescent="0.25">
      <c r="A237" s="745"/>
      <c r="B237" s="198">
        <v>15</v>
      </c>
      <c r="C237" s="199">
        <f>C160</f>
        <v>20</v>
      </c>
      <c r="D237" s="199">
        <f t="shared" ref="D237:F237" si="102">D160</f>
        <v>0.1</v>
      </c>
      <c r="E237" s="199" t="str">
        <f t="shared" si="102"/>
        <v>-</v>
      </c>
      <c r="F237" s="199">
        <f t="shared" si="102"/>
        <v>0</v>
      </c>
      <c r="G237" s="136"/>
      <c r="H237" s="746"/>
      <c r="I237" s="198">
        <v>15</v>
      </c>
      <c r="J237" s="199">
        <f>I160</f>
        <v>40</v>
      </c>
      <c r="K237" s="199">
        <f t="shared" ref="K237:M237" si="103">J160</f>
        <v>0.2</v>
      </c>
      <c r="L237" s="199" t="str">
        <f t="shared" si="103"/>
        <v>-</v>
      </c>
      <c r="M237" s="199">
        <f t="shared" si="103"/>
        <v>0</v>
      </c>
      <c r="N237" s="136"/>
      <c r="O237" s="196">
        <v>13</v>
      </c>
      <c r="P237" s="197">
        <f>O136</f>
        <v>2.2000000000000002</v>
      </c>
    </row>
    <row r="238" spans="1:16" x14ac:dyDescent="0.25">
      <c r="A238" s="745"/>
      <c r="B238" s="198">
        <v>16</v>
      </c>
      <c r="C238" s="199">
        <f>C171</f>
        <v>20</v>
      </c>
      <c r="D238" s="199">
        <f t="shared" ref="D238:F238" si="104">D171</f>
        <v>0.2</v>
      </c>
      <c r="E238" s="199" t="str">
        <f t="shared" si="104"/>
        <v>-</v>
      </c>
      <c r="F238" s="199">
        <f t="shared" si="104"/>
        <v>0</v>
      </c>
      <c r="G238" s="136"/>
      <c r="H238" s="746"/>
      <c r="I238" s="198">
        <v>16</v>
      </c>
      <c r="J238" s="199">
        <f>I171</f>
        <v>40</v>
      </c>
      <c r="K238" s="199">
        <f t="shared" ref="K238:M238" si="105">J171</f>
        <v>-1.4</v>
      </c>
      <c r="L238" s="199" t="str">
        <f t="shared" si="105"/>
        <v>-</v>
      </c>
      <c r="M238" s="199">
        <f t="shared" si="105"/>
        <v>0</v>
      </c>
      <c r="N238" s="136"/>
      <c r="O238" s="196">
        <v>14</v>
      </c>
      <c r="P238" s="197">
        <f>O147</f>
        <v>2.7</v>
      </c>
    </row>
    <row r="239" spans="1:16" x14ac:dyDescent="0.25">
      <c r="A239" s="745"/>
      <c r="B239" s="198">
        <v>17</v>
      </c>
      <c r="C239" s="199">
        <f>C182</f>
        <v>20</v>
      </c>
      <c r="D239" s="199">
        <f t="shared" ref="D239:F239" si="106">D182</f>
        <v>-0.1</v>
      </c>
      <c r="E239" s="199" t="str">
        <f t="shared" si="106"/>
        <v>-</v>
      </c>
      <c r="F239" s="199">
        <f t="shared" si="106"/>
        <v>0</v>
      </c>
      <c r="G239" s="136"/>
      <c r="H239" s="746"/>
      <c r="I239" s="198">
        <v>17</v>
      </c>
      <c r="J239" s="199">
        <f>I182</f>
        <v>40</v>
      </c>
      <c r="K239" s="199">
        <f t="shared" ref="K239:M239" si="107">J182</f>
        <v>-0.2</v>
      </c>
      <c r="L239" s="199" t="str">
        <f t="shared" si="107"/>
        <v>-</v>
      </c>
      <c r="M239" s="199">
        <f t="shared" si="107"/>
        <v>0</v>
      </c>
      <c r="N239" s="136"/>
      <c r="O239" s="215">
        <v>15</v>
      </c>
      <c r="P239" s="216">
        <f>O158</f>
        <v>2.8</v>
      </c>
    </row>
    <row r="240" spans="1:16" x14ac:dyDescent="0.25">
      <c r="A240" s="745"/>
      <c r="B240" s="198">
        <v>18</v>
      </c>
      <c r="C240" s="199">
        <f>C193</f>
        <v>20</v>
      </c>
      <c r="D240" s="199">
        <f t="shared" ref="D240:F240" si="108">D193</f>
        <v>0</v>
      </c>
      <c r="E240" s="199" t="str">
        <f t="shared" si="108"/>
        <v>-</v>
      </c>
      <c r="F240" s="199">
        <f t="shared" si="108"/>
        <v>0</v>
      </c>
      <c r="G240" s="136"/>
      <c r="H240" s="746"/>
      <c r="I240" s="198">
        <v>18</v>
      </c>
      <c r="J240" s="199">
        <f>I193</f>
        <v>40</v>
      </c>
      <c r="K240" s="199">
        <f t="shared" ref="K240:M240" si="109">J193</f>
        <v>-0.1</v>
      </c>
      <c r="L240" s="199" t="str">
        <f t="shared" si="109"/>
        <v>-</v>
      </c>
      <c r="M240" s="199">
        <f t="shared" si="109"/>
        <v>0</v>
      </c>
      <c r="N240" s="136"/>
      <c r="O240" s="196">
        <v>16</v>
      </c>
      <c r="P240" s="217">
        <f>O169</f>
        <v>2.2000000000000002</v>
      </c>
    </row>
    <row r="241" spans="1:16" x14ac:dyDescent="0.25">
      <c r="A241" s="207"/>
      <c r="B241" s="208"/>
      <c r="C241" s="218"/>
      <c r="D241" s="218"/>
      <c r="E241" s="218"/>
      <c r="F241" s="219"/>
      <c r="G241" s="211"/>
      <c r="H241" s="207"/>
      <c r="I241" s="208"/>
      <c r="J241" s="218"/>
      <c r="K241" s="218"/>
      <c r="L241" s="218"/>
      <c r="M241" s="219"/>
      <c r="N241" s="136"/>
      <c r="O241" s="215">
        <v>17</v>
      </c>
      <c r="P241" s="217">
        <f>O180</f>
        <v>1.6</v>
      </c>
    </row>
    <row r="242" spans="1:16" x14ac:dyDescent="0.25">
      <c r="A242" s="745" t="s">
        <v>248</v>
      </c>
      <c r="B242" s="198">
        <v>1</v>
      </c>
      <c r="C242" s="199">
        <f>C7</f>
        <v>25</v>
      </c>
      <c r="D242" s="199">
        <f t="shared" ref="D242:F242" si="110">D7</f>
        <v>0</v>
      </c>
      <c r="E242" s="199">
        <f t="shared" si="110"/>
        <v>0.1</v>
      </c>
      <c r="F242" s="199">
        <f t="shared" si="110"/>
        <v>0.05</v>
      </c>
      <c r="G242" s="136"/>
      <c r="H242" s="746" t="s">
        <v>248</v>
      </c>
      <c r="I242" s="198">
        <v>1</v>
      </c>
      <c r="J242" s="199">
        <f>I7</f>
        <v>50</v>
      </c>
      <c r="K242" s="199">
        <f t="shared" ref="K242:M242" si="111">J7</f>
        <v>-5.3</v>
      </c>
      <c r="L242" s="199">
        <f t="shared" si="111"/>
        <v>-7.2</v>
      </c>
      <c r="M242" s="199">
        <f t="shared" si="111"/>
        <v>0.95000000000000018</v>
      </c>
      <c r="N242" s="136"/>
      <c r="O242" s="196">
        <v>18</v>
      </c>
      <c r="P242" s="217">
        <f>O191</f>
        <v>2</v>
      </c>
    </row>
    <row r="243" spans="1:16" x14ac:dyDescent="0.25">
      <c r="A243" s="745"/>
      <c r="B243" s="198">
        <v>2</v>
      </c>
      <c r="C243" s="199">
        <f>C18</f>
        <v>25</v>
      </c>
      <c r="D243" s="199">
        <f t="shared" ref="D243:F243" si="112">D18</f>
        <v>-0.2</v>
      </c>
      <c r="E243" s="199">
        <f t="shared" si="112"/>
        <v>-0.5</v>
      </c>
      <c r="F243" s="199">
        <f t="shared" si="112"/>
        <v>0.15</v>
      </c>
      <c r="G243" s="136"/>
      <c r="H243" s="746"/>
      <c r="I243" s="198">
        <v>2</v>
      </c>
      <c r="J243" s="199">
        <f>I18</f>
        <v>50</v>
      </c>
      <c r="K243" s="199">
        <f t="shared" ref="K243:M243" si="113">J18</f>
        <v>-1.5</v>
      </c>
      <c r="L243" s="199">
        <f t="shared" si="113"/>
        <v>-1.4</v>
      </c>
      <c r="M243" s="199">
        <f t="shared" si="113"/>
        <v>5.0000000000000044E-2</v>
      </c>
      <c r="N243" s="136"/>
    </row>
    <row r="244" spans="1:16" x14ac:dyDescent="0.25">
      <c r="A244" s="745"/>
      <c r="B244" s="198">
        <v>3</v>
      </c>
      <c r="C244" s="199">
        <f>C29</f>
        <v>25</v>
      </c>
      <c r="D244" s="199">
        <f t="shared" ref="D244:F244" si="114">D29</f>
        <v>-0.1</v>
      </c>
      <c r="E244" s="199">
        <f t="shared" si="114"/>
        <v>-0.2</v>
      </c>
      <c r="F244" s="199">
        <f t="shared" si="114"/>
        <v>0.05</v>
      </c>
      <c r="G244" s="136"/>
      <c r="H244" s="746"/>
      <c r="I244" s="198">
        <v>3</v>
      </c>
      <c r="J244" s="199">
        <f>I29</f>
        <v>50</v>
      </c>
      <c r="K244" s="199">
        <f t="shared" ref="K244:M244" si="115">J29</f>
        <v>-4.9000000000000004</v>
      </c>
      <c r="L244" s="199">
        <f t="shared" si="115"/>
        <v>-2.2999999999999998</v>
      </c>
      <c r="M244" s="199">
        <f t="shared" si="115"/>
        <v>1.3000000000000003</v>
      </c>
      <c r="N244" s="136"/>
      <c r="O244" s="136"/>
      <c r="P244" s="136"/>
    </row>
    <row r="245" spans="1:16" x14ac:dyDescent="0.25">
      <c r="A245" s="745"/>
      <c r="B245" s="198">
        <v>4</v>
      </c>
      <c r="C245" s="199">
        <f>C40</f>
        <v>25</v>
      </c>
      <c r="D245" s="199">
        <f t="shared" ref="D245:F245" si="116">D40</f>
        <v>-0.5</v>
      </c>
      <c r="E245" s="199">
        <f t="shared" si="116"/>
        <v>-0.5</v>
      </c>
      <c r="F245" s="199">
        <f t="shared" si="116"/>
        <v>0</v>
      </c>
      <c r="G245" s="136"/>
      <c r="H245" s="746"/>
      <c r="I245" s="198">
        <v>4</v>
      </c>
      <c r="J245" s="199">
        <f>I40</f>
        <v>50</v>
      </c>
      <c r="K245" s="199">
        <f t="shared" ref="K245:M245" si="117">J40</f>
        <v>-1</v>
      </c>
      <c r="L245" s="199">
        <f t="shared" si="117"/>
        <v>-1</v>
      </c>
      <c r="M245" s="199">
        <f t="shared" si="117"/>
        <v>0</v>
      </c>
      <c r="N245" s="136"/>
      <c r="O245" s="136"/>
      <c r="P245" s="136"/>
    </row>
    <row r="246" spans="1:16" x14ac:dyDescent="0.25">
      <c r="A246" s="745"/>
      <c r="B246" s="198">
        <v>5</v>
      </c>
      <c r="C246" s="199">
        <f>C51</f>
        <v>25</v>
      </c>
      <c r="D246" s="199">
        <f t="shared" ref="D246:F246" si="118">D51</f>
        <v>0.4</v>
      </c>
      <c r="E246" s="199">
        <f t="shared" si="118"/>
        <v>0.2</v>
      </c>
      <c r="F246" s="199">
        <f t="shared" si="118"/>
        <v>0.1</v>
      </c>
      <c r="G246" s="136"/>
      <c r="H246" s="746"/>
      <c r="I246" s="198">
        <v>5</v>
      </c>
      <c r="J246" s="199">
        <f>I51</f>
        <v>50</v>
      </c>
      <c r="K246" s="199">
        <f t="shared" ref="K246:M246" si="119">J51</f>
        <v>-6.2</v>
      </c>
      <c r="L246" s="199">
        <f t="shared" si="119"/>
        <v>-6.2</v>
      </c>
      <c r="M246" s="199">
        <f t="shared" si="119"/>
        <v>0</v>
      </c>
      <c r="N246" s="136"/>
      <c r="O246" s="136"/>
      <c r="P246" s="136"/>
    </row>
    <row r="247" spans="1:16" x14ac:dyDescent="0.25">
      <c r="A247" s="745"/>
      <c r="B247" s="198">
        <v>6</v>
      </c>
      <c r="C247" s="199">
        <f>C62</f>
        <v>25</v>
      </c>
      <c r="D247" s="199">
        <f t="shared" ref="D247:F247" si="120">D62</f>
        <v>0.2</v>
      </c>
      <c r="E247" s="199">
        <f t="shared" si="120"/>
        <v>-0.1</v>
      </c>
      <c r="F247" s="199">
        <f t="shared" si="120"/>
        <v>0.15000000000000002</v>
      </c>
      <c r="G247" s="136"/>
      <c r="H247" s="746"/>
      <c r="I247" s="198">
        <v>6</v>
      </c>
      <c r="J247" s="199">
        <f>I62</f>
        <v>50</v>
      </c>
      <c r="K247" s="199">
        <f t="shared" ref="K247:M247" si="121">J62</f>
        <v>-5.4</v>
      </c>
      <c r="L247" s="199">
        <f t="shared" si="121"/>
        <v>-2.5</v>
      </c>
      <c r="M247" s="199">
        <f t="shared" si="121"/>
        <v>1.4500000000000002</v>
      </c>
      <c r="N247" s="136"/>
      <c r="O247" s="136"/>
      <c r="P247" s="136"/>
    </row>
    <row r="248" spans="1:16" x14ac:dyDescent="0.25">
      <c r="A248" s="745"/>
      <c r="B248" s="198">
        <v>7</v>
      </c>
      <c r="C248" s="199">
        <f>C73</f>
        <v>25</v>
      </c>
      <c r="D248" s="199">
        <f t="shared" ref="D248:F248" si="122">D73</f>
        <v>-0.2</v>
      </c>
      <c r="E248" s="199">
        <f t="shared" si="122"/>
        <v>0</v>
      </c>
      <c r="F248" s="199">
        <f t="shared" si="122"/>
        <v>0.1</v>
      </c>
      <c r="G248" s="136"/>
      <c r="H248" s="746"/>
      <c r="I248" s="198">
        <v>7</v>
      </c>
      <c r="J248" s="199">
        <f>I73</f>
        <v>50</v>
      </c>
      <c r="K248" s="199">
        <f t="shared" ref="K248:M248" si="123">J73</f>
        <v>0.8</v>
      </c>
      <c r="L248" s="199">
        <f t="shared" si="123"/>
        <v>0.6</v>
      </c>
      <c r="M248" s="199">
        <f t="shared" si="123"/>
        <v>0.10000000000000003</v>
      </c>
      <c r="N248" s="136"/>
      <c r="O248" s="136"/>
      <c r="P248" s="136"/>
    </row>
    <row r="249" spans="1:16" x14ac:dyDescent="0.25">
      <c r="A249" s="745"/>
      <c r="B249" s="198">
        <v>8</v>
      </c>
      <c r="C249" s="199">
        <f>C84</f>
        <v>25</v>
      </c>
      <c r="D249" s="199">
        <f t="shared" ref="D249:F249" si="124">D84</f>
        <v>-0.4</v>
      </c>
      <c r="E249" s="199">
        <f t="shared" si="124"/>
        <v>-0.2</v>
      </c>
      <c r="F249" s="199">
        <f t="shared" si="124"/>
        <v>0.1</v>
      </c>
      <c r="G249" s="136"/>
      <c r="H249" s="746"/>
      <c r="I249" s="198">
        <v>8</v>
      </c>
      <c r="J249" s="199">
        <f>I84</f>
        <v>50</v>
      </c>
      <c r="K249" s="199">
        <f t="shared" ref="K249:M249" si="125">J84</f>
        <v>-1.2</v>
      </c>
      <c r="L249" s="199">
        <f t="shared" si="125"/>
        <v>1.3</v>
      </c>
      <c r="M249" s="199">
        <f t="shared" si="125"/>
        <v>1.25</v>
      </c>
      <c r="N249" s="136"/>
      <c r="O249" s="136"/>
      <c r="P249" s="136"/>
    </row>
    <row r="250" spans="1:16" x14ac:dyDescent="0.25">
      <c r="A250" s="745"/>
      <c r="B250" s="198">
        <v>9</v>
      </c>
      <c r="C250" s="199">
        <f>C95</f>
        <v>25</v>
      </c>
      <c r="D250" s="199">
        <f t="shared" ref="D250:F250" si="126">D95</f>
        <v>-0.4</v>
      </c>
      <c r="E250" s="199" t="str">
        <f t="shared" si="126"/>
        <v>-</v>
      </c>
      <c r="F250" s="199">
        <f t="shared" si="126"/>
        <v>0</v>
      </c>
      <c r="G250" s="136"/>
      <c r="H250" s="746"/>
      <c r="I250" s="198">
        <v>9</v>
      </c>
      <c r="J250" s="199">
        <f>I95</f>
        <v>50</v>
      </c>
      <c r="K250" s="199">
        <f t="shared" ref="K250:M250" si="127">J95</f>
        <v>-0.9</v>
      </c>
      <c r="L250" s="199" t="str">
        <f t="shared" si="127"/>
        <v>-</v>
      </c>
      <c r="M250" s="199">
        <f t="shared" si="127"/>
        <v>0</v>
      </c>
      <c r="N250" s="136"/>
      <c r="O250" s="136"/>
      <c r="P250" s="136"/>
    </row>
    <row r="251" spans="1:16" x14ac:dyDescent="0.25">
      <c r="A251" s="745"/>
      <c r="B251" s="198">
        <v>10</v>
      </c>
      <c r="C251" s="199">
        <f>C106</f>
        <v>25</v>
      </c>
      <c r="D251" s="199">
        <f t="shared" ref="D251:F251" si="128">D106</f>
        <v>0.1</v>
      </c>
      <c r="E251" s="199">
        <f t="shared" si="128"/>
        <v>-0.5</v>
      </c>
      <c r="F251" s="199">
        <f t="shared" si="128"/>
        <v>0.3</v>
      </c>
      <c r="G251" s="136"/>
      <c r="H251" s="746"/>
      <c r="I251" s="198">
        <v>10</v>
      </c>
      <c r="J251" s="199">
        <f>I106</f>
        <v>50</v>
      </c>
      <c r="K251" s="199">
        <f t="shared" ref="K251:M251" si="129">J106</f>
        <v>-3.1</v>
      </c>
      <c r="L251" s="199">
        <f t="shared" si="129"/>
        <v>-6.1</v>
      </c>
      <c r="M251" s="199">
        <f t="shared" si="129"/>
        <v>1.4999999999999998</v>
      </c>
      <c r="N251" s="136"/>
      <c r="O251" s="136"/>
      <c r="P251" s="136"/>
    </row>
    <row r="252" spans="1:16" x14ac:dyDescent="0.25">
      <c r="A252" s="745"/>
      <c r="B252" s="198">
        <v>11</v>
      </c>
      <c r="C252" s="199">
        <f>C117</f>
        <v>25</v>
      </c>
      <c r="D252" s="199">
        <f t="shared" ref="D252:F252" si="130">D117</f>
        <v>0.4</v>
      </c>
      <c r="E252" s="199" t="str">
        <f t="shared" si="130"/>
        <v>-</v>
      </c>
      <c r="F252" s="199">
        <f t="shared" si="130"/>
        <v>0</v>
      </c>
      <c r="G252" s="136"/>
      <c r="H252" s="746"/>
      <c r="I252" s="198">
        <v>11</v>
      </c>
      <c r="J252" s="199">
        <f>I117</f>
        <v>50</v>
      </c>
      <c r="K252" s="199">
        <f t="shared" ref="K252:M252" si="131">J117</f>
        <v>-5.5</v>
      </c>
      <c r="L252" s="199" t="str">
        <f t="shared" si="131"/>
        <v>-</v>
      </c>
      <c r="M252" s="199">
        <f t="shared" si="131"/>
        <v>0</v>
      </c>
      <c r="N252" s="136"/>
      <c r="O252" s="136"/>
      <c r="P252" s="136"/>
    </row>
    <row r="253" spans="1:16" x14ac:dyDescent="0.25">
      <c r="A253" s="745"/>
      <c r="B253" s="198">
        <v>12</v>
      </c>
      <c r="C253" s="199">
        <f>C128</f>
        <v>25</v>
      </c>
      <c r="D253" s="199">
        <f t="shared" ref="D253:F253" si="132">D128</f>
        <v>-0.4</v>
      </c>
      <c r="E253" s="199" t="str">
        <f t="shared" si="132"/>
        <v>-</v>
      </c>
      <c r="F253" s="199">
        <f t="shared" si="132"/>
        <v>0</v>
      </c>
      <c r="G253" s="136"/>
      <c r="H253" s="746"/>
      <c r="I253" s="198">
        <v>12</v>
      </c>
      <c r="J253" s="199">
        <f>I128</f>
        <v>50</v>
      </c>
      <c r="K253" s="199">
        <f t="shared" ref="K253:M253" si="133">J128</f>
        <v>-0.3</v>
      </c>
      <c r="L253" s="199" t="str">
        <f t="shared" si="133"/>
        <v>-</v>
      </c>
      <c r="M253" s="199">
        <f t="shared" si="133"/>
        <v>0</v>
      </c>
      <c r="N253" s="136"/>
      <c r="O253" s="136"/>
      <c r="P253" s="136"/>
    </row>
    <row r="254" spans="1:16" x14ac:dyDescent="0.25">
      <c r="A254" s="745"/>
      <c r="B254" s="198">
        <v>13</v>
      </c>
      <c r="C254" s="199">
        <f>C139</f>
        <v>25</v>
      </c>
      <c r="D254" s="199">
        <f t="shared" ref="D254:F254" si="134">D139</f>
        <v>-0.1</v>
      </c>
      <c r="E254" s="199" t="str">
        <f t="shared" si="134"/>
        <v>-</v>
      </c>
      <c r="F254" s="199">
        <f t="shared" si="134"/>
        <v>0</v>
      </c>
      <c r="G254" s="136"/>
      <c r="H254" s="746"/>
      <c r="I254" s="198">
        <v>13</v>
      </c>
      <c r="J254" s="199">
        <f>I139</f>
        <v>50</v>
      </c>
      <c r="K254" s="199">
        <f t="shared" ref="K254:M254" si="135">J139</f>
        <v>-0.2</v>
      </c>
      <c r="L254" s="199" t="str">
        <f t="shared" si="135"/>
        <v>-</v>
      </c>
      <c r="M254" s="199">
        <f t="shared" si="135"/>
        <v>0</v>
      </c>
      <c r="N254" s="136"/>
      <c r="O254" s="136"/>
      <c r="P254" s="136"/>
    </row>
    <row r="255" spans="1:16" x14ac:dyDescent="0.25">
      <c r="A255" s="745"/>
      <c r="B255" s="198">
        <v>14</v>
      </c>
      <c r="C255" s="199">
        <f>C150</f>
        <v>25</v>
      </c>
      <c r="D255" s="199">
        <f t="shared" ref="D255:F255" si="136">D150</f>
        <v>-0.2</v>
      </c>
      <c r="E255" s="199" t="str">
        <f t="shared" si="136"/>
        <v>-</v>
      </c>
      <c r="F255" s="199">
        <f t="shared" si="136"/>
        <v>0</v>
      </c>
      <c r="G255" s="136"/>
      <c r="H255" s="746"/>
      <c r="I255" s="198">
        <v>14</v>
      </c>
      <c r="J255" s="199">
        <f>I150</f>
        <v>50</v>
      </c>
      <c r="K255" s="199">
        <f t="shared" ref="K255:M255" si="137">J150</f>
        <v>-1.3</v>
      </c>
      <c r="L255" s="199" t="str">
        <f t="shared" si="137"/>
        <v>-</v>
      </c>
      <c r="M255" s="199">
        <f t="shared" si="137"/>
        <v>0</v>
      </c>
      <c r="N255" s="136"/>
      <c r="O255" s="136"/>
      <c r="P255" s="136"/>
    </row>
    <row r="256" spans="1:16" x14ac:dyDescent="0.25">
      <c r="A256" s="745"/>
      <c r="B256" s="198">
        <v>15</v>
      </c>
      <c r="C256" s="199">
        <f>C161</f>
        <v>25</v>
      </c>
      <c r="D256" s="199">
        <f t="shared" ref="D256:F256" si="138">D161</f>
        <v>0</v>
      </c>
      <c r="E256" s="199" t="str">
        <f t="shared" si="138"/>
        <v>-</v>
      </c>
      <c r="F256" s="199">
        <f t="shared" si="138"/>
        <v>0</v>
      </c>
      <c r="G256" s="136"/>
      <c r="H256" s="746"/>
      <c r="I256" s="198">
        <v>15</v>
      </c>
      <c r="J256" s="199">
        <f>I161</f>
        <v>50</v>
      </c>
      <c r="K256" s="199">
        <f t="shared" ref="K256:M256" si="139">J161</f>
        <v>0.2</v>
      </c>
      <c r="L256" s="199" t="str">
        <f t="shared" si="139"/>
        <v>-</v>
      </c>
      <c r="M256" s="199">
        <f t="shared" si="139"/>
        <v>0</v>
      </c>
      <c r="N256" s="136"/>
      <c r="O256" s="136"/>
      <c r="P256" s="136"/>
    </row>
    <row r="257" spans="1:16" x14ac:dyDescent="0.25">
      <c r="A257" s="745"/>
      <c r="B257" s="198">
        <v>16</v>
      </c>
      <c r="C257" s="199">
        <f>C172</f>
        <v>25</v>
      </c>
      <c r="D257" s="199">
        <f t="shared" ref="D257:F257" si="140">D172</f>
        <v>0.2</v>
      </c>
      <c r="E257" s="199" t="str">
        <f t="shared" si="140"/>
        <v>-</v>
      </c>
      <c r="F257" s="199">
        <f t="shared" si="140"/>
        <v>0</v>
      </c>
      <c r="G257" s="136"/>
      <c r="H257" s="746"/>
      <c r="I257" s="198">
        <v>16</v>
      </c>
      <c r="J257" s="199">
        <f>I172</f>
        <v>50</v>
      </c>
      <c r="K257" s="199">
        <f t="shared" ref="K257:M257" si="141">J172</f>
        <v>-1.4</v>
      </c>
      <c r="L257" s="199" t="str">
        <f t="shared" si="141"/>
        <v>-</v>
      </c>
      <c r="M257" s="199">
        <f t="shared" si="141"/>
        <v>0</v>
      </c>
      <c r="N257" s="136"/>
      <c r="O257" s="136"/>
      <c r="P257" s="136"/>
    </row>
    <row r="258" spans="1:16" x14ac:dyDescent="0.25">
      <c r="A258" s="745"/>
      <c r="B258" s="198">
        <v>17</v>
      </c>
      <c r="C258" s="199">
        <f>C183</f>
        <v>25</v>
      </c>
      <c r="D258" s="199">
        <f t="shared" ref="D258:F258" si="142">D183</f>
        <v>-0.2</v>
      </c>
      <c r="E258" s="199" t="str">
        <f t="shared" si="142"/>
        <v>-</v>
      </c>
      <c r="F258" s="199">
        <f t="shared" si="142"/>
        <v>0</v>
      </c>
      <c r="G258" s="136"/>
      <c r="H258" s="746"/>
      <c r="I258" s="198">
        <v>17</v>
      </c>
      <c r="J258" s="199">
        <f>I183</f>
        <v>50</v>
      </c>
      <c r="K258" s="199">
        <f t="shared" ref="K258:M258" si="143">J183</f>
        <v>-0.2</v>
      </c>
      <c r="L258" s="199" t="str">
        <f t="shared" si="143"/>
        <v>-</v>
      </c>
      <c r="M258" s="199">
        <f t="shared" si="143"/>
        <v>0</v>
      </c>
      <c r="N258" s="136"/>
      <c r="O258" s="136"/>
      <c r="P258" s="136"/>
    </row>
    <row r="259" spans="1:16" x14ac:dyDescent="0.25">
      <c r="A259" s="745"/>
      <c r="B259" s="198">
        <v>18</v>
      </c>
      <c r="C259" s="199">
        <f>C194</f>
        <v>25</v>
      </c>
      <c r="D259" s="199">
        <f t="shared" ref="D259:F259" si="144">D194</f>
        <v>0</v>
      </c>
      <c r="E259" s="199" t="str">
        <f t="shared" si="144"/>
        <v>-</v>
      </c>
      <c r="F259" s="199">
        <f t="shared" si="144"/>
        <v>0</v>
      </c>
      <c r="G259" s="136"/>
      <c r="H259" s="746"/>
      <c r="I259" s="198">
        <v>18</v>
      </c>
      <c r="J259" s="199">
        <f>I194</f>
        <v>50</v>
      </c>
      <c r="K259" s="199">
        <f t="shared" ref="K259:M259" si="145">J194</f>
        <v>0</v>
      </c>
      <c r="L259" s="199" t="str">
        <f t="shared" si="145"/>
        <v>-</v>
      </c>
      <c r="M259" s="199">
        <f t="shared" si="145"/>
        <v>0</v>
      </c>
      <c r="N259" s="136"/>
      <c r="O259" s="136"/>
      <c r="P259" s="136"/>
    </row>
    <row r="260" spans="1:16" x14ac:dyDescent="0.25">
      <c r="A260" s="207"/>
      <c r="B260" s="208"/>
      <c r="C260" s="218"/>
      <c r="D260" s="218"/>
      <c r="E260" s="218"/>
      <c r="F260" s="219"/>
      <c r="G260" s="211"/>
      <c r="H260" s="207"/>
      <c r="I260" s="220"/>
      <c r="J260" s="218"/>
      <c r="K260" s="218"/>
      <c r="L260" s="218"/>
      <c r="M260" s="219"/>
      <c r="N260" s="136"/>
      <c r="O260" s="136"/>
      <c r="P260" s="136"/>
    </row>
    <row r="261" spans="1:16" x14ac:dyDescent="0.25">
      <c r="A261" s="745" t="s">
        <v>249</v>
      </c>
      <c r="B261" s="198">
        <v>1</v>
      </c>
      <c r="C261" s="199">
        <f>C8</f>
        <v>30</v>
      </c>
      <c r="D261" s="199">
        <f t="shared" ref="D261:F261" si="146">D8</f>
        <v>0</v>
      </c>
      <c r="E261" s="199">
        <f t="shared" si="146"/>
        <v>-0.2</v>
      </c>
      <c r="F261" s="199">
        <f t="shared" si="146"/>
        <v>0.1</v>
      </c>
      <c r="G261" s="136"/>
      <c r="H261" s="746" t="s">
        <v>249</v>
      </c>
      <c r="I261" s="198">
        <v>1</v>
      </c>
      <c r="J261" s="199">
        <f>I8</f>
        <v>60</v>
      </c>
      <c r="K261" s="199">
        <f t="shared" ref="K261:M261" si="147">J8</f>
        <v>-4.4000000000000004</v>
      </c>
      <c r="L261" s="199">
        <f t="shared" si="147"/>
        <v>-5.2</v>
      </c>
      <c r="M261" s="199">
        <f t="shared" si="147"/>
        <v>0.39999999999999991</v>
      </c>
      <c r="N261" s="136"/>
      <c r="O261" s="136"/>
      <c r="P261" s="136"/>
    </row>
    <row r="262" spans="1:16" x14ac:dyDescent="0.25">
      <c r="A262" s="745"/>
      <c r="B262" s="198">
        <v>2</v>
      </c>
      <c r="C262" s="199">
        <f>C19</f>
        <v>30</v>
      </c>
      <c r="D262" s="199">
        <f t="shared" ref="D262:F262" si="148">D19</f>
        <v>-0.3</v>
      </c>
      <c r="E262" s="199">
        <f t="shared" si="148"/>
        <v>-1</v>
      </c>
      <c r="F262" s="199">
        <f t="shared" si="148"/>
        <v>0.35</v>
      </c>
      <c r="G262" s="136"/>
      <c r="H262" s="746"/>
      <c r="I262" s="198">
        <v>2</v>
      </c>
      <c r="J262" s="199">
        <f>I19</f>
        <v>60</v>
      </c>
      <c r="K262" s="199">
        <f t="shared" ref="K262:M262" si="149">J19</f>
        <v>-1.3</v>
      </c>
      <c r="L262" s="199">
        <f t="shared" si="149"/>
        <v>-1.3</v>
      </c>
      <c r="M262" s="199">
        <f t="shared" si="149"/>
        <v>0</v>
      </c>
      <c r="N262" s="136"/>
      <c r="O262" s="136"/>
      <c r="P262" s="136"/>
    </row>
    <row r="263" spans="1:16" x14ac:dyDescent="0.25">
      <c r="A263" s="745"/>
      <c r="B263" s="198">
        <v>3</v>
      </c>
      <c r="C263" s="199">
        <f>C30</f>
        <v>30</v>
      </c>
      <c r="D263" s="199">
        <f t="shared" ref="D263:F263" si="150">D30</f>
        <v>-0.3</v>
      </c>
      <c r="E263" s="199">
        <f t="shared" si="150"/>
        <v>-0.3</v>
      </c>
      <c r="F263" s="199">
        <f t="shared" si="150"/>
        <v>0</v>
      </c>
      <c r="G263" s="136"/>
      <c r="H263" s="746"/>
      <c r="I263" s="198">
        <v>3</v>
      </c>
      <c r="J263" s="199">
        <f>I30</f>
        <v>60</v>
      </c>
      <c r="K263" s="199">
        <f t="shared" ref="K263:M263" si="151">J30</f>
        <v>-4.3</v>
      </c>
      <c r="L263" s="199">
        <f t="shared" si="151"/>
        <v>-2.2000000000000002</v>
      </c>
      <c r="M263" s="199">
        <f t="shared" si="151"/>
        <v>1.0499999999999998</v>
      </c>
      <c r="N263" s="136"/>
      <c r="O263" s="136"/>
      <c r="P263" s="136"/>
    </row>
    <row r="264" spans="1:16" x14ac:dyDescent="0.25">
      <c r="A264" s="745"/>
      <c r="B264" s="198">
        <v>4</v>
      </c>
      <c r="C264" s="199">
        <f>C41</f>
        <v>30</v>
      </c>
      <c r="D264" s="199">
        <f t="shared" ref="D264:F264" si="152">D41</f>
        <v>-0.6</v>
      </c>
      <c r="E264" s="199">
        <f t="shared" si="152"/>
        <v>-1</v>
      </c>
      <c r="F264" s="199">
        <f t="shared" si="152"/>
        <v>0.2</v>
      </c>
      <c r="G264" s="136"/>
      <c r="H264" s="746"/>
      <c r="I264" s="198">
        <v>4</v>
      </c>
      <c r="J264" s="199">
        <f>I41</f>
        <v>60</v>
      </c>
      <c r="K264" s="199">
        <f t="shared" ref="K264:M264" si="153">J41</f>
        <v>-0.3</v>
      </c>
      <c r="L264" s="199">
        <f t="shared" si="153"/>
        <v>-0.9</v>
      </c>
      <c r="M264" s="199">
        <f t="shared" si="153"/>
        <v>0.30000000000000004</v>
      </c>
      <c r="N264" s="136"/>
      <c r="O264" s="136"/>
      <c r="P264" s="136"/>
    </row>
    <row r="265" spans="1:16" x14ac:dyDescent="0.25">
      <c r="A265" s="745"/>
      <c r="B265" s="198">
        <v>5</v>
      </c>
      <c r="C265" s="199">
        <f>C52</f>
        <v>30</v>
      </c>
      <c r="D265" s="199">
        <f t="shared" ref="D265:F265" si="154">D52</f>
        <v>0.6</v>
      </c>
      <c r="E265" s="199">
        <f t="shared" si="154"/>
        <v>0.1</v>
      </c>
      <c r="F265" s="199">
        <f t="shared" si="154"/>
        <v>0.25</v>
      </c>
      <c r="G265" s="136"/>
      <c r="H265" s="746"/>
      <c r="I265" s="198">
        <v>5</v>
      </c>
      <c r="J265" s="199">
        <f>I52</f>
        <v>60</v>
      </c>
      <c r="K265" s="199">
        <f t="shared" ref="K265:M265" si="155">J52</f>
        <v>-5.2</v>
      </c>
      <c r="L265" s="199">
        <f t="shared" si="155"/>
        <v>-4.2</v>
      </c>
      <c r="M265" s="199">
        <f t="shared" si="155"/>
        <v>0.5</v>
      </c>
      <c r="N265" s="136"/>
      <c r="O265" s="136"/>
      <c r="P265" s="136"/>
    </row>
    <row r="266" spans="1:16" x14ac:dyDescent="0.25">
      <c r="A266" s="745"/>
      <c r="B266" s="198">
        <v>6</v>
      </c>
      <c r="C266" s="199">
        <f>C63</f>
        <v>30</v>
      </c>
      <c r="D266" s="199">
        <f t="shared" ref="D266:F266" si="156">D63</f>
        <v>0.1</v>
      </c>
      <c r="E266" s="199">
        <f t="shared" si="156"/>
        <v>-0.5</v>
      </c>
      <c r="F266" s="199">
        <f t="shared" si="156"/>
        <v>0.3</v>
      </c>
      <c r="G266" s="136"/>
      <c r="H266" s="746"/>
      <c r="I266" s="198">
        <v>6</v>
      </c>
      <c r="J266" s="199">
        <f>I63</f>
        <v>60</v>
      </c>
      <c r="K266" s="199">
        <f t="shared" ref="K266:M266" si="157">J63</f>
        <v>-6.4</v>
      </c>
      <c r="L266" s="199">
        <f t="shared" si="157"/>
        <v>-2</v>
      </c>
      <c r="M266" s="199">
        <f t="shared" si="157"/>
        <v>2.2000000000000002</v>
      </c>
      <c r="N266" s="136"/>
      <c r="O266" s="136"/>
      <c r="P266" s="136"/>
    </row>
    <row r="267" spans="1:16" x14ac:dyDescent="0.25">
      <c r="A267" s="745"/>
      <c r="B267" s="198">
        <v>7</v>
      </c>
      <c r="C267" s="199">
        <f>C74</f>
        <v>30</v>
      </c>
      <c r="D267" s="199">
        <f t="shared" ref="D267:F267" si="158">D74</f>
        <v>-0.6</v>
      </c>
      <c r="E267" s="199">
        <f t="shared" si="158"/>
        <v>-0.1</v>
      </c>
      <c r="F267" s="199">
        <f t="shared" si="158"/>
        <v>0.25</v>
      </c>
      <c r="G267" s="136"/>
      <c r="H267" s="746"/>
      <c r="I267" s="198">
        <v>7</v>
      </c>
      <c r="J267" s="199">
        <f>I74</f>
        <v>60</v>
      </c>
      <c r="K267" s="199">
        <f t="shared" ref="K267:M267" si="159">J74</f>
        <v>0.7</v>
      </c>
      <c r="L267" s="199">
        <f t="shared" si="159"/>
        <v>1.5</v>
      </c>
      <c r="M267" s="199">
        <f t="shared" si="159"/>
        <v>0.4</v>
      </c>
      <c r="N267" s="136"/>
      <c r="O267" s="136"/>
      <c r="P267" s="136"/>
    </row>
    <row r="268" spans="1:16" x14ac:dyDescent="0.25">
      <c r="A268" s="745"/>
      <c r="B268" s="198">
        <v>8</v>
      </c>
      <c r="C268" s="199">
        <f>C85</f>
        <v>30</v>
      </c>
      <c r="D268" s="199">
        <f t="shared" ref="D268:F268" si="160">D85</f>
        <v>-0.4</v>
      </c>
      <c r="E268" s="199">
        <f t="shared" si="160"/>
        <v>-0.2</v>
      </c>
      <c r="F268" s="199">
        <f t="shared" si="160"/>
        <v>0.1</v>
      </c>
      <c r="G268" s="136"/>
      <c r="H268" s="746"/>
      <c r="I268" s="198">
        <v>8</v>
      </c>
      <c r="J268" s="199">
        <f>I85</f>
        <v>60</v>
      </c>
      <c r="K268" s="199">
        <f t="shared" ref="K268:M268" si="161">J85</f>
        <v>-1.1000000000000001</v>
      </c>
      <c r="L268" s="199">
        <f t="shared" si="161"/>
        <v>1.7</v>
      </c>
      <c r="M268" s="199">
        <f t="shared" si="161"/>
        <v>1.4</v>
      </c>
      <c r="N268" s="136"/>
      <c r="O268" s="136"/>
      <c r="P268" s="136"/>
    </row>
    <row r="269" spans="1:16" x14ac:dyDescent="0.25">
      <c r="A269" s="745"/>
      <c r="B269" s="198">
        <v>9</v>
      </c>
      <c r="C269" s="199">
        <f>C96</f>
        <v>30</v>
      </c>
      <c r="D269" s="199">
        <f t="shared" ref="D269:F269" si="162">D96</f>
        <v>-0.5</v>
      </c>
      <c r="E269" s="199" t="str">
        <f t="shared" si="162"/>
        <v>-</v>
      </c>
      <c r="F269" s="199">
        <f t="shared" si="162"/>
        <v>0</v>
      </c>
      <c r="G269" s="136"/>
      <c r="H269" s="746"/>
      <c r="I269" s="198">
        <v>9</v>
      </c>
      <c r="J269" s="199">
        <f>I96</f>
        <v>60</v>
      </c>
      <c r="K269" s="199">
        <f t="shared" ref="K269:M269" si="163">J96</f>
        <v>-0.8</v>
      </c>
      <c r="L269" s="199" t="str">
        <f t="shared" si="163"/>
        <v>-</v>
      </c>
      <c r="M269" s="199">
        <f t="shared" si="163"/>
        <v>0</v>
      </c>
      <c r="N269" s="136"/>
      <c r="O269" s="136"/>
      <c r="P269" s="136"/>
    </row>
    <row r="270" spans="1:16" x14ac:dyDescent="0.25">
      <c r="A270" s="745"/>
      <c r="B270" s="198">
        <v>10</v>
      </c>
      <c r="C270" s="199">
        <f>C107</f>
        <v>30</v>
      </c>
      <c r="D270" s="199">
        <f t="shared" ref="D270:F270" si="164">D107</f>
        <v>0.1</v>
      </c>
      <c r="E270" s="199">
        <f t="shared" si="164"/>
        <v>0.2</v>
      </c>
      <c r="F270" s="199">
        <f t="shared" si="164"/>
        <v>0.05</v>
      </c>
      <c r="G270" s="136"/>
      <c r="H270" s="746"/>
      <c r="I270" s="198">
        <v>10</v>
      </c>
      <c r="J270" s="199">
        <f>I107</f>
        <v>60</v>
      </c>
      <c r="K270" s="199">
        <f t="shared" ref="K270:M270" si="165">J107</f>
        <v>-2.1</v>
      </c>
      <c r="L270" s="199">
        <f t="shared" si="165"/>
        <v>-5.6</v>
      </c>
      <c r="M270" s="199">
        <f t="shared" si="165"/>
        <v>1.7499999999999998</v>
      </c>
      <c r="N270" s="136"/>
      <c r="O270" s="136"/>
      <c r="P270" s="136"/>
    </row>
    <row r="271" spans="1:16" x14ac:dyDescent="0.25">
      <c r="A271" s="745"/>
      <c r="B271" s="198">
        <v>11</v>
      </c>
      <c r="C271" s="199">
        <f>C118</f>
        <v>30</v>
      </c>
      <c r="D271" s="199">
        <f t="shared" ref="D271:F271" si="166">D118</f>
        <v>0.5</v>
      </c>
      <c r="E271" s="199" t="str">
        <f t="shared" si="166"/>
        <v>-</v>
      </c>
      <c r="F271" s="199">
        <f t="shared" si="166"/>
        <v>0</v>
      </c>
      <c r="G271" s="136"/>
      <c r="H271" s="746"/>
      <c r="I271" s="198">
        <v>11</v>
      </c>
      <c r="J271" s="199">
        <f>I118</f>
        <v>60</v>
      </c>
      <c r="K271" s="199">
        <f t="shared" ref="K271:M271" si="167">J118</f>
        <v>-4.8</v>
      </c>
      <c r="L271" s="199" t="str">
        <f t="shared" si="167"/>
        <v>-</v>
      </c>
      <c r="M271" s="199">
        <f t="shared" si="167"/>
        <v>0</v>
      </c>
      <c r="N271" s="136"/>
      <c r="O271" s="136"/>
      <c r="P271" s="136"/>
    </row>
    <row r="272" spans="1:16" x14ac:dyDescent="0.25">
      <c r="A272" s="745"/>
      <c r="B272" s="198">
        <v>12</v>
      </c>
      <c r="C272" s="199">
        <f>C129</f>
        <v>30</v>
      </c>
      <c r="D272" s="199">
        <f t="shared" ref="D272:F272" si="168">D129</f>
        <v>-0.2</v>
      </c>
      <c r="E272" s="199" t="str">
        <f t="shared" si="168"/>
        <v>-</v>
      </c>
      <c r="F272" s="199">
        <f t="shared" si="168"/>
        <v>0</v>
      </c>
      <c r="G272" s="136"/>
      <c r="H272" s="746"/>
      <c r="I272" s="198">
        <v>12</v>
      </c>
      <c r="J272" s="199">
        <f>I129</f>
        <v>60</v>
      </c>
      <c r="K272" s="199">
        <f t="shared" ref="K272:M272" si="169">J129</f>
        <v>-0.5</v>
      </c>
      <c r="L272" s="199" t="str">
        <f t="shared" si="169"/>
        <v>-</v>
      </c>
      <c r="M272" s="199">
        <f t="shared" si="169"/>
        <v>0</v>
      </c>
      <c r="N272" s="136"/>
      <c r="O272" s="136"/>
      <c r="P272" s="136"/>
    </row>
    <row r="273" spans="1:16" x14ac:dyDescent="0.25">
      <c r="A273" s="745"/>
      <c r="B273" s="198">
        <v>13</v>
      </c>
      <c r="C273" s="199">
        <f>C140</f>
        <v>30</v>
      </c>
      <c r="D273" s="199">
        <f t="shared" ref="D273:F273" si="170">D140</f>
        <v>-0.3</v>
      </c>
      <c r="E273" s="199" t="str">
        <f t="shared" si="170"/>
        <v>-</v>
      </c>
      <c r="F273" s="199">
        <f t="shared" si="170"/>
        <v>0</v>
      </c>
      <c r="G273" s="136"/>
      <c r="H273" s="746"/>
      <c r="I273" s="198">
        <v>13</v>
      </c>
      <c r="J273" s="199">
        <f>I140</f>
        <v>60</v>
      </c>
      <c r="K273" s="199">
        <f t="shared" ref="K273:M273" si="171">J140</f>
        <v>-0.6</v>
      </c>
      <c r="L273" s="199" t="str">
        <f t="shared" si="171"/>
        <v>-</v>
      </c>
      <c r="M273" s="199">
        <f t="shared" si="171"/>
        <v>0</v>
      </c>
      <c r="N273" s="136"/>
      <c r="O273" s="136"/>
      <c r="P273" s="136"/>
    </row>
    <row r="274" spans="1:16" x14ac:dyDescent="0.25">
      <c r="A274" s="745"/>
      <c r="B274" s="198">
        <v>14</v>
      </c>
      <c r="C274" s="199">
        <f>C151</f>
        <v>30</v>
      </c>
      <c r="D274" s="199">
        <f t="shared" ref="D274:F274" si="172">D151</f>
        <v>0.1</v>
      </c>
      <c r="E274" s="199" t="str">
        <f t="shared" si="172"/>
        <v>-</v>
      </c>
      <c r="F274" s="199">
        <f t="shared" si="172"/>
        <v>0</v>
      </c>
      <c r="G274" s="136"/>
      <c r="H274" s="746"/>
      <c r="I274" s="198">
        <v>14</v>
      </c>
      <c r="J274" s="199">
        <f>I151</f>
        <v>60</v>
      </c>
      <c r="K274" s="199">
        <f t="shared" ref="K274:M274" si="173">J151</f>
        <v>-1.5</v>
      </c>
      <c r="L274" s="199" t="str">
        <f t="shared" si="173"/>
        <v>-</v>
      </c>
      <c r="M274" s="199">
        <f t="shared" si="173"/>
        <v>0</v>
      </c>
      <c r="N274" s="136"/>
      <c r="O274" s="136"/>
      <c r="P274" s="136"/>
    </row>
    <row r="275" spans="1:16" x14ac:dyDescent="0.25">
      <c r="A275" s="745"/>
      <c r="B275" s="198">
        <v>15</v>
      </c>
      <c r="C275" s="199">
        <f>C162</f>
        <v>30</v>
      </c>
      <c r="D275" s="199">
        <f t="shared" ref="D275:F275" si="174">D162</f>
        <v>-0.2</v>
      </c>
      <c r="E275" s="199" t="str">
        <f t="shared" si="174"/>
        <v>-</v>
      </c>
      <c r="F275" s="199">
        <f t="shared" si="174"/>
        <v>0</v>
      </c>
      <c r="G275" s="136"/>
      <c r="H275" s="746"/>
      <c r="I275" s="198">
        <v>15</v>
      </c>
      <c r="J275" s="199">
        <f>I162</f>
        <v>60</v>
      </c>
      <c r="K275" s="199">
        <f t="shared" ref="K275:M275" si="175">J162</f>
        <v>0</v>
      </c>
      <c r="L275" s="199" t="str">
        <f t="shared" si="175"/>
        <v>-</v>
      </c>
      <c r="M275" s="199">
        <f t="shared" si="175"/>
        <v>0</v>
      </c>
      <c r="N275" s="136"/>
      <c r="O275" s="136"/>
      <c r="P275" s="136"/>
    </row>
    <row r="276" spans="1:16" x14ac:dyDescent="0.25">
      <c r="A276" s="745"/>
      <c r="B276" s="198">
        <v>16</v>
      </c>
      <c r="C276" s="199">
        <f>C173</f>
        <v>30</v>
      </c>
      <c r="D276" s="199">
        <f t="shared" ref="D276:F276" si="176">D173</f>
        <v>0.2</v>
      </c>
      <c r="E276" s="199" t="str">
        <f t="shared" si="176"/>
        <v>-</v>
      </c>
      <c r="F276" s="199">
        <f t="shared" si="176"/>
        <v>0</v>
      </c>
      <c r="G276" s="136"/>
      <c r="H276" s="746"/>
      <c r="I276" s="198">
        <v>16</v>
      </c>
      <c r="J276" s="199">
        <f>I173</f>
        <v>60</v>
      </c>
      <c r="K276" s="199">
        <f t="shared" ref="K276:M276" si="177">J173</f>
        <v>-1.5</v>
      </c>
      <c r="L276" s="199" t="str">
        <f t="shared" si="177"/>
        <v>-</v>
      </c>
      <c r="M276" s="199">
        <f t="shared" si="177"/>
        <v>0</v>
      </c>
      <c r="N276" s="136"/>
      <c r="O276" s="136"/>
      <c r="P276" s="136"/>
    </row>
    <row r="277" spans="1:16" x14ac:dyDescent="0.25">
      <c r="A277" s="745"/>
      <c r="B277" s="198">
        <v>17</v>
      </c>
      <c r="C277" s="199">
        <f>C184</f>
        <v>30</v>
      </c>
      <c r="D277" s="199">
        <f t="shared" ref="D277:F277" si="178">D184</f>
        <v>-0.2</v>
      </c>
      <c r="E277" s="199" t="str">
        <f t="shared" si="178"/>
        <v>-</v>
      </c>
      <c r="F277" s="199">
        <f t="shared" si="178"/>
        <v>0</v>
      </c>
      <c r="G277" s="136"/>
      <c r="H277" s="746"/>
      <c r="I277" s="198">
        <v>17</v>
      </c>
      <c r="J277" s="199">
        <f>I184</f>
        <v>60</v>
      </c>
      <c r="K277" s="199">
        <f t="shared" ref="K277:M277" si="179">J184</f>
        <v>-0.2</v>
      </c>
      <c r="L277" s="199" t="str">
        <f t="shared" si="179"/>
        <v>-</v>
      </c>
      <c r="M277" s="199">
        <f t="shared" si="179"/>
        <v>0</v>
      </c>
      <c r="N277" s="136"/>
      <c r="O277" s="136"/>
      <c r="P277" s="136"/>
    </row>
    <row r="278" spans="1:16" x14ac:dyDescent="0.25">
      <c r="A278" s="745"/>
      <c r="B278" s="198">
        <v>18</v>
      </c>
      <c r="C278" s="199">
        <f>C195</f>
        <v>30</v>
      </c>
      <c r="D278" s="199">
        <f t="shared" ref="D278:F278" si="180">D195</f>
        <v>-0.1</v>
      </c>
      <c r="E278" s="199" t="str">
        <f t="shared" si="180"/>
        <v>-</v>
      </c>
      <c r="F278" s="199">
        <f t="shared" si="180"/>
        <v>0</v>
      </c>
      <c r="G278" s="136"/>
      <c r="H278" s="746"/>
      <c r="I278" s="198">
        <v>18</v>
      </c>
      <c r="J278" s="199">
        <f>I195</f>
        <v>60</v>
      </c>
      <c r="K278" s="199">
        <f t="shared" ref="K278:M278" si="181">J195</f>
        <v>0</v>
      </c>
      <c r="L278" s="199" t="str">
        <f t="shared" si="181"/>
        <v>-</v>
      </c>
      <c r="M278" s="199">
        <f t="shared" si="181"/>
        <v>0</v>
      </c>
      <c r="N278" s="136"/>
      <c r="O278" s="136"/>
      <c r="P278" s="136"/>
    </row>
    <row r="279" spans="1:16" x14ac:dyDescent="0.25">
      <c r="A279" s="207"/>
      <c r="B279" s="208"/>
      <c r="C279" s="218"/>
      <c r="D279" s="218"/>
      <c r="E279" s="218"/>
      <c r="F279" s="219"/>
      <c r="G279" s="211"/>
      <c r="H279" s="207"/>
      <c r="I279" s="220"/>
      <c r="J279" s="218"/>
      <c r="K279" s="218"/>
      <c r="L279" s="218"/>
      <c r="M279" s="219"/>
      <c r="N279" s="136"/>
      <c r="O279" s="136"/>
      <c r="P279" s="136"/>
    </row>
    <row r="280" spans="1:16" x14ac:dyDescent="0.25">
      <c r="A280" s="745" t="s">
        <v>250</v>
      </c>
      <c r="B280" s="198">
        <v>1</v>
      </c>
      <c r="C280" s="199">
        <f>C9</f>
        <v>35</v>
      </c>
      <c r="D280" s="199">
        <f t="shared" ref="D280:F280" si="182">D9</f>
        <v>-0.1</v>
      </c>
      <c r="E280" s="199">
        <f t="shared" si="182"/>
        <v>-0.5</v>
      </c>
      <c r="F280" s="199">
        <f t="shared" si="182"/>
        <v>0.2</v>
      </c>
      <c r="G280" s="136"/>
      <c r="H280" s="746" t="s">
        <v>250</v>
      </c>
      <c r="I280" s="198">
        <v>1</v>
      </c>
      <c r="J280" s="199">
        <f>I20</f>
        <v>70</v>
      </c>
      <c r="K280" s="199">
        <f t="shared" ref="K280:M280" si="183">J20</f>
        <v>-1.1000000000000001</v>
      </c>
      <c r="L280" s="199">
        <f t="shared" si="183"/>
        <v>-1</v>
      </c>
      <c r="M280" s="199">
        <f t="shared" si="183"/>
        <v>5.0000000000000044E-2</v>
      </c>
      <c r="N280" s="136"/>
      <c r="O280" s="136"/>
      <c r="P280" s="136"/>
    </row>
    <row r="281" spans="1:16" x14ac:dyDescent="0.25">
      <c r="A281" s="745"/>
      <c r="B281" s="198">
        <v>2</v>
      </c>
      <c r="C281" s="199">
        <f>C20</f>
        <v>35</v>
      </c>
      <c r="D281" s="199">
        <f t="shared" ref="D281:F281" si="184">D20</f>
        <v>-0.3</v>
      </c>
      <c r="E281" s="199">
        <f t="shared" si="184"/>
        <v>-1.6</v>
      </c>
      <c r="F281" s="199">
        <f t="shared" si="184"/>
        <v>0.65</v>
      </c>
      <c r="G281" s="136"/>
      <c r="H281" s="746"/>
      <c r="I281" s="198">
        <v>2</v>
      </c>
      <c r="J281" s="199">
        <f>I20</f>
        <v>70</v>
      </c>
      <c r="K281" s="199">
        <f t="shared" ref="K281:M281" si="185">J20</f>
        <v>-1.1000000000000001</v>
      </c>
      <c r="L281" s="199">
        <f t="shared" si="185"/>
        <v>-1</v>
      </c>
      <c r="M281" s="199">
        <f t="shared" si="185"/>
        <v>5.0000000000000044E-2</v>
      </c>
      <c r="N281" s="136"/>
      <c r="O281" s="136"/>
      <c r="P281" s="136"/>
    </row>
    <row r="282" spans="1:16" x14ac:dyDescent="0.25">
      <c r="A282" s="745"/>
      <c r="B282" s="198">
        <v>3</v>
      </c>
      <c r="C282" s="199">
        <f>C31</f>
        <v>35</v>
      </c>
      <c r="D282" s="199">
        <f t="shared" ref="D282:F282" si="186">D31</f>
        <v>-0.5</v>
      </c>
      <c r="E282" s="199">
        <f t="shared" si="186"/>
        <v>-0.4</v>
      </c>
      <c r="F282" s="199">
        <f t="shared" si="186"/>
        <v>4.9999999999999989E-2</v>
      </c>
      <c r="G282" s="136"/>
      <c r="H282" s="746"/>
      <c r="I282" s="198">
        <v>3</v>
      </c>
      <c r="J282" s="199">
        <f>I31</f>
        <v>70</v>
      </c>
      <c r="K282" s="199">
        <f t="shared" ref="K282:M282" si="187">J31</f>
        <v>-3.6</v>
      </c>
      <c r="L282" s="199">
        <f t="shared" si="187"/>
        <v>-1.6</v>
      </c>
      <c r="M282" s="199">
        <f t="shared" si="187"/>
        <v>1</v>
      </c>
      <c r="N282" s="136"/>
      <c r="O282" s="136"/>
      <c r="P282" s="136"/>
    </row>
    <row r="283" spans="1:16" x14ac:dyDescent="0.25">
      <c r="A283" s="745"/>
      <c r="B283" s="198">
        <v>4</v>
      </c>
      <c r="C283" s="199">
        <f>C42</f>
        <v>35</v>
      </c>
      <c r="D283" s="199">
        <f t="shared" ref="D283:F283" si="188">D42</f>
        <v>-0.6</v>
      </c>
      <c r="E283" s="199">
        <f t="shared" si="188"/>
        <v>-1.5</v>
      </c>
      <c r="F283" s="199">
        <f t="shared" si="188"/>
        <v>0.45</v>
      </c>
      <c r="G283" s="136"/>
      <c r="H283" s="746"/>
      <c r="I283" s="198">
        <v>4</v>
      </c>
      <c r="J283" s="199">
        <f>I42</f>
        <v>70</v>
      </c>
      <c r="K283" s="199">
        <f t="shared" ref="K283:M283" si="189">J42</f>
        <v>0.7</v>
      </c>
      <c r="L283" s="199">
        <f t="shared" si="189"/>
        <v>-0.7</v>
      </c>
      <c r="M283" s="199">
        <f t="shared" si="189"/>
        <v>0.7</v>
      </c>
      <c r="N283" s="136"/>
      <c r="O283" s="136"/>
      <c r="P283" s="136"/>
    </row>
    <row r="284" spans="1:16" x14ac:dyDescent="0.25">
      <c r="A284" s="745"/>
      <c r="B284" s="198">
        <v>5</v>
      </c>
      <c r="C284" s="199">
        <f>C53</f>
        <v>35</v>
      </c>
      <c r="D284" s="199">
        <f t="shared" ref="D284:F284" si="190">D53</f>
        <v>0.7</v>
      </c>
      <c r="E284" s="199">
        <f t="shared" si="190"/>
        <v>0</v>
      </c>
      <c r="F284" s="199">
        <f t="shared" si="190"/>
        <v>0.35</v>
      </c>
      <c r="G284" s="136"/>
      <c r="H284" s="746"/>
      <c r="I284" s="198">
        <v>5</v>
      </c>
      <c r="J284" s="199">
        <f>I53</f>
        <v>70</v>
      </c>
      <c r="K284" s="199">
        <f t="shared" ref="K284:M284" si="191">J53</f>
        <v>-4.0999999999999996</v>
      </c>
      <c r="L284" s="199">
        <f t="shared" si="191"/>
        <v>-2.1</v>
      </c>
      <c r="M284" s="199">
        <f t="shared" si="191"/>
        <v>0.99999999999999978</v>
      </c>
      <c r="N284" s="136"/>
      <c r="O284" s="136"/>
      <c r="P284" s="136"/>
    </row>
    <row r="285" spans="1:16" x14ac:dyDescent="0.25">
      <c r="A285" s="745"/>
      <c r="B285" s="198">
        <v>6</v>
      </c>
      <c r="C285" s="199">
        <f>C64</f>
        <v>35</v>
      </c>
      <c r="D285" s="199">
        <f t="shared" ref="D285:F285" si="192">D64</f>
        <v>0.1</v>
      </c>
      <c r="E285" s="199">
        <f t="shared" si="192"/>
        <v>-0.9</v>
      </c>
      <c r="F285" s="199">
        <f t="shared" si="192"/>
        <v>0.5</v>
      </c>
      <c r="G285" s="136"/>
      <c r="H285" s="746"/>
      <c r="I285" s="198">
        <v>6</v>
      </c>
      <c r="J285" s="199">
        <f>I64</f>
        <v>70</v>
      </c>
      <c r="K285" s="199">
        <f t="shared" ref="K285:M285" si="193">J64</f>
        <v>-6.7</v>
      </c>
      <c r="L285" s="199">
        <f t="shared" si="193"/>
        <v>-2.1</v>
      </c>
      <c r="M285" s="199">
        <f t="shared" si="193"/>
        <v>2.2999999999999998</v>
      </c>
      <c r="N285" s="136"/>
      <c r="O285" s="136"/>
      <c r="P285" s="136"/>
    </row>
    <row r="286" spans="1:16" x14ac:dyDescent="0.25">
      <c r="A286" s="745"/>
      <c r="B286" s="198">
        <v>7</v>
      </c>
      <c r="C286" s="199">
        <f>C75</f>
        <v>35</v>
      </c>
      <c r="D286" s="199">
        <f t="shared" ref="D286:F286" si="194">D75</f>
        <v>-1.1000000000000001</v>
      </c>
      <c r="E286" s="199">
        <f t="shared" si="194"/>
        <v>-0.1</v>
      </c>
      <c r="F286" s="199">
        <f t="shared" si="194"/>
        <v>0.5</v>
      </c>
      <c r="G286" s="136"/>
      <c r="H286" s="746"/>
      <c r="I286" s="198">
        <v>7</v>
      </c>
      <c r="J286" s="199">
        <f>I75</f>
        <v>70</v>
      </c>
      <c r="K286" s="199">
        <f t="shared" ref="K286:M286" si="195">J75</f>
        <v>0.9</v>
      </c>
      <c r="L286" s="199">
        <f t="shared" si="195"/>
        <v>2.8</v>
      </c>
      <c r="M286" s="199">
        <f t="shared" si="195"/>
        <v>0.95</v>
      </c>
      <c r="N286" s="136"/>
      <c r="O286" s="136"/>
      <c r="P286" s="136"/>
    </row>
    <row r="287" spans="1:16" x14ac:dyDescent="0.25">
      <c r="A287" s="745"/>
      <c r="B287" s="198">
        <v>8</v>
      </c>
      <c r="C287" s="199">
        <f>C86</f>
        <v>35</v>
      </c>
      <c r="D287" s="199">
        <f t="shared" ref="D287:F287" si="196">D86</f>
        <v>-0.5</v>
      </c>
      <c r="E287" s="199">
        <f t="shared" si="196"/>
        <v>-0.3</v>
      </c>
      <c r="F287" s="199">
        <f t="shared" si="196"/>
        <v>0.1</v>
      </c>
      <c r="G287" s="136"/>
      <c r="H287" s="746"/>
      <c r="I287" s="198">
        <v>8</v>
      </c>
      <c r="J287" s="199">
        <f>I86</f>
        <v>70</v>
      </c>
      <c r="K287" s="199">
        <f t="shared" ref="K287:M287" si="197">J86</f>
        <v>-1.2</v>
      </c>
      <c r="L287" s="199">
        <f t="shared" si="197"/>
        <v>2.1</v>
      </c>
      <c r="M287" s="199">
        <f t="shared" si="197"/>
        <v>1.65</v>
      </c>
      <c r="N287" s="136"/>
      <c r="O287" s="136"/>
      <c r="P287" s="136"/>
    </row>
    <row r="288" spans="1:16" x14ac:dyDescent="0.25">
      <c r="A288" s="745"/>
      <c r="B288" s="198">
        <v>9</v>
      </c>
      <c r="C288" s="199">
        <f>C97</f>
        <v>35</v>
      </c>
      <c r="D288" s="199">
        <f t="shared" ref="D288:F288" si="198">D97</f>
        <v>-0.5</v>
      </c>
      <c r="E288" s="199" t="str">
        <f t="shared" si="198"/>
        <v>-</v>
      </c>
      <c r="F288" s="199">
        <f t="shared" si="198"/>
        <v>0</v>
      </c>
      <c r="G288" s="136"/>
      <c r="H288" s="746"/>
      <c r="I288" s="198">
        <v>9</v>
      </c>
      <c r="J288" s="199">
        <f>I97</f>
        <v>70</v>
      </c>
      <c r="K288" s="199">
        <f t="shared" ref="K288:M288" si="199">J97</f>
        <v>-0.6</v>
      </c>
      <c r="L288" s="199" t="str">
        <f t="shared" si="199"/>
        <v>-</v>
      </c>
      <c r="M288" s="199">
        <f t="shared" si="199"/>
        <v>0</v>
      </c>
      <c r="N288" s="136"/>
      <c r="O288" s="136"/>
      <c r="P288" s="136"/>
    </row>
    <row r="289" spans="1:16" x14ac:dyDescent="0.25">
      <c r="A289" s="745"/>
      <c r="B289" s="198">
        <v>10</v>
      </c>
      <c r="C289" s="199">
        <f>C108</f>
        <v>35</v>
      </c>
      <c r="D289" s="199">
        <f t="shared" ref="D289:F289" si="200">D108</f>
        <v>0.2</v>
      </c>
      <c r="E289" s="199">
        <f t="shared" si="200"/>
        <v>0.8</v>
      </c>
      <c r="F289" s="199">
        <f t="shared" si="200"/>
        <v>0.30000000000000004</v>
      </c>
      <c r="G289" s="136"/>
      <c r="H289" s="746"/>
      <c r="I289" s="198">
        <v>10</v>
      </c>
      <c r="J289" s="199">
        <f>I108</f>
        <v>70</v>
      </c>
      <c r="K289" s="199">
        <f t="shared" ref="K289:M289" si="201">J108</f>
        <v>-0.3</v>
      </c>
      <c r="L289" s="199">
        <f t="shared" si="201"/>
        <v>-5.0999999999999996</v>
      </c>
      <c r="M289" s="199">
        <f t="shared" si="201"/>
        <v>2.4</v>
      </c>
      <c r="N289" s="136"/>
      <c r="O289" s="136"/>
      <c r="P289" s="136"/>
    </row>
    <row r="290" spans="1:16" x14ac:dyDescent="0.25">
      <c r="A290" s="745"/>
      <c r="B290" s="198">
        <v>11</v>
      </c>
      <c r="C290" s="199">
        <f>C119</f>
        <v>35</v>
      </c>
      <c r="D290" s="199">
        <f t="shared" ref="D290:F290" si="202">D119</f>
        <v>0.5</v>
      </c>
      <c r="E290" s="199" t="str">
        <f t="shared" si="202"/>
        <v>-</v>
      </c>
      <c r="F290" s="199">
        <f t="shared" si="202"/>
        <v>0</v>
      </c>
      <c r="G290" s="136"/>
      <c r="H290" s="746"/>
      <c r="I290" s="198">
        <v>11</v>
      </c>
      <c r="J290" s="199">
        <f>I119</f>
        <v>70</v>
      </c>
      <c r="K290" s="199">
        <f t="shared" ref="K290:M290" si="203">J119</f>
        <v>-3.4</v>
      </c>
      <c r="L290" s="199" t="str">
        <f t="shared" si="203"/>
        <v>-</v>
      </c>
      <c r="M290" s="199">
        <f t="shared" si="203"/>
        <v>0</v>
      </c>
      <c r="N290" s="136"/>
      <c r="O290" s="136"/>
      <c r="P290" s="136"/>
    </row>
    <row r="291" spans="1:16" x14ac:dyDescent="0.25">
      <c r="A291" s="745"/>
      <c r="B291" s="198">
        <v>12</v>
      </c>
      <c r="C291" s="199">
        <f>C130</f>
        <v>35</v>
      </c>
      <c r="D291" s="199">
        <f t="shared" ref="D291:F291" si="204">D130</f>
        <v>-0.1</v>
      </c>
      <c r="E291" s="199" t="str">
        <f t="shared" si="204"/>
        <v>-</v>
      </c>
      <c r="F291" s="199">
        <f t="shared" si="204"/>
        <v>0</v>
      </c>
      <c r="G291" s="136"/>
      <c r="H291" s="746"/>
      <c r="I291" s="198">
        <v>12</v>
      </c>
      <c r="J291" s="199">
        <f>I130</f>
        <v>70</v>
      </c>
      <c r="K291" s="199">
        <f t="shared" ref="K291:M291" si="205">J130</f>
        <v>-0.8</v>
      </c>
      <c r="L291" s="199" t="str">
        <f t="shared" si="205"/>
        <v>-</v>
      </c>
      <c r="M291" s="199">
        <f t="shared" si="205"/>
        <v>0</v>
      </c>
      <c r="N291" s="136"/>
      <c r="O291" s="136"/>
      <c r="P291" s="136"/>
    </row>
    <row r="292" spans="1:16" x14ac:dyDescent="0.25">
      <c r="A292" s="745"/>
      <c r="B292" s="198">
        <v>13</v>
      </c>
      <c r="C292" s="199">
        <f>C141</f>
        <v>35</v>
      </c>
      <c r="D292" s="199">
        <f t="shared" ref="D292:F292" si="206">D141</f>
        <v>-0.6</v>
      </c>
      <c r="E292" s="199" t="str">
        <f t="shared" si="206"/>
        <v>-</v>
      </c>
      <c r="F292" s="199">
        <f t="shared" si="206"/>
        <v>0</v>
      </c>
      <c r="G292" s="136"/>
      <c r="H292" s="746"/>
      <c r="I292" s="198">
        <v>13</v>
      </c>
      <c r="J292" s="199">
        <f>I141</f>
        <v>70</v>
      </c>
      <c r="K292" s="199">
        <f t="shared" ref="K292:M292" si="207">J141</f>
        <v>-0.8</v>
      </c>
      <c r="L292" s="199" t="str">
        <f t="shared" si="207"/>
        <v>-</v>
      </c>
      <c r="M292" s="199">
        <f t="shared" si="207"/>
        <v>0</v>
      </c>
      <c r="N292" s="136"/>
      <c r="O292" s="136"/>
      <c r="P292" s="136"/>
    </row>
    <row r="293" spans="1:16" x14ac:dyDescent="0.25">
      <c r="A293" s="745"/>
      <c r="B293" s="198">
        <v>14</v>
      </c>
      <c r="C293" s="199">
        <f>C152</f>
        <v>35</v>
      </c>
      <c r="D293" s="199">
        <f t="shared" ref="D293:F293" si="208">D152</f>
        <v>0.3</v>
      </c>
      <c r="E293" s="199" t="str">
        <f t="shared" si="208"/>
        <v>-</v>
      </c>
      <c r="F293" s="199">
        <f t="shared" si="208"/>
        <v>0</v>
      </c>
      <c r="G293" s="136"/>
      <c r="H293" s="746"/>
      <c r="I293" s="198">
        <v>14</v>
      </c>
      <c r="J293" s="199">
        <f>I152</f>
        <v>70</v>
      </c>
      <c r="K293" s="199">
        <f t="shared" ref="K293:M293" si="209">J152</f>
        <v>-1.9</v>
      </c>
      <c r="L293" s="199" t="str">
        <f t="shared" si="209"/>
        <v>-</v>
      </c>
      <c r="M293" s="199">
        <f t="shared" si="209"/>
        <v>0</v>
      </c>
      <c r="N293" s="136"/>
      <c r="O293" s="136"/>
      <c r="P293" s="136"/>
    </row>
    <row r="294" spans="1:16" x14ac:dyDescent="0.25">
      <c r="A294" s="745"/>
      <c r="B294" s="198">
        <v>15</v>
      </c>
      <c r="C294" s="199">
        <f>C163</f>
        <v>35</v>
      </c>
      <c r="D294" s="199">
        <f t="shared" ref="D294:F294" si="210">D163</f>
        <v>-0.5</v>
      </c>
      <c r="E294" s="199" t="str">
        <f t="shared" si="210"/>
        <v>-</v>
      </c>
      <c r="F294" s="199">
        <f t="shared" si="210"/>
        <v>0</v>
      </c>
      <c r="G294" s="136"/>
      <c r="H294" s="746"/>
      <c r="I294" s="198">
        <v>15</v>
      </c>
      <c r="J294" s="199">
        <f>I163</f>
        <v>70</v>
      </c>
      <c r="K294" s="199">
        <f t="shared" ref="K294:M294" si="211">J163</f>
        <v>-0.3</v>
      </c>
      <c r="L294" s="199" t="str">
        <f t="shared" si="211"/>
        <v>-</v>
      </c>
      <c r="M294" s="199">
        <f t="shared" si="211"/>
        <v>0</v>
      </c>
      <c r="N294" s="136"/>
      <c r="O294" s="136"/>
      <c r="P294" s="136"/>
    </row>
    <row r="295" spans="1:16" x14ac:dyDescent="0.25">
      <c r="A295" s="745"/>
      <c r="B295" s="198">
        <v>16</v>
      </c>
      <c r="C295" s="199">
        <f>C174</f>
        <v>35</v>
      </c>
      <c r="D295" s="199">
        <f t="shared" ref="D295:F295" si="212">D174</f>
        <v>0.1</v>
      </c>
      <c r="E295" s="199" t="str">
        <f t="shared" si="212"/>
        <v>-</v>
      </c>
      <c r="F295" s="199">
        <f t="shared" si="212"/>
        <v>0</v>
      </c>
      <c r="G295" s="136"/>
      <c r="H295" s="746"/>
      <c r="I295" s="198">
        <v>16</v>
      </c>
      <c r="J295" s="199">
        <f>I174</f>
        <v>70</v>
      </c>
      <c r="K295" s="199">
        <f t="shared" ref="K295:M295" si="213">J174</f>
        <v>-1.8</v>
      </c>
      <c r="L295" s="199" t="str">
        <f t="shared" si="213"/>
        <v>-</v>
      </c>
      <c r="M295" s="199">
        <f t="shared" si="213"/>
        <v>0</v>
      </c>
      <c r="N295" s="136"/>
      <c r="O295" s="136"/>
      <c r="P295" s="136"/>
    </row>
    <row r="296" spans="1:16" x14ac:dyDescent="0.25">
      <c r="A296" s="745"/>
      <c r="B296" s="198">
        <v>17</v>
      </c>
      <c r="C296" s="199">
        <f>C185</f>
        <v>35</v>
      </c>
      <c r="D296" s="199">
        <f t="shared" ref="D296:F296" si="214">D185</f>
        <v>-0.3</v>
      </c>
      <c r="E296" s="199" t="str">
        <f t="shared" si="214"/>
        <v>-</v>
      </c>
      <c r="F296" s="199">
        <f t="shared" si="214"/>
        <v>0</v>
      </c>
      <c r="G296" s="136"/>
      <c r="H296" s="746"/>
      <c r="I296" s="198">
        <v>17</v>
      </c>
      <c r="J296" s="199">
        <f>I185</f>
        <v>70</v>
      </c>
      <c r="K296" s="199">
        <f t="shared" ref="K296:M296" si="215">J185</f>
        <v>-0.3</v>
      </c>
      <c r="L296" s="199" t="str">
        <f t="shared" si="215"/>
        <v>-</v>
      </c>
      <c r="M296" s="199">
        <f t="shared" si="215"/>
        <v>0</v>
      </c>
      <c r="N296" s="136"/>
      <c r="O296" s="136"/>
      <c r="P296" s="136"/>
    </row>
    <row r="297" spans="1:16" x14ac:dyDescent="0.25">
      <c r="A297" s="745"/>
      <c r="B297" s="198">
        <v>18</v>
      </c>
      <c r="C297" s="199">
        <f>C196</f>
        <v>35</v>
      </c>
      <c r="D297" s="199">
        <f t="shared" ref="D297:F297" si="216">D196</f>
        <v>-0.2</v>
      </c>
      <c r="E297" s="199" t="str">
        <f t="shared" si="216"/>
        <v>-</v>
      </c>
      <c r="F297" s="199">
        <f t="shared" si="216"/>
        <v>0</v>
      </c>
      <c r="G297" s="136"/>
      <c r="H297" s="746"/>
      <c r="I297" s="198">
        <v>18</v>
      </c>
      <c r="J297" s="199">
        <f>I196</f>
        <v>70</v>
      </c>
      <c r="K297" s="199">
        <f t="shared" ref="K297:M297" si="217">J196</f>
        <v>-0.1</v>
      </c>
      <c r="L297" s="199" t="str">
        <f t="shared" si="217"/>
        <v>-</v>
      </c>
      <c r="M297" s="199">
        <f t="shared" si="217"/>
        <v>0</v>
      </c>
      <c r="N297" s="136"/>
      <c r="O297" s="136"/>
      <c r="P297" s="136"/>
    </row>
    <row r="298" spans="1:16" x14ac:dyDescent="0.25">
      <c r="A298" s="207"/>
      <c r="B298" s="208"/>
      <c r="C298" s="218"/>
      <c r="D298" s="218"/>
      <c r="E298" s="218"/>
      <c r="F298" s="219"/>
      <c r="G298" s="211"/>
      <c r="H298" s="207"/>
      <c r="I298" s="208"/>
      <c r="J298" s="218"/>
      <c r="K298" s="218"/>
      <c r="L298" s="218"/>
      <c r="M298" s="219"/>
      <c r="N298" s="136"/>
      <c r="O298" s="136"/>
      <c r="P298" s="136"/>
    </row>
    <row r="299" spans="1:16" x14ac:dyDescent="0.25">
      <c r="A299" s="745" t="s">
        <v>123</v>
      </c>
      <c r="B299" s="198">
        <v>1</v>
      </c>
      <c r="C299" s="199">
        <f>C10</f>
        <v>37</v>
      </c>
      <c r="D299" s="199">
        <f t="shared" ref="D299:F299" si="218">D10</f>
        <v>-0.2</v>
      </c>
      <c r="E299" s="199">
        <f t="shared" si="218"/>
        <v>-0.6</v>
      </c>
      <c r="F299" s="199">
        <f t="shared" si="218"/>
        <v>0.19999999999999998</v>
      </c>
      <c r="G299" s="136"/>
      <c r="H299" s="746" t="s">
        <v>123</v>
      </c>
      <c r="I299" s="198">
        <v>1</v>
      </c>
      <c r="J299" s="199">
        <f>I10</f>
        <v>80</v>
      </c>
      <c r="K299" s="199">
        <f t="shared" ref="K299:M299" si="219">J10</f>
        <v>-1.6</v>
      </c>
      <c r="L299" s="199">
        <f t="shared" si="219"/>
        <v>0.7</v>
      </c>
      <c r="M299" s="199">
        <f t="shared" si="219"/>
        <v>1.1499999999999999</v>
      </c>
      <c r="N299" s="136"/>
      <c r="O299" s="136"/>
      <c r="P299" s="136"/>
    </row>
    <row r="300" spans="1:16" x14ac:dyDescent="0.25">
      <c r="A300" s="745"/>
      <c r="B300" s="198">
        <v>2</v>
      </c>
      <c r="C300" s="199">
        <f>C21</f>
        <v>37</v>
      </c>
      <c r="D300" s="199">
        <f t="shared" ref="D300:F300" si="220">D21</f>
        <v>-0.3</v>
      </c>
      <c r="E300" s="199">
        <f t="shared" si="220"/>
        <v>-1.8</v>
      </c>
      <c r="F300" s="199">
        <f t="shared" si="220"/>
        <v>0.75</v>
      </c>
      <c r="G300" s="136"/>
      <c r="H300" s="746"/>
      <c r="I300" s="198">
        <v>2</v>
      </c>
      <c r="J300" s="199">
        <f>I21</f>
        <v>80</v>
      </c>
      <c r="K300" s="199">
        <f t="shared" ref="K300:M300" si="221">J21</f>
        <v>-0.7</v>
      </c>
      <c r="L300" s="199">
        <f t="shared" si="221"/>
        <v>-0.4</v>
      </c>
      <c r="M300" s="199">
        <f t="shared" si="221"/>
        <v>0.14999999999999997</v>
      </c>
      <c r="N300" s="136"/>
      <c r="O300" s="136"/>
      <c r="P300" s="136"/>
    </row>
    <row r="301" spans="1:16" x14ac:dyDescent="0.25">
      <c r="A301" s="745"/>
      <c r="B301" s="198">
        <v>3</v>
      </c>
      <c r="C301" s="199">
        <f>C32</f>
        <v>37</v>
      </c>
      <c r="D301" s="199">
        <f t="shared" ref="D301:F301" si="222">D32</f>
        <v>-0.6</v>
      </c>
      <c r="E301" s="199">
        <f t="shared" si="222"/>
        <v>-0.5</v>
      </c>
      <c r="F301" s="199">
        <f t="shared" si="222"/>
        <v>4.9999999999999989E-2</v>
      </c>
      <c r="G301" s="136"/>
      <c r="H301" s="746"/>
      <c r="I301" s="198">
        <v>3</v>
      </c>
      <c r="J301" s="199">
        <f>I32</f>
        <v>80</v>
      </c>
      <c r="K301" s="199">
        <f t="shared" ref="K301:M301" si="223">J32</f>
        <v>-2.9</v>
      </c>
      <c r="L301" s="199">
        <f t="shared" si="223"/>
        <v>-0.6</v>
      </c>
      <c r="M301" s="199">
        <f t="shared" si="223"/>
        <v>1.1499999999999999</v>
      </c>
      <c r="N301" s="136"/>
      <c r="O301" s="136"/>
      <c r="P301" s="136"/>
    </row>
    <row r="302" spans="1:16" x14ac:dyDescent="0.25">
      <c r="A302" s="745"/>
      <c r="B302" s="198">
        <v>4</v>
      </c>
      <c r="C302" s="199">
        <f>C43</f>
        <v>37</v>
      </c>
      <c r="D302" s="199">
        <f t="shared" ref="D302:F302" si="224">D43</f>
        <v>-0.6</v>
      </c>
      <c r="E302" s="199">
        <f t="shared" si="224"/>
        <v>-1.8</v>
      </c>
      <c r="F302" s="199">
        <f t="shared" si="224"/>
        <v>0.60000000000000009</v>
      </c>
      <c r="G302" s="136"/>
      <c r="H302" s="746"/>
      <c r="I302" s="198">
        <v>4</v>
      </c>
      <c r="J302" s="199">
        <f>I43</f>
        <v>80</v>
      </c>
      <c r="K302" s="199">
        <f t="shared" ref="K302:M302" si="225">J43</f>
        <v>1.9</v>
      </c>
      <c r="L302" s="199">
        <f t="shared" si="225"/>
        <v>-0.4</v>
      </c>
      <c r="M302" s="199">
        <f t="shared" si="225"/>
        <v>1.1499999999999999</v>
      </c>
      <c r="N302" s="136"/>
      <c r="O302" s="136"/>
      <c r="P302" s="136"/>
    </row>
    <row r="303" spans="1:16" x14ac:dyDescent="0.25">
      <c r="A303" s="745"/>
      <c r="B303" s="198">
        <v>5</v>
      </c>
      <c r="C303" s="199">
        <f>C54</f>
        <v>37</v>
      </c>
      <c r="D303" s="199">
        <f t="shared" ref="D303:F303" si="226">D54</f>
        <v>0.7</v>
      </c>
      <c r="E303" s="199">
        <f t="shared" si="226"/>
        <v>0</v>
      </c>
      <c r="F303" s="199">
        <f t="shared" si="226"/>
        <v>0.35</v>
      </c>
      <c r="G303" s="136"/>
      <c r="H303" s="746"/>
      <c r="I303" s="198">
        <v>5</v>
      </c>
      <c r="J303" s="199">
        <f>I54</f>
        <v>80</v>
      </c>
      <c r="K303" s="199">
        <f t="shared" ref="K303:M303" si="227">J54</f>
        <v>-3</v>
      </c>
      <c r="L303" s="199">
        <f t="shared" si="227"/>
        <v>0.2</v>
      </c>
      <c r="M303" s="199">
        <f t="shared" si="227"/>
        <v>1.6</v>
      </c>
      <c r="N303" s="136"/>
      <c r="O303" s="136"/>
      <c r="P303" s="136"/>
    </row>
    <row r="304" spans="1:16" x14ac:dyDescent="0.25">
      <c r="A304" s="745"/>
      <c r="B304" s="198">
        <v>6</v>
      </c>
      <c r="C304" s="199">
        <f>C65</f>
        <v>37</v>
      </c>
      <c r="D304" s="199">
        <f t="shared" ref="D304:F304" si="228">D65</f>
        <v>0.1</v>
      </c>
      <c r="E304" s="199">
        <f t="shared" si="228"/>
        <v>-1.1000000000000001</v>
      </c>
      <c r="F304" s="199">
        <f t="shared" si="228"/>
        <v>0.60000000000000009</v>
      </c>
      <c r="G304" s="136"/>
      <c r="H304" s="746"/>
      <c r="I304" s="198">
        <v>6</v>
      </c>
      <c r="J304" s="199">
        <f>I65</f>
        <v>80</v>
      </c>
      <c r="K304" s="199">
        <f t="shared" ref="K304:M304" si="229">J65</f>
        <v>-6.3</v>
      </c>
      <c r="L304" s="199">
        <f t="shared" si="229"/>
        <v>-2.6</v>
      </c>
      <c r="M304" s="199">
        <f t="shared" si="229"/>
        <v>1.8499999999999999</v>
      </c>
      <c r="N304" s="136"/>
      <c r="O304" s="136"/>
      <c r="P304" s="136"/>
    </row>
    <row r="305" spans="1:16" x14ac:dyDescent="0.25">
      <c r="A305" s="745"/>
      <c r="B305" s="198">
        <v>7</v>
      </c>
      <c r="C305" s="199">
        <f>C76</f>
        <v>37</v>
      </c>
      <c r="D305" s="199">
        <f t="shared" ref="D305:F305" si="230">D76</f>
        <v>-1.4</v>
      </c>
      <c r="E305" s="199">
        <f t="shared" si="230"/>
        <v>-0.1</v>
      </c>
      <c r="F305" s="199">
        <f t="shared" si="230"/>
        <v>0.64999999999999991</v>
      </c>
      <c r="G305" s="136"/>
      <c r="H305" s="746"/>
      <c r="I305" s="198">
        <v>7</v>
      </c>
      <c r="J305" s="199">
        <f>I76</f>
        <v>80</v>
      </c>
      <c r="K305" s="199">
        <f t="shared" ref="K305:M305" si="231">J76</f>
        <v>1.2</v>
      </c>
      <c r="L305" s="199">
        <f t="shared" si="231"/>
        <v>4.4000000000000004</v>
      </c>
      <c r="M305" s="199">
        <f t="shared" si="231"/>
        <v>1.6</v>
      </c>
      <c r="N305" s="136"/>
      <c r="O305" s="136"/>
      <c r="P305" s="136"/>
    </row>
    <row r="306" spans="1:16" x14ac:dyDescent="0.25">
      <c r="A306" s="745"/>
      <c r="B306" s="198">
        <v>8</v>
      </c>
      <c r="C306" s="199">
        <f>C87</f>
        <v>37</v>
      </c>
      <c r="D306" s="199">
        <f t="shared" ref="D306:F306" si="232">D87</f>
        <v>-0.5</v>
      </c>
      <c r="E306" s="199">
        <f t="shared" si="232"/>
        <v>-0.3</v>
      </c>
      <c r="F306" s="199">
        <f t="shared" si="232"/>
        <v>0.1</v>
      </c>
      <c r="G306" s="136"/>
      <c r="H306" s="746"/>
      <c r="I306" s="198">
        <v>8</v>
      </c>
      <c r="J306" s="199">
        <f>I87</f>
        <v>80</v>
      </c>
      <c r="K306" s="199">
        <f t="shared" ref="K306:M306" si="233">J87</f>
        <v>-1.2</v>
      </c>
      <c r="L306" s="199">
        <f t="shared" si="233"/>
        <v>2.6</v>
      </c>
      <c r="M306" s="199">
        <f t="shared" si="233"/>
        <v>1.9</v>
      </c>
      <c r="N306" s="136"/>
      <c r="O306" s="136"/>
      <c r="P306" s="136"/>
    </row>
    <row r="307" spans="1:16" x14ac:dyDescent="0.25">
      <c r="A307" s="745"/>
      <c r="B307" s="198">
        <v>9</v>
      </c>
      <c r="C307" s="199">
        <f>C98</f>
        <v>37</v>
      </c>
      <c r="D307" s="199">
        <f t="shared" ref="D307:F307" si="234">D98</f>
        <v>-0.5</v>
      </c>
      <c r="E307" s="199" t="str">
        <f t="shared" si="234"/>
        <v>-</v>
      </c>
      <c r="F307" s="199">
        <f t="shared" si="234"/>
        <v>0</v>
      </c>
      <c r="G307" s="136"/>
      <c r="H307" s="746"/>
      <c r="I307" s="198">
        <v>9</v>
      </c>
      <c r="J307" s="199">
        <f>I98</f>
        <v>80</v>
      </c>
      <c r="K307" s="199">
        <f t="shared" ref="K307:M307" si="235">J98</f>
        <v>-0.5</v>
      </c>
      <c r="L307" s="199" t="str">
        <f t="shared" si="235"/>
        <v>-</v>
      </c>
      <c r="M307" s="199">
        <f t="shared" si="235"/>
        <v>0</v>
      </c>
      <c r="N307" s="136"/>
      <c r="O307" s="136"/>
      <c r="P307" s="136"/>
    </row>
    <row r="308" spans="1:16" x14ac:dyDescent="0.25">
      <c r="A308" s="745"/>
      <c r="B308" s="198">
        <v>10</v>
      </c>
      <c r="C308" s="199">
        <f>C109</f>
        <v>37</v>
      </c>
      <c r="D308" s="199">
        <f t="shared" ref="D308:F308" si="236">D109</f>
        <v>0.2</v>
      </c>
      <c r="E308" s="199">
        <f t="shared" si="236"/>
        <v>0.4</v>
      </c>
      <c r="F308" s="199">
        <f t="shared" si="236"/>
        <v>0.1</v>
      </c>
      <c r="G308" s="136"/>
      <c r="H308" s="746"/>
      <c r="I308" s="198">
        <v>10</v>
      </c>
      <c r="J308" s="199">
        <f>I109</f>
        <v>80</v>
      </c>
      <c r="K308" s="199">
        <f t="shared" ref="K308:M308" si="237">J109</f>
        <v>2.2000000000000002</v>
      </c>
      <c r="L308" s="199">
        <f t="shared" si="237"/>
        <v>-4.7</v>
      </c>
      <c r="M308" s="199">
        <f t="shared" si="237"/>
        <v>3.45</v>
      </c>
      <c r="N308" s="136"/>
      <c r="O308" s="136"/>
      <c r="P308" s="136"/>
    </row>
    <row r="309" spans="1:16" x14ac:dyDescent="0.25">
      <c r="A309" s="745"/>
      <c r="B309" s="198">
        <v>11</v>
      </c>
      <c r="C309" s="199">
        <f>C120</f>
        <v>37</v>
      </c>
      <c r="D309" s="199">
        <f t="shared" ref="D309:F309" si="238">D120</f>
        <v>0.5</v>
      </c>
      <c r="E309" s="199" t="str">
        <f t="shared" si="238"/>
        <v>-</v>
      </c>
      <c r="F309" s="199">
        <f t="shared" si="238"/>
        <v>0</v>
      </c>
      <c r="G309" s="136"/>
      <c r="H309" s="746"/>
      <c r="I309" s="198">
        <v>11</v>
      </c>
      <c r="J309" s="199">
        <f>I120</f>
        <v>80</v>
      </c>
      <c r="K309" s="199">
        <f t="shared" ref="K309:M309" si="239">J120</f>
        <v>-1.4</v>
      </c>
      <c r="L309" s="199" t="str">
        <f t="shared" si="239"/>
        <v>-</v>
      </c>
      <c r="M309" s="199">
        <f t="shared" si="239"/>
        <v>0</v>
      </c>
      <c r="N309" s="136"/>
      <c r="O309" s="136"/>
      <c r="P309" s="136"/>
    </row>
    <row r="310" spans="1:16" x14ac:dyDescent="0.25">
      <c r="A310" s="745"/>
      <c r="B310" s="198">
        <v>12</v>
      </c>
      <c r="C310" s="199">
        <f>C131</f>
        <v>37</v>
      </c>
      <c r="D310" s="199">
        <f t="shared" ref="D310:F310" si="240">D131</f>
        <v>-0.1</v>
      </c>
      <c r="E310" s="199" t="str">
        <f t="shared" si="240"/>
        <v>-</v>
      </c>
      <c r="F310" s="199">
        <f t="shared" si="240"/>
        <v>0</v>
      </c>
      <c r="G310" s="136"/>
      <c r="H310" s="746"/>
      <c r="I310" s="198">
        <v>12</v>
      </c>
      <c r="J310" s="199">
        <f>I131</f>
        <v>80</v>
      </c>
      <c r="K310" s="199">
        <f t="shared" ref="K310:M310" si="241">J131</f>
        <v>-1.3</v>
      </c>
      <c r="L310" s="199" t="str">
        <f t="shared" si="241"/>
        <v>-</v>
      </c>
      <c r="M310" s="199">
        <f t="shared" si="241"/>
        <v>0</v>
      </c>
      <c r="N310" s="136"/>
      <c r="O310" s="136"/>
      <c r="P310" s="136"/>
    </row>
    <row r="311" spans="1:16" x14ac:dyDescent="0.25">
      <c r="A311" s="745"/>
      <c r="B311" s="198">
        <v>13</v>
      </c>
      <c r="C311" s="199">
        <f>C142</f>
        <v>37</v>
      </c>
      <c r="D311" s="199">
        <f t="shared" ref="D311:F311" si="242">D142</f>
        <v>-0.8</v>
      </c>
      <c r="E311" s="199" t="str">
        <f t="shared" si="242"/>
        <v>-</v>
      </c>
      <c r="F311" s="199">
        <f t="shared" si="242"/>
        <v>0</v>
      </c>
      <c r="G311" s="136"/>
      <c r="H311" s="746"/>
      <c r="I311" s="198">
        <v>13</v>
      </c>
      <c r="J311" s="199">
        <f>I142</f>
        <v>80</v>
      </c>
      <c r="K311" s="199">
        <f t="shared" ref="K311:M311" si="243">J142</f>
        <v>-0.9</v>
      </c>
      <c r="L311" s="199" t="str">
        <f t="shared" si="243"/>
        <v>-</v>
      </c>
      <c r="M311" s="199">
        <f t="shared" si="243"/>
        <v>0</v>
      </c>
      <c r="N311" s="136"/>
      <c r="O311" s="136"/>
      <c r="P311" s="136"/>
    </row>
    <row r="312" spans="1:16" x14ac:dyDescent="0.25">
      <c r="A312" s="745"/>
      <c r="B312" s="198">
        <v>14</v>
      </c>
      <c r="C312" s="199">
        <f>C153</f>
        <v>37</v>
      </c>
      <c r="D312" s="199">
        <f t="shared" ref="D312:F312" si="244">D153</f>
        <v>0.4</v>
      </c>
      <c r="E312" s="199" t="str">
        <f t="shared" si="244"/>
        <v>-</v>
      </c>
      <c r="F312" s="199">
        <f t="shared" si="244"/>
        <v>0</v>
      </c>
      <c r="G312" s="136"/>
      <c r="H312" s="746"/>
      <c r="I312" s="198">
        <v>14</v>
      </c>
      <c r="J312" s="199">
        <f>I153</f>
        <v>80</v>
      </c>
      <c r="K312" s="199">
        <f t="shared" ref="K312:M312" si="245">J153</f>
        <v>-2.5</v>
      </c>
      <c r="L312" s="199" t="str">
        <f t="shared" si="245"/>
        <v>-</v>
      </c>
      <c r="M312" s="199">
        <f t="shared" si="245"/>
        <v>0</v>
      </c>
      <c r="N312" s="136"/>
      <c r="O312" s="136"/>
      <c r="P312" s="136"/>
    </row>
    <row r="313" spans="1:16" x14ac:dyDescent="0.25">
      <c r="A313" s="745"/>
      <c r="B313" s="198">
        <v>15</v>
      </c>
      <c r="C313" s="199">
        <f>C164</f>
        <v>37</v>
      </c>
      <c r="D313" s="199">
        <f t="shared" ref="D313:F313" si="246">D164</f>
        <v>-0.6</v>
      </c>
      <c r="E313" s="199" t="str">
        <f t="shared" si="246"/>
        <v>-</v>
      </c>
      <c r="F313" s="199">
        <f t="shared" si="246"/>
        <v>0</v>
      </c>
      <c r="G313" s="136"/>
      <c r="H313" s="746"/>
      <c r="I313" s="198">
        <v>15</v>
      </c>
      <c r="J313" s="199">
        <f>I164</f>
        <v>80</v>
      </c>
      <c r="K313" s="199">
        <f t="shared" ref="K313:M313" si="247">J164</f>
        <v>-0.8</v>
      </c>
      <c r="L313" s="199" t="str">
        <f t="shared" si="247"/>
        <v>-</v>
      </c>
      <c r="M313" s="199">
        <f t="shared" si="247"/>
        <v>0</v>
      </c>
      <c r="N313" s="136"/>
      <c r="O313" s="136"/>
      <c r="P313" s="136"/>
    </row>
    <row r="314" spans="1:16" x14ac:dyDescent="0.25">
      <c r="A314" s="745"/>
      <c r="B314" s="198">
        <v>16</v>
      </c>
      <c r="C314" s="199">
        <f>C175</f>
        <v>37</v>
      </c>
      <c r="D314" s="199">
        <f t="shared" ref="D314:F314" si="248">D175</f>
        <v>0</v>
      </c>
      <c r="E314" s="199" t="str">
        <f t="shared" si="248"/>
        <v>-</v>
      </c>
      <c r="F314" s="199">
        <f t="shared" si="248"/>
        <v>0</v>
      </c>
      <c r="G314" s="136"/>
      <c r="H314" s="746"/>
      <c r="I314" s="198">
        <v>16</v>
      </c>
      <c r="J314" s="199">
        <f>I175</f>
        <v>80</v>
      </c>
      <c r="K314" s="199">
        <f t="shared" ref="K314:M314" si="249">J175</f>
        <v>-2.2999999999999998</v>
      </c>
      <c r="L314" s="199" t="str">
        <f t="shared" si="249"/>
        <v>-</v>
      </c>
      <c r="M314" s="199">
        <f t="shared" si="249"/>
        <v>0</v>
      </c>
      <c r="N314" s="136"/>
      <c r="O314" s="136"/>
      <c r="P314" s="136"/>
    </row>
    <row r="315" spans="1:16" x14ac:dyDescent="0.25">
      <c r="A315" s="745"/>
      <c r="B315" s="198">
        <v>17</v>
      </c>
      <c r="C315" s="199">
        <f>C186</f>
        <v>37</v>
      </c>
      <c r="D315" s="199">
        <f t="shared" ref="D315:F315" si="250">D186</f>
        <v>-0.3</v>
      </c>
      <c r="E315" s="199" t="str">
        <f t="shared" si="250"/>
        <v>-</v>
      </c>
      <c r="F315" s="199">
        <f t="shared" si="250"/>
        <v>0</v>
      </c>
      <c r="G315" s="136"/>
      <c r="H315" s="746"/>
      <c r="I315" s="198">
        <v>17</v>
      </c>
      <c r="J315" s="199">
        <f>I186</f>
        <v>80</v>
      </c>
      <c r="K315" s="199">
        <f t="shared" ref="K315:M315" si="251">J186</f>
        <v>-0.5</v>
      </c>
      <c r="L315" s="199" t="str">
        <f t="shared" si="251"/>
        <v>-</v>
      </c>
      <c r="M315" s="199">
        <f t="shared" si="251"/>
        <v>0</v>
      </c>
      <c r="N315" s="199"/>
      <c r="O315" s="136"/>
      <c r="P315" s="136"/>
    </row>
    <row r="316" spans="1:16" x14ac:dyDescent="0.25">
      <c r="A316" s="745"/>
      <c r="B316" s="198">
        <v>18</v>
      </c>
      <c r="C316" s="199">
        <f>C197</f>
        <v>37</v>
      </c>
      <c r="D316" s="199">
        <f t="shared" ref="D316:F316" si="252">D197</f>
        <v>-0.3</v>
      </c>
      <c r="E316" s="199" t="str">
        <f t="shared" si="252"/>
        <v>-</v>
      </c>
      <c r="F316" s="199">
        <f t="shared" si="252"/>
        <v>0</v>
      </c>
      <c r="G316" s="136"/>
      <c r="H316" s="746"/>
      <c r="I316" s="198">
        <v>18</v>
      </c>
      <c r="J316" s="199">
        <f>I197</f>
        <v>80</v>
      </c>
      <c r="K316" s="199">
        <f t="shared" ref="K316:M316" si="253">J197</f>
        <v>-0.5</v>
      </c>
      <c r="L316" s="199" t="str">
        <f t="shared" si="253"/>
        <v>-</v>
      </c>
      <c r="M316" s="199">
        <f t="shared" si="253"/>
        <v>0</v>
      </c>
      <c r="N316" s="136"/>
      <c r="O316" s="136"/>
      <c r="P316" s="136"/>
    </row>
    <row r="317" spans="1:16" x14ac:dyDescent="0.25">
      <c r="A317" s="207"/>
      <c r="B317" s="208"/>
      <c r="C317" s="218"/>
      <c r="D317" s="218"/>
      <c r="E317" s="218"/>
      <c r="F317" s="219"/>
      <c r="G317" s="211"/>
      <c r="H317" s="221"/>
      <c r="I317" s="208"/>
      <c r="J317" s="218"/>
      <c r="K317" s="218"/>
      <c r="L317" s="218"/>
      <c r="M317" s="219"/>
      <c r="N317" s="136"/>
      <c r="O317" s="136"/>
      <c r="P317" s="136"/>
    </row>
    <row r="318" spans="1:16" x14ac:dyDescent="0.25">
      <c r="A318" s="745" t="s">
        <v>124</v>
      </c>
      <c r="B318" s="198">
        <v>1</v>
      </c>
      <c r="C318" s="199">
        <f>C11</f>
        <v>40</v>
      </c>
      <c r="D318" s="199">
        <f t="shared" ref="D318:F318" si="254">D11</f>
        <v>-0.3</v>
      </c>
      <c r="E318" s="199">
        <f t="shared" si="254"/>
        <v>-0.8</v>
      </c>
      <c r="F318" s="199">
        <f t="shared" si="254"/>
        <v>0.25</v>
      </c>
      <c r="G318" s="136"/>
      <c r="H318" s="746" t="s">
        <v>124</v>
      </c>
      <c r="I318" s="198">
        <v>1</v>
      </c>
      <c r="J318" s="199">
        <f>I11</f>
        <v>90</v>
      </c>
      <c r="K318" s="199">
        <f t="shared" ref="K318:M318" si="255">J11</f>
        <v>0.3</v>
      </c>
      <c r="L318" s="199">
        <f t="shared" si="255"/>
        <v>4.5</v>
      </c>
      <c r="M318" s="199">
        <f t="shared" si="255"/>
        <v>2.1</v>
      </c>
      <c r="N318" s="136"/>
      <c r="O318" s="136"/>
      <c r="P318" s="136"/>
    </row>
    <row r="319" spans="1:16" x14ac:dyDescent="0.25">
      <c r="A319" s="745"/>
      <c r="B319" s="198">
        <v>2</v>
      </c>
      <c r="C319" s="199">
        <f>C22</f>
        <v>40</v>
      </c>
      <c r="D319" s="199">
        <f t="shared" ref="D319:F319" si="256">D22</f>
        <v>-0.3</v>
      </c>
      <c r="E319" s="199">
        <f t="shared" si="256"/>
        <v>-2.1</v>
      </c>
      <c r="F319" s="199">
        <f t="shared" si="256"/>
        <v>0.9</v>
      </c>
      <c r="G319" s="136"/>
      <c r="H319" s="746"/>
      <c r="I319" s="198">
        <v>2</v>
      </c>
      <c r="J319" s="199">
        <f>I22</f>
        <v>90</v>
      </c>
      <c r="K319" s="199">
        <f t="shared" ref="K319:M319" si="257">J22</f>
        <v>-0.3</v>
      </c>
      <c r="L319" s="199">
        <f t="shared" si="257"/>
        <v>0.6</v>
      </c>
      <c r="M319" s="199">
        <f t="shared" si="257"/>
        <v>0.44999999999999996</v>
      </c>
      <c r="N319" s="136"/>
      <c r="O319" s="136"/>
      <c r="P319" s="136"/>
    </row>
    <row r="320" spans="1:16" x14ac:dyDescent="0.25">
      <c r="A320" s="745"/>
      <c r="B320" s="198">
        <v>3</v>
      </c>
      <c r="C320" s="199">
        <f>C33</f>
        <v>40</v>
      </c>
      <c r="D320" s="199">
        <f t="shared" ref="D320:F320" si="258">D33</f>
        <v>-0.7</v>
      </c>
      <c r="E320" s="199">
        <f t="shared" si="258"/>
        <v>-0.5</v>
      </c>
      <c r="F320" s="199">
        <f t="shared" si="258"/>
        <v>9.9999999999999978E-2</v>
      </c>
      <c r="G320" s="136"/>
      <c r="H320" s="746"/>
      <c r="I320" s="198">
        <v>3</v>
      </c>
      <c r="J320" s="199">
        <f>I33</f>
        <v>90</v>
      </c>
      <c r="K320" s="199">
        <f t="shared" ref="K320:M320" si="259">J33</f>
        <v>-2</v>
      </c>
      <c r="L320" s="199">
        <f t="shared" si="259"/>
        <v>0.9</v>
      </c>
      <c r="M320" s="199">
        <f t="shared" si="259"/>
        <v>1.45</v>
      </c>
      <c r="N320" s="136"/>
      <c r="O320" s="136"/>
      <c r="P320" s="136"/>
    </row>
    <row r="321" spans="1:16" x14ac:dyDescent="0.25">
      <c r="A321" s="745"/>
      <c r="B321" s="198">
        <v>4</v>
      </c>
      <c r="C321" s="199">
        <f>C44</f>
        <v>40</v>
      </c>
      <c r="D321" s="199">
        <f t="shared" ref="D321:F321" si="260">D44</f>
        <v>-0.6</v>
      </c>
      <c r="E321" s="199">
        <f t="shared" si="260"/>
        <v>-2.1</v>
      </c>
      <c r="F321" s="199">
        <f t="shared" si="260"/>
        <v>0.75</v>
      </c>
      <c r="G321" s="136"/>
      <c r="H321" s="746"/>
      <c r="I321" s="198">
        <v>4</v>
      </c>
      <c r="J321" s="199">
        <f>I44</f>
        <v>90</v>
      </c>
      <c r="K321" s="199">
        <f t="shared" ref="K321:M321" si="261">J44</f>
        <v>3.3</v>
      </c>
      <c r="L321" s="199">
        <f t="shared" si="261"/>
        <v>0.2</v>
      </c>
      <c r="M321" s="199">
        <f t="shared" si="261"/>
        <v>1.5499999999999998</v>
      </c>
      <c r="N321" s="136"/>
      <c r="O321" s="136"/>
      <c r="P321" s="136"/>
    </row>
    <row r="322" spans="1:16" x14ac:dyDescent="0.25">
      <c r="A322" s="745"/>
      <c r="B322" s="198">
        <v>5</v>
      </c>
      <c r="C322" s="199">
        <f>C55</f>
        <v>40</v>
      </c>
      <c r="D322" s="199">
        <f t="shared" ref="D322:F322" si="262">D55</f>
        <v>0.7</v>
      </c>
      <c r="E322" s="199">
        <f t="shared" si="262"/>
        <v>-0.1</v>
      </c>
      <c r="F322" s="199">
        <f t="shared" si="262"/>
        <v>0.39999999999999997</v>
      </c>
      <c r="G322" s="136"/>
      <c r="H322" s="746"/>
      <c r="I322" s="198">
        <v>5</v>
      </c>
      <c r="J322" s="199">
        <f>I55</f>
        <v>90</v>
      </c>
      <c r="K322" s="199">
        <f t="shared" ref="K322:M322" si="263">J55</f>
        <v>-1.8</v>
      </c>
      <c r="L322" s="199">
        <f t="shared" si="263"/>
        <v>2.7</v>
      </c>
      <c r="M322" s="199">
        <f t="shared" si="263"/>
        <v>2.25</v>
      </c>
      <c r="N322" s="136"/>
      <c r="O322" s="136"/>
      <c r="P322" s="136"/>
    </row>
    <row r="323" spans="1:16" x14ac:dyDescent="0.25">
      <c r="A323" s="745"/>
      <c r="B323" s="198">
        <v>6</v>
      </c>
      <c r="C323" s="199">
        <f>C66</f>
        <v>40</v>
      </c>
      <c r="D323" s="199">
        <f t="shared" ref="D323:F323" si="264">D66</f>
        <v>0.1</v>
      </c>
      <c r="E323" s="199">
        <f t="shared" si="264"/>
        <v>-1.4</v>
      </c>
      <c r="F323" s="199">
        <f t="shared" si="264"/>
        <v>0.75</v>
      </c>
      <c r="G323" s="136"/>
      <c r="H323" s="746"/>
      <c r="I323" s="198">
        <v>6</v>
      </c>
      <c r="J323" s="199">
        <f>I66</f>
        <v>90</v>
      </c>
      <c r="K323" s="199">
        <f t="shared" ref="K323:M323" si="265">J66</f>
        <v>-5.2</v>
      </c>
      <c r="L323" s="199">
        <f t="shared" si="265"/>
        <v>-2.6</v>
      </c>
      <c r="M323" s="199">
        <f t="shared" si="265"/>
        <v>1.3</v>
      </c>
      <c r="N323" s="136"/>
      <c r="O323" s="136"/>
      <c r="P323" s="136"/>
    </row>
    <row r="324" spans="1:16" x14ac:dyDescent="0.25">
      <c r="A324" s="745"/>
      <c r="B324" s="198">
        <v>7</v>
      </c>
      <c r="C324" s="199">
        <f>C77</f>
        <v>40</v>
      </c>
      <c r="D324" s="199">
        <f t="shared" ref="D324:F324" si="266">D77</f>
        <v>-1.7</v>
      </c>
      <c r="E324" s="199">
        <f t="shared" si="266"/>
        <v>-0.1</v>
      </c>
      <c r="F324" s="199">
        <f t="shared" si="266"/>
        <v>0.79999999999999993</v>
      </c>
      <c r="G324" s="136"/>
      <c r="H324" s="746"/>
      <c r="I324" s="198">
        <v>7</v>
      </c>
      <c r="J324" s="199">
        <f>I77</f>
        <v>90</v>
      </c>
      <c r="K324" s="199">
        <f t="shared" ref="K324:M324" si="267">J77</f>
        <v>1.8</v>
      </c>
      <c r="L324" s="199">
        <f t="shared" si="267"/>
        <v>4.4000000000000004</v>
      </c>
      <c r="M324" s="199">
        <f t="shared" si="267"/>
        <v>1.3000000000000003</v>
      </c>
      <c r="N324" s="136"/>
      <c r="O324" s="136"/>
      <c r="P324" s="136"/>
    </row>
    <row r="325" spans="1:16" x14ac:dyDescent="0.25">
      <c r="A325" s="745"/>
      <c r="B325" s="198">
        <v>8</v>
      </c>
      <c r="C325" s="199">
        <f>C88</f>
        <v>40</v>
      </c>
      <c r="D325" s="199">
        <f t="shared" ref="D325:F325" si="268">D88</f>
        <v>-0.4</v>
      </c>
      <c r="E325" s="199">
        <f t="shared" si="268"/>
        <v>-0.4</v>
      </c>
      <c r="F325" s="199">
        <f t="shared" si="268"/>
        <v>0</v>
      </c>
      <c r="G325" s="136"/>
      <c r="H325" s="746"/>
      <c r="I325" s="198">
        <v>8</v>
      </c>
      <c r="J325" s="199">
        <f>I88</f>
        <v>90</v>
      </c>
      <c r="K325" s="199">
        <f t="shared" ref="K325:M325" si="269">J88</f>
        <v>-1.3</v>
      </c>
      <c r="L325" s="199">
        <f t="shared" si="269"/>
        <v>2.6</v>
      </c>
      <c r="M325" s="199">
        <f t="shared" si="269"/>
        <v>1.9500000000000002</v>
      </c>
      <c r="N325" s="136"/>
      <c r="O325" s="136"/>
      <c r="P325" s="136"/>
    </row>
    <row r="326" spans="1:16" x14ac:dyDescent="0.25">
      <c r="A326" s="745"/>
      <c r="B326" s="198">
        <v>9</v>
      </c>
      <c r="C326" s="199">
        <f>C99</f>
        <v>40</v>
      </c>
      <c r="D326" s="199">
        <f t="shared" ref="D326:F326" si="270">D99</f>
        <v>-0.4</v>
      </c>
      <c r="E326" s="199" t="str">
        <f t="shared" si="270"/>
        <v>-</v>
      </c>
      <c r="F326" s="199">
        <f t="shared" si="270"/>
        <v>0</v>
      </c>
      <c r="G326" s="136"/>
      <c r="H326" s="746"/>
      <c r="I326" s="198">
        <v>9</v>
      </c>
      <c r="J326" s="199">
        <f>I99</f>
        <v>90</v>
      </c>
      <c r="K326" s="199">
        <f t="shared" ref="K326:M326" si="271">J99</f>
        <v>-0.2</v>
      </c>
      <c r="L326" s="199" t="str">
        <f t="shared" si="271"/>
        <v>-</v>
      </c>
      <c r="M326" s="199">
        <f t="shared" si="271"/>
        <v>0</v>
      </c>
      <c r="N326" s="136"/>
      <c r="O326" s="136"/>
      <c r="P326" s="136"/>
    </row>
    <row r="327" spans="1:16" x14ac:dyDescent="0.25">
      <c r="A327" s="745"/>
      <c r="B327" s="198">
        <v>10</v>
      </c>
      <c r="C327" s="199">
        <f>C110</f>
        <v>40</v>
      </c>
      <c r="D327" s="199">
        <f t="shared" ref="D327:F327" si="272">D110</f>
        <v>0.2</v>
      </c>
      <c r="E327" s="199">
        <f t="shared" si="272"/>
        <v>0</v>
      </c>
      <c r="F327" s="199">
        <f t="shared" si="272"/>
        <v>0.1</v>
      </c>
      <c r="G327" s="136"/>
      <c r="H327" s="746"/>
      <c r="I327" s="198">
        <v>10</v>
      </c>
      <c r="J327" s="199">
        <f>I110</f>
        <v>90</v>
      </c>
      <c r="K327" s="199">
        <f t="shared" ref="K327:M327" si="273">J110</f>
        <v>5.4</v>
      </c>
      <c r="L327" s="199">
        <f t="shared" si="273"/>
        <v>0</v>
      </c>
      <c r="M327" s="199">
        <f t="shared" si="273"/>
        <v>2.7</v>
      </c>
      <c r="N327" s="136"/>
      <c r="O327" s="136"/>
      <c r="P327" s="136"/>
    </row>
    <row r="328" spans="1:16" x14ac:dyDescent="0.25">
      <c r="A328" s="745"/>
      <c r="B328" s="198">
        <v>11</v>
      </c>
      <c r="C328" s="199">
        <f>C121</f>
        <v>40</v>
      </c>
      <c r="D328" s="199">
        <f t="shared" ref="D328:F328" si="274">D121</f>
        <v>0.5</v>
      </c>
      <c r="E328" s="199" t="str">
        <f t="shared" si="274"/>
        <v>-</v>
      </c>
      <c r="F328" s="199">
        <f t="shared" si="274"/>
        <v>0</v>
      </c>
      <c r="G328" s="136"/>
      <c r="H328" s="746"/>
      <c r="I328" s="198">
        <v>11</v>
      </c>
      <c r="J328" s="199">
        <f>I121</f>
        <v>90</v>
      </c>
      <c r="K328" s="199">
        <f t="shared" ref="K328:M328" si="275">J121</f>
        <v>1.3</v>
      </c>
      <c r="L328" s="199" t="str">
        <f t="shared" si="275"/>
        <v>-</v>
      </c>
      <c r="M328" s="199">
        <f t="shared" si="275"/>
        <v>0</v>
      </c>
      <c r="N328" s="136"/>
      <c r="O328" s="136"/>
      <c r="P328" s="136"/>
    </row>
    <row r="329" spans="1:16" x14ac:dyDescent="0.25">
      <c r="A329" s="745"/>
      <c r="B329" s="198">
        <v>12</v>
      </c>
      <c r="C329" s="199">
        <f>C132</f>
        <v>40</v>
      </c>
      <c r="D329" s="199">
        <f t="shared" ref="D329:F329" si="276">D132</f>
        <v>0</v>
      </c>
      <c r="E329" s="199" t="str">
        <f t="shared" si="276"/>
        <v>-</v>
      </c>
      <c r="F329" s="199">
        <f t="shared" si="276"/>
        <v>0</v>
      </c>
      <c r="G329" s="136"/>
      <c r="H329" s="746"/>
      <c r="I329" s="198">
        <v>12</v>
      </c>
      <c r="J329" s="199">
        <f>I132</f>
        <v>90</v>
      </c>
      <c r="K329" s="199">
        <f t="shared" ref="K329:M329" si="277">J132</f>
        <v>-2</v>
      </c>
      <c r="L329" s="199" t="str">
        <f t="shared" si="277"/>
        <v>-</v>
      </c>
      <c r="M329" s="199">
        <f t="shared" si="277"/>
        <v>0</v>
      </c>
      <c r="N329" s="136"/>
      <c r="O329" s="136"/>
      <c r="P329" s="136"/>
    </row>
    <row r="330" spans="1:16" x14ac:dyDescent="0.25">
      <c r="A330" s="745"/>
      <c r="B330" s="198">
        <v>13</v>
      </c>
      <c r="C330" s="199">
        <f>C143</f>
        <v>40</v>
      </c>
      <c r="D330" s="199">
        <f t="shared" ref="D330:F330" si="278">D143</f>
        <v>-1.1000000000000001</v>
      </c>
      <c r="E330" s="199" t="str">
        <f t="shared" si="278"/>
        <v>-</v>
      </c>
      <c r="F330" s="199">
        <f t="shared" si="278"/>
        <v>0</v>
      </c>
      <c r="G330" s="136"/>
      <c r="H330" s="746"/>
      <c r="I330" s="198">
        <v>13</v>
      </c>
      <c r="J330" s="199">
        <f>I143</f>
        <v>90</v>
      </c>
      <c r="K330" s="199">
        <f t="shared" ref="K330:M330" si="279">J143</f>
        <v>-0.8</v>
      </c>
      <c r="L330" s="199" t="str">
        <f t="shared" si="279"/>
        <v>-</v>
      </c>
      <c r="M330" s="199">
        <f t="shared" si="279"/>
        <v>0</v>
      </c>
      <c r="N330" s="136"/>
      <c r="O330" s="136"/>
      <c r="P330" s="136"/>
    </row>
    <row r="331" spans="1:16" x14ac:dyDescent="0.25">
      <c r="A331" s="745"/>
      <c r="B331" s="198">
        <v>14</v>
      </c>
      <c r="C331" s="199">
        <f>C154</f>
        <v>40</v>
      </c>
      <c r="D331" s="199">
        <f t="shared" ref="D331:F331" si="280">D154</f>
        <v>0.5</v>
      </c>
      <c r="E331" s="199" t="str">
        <f t="shared" si="280"/>
        <v>-</v>
      </c>
      <c r="F331" s="199">
        <f t="shared" si="280"/>
        <v>0</v>
      </c>
      <c r="G331" s="136"/>
      <c r="H331" s="746"/>
      <c r="I331" s="198">
        <v>14</v>
      </c>
      <c r="J331" s="199">
        <f>I154</f>
        <v>90</v>
      </c>
      <c r="K331" s="199">
        <f t="shared" ref="K331:M331" si="281">J154</f>
        <v>-3.2</v>
      </c>
      <c r="L331" s="199" t="str">
        <f t="shared" si="281"/>
        <v>-</v>
      </c>
      <c r="M331" s="199">
        <f t="shared" si="281"/>
        <v>0</v>
      </c>
      <c r="N331" s="136"/>
      <c r="O331" s="136"/>
      <c r="P331" s="136"/>
    </row>
    <row r="332" spans="1:16" x14ac:dyDescent="0.25">
      <c r="A332" s="745"/>
      <c r="B332" s="198">
        <v>15</v>
      </c>
      <c r="C332" s="199">
        <f>C165</f>
        <v>40</v>
      </c>
      <c r="D332" s="199">
        <f t="shared" ref="D332:F332" si="282">D165</f>
        <v>-0.8</v>
      </c>
      <c r="E332" s="199" t="str">
        <f t="shared" si="282"/>
        <v>-</v>
      </c>
      <c r="F332" s="199">
        <f t="shared" si="282"/>
        <v>0</v>
      </c>
      <c r="G332" s="136"/>
      <c r="H332" s="746"/>
      <c r="I332" s="198">
        <v>15</v>
      </c>
      <c r="J332" s="199">
        <f>I165</f>
        <v>90</v>
      </c>
      <c r="K332" s="199">
        <f t="shared" ref="K332:M332" si="283">J165</f>
        <v>-1.4</v>
      </c>
      <c r="L332" s="199" t="str">
        <f t="shared" si="283"/>
        <v>-</v>
      </c>
      <c r="M332" s="199">
        <f t="shared" si="283"/>
        <v>0</v>
      </c>
      <c r="N332" s="136"/>
      <c r="O332" s="136"/>
      <c r="P332" s="136"/>
    </row>
    <row r="333" spans="1:16" x14ac:dyDescent="0.25">
      <c r="A333" s="745"/>
      <c r="B333" s="198">
        <v>16</v>
      </c>
      <c r="C333" s="199">
        <f>C176</f>
        <v>40</v>
      </c>
      <c r="D333" s="199">
        <f t="shared" ref="D333:F333" si="284">D176</f>
        <v>0</v>
      </c>
      <c r="E333" s="199" t="str">
        <f t="shared" si="284"/>
        <v>-</v>
      </c>
      <c r="F333" s="199">
        <f t="shared" si="284"/>
        <v>0</v>
      </c>
      <c r="G333" s="136"/>
      <c r="H333" s="746"/>
      <c r="I333" s="198">
        <v>16</v>
      </c>
      <c r="J333" s="199">
        <f>I176</f>
        <v>90</v>
      </c>
      <c r="K333" s="199">
        <f t="shared" ref="K333:M333" si="285">J176</f>
        <v>-3</v>
      </c>
      <c r="L333" s="199" t="str">
        <f t="shared" si="285"/>
        <v>-</v>
      </c>
      <c r="M333" s="199">
        <f t="shared" si="285"/>
        <v>0</v>
      </c>
      <c r="N333" s="136"/>
      <c r="O333" s="136"/>
      <c r="P333" s="136"/>
    </row>
    <row r="334" spans="1:16" x14ac:dyDescent="0.25">
      <c r="A334" s="745"/>
      <c r="B334" s="198">
        <v>17</v>
      </c>
      <c r="C334" s="199">
        <f>C187</f>
        <v>40</v>
      </c>
      <c r="D334" s="199">
        <f t="shared" ref="D334:F334" si="286">D187</f>
        <v>-0.4</v>
      </c>
      <c r="E334" s="199" t="str">
        <f t="shared" si="286"/>
        <v>-</v>
      </c>
      <c r="F334" s="199">
        <f t="shared" si="286"/>
        <v>0</v>
      </c>
      <c r="G334" s="136"/>
      <c r="H334" s="746"/>
      <c r="I334" s="198">
        <v>17</v>
      </c>
      <c r="J334" s="199">
        <f>I187</f>
        <v>90</v>
      </c>
      <c r="K334" s="199">
        <f t="shared" ref="K334:M334" si="287">J187</f>
        <v>-0.8</v>
      </c>
      <c r="L334" s="199" t="str">
        <f t="shared" si="287"/>
        <v>-</v>
      </c>
      <c r="M334" s="199">
        <f t="shared" si="287"/>
        <v>0</v>
      </c>
      <c r="N334" s="136"/>
      <c r="O334" s="136"/>
      <c r="P334" s="136"/>
    </row>
    <row r="335" spans="1:16" x14ac:dyDescent="0.25">
      <c r="A335" s="745"/>
      <c r="B335" s="198">
        <v>18</v>
      </c>
      <c r="C335" s="199">
        <f>C198</f>
        <v>40</v>
      </c>
      <c r="D335" s="199">
        <f t="shared" ref="D335:F335" si="288">D198</f>
        <v>-0.4</v>
      </c>
      <c r="E335" s="199" t="str">
        <f t="shared" si="288"/>
        <v>-</v>
      </c>
      <c r="F335" s="199">
        <f t="shared" si="288"/>
        <v>0</v>
      </c>
      <c r="G335" s="136"/>
      <c r="H335" s="746"/>
      <c r="I335" s="198">
        <v>18</v>
      </c>
      <c r="J335" s="199">
        <f>I198</f>
        <v>90</v>
      </c>
      <c r="K335" s="199">
        <f t="shared" ref="K335:M335" si="289">J198</f>
        <v>-0.9</v>
      </c>
      <c r="L335" s="199" t="str">
        <f t="shared" si="289"/>
        <v>-</v>
      </c>
      <c r="M335" s="199">
        <f t="shared" si="289"/>
        <v>0</v>
      </c>
      <c r="N335" s="136"/>
      <c r="O335" s="136"/>
      <c r="P335" s="136"/>
    </row>
    <row r="336" spans="1:16" ht="13.8" thickBot="1" x14ac:dyDescent="0.3">
      <c r="A336" s="222"/>
      <c r="B336" s="223"/>
      <c r="C336" s="211"/>
      <c r="D336" s="211"/>
      <c r="E336" s="211"/>
      <c r="F336" s="211"/>
      <c r="G336" s="211"/>
      <c r="H336" s="136"/>
      <c r="I336" s="224"/>
      <c r="J336" s="223"/>
      <c r="K336" s="211"/>
      <c r="L336" s="211"/>
      <c r="M336" s="211"/>
      <c r="N336" s="211"/>
      <c r="O336" s="211"/>
      <c r="P336" s="136"/>
    </row>
    <row r="337" spans="1:16" ht="29.25" customHeight="1" x14ac:dyDescent="0.25">
      <c r="A337" s="225">
        <f>A375</f>
        <v>17</v>
      </c>
      <c r="B337" s="747" t="str">
        <f>A356</f>
        <v>Thermohygrobarometer, Merek : EXTECH, Model : SD700, SN : A.100618</v>
      </c>
      <c r="C337" s="747"/>
      <c r="D337" s="748"/>
      <c r="E337" s="226"/>
      <c r="F337" s="225">
        <f>A337</f>
        <v>17</v>
      </c>
      <c r="G337" s="747" t="str">
        <f>B337</f>
        <v>Thermohygrobarometer, Merek : EXTECH, Model : SD700, SN : A.100618</v>
      </c>
      <c r="H337" s="747"/>
      <c r="I337" s="748"/>
      <c r="J337" s="226"/>
      <c r="K337" s="225">
        <f>A337</f>
        <v>17</v>
      </c>
      <c r="L337" s="731" t="str">
        <f>G337</f>
        <v>Thermohygrobarometer, Merek : EXTECH, Model : SD700, SN : A.100618</v>
      </c>
      <c r="M337" s="732"/>
      <c r="N337" s="732"/>
      <c r="O337" s="733"/>
      <c r="P337" s="136"/>
    </row>
    <row r="338" spans="1:16" ht="13.8" x14ac:dyDescent="0.25">
      <c r="A338" s="227" t="s">
        <v>219</v>
      </c>
      <c r="B338" s="734" t="s">
        <v>220</v>
      </c>
      <c r="C338" s="734"/>
      <c r="D338" s="735" t="s">
        <v>221</v>
      </c>
      <c r="E338" s="211"/>
      <c r="F338" s="227" t="s">
        <v>222</v>
      </c>
      <c r="G338" s="734" t="s">
        <v>220</v>
      </c>
      <c r="H338" s="734"/>
      <c r="I338" s="735" t="s">
        <v>221</v>
      </c>
      <c r="J338" s="211"/>
      <c r="K338" s="736"/>
      <c r="L338" s="739" t="s">
        <v>251</v>
      </c>
      <c r="M338" s="739" t="s">
        <v>252</v>
      </c>
      <c r="N338" s="739" t="s">
        <v>253</v>
      </c>
      <c r="O338" s="740" t="s">
        <v>218</v>
      </c>
      <c r="P338" s="136"/>
    </row>
    <row r="339" spans="1:16" ht="14.4" x14ac:dyDescent="0.25">
      <c r="A339" s="228" t="s">
        <v>245</v>
      </c>
      <c r="B339" s="229">
        <f>VLOOKUP(B337,A357:K374,9,FALSE)</f>
        <v>2020</v>
      </c>
      <c r="C339" s="229" t="str">
        <f>VLOOKUP(B337,A357:K374,10,FALSE)</f>
        <v>-</v>
      </c>
      <c r="D339" s="735"/>
      <c r="E339" s="211"/>
      <c r="F339" s="230" t="s">
        <v>224</v>
      </c>
      <c r="G339" s="229">
        <f>B339</f>
        <v>2020</v>
      </c>
      <c r="H339" s="229" t="str">
        <f>C339</f>
        <v>-</v>
      </c>
      <c r="I339" s="735"/>
      <c r="J339" s="211"/>
      <c r="K339" s="737"/>
      <c r="L339" s="739"/>
      <c r="M339" s="739"/>
      <c r="N339" s="739"/>
      <c r="O339" s="740"/>
      <c r="P339" s="136"/>
    </row>
    <row r="340" spans="1:16" x14ac:dyDescent="0.25">
      <c r="A340" s="231">
        <f>VLOOKUP($A$337,$B$204:$F$221,2,FALSE)</f>
        <v>15</v>
      </c>
      <c r="B340" s="232">
        <f>VLOOKUP($A$337,$B$204:$F$221,3,FALSE)</f>
        <v>0</v>
      </c>
      <c r="C340" s="232" t="str">
        <f>VLOOKUP($A$337,$B$204:$F$221,4,FALSE)</f>
        <v>-</v>
      </c>
      <c r="D340" s="233">
        <f>VLOOKUP($A$337,$B$204:$F$221,5,FALSE)</f>
        <v>0</v>
      </c>
      <c r="E340" s="211"/>
      <c r="F340" s="231">
        <f>VLOOKUP($F$337,$I$204:$M$221,2,FALSE)</f>
        <v>30</v>
      </c>
      <c r="G340" s="232">
        <f>VLOOKUP($F$337,$I$204:$M$221,3,FALSE)</f>
        <v>-0.4</v>
      </c>
      <c r="H340" s="232" t="str">
        <f>VLOOKUP($F$337,$I$204:$M$221,4,FALSE)</f>
        <v>-</v>
      </c>
      <c r="I340" s="233">
        <f>VLOOKUP($F$337,$I$204:$M$221,5,FALSE)</f>
        <v>0</v>
      </c>
      <c r="J340" s="211"/>
      <c r="K340" s="738"/>
      <c r="L340" s="739"/>
      <c r="M340" s="739"/>
      <c r="N340" s="739"/>
      <c r="O340" s="740"/>
      <c r="P340" s="136"/>
    </row>
    <row r="341" spans="1:16" x14ac:dyDescent="0.25">
      <c r="A341" s="231">
        <f>VLOOKUP($A$337,$B$223:$F$240,2,FALSE)</f>
        <v>20</v>
      </c>
      <c r="B341" s="232">
        <f>VLOOKUP($A$337,$B$223:$F$240,3,FALSE)</f>
        <v>-0.1</v>
      </c>
      <c r="C341" s="232" t="str">
        <f>VLOOKUP($A$337,$B$223:$F$240,4,FALSE)</f>
        <v>-</v>
      </c>
      <c r="D341" s="233">
        <f>VLOOKUP($A$337,$B$223:$F$240,5,FALSE)</f>
        <v>0</v>
      </c>
      <c r="E341" s="211"/>
      <c r="F341" s="231">
        <f>VLOOKUP($F$337,$I$223:$M$240,2,FALSE)</f>
        <v>40</v>
      </c>
      <c r="G341" s="232">
        <f>VLOOKUP($F$337,$I$223:$M$240,3,FALSE)</f>
        <v>-0.2</v>
      </c>
      <c r="H341" s="232" t="str">
        <f>VLOOKUP($F$337,$I$223:$M$240,4,FALSE)</f>
        <v>-</v>
      </c>
      <c r="I341" s="233">
        <f>VLOOKUP($F$337,$I$223:$M$240,5,FALSE)</f>
        <v>0</v>
      </c>
      <c r="J341" s="211"/>
      <c r="K341" s="234" t="s">
        <v>219</v>
      </c>
      <c r="L341" s="235">
        <f>ID!F17</f>
        <v>21</v>
      </c>
      <c r="M341" s="236">
        <f>L341+L349</f>
        <v>20.88</v>
      </c>
      <c r="N341" s="236">
        <f>STDEV(ID!D17:E17)</f>
        <v>0</v>
      </c>
      <c r="O341" s="237">
        <f>VLOOKUP(K337,O203:P221,2,(FALSE))</f>
        <v>0.3</v>
      </c>
      <c r="P341" s="238"/>
    </row>
    <row r="342" spans="1:16" ht="13.8" thickBot="1" x14ac:dyDescent="0.3">
      <c r="A342" s="231">
        <f>VLOOKUP($A$337,$B$242:$F$259,2,FALSE)</f>
        <v>25</v>
      </c>
      <c r="B342" s="232">
        <f>VLOOKUP($A$337,$B$242:$F$259,3,FALSE)</f>
        <v>-0.2</v>
      </c>
      <c r="C342" s="232" t="str">
        <f>VLOOKUP($A$337,$B$242:$F$259,4,FALSE)</f>
        <v>-</v>
      </c>
      <c r="D342" s="233">
        <f>VLOOKUP($A$337,$B$242:$F$259,5,FALSE)</f>
        <v>0</v>
      </c>
      <c r="E342" s="211"/>
      <c r="F342" s="231">
        <f>VLOOKUP($F$337,$I$242:$M$259,2,FALSE)</f>
        <v>50</v>
      </c>
      <c r="G342" s="232">
        <f>VLOOKUP($F$337,$I$242:$M$259,3,FALSE)</f>
        <v>-0.2</v>
      </c>
      <c r="H342" s="232" t="str">
        <f>VLOOKUP($F$337,$I$242:$M$259,4,FALSE)</f>
        <v>-</v>
      </c>
      <c r="I342" s="233">
        <f>VLOOKUP($F$337,$I$242:$M$259,5,FALSE)</f>
        <v>0</v>
      </c>
      <c r="J342" s="211"/>
      <c r="K342" s="239" t="s">
        <v>224</v>
      </c>
      <c r="L342" s="235">
        <f>ID!F18</f>
        <v>60.25</v>
      </c>
      <c r="M342" s="240">
        <f>L342+L350</f>
        <v>60.047499999999999</v>
      </c>
      <c r="N342" s="236">
        <f>STDEV(ID!D18:E18)</f>
        <v>0.35355339059327379</v>
      </c>
      <c r="O342" s="241">
        <f>VLOOKUP(K337,O225:P243,2,(FALSE))</f>
        <v>1.6</v>
      </c>
      <c r="P342" s="238"/>
    </row>
    <row r="343" spans="1:16" x14ac:dyDescent="0.25">
      <c r="A343" s="231">
        <f>VLOOKUP($A$337,$B$261:$F$278,2,FALSE)</f>
        <v>30</v>
      </c>
      <c r="B343" s="232">
        <f>VLOOKUP($A$337,$B$261:$F$278,3,FALSE)</f>
        <v>-0.2</v>
      </c>
      <c r="C343" s="232" t="str">
        <f>VLOOKUP($A$337,$B$261:$F$278,4,FALSE)</f>
        <v>-</v>
      </c>
      <c r="D343" s="233">
        <f>VLOOKUP($A$337,$B$261:$F$278,5,FALSE)</f>
        <v>0</v>
      </c>
      <c r="E343" s="211"/>
      <c r="F343" s="231">
        <f>VLOOKUP($F$337,$I$261:$M$278,2,FALSE)</f>
        <v>60</v>
      </c>
      <c r="G343" s="232">
        <f>VLOOKUP($F$337,$I$261:$M$278,3,FALSE)</f>
        <v>-0.2</v>
      </c>
      <c r="H343" s="232" t="str">
        <f>VLOOKUP($F$337,$I$261:$M$278,4,FALSE)</f>
        <v>-</v>
      </c>
      <c r="I343" s="233">
        <f>VLOOKUP($F$337,$I$261:$M$278,5,FALSE)</f>
        <v>0</v>
      </c>
      <c r="J343" s="211"/>
      <c r="K343" s="211"/>
      <c r="L343" s="242"/>
      <c r="M343" s="243"/>
      <c r="N343" s="242"/>
      <c r="O343" s="244"/>
      <c r="P343" s="238"/>
    </row>
    <row r="344" spans="1:16" ht="13.8" thickBot="1" x14ac:dyDescent="0.3">
      <c r="A344" s="231">
        <f>VLOOKUP($A$337,$B$280:$F$297,2,FALSE)</f>
        <v>35</v>
      </c>
      <c r="B344" s="232">
        <f>VLOOKUP($A$337,$B$280:$F$297,3,FALSE)</f>
        <v>-0.3</v>
      </c>
      <c r="C344" s="232" t="str">
        <f>VLOOKUP($A$337,$B$280:$F$297,4,FALSE)</f>
        <v>-</v>
      </c>
      <c r="D344" s="233">
        <f>VLOOKUP($A$337,$B$280:$F$297,5,FALSE)</f>
        <v>0</v>
      </c>
      <c r="E344" s="211"/>
      <c r="F344" s="231">
        <f>VLOOKUP($F$337,$I$280:$M$297,2,FALSE)</f>
        <v>70</v>
      </c>
      <c r="G344" s="232">
        <f>VLOOKUP($F$337,$I$280:$M$297,3,FALSE)</f>
        <v>-0.3</v>
      </c>
      <c r="H344" s="232" t="str">
        <f>VLOOKUP($F$337,$I$280:$M$297,4,FALSE)</f>
        <v>-</v>
      </c>
      <c r="I344" s="233">
        <f>VLOOKUP($F$337,$I$280:$M$297,5,FALSE)</f>
        <v>0</v>
      </c>
      <c r="J344" s="211"/>
      <c r="K344" s="211"/>
      <c r="O344" s="245"/>
      <c r="P344" s="238"/>
    </row>
    <row r="345" spans="1:16" ht="13.8" x14ac:dyDescent="0.25">
      <c r="A345" s="231">
        <f>VLOOKUP($A$337,$B$299:$F$316,2,FALSE)</f>
        <v>37</v>
      </c>
      <c r="B345" s="232">
        <f>VLOOKUP($A$337,$B$299:$F$316,3,FALSE)</f>
        <v>-0.3</v>
      </c>
      <c r="C345" s="232" t="str">
        <f>VLOOKUP($A$337,$B$299:$F$316,4,FALSE)</f>
        <v>-</v>
      </c>
      <c r="D345" s="233">
        <f>VLOOKUP($A$337,$B$299:$F$316,5,FALSE)</f>
        <v>0</v>
      </c>
      <c r="E345" s="211"/>
      <c r="F345" s="231">
        <f>VLOOKUP($F$337,$I$299:$M$316,2,FALSE)</f>
        <v>80</v>
      </c>
      <c r="G345" s="232">
        <f>VLOOKUP($F$337,$I$299:$M$316,3,FALSE)</f>
        <v>-0.5</v>
      </c>
      <c r="H345" s="232" t="str">
        <f>VLOOKUP($F$337,$I$299:$M$316,4,FALSE)</f>
        <v>-</v>
      </c>
      <c r="I345" s="233">
        <f>VLOOKUP($F$337,$I$299:$M$316,5,FALSE)</f>
        <v>0</v>
      </c>
      <c r="J345" s="211"/>
      <c r="K345" s="719" t="s">
        <v>254</v>
      </c>
      <c r="L345" s="138" t="str">
        <f>M359&amp;M357&amp;N359&amp;N357&amp;O359&amp;O357</f>
        <v>( 20.9 ± 0.3 ) °C</v>
      </c>
      <c r="M345" s="246"/>
      <c r="O345" s="247"/>
      <c r="P345" s="248"/>
    </row>
    <row r="346" spans="1:16" ht="14.4" thickBot="1" x14ac:dyDescent="0.3">
      <c r="A346" s="249">
        <f>VLOOKUP($A$337,$B$318:$F$335,2,FALSE)</f>
        <v>40</v>
      </c>
      <c r="B346" s="250">
        <f>VLOOKUP($A$337,$B$318:$F$335,3,FALSE)</f>
        <v>-0.4</v>
      </c>
      <c r="C346" s="250" t="str">
        <f>VLOOKUP($A$337,$B$318:$F$335,4,FALSE)</f>
        <v>-</v>
      </c>
      <c r="D346" s="251">
        <f>VLOOKUP($A$337,$B$318:$F$335,5,FALSE)</f>
        <v>0</v>
      </c>
      <c r="E346" s="211"/>
      <c r="F346" s="249">
        <f>VLOOKUP($F$337,$I$318:$M$335,2,FALSE)</f>
        <v>90</v>
      </c>
      <c r="G346" s="250">
        <f>VLOOKUP($F$337,$I$318:$M$335,3,FALSE)</f>
        <v>-0.8</v>
      </c>
      <c r="H346" s="250" t="str">
        <f>VLOOKUP($F$337,$I$318:$M$335,4,FALSE)</f>
        <v>-</v>
      </c>
      <c r="I346" s="251">
        <f>VLOOKUP($F$337,$I$318:$M$335,5,FALSE)</f>
        <v>0</v>
      </c>
      <c r="J346" s="211"/>
      <c r="K346" s="720"/>
      <c r="L346" s="149" t="str">
        <f>M359&amp;M358&amp;N359&amp;N358&amp;O359&amp;O358</f>
        <v>( 60.0 ± 1.6 ) %RH</v>
      </c>
      <c r="M346" s="150"/>
      <c r="O346" s="247"/>
      <c r="P346" s="238"/>
    </row>
    <row r="347" spans="1:16" ht="15.6" x14ac:dyDescent="0.3">
      <c r="A347" s="252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O347" s="247"/>
      <c r="P347" s="253"/>
    </row>
    <row r="348" spans="1:16" ht="14.4" thickBot="1" x14ac:dyDescent="0.3">
      <c r="A348" s="721"/>
      <c r="B348" s="721"/>
      <c r="C348" s="721"/>
      <c r="D348" s="721"/>
      <c r="E348" s="357"/>
      <c r="F348" s="721"/>
      <c r="G348" s="721"/>
      <c r="H348" s="721"/>
      <c r="I348" s="721"/>
      <c r="J348" s="211"/>
      <c r="K348" s="741"/>
      <c r="L348" s="741"/>
      <c r="M348" s="254"/>
      <c r="N348" s="255"/>
      <c r="O348" s="247"/>
      <c r="P348" s="256"/>
    </row>
    <row r="349" spans="1:16" ht="13.8" thickBot="1" x14ac:dyDescent="0.3">
      <c r="A349" s="742" t="s">
        <v>449</v>
      </c>
      <c r="B349" s="743"/>
      <c r="C349" s="743"/>
      <c r="D349" s="744"/>
      <c r="E349" s="357"/>
      <c r="F349" s="742" t="s">
        <v>450</v>
      </c>
      <c r="G349" s="743"/>
      <c r="H349" s="743"/>
      <c r="I349" s="744"/>
      <c r="J349" s="211"/>
      <c r="K349" s="356" t="s">
        <v>219</v>
      </c>
      <c r="L349" s="563">
        <f>C351</f>
        <v>-0.12000000000000001</v>
      </c>
      <c r="M349" s="211"/>
      <c r="N349" s="211"/>
      <c r="O349" s="257"/>
      <c r="P349" s="258"/>
    </row>
    <row r="350" spans="1:16" ht="14.4" x14ac:dyDescent="0.3">
      <c r="A350" s="551"/>
      <c r="B350" s="552">
        <f>IF(A351&lt;=A341,A340,IF(A351&lt;=A342,A341,IF(A351&lt;=A343,A342,IF(A351&lt;=A344,A343,IF(A351&lt;=A345,A344,IF(A351&lt;=A346,A345))))))</f>
        <v>20</v>
      </c>
      <c r="C350" s="552"/>
      <c r="D350" s="553">
        <f>IF(A351&lt;=A341,B340,IF(A351&lt;=A342,B341,IF(A351&lt;=A343,B342,IF(A351&lt;=A344,B343,IF(A351&lt;=A345,B344,IF(A351&lt;=A346,B345))))))</f>
        <v>-0.1</v>
      </c>
      <c r="E350" s="358"/>
      <c r="F350" s="554"/>
      <c r="G350" s="552">
        <f>IF(F351&lt;=F341,F340,IF(F351&lt;=F342,F341,IF(F351&lt;=F343,F342,IF(F351&lt;=F344,F343,IF(F351&lt;=F345,F344,IF(F351&lt;=F346,F345))))))</f>
        <v>60</v>
      </c>
      <c r="H350" s="552"/>
      <c r="I350" s="553">
        <f>IF(F351&lt;=F341,G340,IF(F351&lt;=F342,G341,IF(F351&lt;=F343,G342,IF(F351&lt;=F344,G343,IF(F351&lt;=F345,G344,IF(F351&lt;=F346,G345))))))</f>
        <v>-0.2</v>
      </c>
      <c r="J350" s="211"/>
      <c r="K350" s="356" t="s">
        <v>222</v>
      </c>
      <c r="L350" s="563">
        <f>H351</f>
        <v>-0.20250000000000001</v>
      </c>
      <c r="M350" s="211"/>
      <c r="N350" s="211"/>
      <c r="O350" s="257"/>
      <c r="P350" s="259"/>
    </row>
    <row r="351" spans="1:16" ht="14.4" thickBot="1" x14ac:dyDescent="0.3">
      <c r="A351" s="555">
        <f>L341</f>
        <v>21</v>
      </c>
      <c r="B351" s="556"/>
      <c r="C351" s="556">
        <f>((A351-B350)/(B352-B350)*(D352-D350)+D350)</f>
        <v>-0.12000000000000001</v>
      </c>
      <c r="D351" s="557"/>
      <c r="E351" s="358"/>
      <c r="F351" s="555">
        <f>L342</f>
        <v>60.25</v>
      </c>
      <c r="G351" s="556"/>
      <c r="H351" s="556">
        <f>((F351-G350)/(G352-G350)*(I352-I350)+I350)</f>
        <v>-0.20250000000000001</v>
      </c>
      <c r="I351" s="557"/>
      <c r="J351" s="260"/>
      <c r="K351" s="260"/>
      <c r="L351" s="260"/>
      <c r="M351" s="260"/>
      <c r="N351" s="260"/>
      <c r="O351" s="261"/>
      <c r="P351" s="262"/>
    </row>
    <row r="352" spans="1:16" ht="13.8" thickBot="1" x14ac:dyDescent="0.3">
      <c r="A352" s="558"/>
      <c r="B352" s="559">
        <f>IF(A351&lt;=A341,A341,IF(A351&lt;=A342,A342,IF(A351&lt;=A343,A343,IF(A351&lt;=A344,A344,IF(A351&lt;=A345,A345,IF(A351&lt;=A346,A346))))))</f>
        <v>25</v>
      </c>
      <c r="C352" s="560"/>
      <c r="D352" s="561">
        <f>IF(A351&lt;=A341,B341,IF(A351&lt;=A342,B342,IF(A351&lt;=A343,B343,IF(A351&lt;=A344,B344,IF(A351&lt;=A345,B345,IF(A351&lt;=A346,B346))))))</f>
        <v>-0.2</v>
      </c>
      <c r="E352" s="562"/>
      <c r="F352" s="558"/>
      <c r="G352" s="559">
        <f>IF(F351&lt;=F341,F341,IF(F351&lt;=F342,F342,IF(F351&lt;=F343,F343,IF(F351&lt;=F344,F344,IF(F351&lt;=F345,F345,IF(F351&lt;=F346,F346))))))</f>
        <v>70</v>
      </c>
      <c r="H352" s="560"/>
      <c r="I352" s="561">
        <f>IF(F351&lt;=F341,G341,IF(F351&lt;=F342,G342,IF(F351&lt;=F343,G343,IF(F351&lt;=F344,G344,IF(F351&lt;=F345,G345,IF(F351&lt;=F346,G346))))))</f>
        <v>-0.3</v>
      </c>
    </row>
    <row r="355" spans="1:15" ht="13.8" thickBot="1" x14ac:dyDescent="0.3"/>
    <row r="356" spans="1:15" s="263" customFormat="1" ht="13.8" thickBot="1" x14ac:dyDescent="0.3">
      <c r="A356" s="722" t="str">
        <f>ID!B82</f>
        <v>Thermohygrobarometer, Merek : EXTECH, Model : SD700, SN : A.100618</v>
      </c>
      <c r="B356" s="723"/>
      <c r="C356" s="723"/>
      <c r="D356" s="723"/>
      <c r="E356" s="723"/>
      <c r="F356" s="723"/>
      <c r="G356" s="723"/>
      <c r="H356" s="723"/>
      <c r="I356" s="724"/>
      <c r="J356" s="724"/>
      <c r="K356" s="725"/>
      <c r="M356" s="726" t="s">
        <v>255</v>
      </c>
      <c r="N356" s="726"/>
      <c r="O356" s="726"/>
    </row>
    <row r="357" spans="1:15" s="263" customFormat="1" ht="15.6" x14ac:dyDescent="0.25">
      <c r="A357" s="264" t="s">
        <v>441</v>
      </c>
      <c r="B357" s="265"/>
      <c r="C357" s="265"/>
      <c r="D357" s="266"/>
      <c r="E357" s="266"/>
      <c r="F357" s="266"/>
      <c r="G357" s="267"/>
      <c r="H357" s="268"/>
      <c r="I357" s="269">
        <f>D4</f>
        <v>2020</v>
      </c>
      <c r="J357" s="270">
        <f>E4</f>
        <v>2017</v>
      </c>
      <c r="K357" s="271">
        <v>1</v>
      </c>
      <c r="M357" s="272" t="str">
        <f>TEXT(M341,"0.0")</f>
        <v>20.9</v>
      </c>
      <c r="N357" s="272" t="str">
        <f>TEXT(O341,"0.0")</f>
        <v>0.3</v>
      </c>
      <c r="O357" s="273" t="s">
        <v>256</v>
      </c>
    </row>
    <row r="358" spans="1:15" s="263" customFormat="1" ht="15.6" x14ac:dyDescent="0.25">
      <c r="A358" s="264" t="s">
        <v>442</v>
      </c>
      <c r="B358" s="265"/>
      <c r="C358" s="265"/>
      <c r="D358" s="266"/>
      <c r="E358" s="266"/>
      <c r="F358" s="266"/>
      <c r="G358" s="267"/>
      <c r="H358" s="268"/>
      <c r="I358" s="274">
        <f>D15</f>
        <v>2018</v>
      </c>
      <c r="J358" s="275">
        <f>E15</f>
        <v>2017</v>
      </c>
      <c r="K358" s="271">
        <v>2</v>
      </c>
      <c r="M358" s="272" t="str">
        <f>TEXT(M342,"0.0")</f>
        <v>60.0</v>
      </c>
      <c r="N358" s="272" t="str">
        <f>TEXT(O342,"0.0")</f>
        <v>1.6</v>
      </c>
      <c r="O358" s="273" t="s">
        <v>257</v>
      </c>
    </row>
    <row r="359" spans="1:15" s="263" customFormat="1" ht="15.6" x14ac:dyDescent="0.25">
      <c r="A359" s="264" t="s">
        <v>448</v>
      </c>
      <c r="B359" s="265"/>
      <c r="C359" s="265"/>
      <c r="D359" s="266"/>
      <c r="E359" s="266"/>
      <c r="F359" s="266"/>
      <c r="G359" s="267"/>
      <c r="H359" s="268"/>
      <c r="I359" s="274">
        <f>D26</f>
        <v>2018</v>
      </c>
      <c r="J359" s="275">
        <f>E26</f>
        <v>2017</v>
      </c>
      <c r="K359" s="271">
        <v>3</v>
      </c>
      <c r="M359" s="276" t="s">
        <v>258</v>
      </c>
      <c r="N359" s="277" t="s">
        <v>259</v>
      </c>
      <c r="O359" s="277" t="s">
        <v>260</v>
      </c>
    </row>
    <row r="360" spans="1:15" s="263" customFormat="1" x14ac:dyDescent="0.25">
      <c r="A360" s="264" t="s">
        <v>443</v>
      </c>
      <c r="B360" s="265"/>
      <c r="C360" s="265"/>
      <c r="D360" s="266"/>
      <c r="E360" s="266"/>
      <c r="F360" s="266"/>
      <c r="G360" s="267"/>
      <c r="H360" s="268"/>
      <c r="I360" s="274">
        <f>D37</f>
        <v>2017</v>
      </c>
      <c r="J360" s="275">
        <f>E37</f>
        <v>2015</v>
      </c>
      <c r="K360" s="271">
        <v>4</v>
      </c>
    </row>
    <row r="361" spans="1:15" s="263" customFormat="1" x14ac:dyDescent="0.25">
      <c r="A361" s="264" t="s">
        <v>444</v>
      </c>
      <c r="B361" s="265"/>
      <c r="C361" s="265"/>
      <c r="D361" s="266"/>
      <c r="E361" s="266"/>
      <c r="F361" s="266"/>
      <c r="G361" s="267"/>
      <c r="H361" s="268"/>
      <c r="I361" s="274">
        <f>D48</f>
        <v>2020</v>
      </c>
      <c r="J361" s="275">
        <f>E48</f>
        <v>2017</v>
      </c>
      <c r="K361" s="271">
        <v>5</v>
      </c>
    </row>
    <row r="362" spans="1:15" s="263" customFormat="1" x14ac:dyDescent="0.25">
      <c r="A362" s="264" t="s">
        <v>451</v>
      </c>
      <c r="B362" s="265"/>
      <c r="C362" s="265"/>
      <c r="D362" s="266"/>
      <c r="E362" s="266"/>
      <c r="F362" s="266"/>
      <c r="G362" s="267"/>
      <c r="H362" s="268"/>
      <c r="I362" s="274">
        <f>D59</f>
        <v>2019</v>
      </c>
      <c r="J362" s="275">
        <f>E59</f>
        <v>2018</v>
      </c>
      <c r="K362" s="271">
        <v>6</v>
      </c>
    </row>
    <row r="363" spans="1:15" s="263" customFormat="1" x14ac:dyDescent="0.25">
      <c r="A363" s="264" t="s">
        <v>452</v>
      </c>
      <c r="B363" s="265"/>
      <c r="C363" s="265"/>
      <c r="D363" s="266"/>
      <c r="E363" s="266"/>
      <c r="F363" s="266"/>
      <c r="G363" s="267"/>
      <c r="H363" s="268"/>
      <c r="I363" s="274">
        <f>D70</f>
        <v>2018</v>
      </c>
      <c r="J363" s="275">
        <f>E70</f>
        <v>2017</v>
      </c>
      <c r="K363" s="271">
        <v>7</v>
      </c>
    </row>
    <row r="364" spans="1:15" s="263" customFormat="1" x14ac:dyDescent="0.25">
      <c r="A364" s="264" t="s">
        <v>453</v>
      </c>
      <c r="B364" s="265"/>
      <c r="C364" s="265"/>
      <c r="D364" s="266"/>
      <c r="E364" s="266"/>
      <c r="F364" s="266"/>
      <c r="G364" s="267"/>
      <c r="H364" s="268"/>
      <c r="I364" s="274">
        <f>D81</f>
        <v>2019</v>
      </c>
      <c r="J364" s="275">
        <f>E81</f>
        <v>2017</v>
      </c>
      <c r="K364" s="271">
        <v>8</v>
      </c>
    </row>
    <row r="365" spans="1:15" s="263" customFormat="1" x14ac:dyDescent="0.25">
      <c r="A365" s="264" t="s">
        <v>454</v>
      </c>
      <c r="B365" s="265"/>
      <c r="C365" s="265"/>
      <c r="D365" s="266"/>
      <c r="E365" s="266"/>
      <c r="F365" s="266"/>
      <c r="G365" s="267"/>
      <c r="H365" s="268"/>
      <c r="I365" s="274">
        <f>D92</f>
        <v>2019</v>
      </c>
      <c r="J365" s="275" t="str">
        <f>E92</f>
        <v>-</v>
      </c>
      <c r="K365" s="271">
        <v>9</v>
      </c>
    </row>
    <row r="366" spans="1:15" s="263" customFormat="1" x14ac:dyDescent="0.25">
      <c r="A366" s="264" t="s">
        <v>261</v>
      </c>
      <c r="B366" s="265"/>
      <c r="C366" s="265"/>
      <c r="D366" s="266"/>
      <c r="E366" s="266"/>
      <c r="F366" s="266"/>
      <c r="G366" s="267"/>
      <c r="H366" s="268"/>
      <c r="I366" s="274">
        <f>D103</f>
        <v>2019</v>
      </c>
      <c r="J366" s="275">
        <f>E103</f>
        <v>2016</v>
      </c>
      <c r="K366" s="271">
        <v>10</v>
      </c>
    </row>
    <row r="367" spans="1:15" s="263" customFormat="1" x14ac:dyDescent="0.25">
      <c r="A367" s="264" t="s">
        <v>262</v>
      </c>
      <c r="B367" s="265"/>
      <c r="C367" s="265"/>
      <c r="D367" s="266"/>
      <c r="E367" s="266"/>
      <c r="F367" s="266"/>
      <c r="G367" s="267"/>
      <c r="H367" s="268"/>
      <c r="I367" s="274">
        <f>D114</f>
        <v>2020</v>
      </c>
      <c r="J367" s="275" t="str">
        <f>E114</f>
        <v>-</v>
      </c>
      <c r="K367" s="271">
        <v>11</v>
      </c>
    </row>
    <row r="368" spans="1:15" s="263" customFormat="1" x14ac:dyDescent="0.25">
      <c r="A368" s="264" t="s">
        <v>455</v>
      </c>
      <c r="B368" s="265"/>
      <c r="C368" s="265"/>
      <c r="D368" s="266"/>
      <c r="E368" s="266"/>
      <c r="F368" s="266"/>
      <c r="G368" s="267"/>
      <c r="H368" s="268"/>
      <c r="I368" s="278">
        <f>D125</f>
        <v>2020</v>
      </c>
      <c r="J368" s="278" t="str">
        <f>E125</f>
        <v>-</v>
      </c>
      <c r="K368" s="271">
        <v>12</v>
      </c>
    </row>
    <row r="369" spans="1:11" s="263" customFormat="1" x14ac:dyDescent="0.25">
      <c r="A369" s="264" t="s">
        <v>456</v>
      </c>
      <c r="B369" s="265"/>
      <c r="C369" s="265"/>
      <c r="D369" s="266"/>
      <c r="E369" s="266"/>
      <c r="F369" s="266"/>
      <c r="G369" s="267"/>
      <c r="H369" s="268"/>
      <c r="I369" s="278">
        <f>D136</f>
        <v>2020</v>
      </c>
      <c r="J369" s="278" t="str">
        <f>E136</f>
        <v>-</v>
      </c>
      <c r="K369" s="271">
        <v>13</v>
      </c>
    </row>
    <row r="370" spans="1:11" s="263" customFormat="1" x14ac:dyDescent="0.25">
      <c r="A370" s="264" t="s">
        <v>457</v>
      </c>
      <c r="B370" s="265"/>
      <c r="C370" s="265"/>
      <c r="D370" s="266"/>
      <c r="E370" s="266"/>
      <c r="F370" s="266"/>
      <c r="G370" s="267"/>
      <c r="H370" s="268"/>
      <c r="I370" s="278">
        <f>D147</f>
        <v>2020</v>
      </c>
      <c r="J370" s="278" t="str">
        <f>E147</f>
        <v>-</v>
      </c>
      <c r="K370" s="271">
        <v>14</v>
      </c>
    </row>
    <row r="371" spans="1:11" s="263" customFormat="1" x14ac:dyDescent="0.25">
      <c r="A371" s="264" t="s">
        <v>458</v>
      </c>
      <c r="B371" s="265"/>
      <c r="C371" s="265"/>
      <c r="D371" s="266"/>
      <c r="E371" s="266"/>
      <c r="F371" s="266"/>
      <c r="G371" s="267"/>
      <c r="H371" s="268"/>
      <c r="I371" s="278">
        <f>D158</f>
        <v>2020</v>
      </c>
      <c r="J371" s="278" t="str">
        <f>E158</f>
        <v>-</v>
      </c>
      <c r="K371" s="271">
        <v>15</v>
      </c>
    </row>
    <row r="372" spans="1:11" s="263" customFormat="1" x14ac:dyDescent="0.25">
      <c r="A372" s="264" t="s">
        <v>459</v>
      </c>
      <c r="B372" s="265"/>
      <c r="C372" s="265"/>
      <c r="D372" s="266"/>
      <c r="E372" s="266"/>
      <c r="F372" s="266"/>
      <c r="G372" s="267"/>
      <c r="H372" s="268"/>
      <c r="I372" s="278">
        <f>D169</f>
        <v>2020</v>
      </c>
      <c r="J372" s="278" t="str">
        <f>E169</f>
        <v>-</v>
      </c>
      <c r="K372" s="271">
        <v>16</v>
      </c>
    </row>
    <row r="373" spans="1:11" s="263" customFormat="1" x14ac:dyDescent="0.25">
      <c r="A373" s="264" t="s">
        <v>460</v>
      </c>
      <c r="B373" s="265"/>
      <c r="C373" s="265"/>
      <c r="D373" s="266"/>
      <c r="E373" s="266"/>
      <c r="F373" s="266"/>
      <c r="G373" s="267"/>
      <c r="H373" s="268"/>
      <c r="I373" s="278">
        <f>D180</f>
        <v>2020</v>
      </c>
      <c r="J373" s="278" t="str">
        <f>E180</f>
        <v>-</v>
      </c>
      <c r="K373" s="271">
        <v>17</v>
      </c>
    </row>
    <row r="374" spans="1:11" s="263" customFormat="1" ht="13.8" thickBot="1" x14ac:dyDescent="0.3">
      <c r="A374" s="264" t="s">
        <v>461</v>
      </c>
      <c r="B374" s="265"/>
      <c r="C374" s="265"/>
      <c r="D374" s="266"/>
      <c r="E374" s="266"/>
      <c r="F374" s="266"/>
      <c r="G374" s="267"/>
      <c r="H374" s="268"/>
      <c r="I374" s="279">
        <f>D191</f>
        <v>2017</v>
      </c>
      <c r="J374" s="280" t="str">
        <f>E191</f>
        <v>-</v>
      </c>
      <c r="K374" s="271">
        <v>18</v>
      </c>
    </row>
    <row r="375" spans="1:11" s="263" customFormat="1" ht="13.8" thickBot="1" x14ac:dyDescent="0.3">
      <c r="A375" s="727">
        <f>VLOOKUP(A356,A357:K374,11,(FALSE))</f>
        <v>17</v>
      </c>
      <c r="B375" s="728"/>
      <c r="C375" s="728"/>
      <c r="D375" s="728"/>
      <c r="E375" s="728"/>
      <c r="F375" s="728"/>
      <c r="G375" s="728"/>
      <c r="H375" s="728"/>
      <c r="I375" s="729"/>
      <c r="J375" s="729"/>
      <c r="K375" s="730"/>
    </row>
  </sheetData>
  <mergeCells count="266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K348:L348"/>
    <mergeCell ref="A349:D349"/>
    <mergeCell ref="F349:I3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2:Q49"/>
  <sheetViews>
    <sheetView topLeftCell="B1" zoomScale="55" zoomScaleNormal="55" workbookViewId="0">
      <selection activeCell="L15" sqref="L15"/>
    </sheetView>
  </sheetViews>
  <sheetFormatPr defaultRowHeight="14.4" x14ac:dyDescent="0.3"/>
  <cols>
    <col min="9" max="9" width="10.21875" bestFit="1" customWidth="1"/>
  </cols>
  <sheetData>
    <row r="2" spans="1:17" x14ac:dyDescent="0.3">
      <c r="A2" t="s">
        <v>328</v>
      </c>
    </row>
    <row r="4" spans="1:17" x14ac:dyDescent="0.3">
      <c r="A4" t="s">
        <v>128</v>
      </c>
    </row>
    <row r="5" spans="1:17" x14ac:dyDescent="0.3">
      <c r="A5" t="s">
        <v>329</v>
      </c>
    </row>
    <row r="7" spans="1:17" ht="15.6" x14ac:dyDescent="0.3">
      <c r="A7" s="119" t="s">
        <v>330</v>
      </c>
      <c r="B7" s="77"/>
      <c r="C7" s="77"/>
      <c r="D7" s="77"/>
      <c r="E7" s="77"/>
      <c r="F7" s="77"/>
      <c r="G7" s="77"/>
      <c r="H7" s="77"/>
      <c r="I7" s="77" t="str">
        <f>ID!B81</f>
        <v>Anak Timbangan Standar, Merek : HÄFNER, Tipe : 9.XNHM-810, SN : 6580920</v>
      </c>
      <c r="J7" s="77"/>
      <c r="K7" s="77"/>
      <c r="L7" s="77"/>
    </row>
    <row r="8" spans="1:17" ht="15.6" x14ac:dyDescent="0.3">
      <c r="A8" s="119" t="s">
        <v>331</v>
      </c>
      <c r="B8" s="77"/>
      <c r="C8" s="77"/>
      <c r="D8" s="77"/>
      <c r="E8" s="77"/>
      <c r="F8" s="77"/>
      <c r="G8" s="77"/>
      <c r="H8" s="77"/>
      <c r="I8" s="130" t="str">
        <f>'Sertifikat Anak'!J241</f>
        <v>Anak Timbangan Standar, Merek : HÄFNER, Tipe : 8.XFHM-810, SN : 8990616</v>
      </c>
      <c r="J8" s="77"/>
      <c r="K8" s="77"/>
      <c r="L8" s="77"/>
      <c r="Q8" s="76" t="s">
        <v>111</v>
      </c>
    </row>
    <row r="9" spans="1:17" x14ac:dyDescent="0.3">
      <c r="I9" s="130" t="str">
        <f>'Sertifikat Anak'!J242</f>
        <v>Anak Timbangan Standar, Merek : HÄFNER, Tipe : 9.XNHM-810, SN : 6580920</v>
      </c>
      <c r="Q9" s="354" t="s">
        <v>334</v>
      </c>
    </row>
    <row r="10" spans="1:17" x14ac:dyDescent="0.3">
      <c r="A10" t="s">
        <v>332</v>
      </c>
      <c r="G10">
        <v>500</v>
      </c>
      <c r="I10" s="130" t="str">
        <f>'Sertifikat Anak'!J243</f>
        <v>Anak Timbangan Standar, Merek : HÄFNER, Tipe : 8.XFHM-810, SN : 6180321</v>
      </c>
      <c r="Q10" s="354" t="s">
        <v>334</v>
      </c>
    </row>
    <row r="11" spans="1:17" x14ac:dyDescent="0.3">
      <c r="A11" t="s">
        <v>333</v>
      </c>
      <c r="G11">
        <v>100</v>
      </c>
      <c r="I11" t="str">
        <f>VLOOKUP(I7,I8:Q10,9,FALSE)</f>
        <v>Hasil pengujian kinerja timbangan bayi tertelusur ke Satuan Internasional ( SI ) melalui MASSCAL - Jerman</v>
      </c>
    </row>
    <row r="13" spans="1:17" x14ac:dyDescent="0.3">
      <c r="A13" t="e">
        <f>VLOOKUP(A14,A10:G11,7,FALSE)</f>
        <v>#REF!</v>
      </c>
    </row>
    <row r="14" spans="1:17" x14ac:dyDescent="0.3">
      <c r="A14" t="e">
        <f>ID!#REF!</f>
        <v>#REF!</v>
      </c>
    </row>
    <row r="19" spans="1:1" x14ac:dyDescent="0.3">
      <c r="A19" s="78" t="s">
        <v>113</v>
      </c>
    </row>
    <row r="20" spans="1:1" x14ac:dyDescent="0.3">
      <c r="A20" s="78" t="s">
        <v>335</v>
      </c>
    </row>
    <row r="25" spans="1:1" x14ac:dyDescent="0.3">
      <c r="A25" s="363" t="s">
        <v>405</v>
      </c>
    </row>
    <row r="26" spans="1:1" x14ac:dyDescent="0.3">
      <c r="A26" s="363" t="s">
        <v>336</v>
      </c>
    </row>
    <row r="27" spans="1:1" x14ac:dyDescent="0.3">
      <c r="A27" s="363" t="s">
        <v>406</v>
      </c>
    </row>
    <row r="28" spans="1:1" x14ac:dyDescent="0.3">
      <c r="A28" s="363" t="s">
        <v>211</v>
      </c>
    </row>
    <row r="29" spans="1:1" x14ac:dyDescent="0.3">
      <c r="A29" s="363" t="s">
        <v>337</v>
      </c>
    </row>
    <row r="30" spans="1:1" x14ac:dyDescent="0.3">
      <c r="A30" s="363" t="s">
        <v>338</v>
      </c>
    </row>
    <row r="31" spans="1:1" x14ac:dyDescent="0.3">
      <c r="A31" s="363" t="s">
        <v>339</v>
      </c>
    </row>
    <row r="32" spans="1:1" x14ac:dyDescent="0.3">
      <c r="A32" s="363" t="s">
        <v>340</v>
      </c>
    </row>
    <row r="33" spans="1:10" x14ac:dyDescent="0.3">
      <c r="A33" s="363" t="s">
        <v>341</v>
      </c>
    </row>
    <row r="34" spans="1:10" x14ac:dyDescent="0.3">
      <c r="A34" s="363" t="s">
        <v>407</v>
      </c>
    </row>
    <row r="35" spans="1:10" x14ac:dyDescent="0.3">
      <c r="A35" s="363" t="s">
        <v>342</v>
      </c>
    </row>
    <row r="36" spans="1:10" x14ac:dyDescent="0.3">
      <c r="A36" s="363" t="s">
        <v>408</v>
      </c>
    </row>
    <row r="37" spans="1:10" x14ac:dyDescent="0.3">
      <c r="A37" s="363" t="s">
        <v>343</v>
      </c>
    </row>
    <row r="38" spans="1:10" x14ac:dyDescent="0.3">
      <c r="A38" s="363" t="s">
        <v>344</v>
      </c>
    </row>
    <row r="39" spans="1:10" x14ac:dyDescent="0.3">
      <c r="A39" s="363" t="s">
        <v>155</v>
      </c>
    </row>
    <row r="40" spans="1:10" x14ac:dyDescent="0.3">
      <c r="A40" s="363" t="s">
        <v>345</v>
      </c>
    </row>
    <row r="41" spans="1:10" x14ac:dyDescent="0.3">
      <c r="A41" s="363" t="s">
        <v>409</v>
      </c>
    </row>
    <row r="42" spans="1:10" x14ac:dyDescent="0.3">
      <c r="A42" s="363" t="s">
        <v>346</v>
      </c>
    </row>
    <row r="43" spans="1:10" x14ac:dyDescent="0.3">
      <c r="A43" s="363" t="s">
        <v>410</v>
      </c>
    </row>
    <row r="44" spans="1:10" x14ac:dyDescent="0.3">
      <c r="A44" s="363" t="s">
        <v>411</v>
      </c>
    </row>
    <row r="45" spans="1:10" x14ac:dyDescent="0.3">
      <c r="A45" s="363" t="s">
        <v>347</v>
      </c>
    </row>
    <row r="46" spans="1:10" x14ac:dyDescent="0.3">
      <c r="A46" s="363" t="s">
        <v>348</v>
      </c>
      <c r="J46" t="s">
        <v>350</v>
      </c>
    </row>
    <row r="47" spans="1:10" x14ac:dyDescent="0.3">
      <c r="A47" s="363" t="s">
        <v>412</v>
      </c>
    </row>
    <row r="48" spans="1:10" x14ac:dyDescent="0.3">
      <c r="A48" s="363" t="s">
        <v>349</v>
      </c>
    </row>
    <row r="49" spans="1:1" x14ac:dyDescent="0.3">
      <c r="A49" s="363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9"/>
  <sheetViews>
    <sheetView view="pageBreakPreview" zoomScale="90" zoomScaleNormal="100" zoomScaleSheetLayoutView="90" workbookViewId="0">
      <selection activeCell="I14" sqref="I14"/>
    </sheetView>
  </sheetViews>
  <sheetFormatPr defaultColWidth="9.21875" defaultRowHeight="13.8" x14ac:dyDescent="0.25"/>
  <cols>
    <col min="1" max="1" width="3.44140625" style="38" customWidth="1"/>
    <col min="2" max="2" width="18" style="38" customWidth="1"/>
    <col min="3" max="3" width="12.21875" style="38" customWidth="1"/>
    <col min="4" max="4" width="16.21875" style="38" customWidth="1"/>
    <col min="5" max="5" width="10.44140625" style="38" customWidth="1"/>
    <col min="6" max="6" width="11.21875" style="38" customWidth="1"/>
    <col min="7" max="7" width="14.21875" style="38" customWidth="1"/>
    <col min="8" max="8" width="15.44140625" style="38" customWidth="1"/>
    <col min="9" max="9" width="15.77734375" style="38" customWidth="1"/>
    <col min="10" max="10" width="14" style="38" customWidth="1"/>
    <col min="11" max="11" width="11.77734375" style="38" customWidth="1"/>
    <col min="12" max="12" width="28.21875" style="38" customWidth="1"/>
    <col min="13" max="13" width="9.5546875" style="38" customWidth="1"/>
    <col min="14" max="14" width="9.77734375" style="38" customWidth="1"/>
    <col min="15" max="15" width="11.44140625" style="38" customWidth="1"/>
    <col min="16" max="16" width="9.21875" style="38"/>
    <col min="17" max="17" width="11.5546875" style="38" customWidth="1"/>
    <col min="18" max="16384" width="9.21875" style="38"/>
  </cols>
  <sheetData>
    <row r="1" spans="1:11" ht="16.5" customHeight="1" x14ac:dyDescent="0.25">
      <c r="A1" s="579" t="s">
        <v>30</v>
      </c>
      <c r="B1" s="579"/>
      <c r="C1" s="579"/>
      <c r="D1" s="579"/>
      <c r="E1" s="579"/>
      <c r="F1" s="579"/>
      <c r="G1" s="579"/>
      <c r="H1" s="579"/>
      <c r="I1" s="579"/>
      <c r="J1" s="37"/>
    </row>
    <row r="2" spans="1:11" ht="15.6" x14ac:dyDescent="0.3">
      <c r="A2" s="580" t="s">
        <v>31</v>
      </c>
      <c r="B2" s="580"/>
      <c r="C2" s="580"/>
      <c r="D2" s="580"/>
      <c r="E2" s="580"/>
      <c r="F2" s="580"/>
      <c r="G2" s="580"/>
      <c r="H2" s="580"/>
      <c r="I2" s="580"/>
      <c r="J2" s="39"/>
    </row>
    <row r="3" spans="1:11" ht="15" customHeight="1" x14ac:dyDescent="0.25"/>
    <row r="4" spans="1:11" ht="17.25" customHeight="1" x14ac:dyDescent="0.25">
      <c r="A4" s="38" t="s">
        <v>32</v>
      </c>
      <c r="C4" s="40" t="s">
        <v>33</v>
      </c>
      <c r="I4" s="41"/>
      <c r="J4" s="42"/>
    </row>
    <row r="5" spans="1:11" ht="15" customHeight="1" x14ac:dyDescent="0.25">
      <c r="A5" s="38" t="s">
        <v>34</v>
      </c>
      <c r="C5" s="40" t="s">
        <v>33</v>
      </c>
      <c r="D5" s="43"/>
      <c r="E5" s="43"/>
      <c r="F5" s="43"/>
      <c r="H5" s="42"/>
      <c r="I5" s="44"/>
      <c r="J5" s="45"/>
      <c r="K5" s="42"/>
    </row>
    <row r="6" spans="1:11" ht="14.25" customHeight="1" x14ac:dyDescent="0.25">
      <c r="A6" s="38" t="s">
        <v>35</v>
      </c>
      <c r="C6" s="40" t="s">
        <v>33</v>
      </c>
      <c r="D6" s="43"/>
      <c r="E6" s="43"/>
      <c r="F6" s="43"/>
      <c r="H6" s="42"/>
      <c r="I6" s="46"/>
      <c r="J6" s="45"/>
      <c r="K6" s="42"/>
    </row>
    <row r="7" spans="1:11" ht="14.25" customHeight="1" x14ac:dyDescent="0.25">
      <c r="A7" s="38" t="s">
        <v>36</v>
      </c>
      <c r="C7" s="40" t="s">
        <v>33</v>
      </c>
      <c r="D7" s="43"/>
      <c r="E7" s="43" t="s">
        <v>10</v>
      </c>
      <c r="F7" s="43"/>
      <c r="H7" s="42"/>
      <c r="I7" s="46"/>
      <c r="J7" s="45"/>
      <c r="K7" s="42"/>
    </row>
    <row r="8" spans="1:11" ht="16.5" customHeight="1" x14ac:dyDescent="0.25">
      <c r="A8" s="38" t="s">
        <v>37</v>
      </c>
      <c r="C8" s="40" t="s">
        <v>33</v>
      </c>
      <c r="D8" s="43"/>
      <c r="E8" s="43" t="s">
        <v>10</v>
      </c>
      <c r="F8" s="43"/>
      <c r="H8" s="42"/>
      <c r="I8" s="46"/>
      <c r="J8" s="45"/>
      <c r="K8" s="42"/>
    </row>
    <row r="9" spans="1:11" ht="18" customHeight="1" x14ac:dyDescent="0.25">
      <c r="A9" s="38" t="s">
        <v>38</v>
      </c>
      <c r="C9" s="40" t="s">
        <v>33</v>
      </c>
      <c r="D9" s="43"/>
      <c r="E9" s="43"/>
      <c r="F9" s="43"/>
      <c r="H9" s="42"/>
      <c r="I9" s="46"/>
      <c r="J9" s="45"/>
      <c r="K9" s="42"/>
    </row>
    <row r="10" spans="1:11" ht="15" customHeight="1" x14ac:dyDescent="0.25">
      <c r="A10" s="38" t="s">
        <v>39</v>
      </c>
      <c r="C10" s="40" t="s">
        <v>33</v>
      </c>
      <c r="D10" s="43"/>
      <c r="E10" s="43"/>
      <c r="F10" s="43"/>
      <c r="H10" s="42"/>
      <c r="I10" s="44"/>
      <c r="J10" s="45"/>
      <c r="K10" s="42"/>
    </row>
    <row r="11" spans="1:11" ht="18" customHeight="1" x14ac:dyDescent="0.25">
      <c r="A11" s="38" t="s">
        <v>40</v>
      </c>
      <c r="C11" s="40" t="s">
        <v>33</v>
      </c>
      <c r="D11" s="43"/>
      <c r="E11" s="43"/>
      <c r="F11" s="43"/>
    </row>
    <row r="12" spans="1:11" ht="20.100000000000001" customHeight="1" x14ac:dyDescent="0.25">
      <c r="A12" s="38" t="s">
        <v>41</v>
      </c>
      <c r="C12" s="40" t="s">
        <v>33</v>
      </c>
      <c r="D12" s="47"/>
      <c r="E12" s="47"/>
      <c r="F12" s="47"/>
    </row>
    <row r="13" spans="1:11" ht="17.25" customHeight="1" x14ac:dyDescent="0.25"/>
    <row r="14" spans="1:11" x14ac:dyDescent="0.25">
      <c r="A14" s="48" t="s">
        <v>42</v>
      </c>
      <c r="B14" s="39" t="s">
        <v>43</v>
      </c>
    </row>
    <row r="15" spans="1:11" x14ac:dyDescent="0.25">
      <c r="B15" s="38" t="s">
        <v>44</v>
      </c>
      <c r="C15" s="40" t="s">
        <v>33</v>
      </c>
      <c r="D15" s="38" t="s">
        <v>45</v>
      </c>
      <c r="E15" s="40" t="s">
        <v>46</v>
      </c>
    </row>
    <row r="16" spans="1:11" x14ac:dyDescent="0.25">
      <c r="B16" s="38" t="s">
        <v>47</v>
      </c>
      <c r="C16" s="40" t="s">
        <v>33</v>
      </c>
      <c r="D16" s="38" t="s">
        <v>45</v>
      </c>
      <c r="E16" s="40" t="s">
        <v>46</v>
      </c>
    </row>
    <row r="17" spans="1:14" ht="10.5" customHeight="1" x14ac:dyDescent="0.25"/>
    <row r="18" spans="1:14" ht="16.5" customHeight="1" x14ac:dyDescent="0.25">
      <c r="A18" s="39" t="s">
        <v>48</v>
      </c>
      <c r="B18" s="39" t="s">
        <v>49</v>
      </c>
      <c r="K18" s="49"/>
      <c r="L18" s="49"/>
      <c r="M18" s="50"/>
      <c r="N18" s="49"/>
    </row>
    <row r="19" spans="1:14" x14ac:dyDescent="0.25">
      <c r="B19" s="38" t="s">
        <v>50</v>
      </c>
      <c r="C19" s="40" t="s">
        <v>33</v>
      </c>
      <c r="D19" s="38" t="s">
        <v>51</v>
      </c>
      <c r="M19" s="51"/>
      <c r="N19" s="52"/>
    </row>
    <row r="20" spans="1:14" x14ac:dyDescent="0.25">
      <c r="B20" s="38" t="s">
        <v>52</v>
      </c>
      <c r="C20" s="40" t="s">
        <v>33</v>
      </c>
      <c r="D20" s="38" t="s">
        <v>51</v>
      </c>
      <c r="M20" s="51"/>
      <c r="N20" s="52"/>
    </row>
    <row r="21" spans="1:14" ht="5.25" customHeight="1" x14ac:dyDescent="0.25">
      <c r="C21" s="40"/>
      <c r="M21" s="51"/>
      <c r="N21" s="52"/>
    </row>
    <row r="22" spans="1:14" ht="3.75" customHeight="1" x14ac:dyDescent="0.25">
      <c r="C22" s="40"/>
      <c r="M22" s="51"/>
      <c r="N22" s="52"/>
    </row>
    <row r="23" spans="1:14" x14ac:dyDescent="0.25">
      <c r="A23" s="39" t="s">
        <v>53</v>
      </c>
      <c r="B23" s="39" t="s">
        <v>54</v>
      </c>
      <c r="M23" s="51"/>
      <c r="N23" s="52"/>
    </row>
    <row r="24" spans="1:14" x14ac:dyDescent="0.25">
      <c r="A24" s="39"/>
      <c r="B24" s="39"/>
      <c r="M24" s="51"/>
      <c r="N24" s="52"/>
    </row>
    <row r="25" spans="1:14" ht="15.6" x14ac:dyDescent="0.3">
      <c r="B25" s="39" t="s">
        <v>55</v>
      </c>
      <c r="M25" s="51"/>
      <c r="N25" s="52"/>
    </row>
    <row r="26" spans="1:14" x14ac:dyDescent="0.25">
      <c r="B26" s="575" t="s">
        <v>56</v>
      </c>
      <c r="C26" s="575"/>
      <c r="D26" s="575"/>
      <c r="F26" s="576" t="s">
        <v>57</v>
      </c>
      <c r="G26" s="577"/>
      <c r="H26" s="578"/>
      <c r="J26" s="37"/>
      <c r="K26" s="37"/>
      <c r="L26" s="52"/>
    </row>
    <row r="27" spans="1:14" x14ac:dyDescent="0.25">
      <c r="B27" s="53" t="s">
        <v>58</v>
      </c>
      <c r="C27" s="53" t="s">
        <v>59</v>
      </c>
      <c r="D27" s="53" t="s">
        <v>60</v>
      </c>
      <c r="F27" s="54" t="s">
        <v>58</v>
      </c>
      <c r="G27" s="53" t="s">
        <v>59</v>
      </c>
      <c r="H27" s="53" t="s">
        <v>60</v>
      </c>
      <c r="J27" s="37"/>
      <c r="K27" s="37"/>
    </row>
    <row r="28" spans="1:14" x14ac:dyDescent="0.25">
      <c r="B28" s="55">
        <v>1</v>
      </c>
      <c r="C28" s="56"/>
      <c r="D28" s="56"/>
      <c r="F28" s="55">
        <v>1</v>
      </c>
      <c r="G28" s="56"/>
      <c r="H28" s="56"/>
      <c r="J28" s="37"/>
      <c r="K28" s="37"/>
    </row>
    <row r="29" spans="1:14" x14ac:dyDescent="0.25">
      <c r="B29" s="55">
        <v>2</v>
      </c>
      <c r="C29" s="56"/>
      <c r="D29" s="56"/>
      <c r="F29" s="55">
        <v>2</v>
      </c>
      <c r="G29" s="56"/>
      <c r="H29" s="56"/>
      <c r="J29" s="37"/>
      <c r="K29" s="37"/>
    </row>
    <row r="30" spans="1:14" x14ac:dyDescent="0.25">
      <c r="B30" s="55">
        <v>3</v>
      </c>
      <c r="C30" s="56"/>
      <c r="D30" s="56"/>
      <c r="F30" s="55">
        <v>3</v>
      </c>
      <c r="G30" s="56"/>
      <c r="H30" s="56"/>
      <c r="J30" s="37"/>
      <c r="K30" s="37"/>
    </row>
    <row r="31" spans="1:14" x14ac:dyDescent="0.25">
      <c r="B31" s="55">
        <v>4</v>
      </c>
      <c r="C31" s="56"/>
      <c r="D31" s="56"/>
      <c r="F31" s="55">
        <v>4</v>
      </c>
      <c r="G31" s="56"/>
      <c r="H31" s="56"/>
      <c r="J31" s="37"/>
      <c r="K31" s="37"/>
    </row>
    <row r="32" spans="1:14" x14ac:dyDescent="0.25">
      <c r="B32" s="55">
        <v>5</v>
      </c>
      <c r="C32" s="56"/>
      <c r="D32" s="56"/>
      <c r="F32" s="55">
        <v>5</v>
      </c>
      <c r="G32" s="56"/>
      <c r="H32" s="56"/>
    </row>
    <row r="33" spans="2:10" x14ac:dyDescent="0.25">
      <c r="B33" s="55">
        <v>6</v>
      </c>
      <c r="C33" s="56"/>
      <c r="D33" s="56"/>
      <c r="F33" s="55">
        <v>6</v>
      </c>
      <c r="G33" s="56"/>
      <c r="H33" s="56"/>
    </row>
    <row r="34" spans="2:10" x14ac:dyDescent="0.25">
      <c r="B34" s="55">
        <v>7</v>
      </c>
      <c r="C34" s="56"/>
      <c r="D34" s="56"/>
      <c r="F34" s="55">
        <v>7</v>
      </c>
      <c r="G34" s="56"/>
      <c r="H34" s="56"/>
    </row>
    <row r="35" spans="2:10" x14ac:dyDescent="0.25">
      <c r="B35" s="55">
        <v>8</v>
      </c>
      <c r="C35" s="56"/>
      <c r="D35" s="56"/>
      <c r="F35" s="55">
        <v>8</v>
      </c>
      <c r="G35" s="56"/>
      <c r="H35" s="56"/>
    </row>
    <row r="36" spans="2:10" x14ac:dyDescent="0.25">
      <c r="B36" s="55">
        <v>9</v>
      </c>
      <c r="C36" s="56"/>
      <c r="D36" s="56"/>
      <c r="F36" s="55">
        <v>9</v>
      </c>
      <c r="G36" s="56"/>
      <c r="H36" s="56"/>
    </row>
    <row r="37" spans="2:10" x14ac:dyDescent="0.25">
      <c r="B37" s="55">
        <v>10</v>
      </c>
      <c r="C37" s="56"/>
      <c r="D37" s="56"/>
      <c r="F37" s="55">
        <v>10</v>
      </c>
      <c r="G37" s="56"/>
      <c r="H37" s="56"/>
    </row>
    <row r="38" spans="2:10" ht="4.5" customHeight="1" x14ac:dyDescent="0.25">
      <c r="B38" s="49"/>
      <c r="C38" s="57"/>
      <c r="D38" s="57"/>
      <c r="E38" s="57"/>
      <c r="G38" s="49"/>
      <c r="H38" s="57"/>
      <c r="I38" s="57"/>
      <c r="J38" s="57"/>
    </row>
    <row r="39" spans="2:10" ht="9" customHeight="1" x14ac:dyDescent="0.25">
      <c r="B39" s="49"/>
      <c r="C39" s="57"/>
      <c r="D39" s="57"/>
      <c r="E39" s="57"/>
      <c r="G39" s="49"/>
      <c r="H39" s="57"/>
      <c r="I39" s="57"/>
      <c r="J39" s="57"/>
    </row>
    <row r="40" spans="2:10" x14ac:dyDescent="0.25">
      <c r="B40" s="39" t="s">
        <v>61</v>
      </c>
      <c r="C40" s="57"/>
      <c r="D40" s="57"/>
    </row>
    <row r="41" spans="2:10" ht="29.25" customHeight="1" x14ac:dyDescent="0.25">
      <c r="B41" s="53" t="s">
        <v>62</v>
      </c>
      <c r="C41" s="58" t="s">
        <v>63</v>
      </c>
      <c r="D41" s="58" t="s">
        <v>64</v>
      </c>
      <c r="E41" s="53" t="s">
        <v>65</v>
      </c>
      <c r="F41" s="53" t="s">
        <v>66</v>
      </c>
      <c r="G41" s="59" t="s">
        <v>67</v>
      </c>
      <c r="H41" s="37"/>
      <c r="I41" s="37"/>
    </row>
    <row r="42" spans="2:10" x14ac:dyDescent="0.25">
      <c r="B42" s="55">
        <v>20</v>
      </c>
      <c r="C42" s="56"/>
      <c r="D42" s="56"/>
      <c r="E42" s="56"/>
      <c r="F42" s="56"/>
      <c r="G42" s="60"/>
      <c r="H42" s="37"/>
      <c r="I42" s="37"/>
    </row>
    <row r="43" spans="2:10" x14ac:dyDescent="0.25">
      <c r="B43" s="55">
        <v>40</v>
      </c>
      <c r="C43" s="56"/>
      <c r="D43" s="56"/>
      <c r="E43" s="56"/>
      <c r="F43" s="56"/>
      <c r="G43" s="60"/>
      <c r="H43" s="37"/>
      <c r="I43" s="37"/>
    </row>
    <row r="44" spans="2:10" x14ac:dyDescent="0.25">
      <c r="B44" s="55">
        <v>60</v>
      </c>
      <c r="C44" s="56"/>
      <c r="D44" s="56"/>
      <c r="E44" s="56"/>
      <c r="F44" s="56"/>
      <c r="G44" s="60"/>
      <c r="H44" s="37"/>
      <c r="I44" s="37"/>
    </row>
    <row r="45" spans="2:10" x14ac:dyDescent="0.25">
      <c r="B45" s="55">
        <v>80</v>
      </c>
      <c r="C45" s="56"/>
      <c r="D45" s="56"/>
      <c r="E45" s="56"/>
      <c r="F45" s="56"/>
      <c r="G45" s="60"/>
      <c r="H45" s="37"/>
      <c r="I45" s="37"/>
    </row>
    <row r="46" spans="2:10" x14ac:dyDescent="0.25">
      <c r="B46" s="55">
        <v>100</v>
      </c>
      <c r="C46" s="56"/>
      <c r="D46" s="56"/>
      <c r="E46" s="56"/>
      <c r="F46" s="56"/>
      <c r="G46" s="60"/>
      <c r="H46" s="37"/>
      <c r="I46" s="37"/>
    </row>
    <row r="47" spans="2:10" x14ac:dyDescent="0.25">
      <c r="B47" s="55">
        <v>120</v>
      </c>
      <c r="C47" s="56"/>
      <c r="D47" s="56"/>
      <c r="E47" s="56"/>
      <c r="F47" s="56"/>
      <c r="G47" s="60"/>
      <c r="H47" s="37"/>
      <c r="I47" s="37"/>
    </row>
    <row r="48" spans="2:10" x14ac:dyDescent="0.25">
      <c r="B48" s="55">
        <v>140</v>
      </c>
      <c r="C48" s="56"/>
      <c r="D48" s="56"/>
      <c r="E48" s="56"/>
      <c r="F48" s="56"/>
      <c r="G48" s="60"/>
      <c r="H48" s="37"/>
      <c r="I48" s="37"/>
    </row>
    <row r="49" spans="2:14" x14ac:dyDescent="0.25">
      <c r="B49" s="55">
        <v>160</v>
      </c>
      <c r="C49" s="56"/>
      <c r="D49" s="56"/>
      <c r="E49" s="56"/>
      <c r="F49" s="56"/>
      <c r="G49" s="60"/>
      <c r="H49" s="37"/>
      <c r="I49" s="37"/>
    </row>
    <row r="50" spans="2:14" x14ac:dyDescent="0.25">
      <c r="B50" s="55">
        <v>180</v>
      </c>
      <c r="C50" s="56"/>
      <c r="D50" s="56"/>
      <c r="E50" s="56"/>
      <c r="F50" s="56"/>
      <c r="G50" s="60"/>
      <c r="H50" s="37"/>
      <c r="I50" s="37"/>
    </row>
    <row r="51" spans="2:14" x14ac:dyDescent="0.25">
      <c r="B51" s="55">
        <v>200</v>
      </c>
      <c r="C51" s="56"/>
      <c r="D51" s="56"/>
      <c r="E51" s="56"/>
      <c r="F51" s="56"/>
      <c r="G51" s="60"/>
      <c r="H51" s="37"/>
      <c r="I51" s="37"/>
    </row>
    <row r="52" spans="2:14" ht="15.75" customHeight="1" x14ac:dyDescent="0.25">
      <c r="B52" s="71" t="s">
        <v>68</v>
      </c>
      <c r="C52" s="72" t="s">
        <v>69</v>
      </c>
      <c r="D52" s="57"/>
      <c r="E52" s="57"/>
      <c r="F52" s="57"/>
      <c r="G52" s="42"/>
      <c r="K52" s="42"/>
      <c r="L52" s="51"/>
      <c r="M52" s="52"/>
    </row>
    <row r="53" spans="2:14" ht="8.25" customHeight="1" x14ac:dyDescent="0.25">
      <c r="C53" s="57"/>
      <c r="D53" s="57"/>
      <c r="E53" s="57"/>
      <c r="F53" s="57"/>
      <c r="G53" s="42"/>
      <c r="K53" s="42"/>
      <c r="L53" s="51"/>
      <c r="M53" s="52"/>
    </row>
    <row r="54" spans="2:14" ht="14.25" customHeight="1" x14ac:dyDescent="0.25">
      <c r="B54" s="39" t="s">
        <v>70</v>
      </c>
      <c r="C54" s="57"/>
      <c r="D54" s="57"/>
      <c r="E54" s="57"/>
      <c r="F54" s="57"/>
      <c r="G54" s="42"/>
      <c r="K54" s="42"/>
      <c r="L54" s="51"/>
      <c r="M54" s="52"/>
    </row>
    <row r="55" spans="2:14" ht="27" customHeight="1" x14ac:dyDescent="0.25">
      <c r="B55" s="53" t="s">
        <v>71</v>
      </c>
      <c r="C55" s="58" t="s">
        <v>63</v>
      </c>
      <c r="D55" s="58" t="s">
        <v>64</v>
      </c>
      <c r="E55" s="53" t="s">
        <v>72</v>
      </c>
      <c r="F55" s="53" t="s">
        <v>65</v>
      </c>
      <c r="G55" s="53" t="s">
        <v>66</v>
      </c>
      <c r="H55" s="59" t="s">
        <v>73</v>
      </c>
      <c r="I55" s="71"/>
      <c r="J55" s="72"/>
      <c r="M55" s="51"/>
      <c r="N55" s="52"/>
    </row>
    <row r="56" spans="2:14" ht="15.75" customHeight="1" x14ac:dyDescent="0.25">
      <c r="B56" s="55">
        <v>1</v>
      </c>
      <c r="C56" s="56"/>
      <c r="D56" s="56"/>
      <c r="E56" s="74"/>
      <c r="F56" s="56"/>
      <c r="G56" s="56"/>
      <c r="H56" s="60"/>
      <c r="I56" s="73"/>
      <c r="J56" s="72"/>
      <c r="M56" s="51"/>
      <c r="N56" s="52"/>
    </row>
    <row r="57" spans="2:14" ht="18" customHeight="1" x14ac:dyDescent="0.25">
      <c r="B57" s="55">
        <v>2</v>
      </c>
      <c r="C57" s="56"/>
      <c r="D57" s="56"/>
      <c r="E57" s="74"/>
      <c r="F57" s="56"/>
      <c r="G57" s="56"/>
      <c r="H57" s="60"/>
      <c r="I57" s="73"/>
      <c r="J57" s="72"/>
      <c r="M57" s="51"/>
      <c r="N57" s="52"/>
    </row>
    <row r="58" spans="2:14" ht="17.25" customHeight="1" x14ac:dyDescent="0.25">
      <c r="B58" s="55">
        <v>3</v>
      </c>
      <c r="C58" s="56"/>
      <c r="D58" s="56"/>
      <c r="E58" s="74"/>
      <c r="F58" s="56"/>
      <c r="G58" s="56"/>
      <c r="H58" s="60"/>
      <c r="I58" s="73"/>
      <c r="J58" s="72"/>
      <c r="M58" s="51"/>
      <c r="N58" s="52"/>
    </row>
    <row r="59" spans="2:14" ht="7.5" customHeight="1" x14ac:dyDescent="0.25">
      <c r="B59" s="49"/>
      <c r="C59" s="57"/>
      <c r="D59" s="57"/>
      <c r="E59" s="57"/>
      <c r="F59" s="57"/>
      <c r="G59" s="42"/>
      <c r="K59" s="42"/>
      <c r="L59" s="51"/>
      <c r="M59" s="52"/>
    </row>
    <row r="60" spans="2:14" ht="7.5" customHeight="1" x14ac:dyDescent="0.25">
      <c r="B60" s="49"/>
      <c r="C60" s="57"/>
      <c r="D60" s="57"/>
      <c r="E60" s="57"/>
      <c r="F60" s="57"/>
      <c r="G60" s="42"/>
      <c r="K60" s="42"/>
      <c r="L60" s="51"/>
      <c r="M60" s="52"/>
    </row>
    <row r="61" spans="2:14" ht="7.5" customHeight="1" x14ac:dyDescent="0.25">
      <c r="B61" s="49"/>
      <c r="C61" s="57"/>
      <c r="D61" s="57"/>
      <c r="E61" s="57"/>
      <c r="F61" s="57"/>
      <c r="G61" s="42"/>
      <c r="H61" s="581" t="s">
        <v>74</v>
      </c>
      <c r="I61" s="581"/>
      <c r="K61" s="42"/>
      <c r="L61" s="51"/>
      <c r="M61" s="52"/>
    </row>
    <row r="62" spans="2:14" ht="7.5" customHeight="1" x14ac:dyDescent="0.25">
      <c r="B62" s="49"/>
      <c r="C62" s="57"/>
      <c r="D62" s="57"/>
      <c r="E62" s="57"/>
      <c r="F62" s="57"/>
      <c r="G62" s="42"/>
      <c r="H62" s="581"/>
      <c r="I62" s="581"/>
      <c r="L62" s="51"/>
      <c r="M62" s="52"/>
    </row>
    <row r="63" spans="2:14" ht="15" customHeight="1" x14ac:dyDescent="0.25">
      <c r="B63" s="39" t="s">
        <v>75</v>
      </c>
      <c r="E63" s="61" t="s">
        <v>76</v>
      </c>
      <c r="F63" s="62"/>
      <c r="G63" s="39" t="s">
        <v>10</v>
      </c>
      <c r="K63" s="42"/>
      <c r="L63" s="51"/>
      <c r="M63" s="52"/>
    </row>
    <row r="64" spans="2:14" x14ac:dyDescent="0.25">
      <c r="B64" s="54" t="s">
        <v>77</v>
      </c>
      <c r="C64" s="54">
        <v>0</v>
      </c>
      <c r="D64" s="54">
        <v>1</v>
      </c>
      <c r="E64" s="54">
        <v>2</v>
      </c>
      <c r="F64" s="54">
        <v>3</v>
      </c>
      <c r="G64" s="54">
        <v>4</v>
      </c>
    </row>
    <row r="65" spans="1:9" x14ac:dyDescent="0.25">
      <c r="B65" s="54" t="s">
        <v>78</v>
      </c>
      <c r="C65" s="63"/>
      <c r="D65" s="63"/>
      <c r="E65" s="63"/>
      <c r="F65" s="63"/>
      <c r="G65" s="63"/>
      <c r="I65" s="74"/>
    </row>
    <row r="66" spans="1:9" hidden="1" x14ac:dyDescent="0.25">
      <c r="B66" s="54" t="s">
        <v>79</v>
      </c>
      <c r="C66" s="63"/>
      <c r="D66" s="63"/>
      <c r="E66" s="63"/>
      <c r="F66" s="63"/>
      <c r="G66" s="63"/>
    </row>
    <row r="67" spans="1:9" x14ac:dyDescent="0.25">
      <c r="B67" s="54" t="s">
        <v>79</v>
      </c>
      <c r="C67" s="63"/>
      <c r="D67" s="63"/>
      <c r="E67" s="63"/>
      <c r="F67" s="63"/>
      <c r="G67" s="63"/>
    </row>
    <row r="68" spans="1:9" x14ac:dyDescent="0.25">
      <c r="A68" s="39" t="s">
        <v>53</v>
      </c>
      <c r="B68" s="39" t="s">
        <v>80</v>
      </c>
    </row>
    <row r="69" spans="1:9" x14ac:dyDescent="0.25">
      <c r="B69" s="38" t="s">
        <v>81</v>
      </c>
    </row>
    <row r="70" spans="1:9" x14ac:dyDescent="0.25">
      <c r="I70" s="74"/>
    </row>
    <row r="72" spans="1:9" x14ac:dyDescent="0.25">
      <c r="A72" s="39" t="s">
        <v>82</v>
      </c>
      <c r="B72" s="39" t="s">
        <v>83</v>
      </c>
    </row>
    <row r="73" spans="1:9" x14ac:dyDescent="0.25">
      <c r="A73" s="74"/>
      <c r="B73" s="38" t="s">
        <v>84</v>
      </c>
    </row>
    <row r="74" spans="1:9" x14ac:dyDescent="0.25">
      <c r="A74" s="74"/>
      <c r="B74" s="38" t="s">
        <v>85</v>
      </c>
    </row>
    <row r="75" spans="1:9" x14ac:dyDescent="0.25">
      <c r="A75" s="74"/>
      <c r="B75" s="38" t="s">
        <v>404</v>
      </c>
    </row>
    <row r="76" spans="1:9" ht="15" customHeight="1" x14ac:dyDescent="0.25">
      <c r="A76" s="74"/>
      <c r="B76" s="70" t="s">
        <v>86</v>
      </c>
    </row>
    <row r="77" spans="1:9" ht="15.6" x14ac:dyDescent="0.25">
      <c r="A77" s="74"/>
      <c r="B77" s="70" t="s">
        <v>87</v>
      </c>
    </row>
    <row r="78" spans="1:9" ht="15.6" x14ac:dyDescent="0.25">
      <c r="A78" s="74"/>
      <c r="B78" s="70" t="s">
        <v>88</v>
      </c>
    </row>
    <row r="79" spans="1:9" ht="30.6" customHeight="1" x14ac:dyDescent="0.25">
      <c r="B79" s="582" t="s">
        <v>89</v>
      </c>
      <c r="C79" s="583"/>
      <c r="D79" s="583"/>
      <c r="E79" s="584" t="s">
        <v>90</v>
      </c>
      <c r="F79" s="584"/>
      <c r="G79" s="584"/>
      <c r="H79" s="584"/>
      <c r="I79" s="584"/>
    </row>
    <row r="80" spans="1:9" x14ac:dyDescent="0.25">
      <c r="A80" s="39" t="s">
        <v>91</v>
      </c>
      <c r="B80" s="39" t="s">
        <v>92</v>
      </c>
    </row>
    <row r="81" spans="1:6" x14ac:dyDescent="0.25">
      <c r="B81" s="38" t="s">
        <v>93</v>
      </c>
    </row>
    <row r="83" spans="1:6" x14ac:dyDescent="0.25">
      <c r="A83" s="39" t="s">
        <v>94</v>
      </c>
      <c r="B83" s="39" t="s">
        <v>95</v>
      </c>
    </row>
    <row r="85" spans="1:6" x14ac:dyDescent="0.25">
      <c r="E85" s="71" t="s">
        <v>68</v>
      </c>
      <c r="F85" s="72" t="s">
        <v>96</v>
      </c>
    </row>
    <row r="86" spans="1:6" x14ac:dyDescent="0.25">
      <c r="E86" s="73"/>
      <c r="F86" s="72" t="s">
        <v>97</v>
      </c>
    </row>
    <row r="87" spans="1:6" ht="16.2" thickBot="1" x14ac:dyDescent="0.3">
      <c r="C87" s="70"/>
      <c r="E87" s="73"/>
      <c r="F87" s="72" t="s">
        <v>98</v>
      </c>
    </row>
    <row r="88" spans="1:6" ht="15.6" x14ac:dyDescent="0.25">
      <c r="C88" s="70"/>
      <c r="D88" s="573"/>
      <c r="E88" s="73"/>
      <c r="F88" s="72" t="s">
        <v>69</v>
      </c>
    </row>
    <row r="89" spans="1:6" ht="16.2" thickBot="1" x14ac:dyDescent="0.3">
      <c r="C89" s="70"/>
      <c r="D89" s="574"/>
      <c r="F89" s="72" t="s">
        <v>99</v>
      </c>
    </row>
  </sheetData>
  <mergeCells count="8">
    <mergeCell ref="D88:D89"/>
    <mergeCell ref="B26:D26"/>
    <mergeCell ref="F26:H26"/>
    <mergeCell ref="A1:I1"/>
    <mergeCell ref="A2:I2"/>
    <mergeCell ref="H61:I62"/>
    <mergeCell ref="B79:D79"/>
    <mergeCell ref="E79:I79"/>
  </mergeCells>
  <pageMargins left="0.70866141732283472" right="0.70866141732283472" top="0.47244094488188981" bottom="0.74803149606299213" header="0.31496062992125984" footer="0.31496062992125984"/>
  <pageSetup paperSize="9" scale="74" orientation="portrait" r:id="rId1"/>
  <headerFooter>
    <oddHeader xml:space="preserve">&amp;R&amp;8GM.LK - 004-18 / REV : 0&amp;11
</oddHeader>
  </headerFooter>
  <rowBreaks count="1" manualBreakCount="1">
    <brk id="71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FF95-D2BF-4A93-8B83-BE46012F1320}">
  <dimension ref="A2:E100"/>
  <sheetViews>
    <sheetView workbookViewId="0">
      <selection activeCell="B10" sqref="B10"/>
    </sheetView>
  </sheetViews>
  <sheetFormatPr defaultRowHeight="14.4" x14ac:dyDescent="0.3"/>
  <cols>
    <col min="2" max="2" width="21.21875" customWidth="1"/>
    <col min="3" max="3" width="44.77734375" customWidth="1"/>
    <col min="4" max="4" width="53.44140625" customWidth="1"/>
  </cols>
  <sheetData>
    <row r="2" spans="1:5" x14ac:dyDescent="0.3">
      <c r="A2" s="585" t="s">
        <v>58</v>
      </c>
      <c r="B2" s="585" t="s">
        <v>100</v>
      </c>
      <c r="C2" s="585" t="s">
        <v>101</v>
      </c>
      <c r="D2" s="585"/>
      <c r="E2" s="585" t="s">
        <v>102</v>
      </c>
    </row>
    <row r="3" spans="1:5" x14ac:dyDescent="0.3">
      <c r="A3" s="585"/>
      <c r="B3" s="585"/>
      <c r="C3" s="313" t="s">
        <v>103</v>
      </c>
      <c r="D3" s="313" t="s">
        <v>104</v>
      </c>
      <c r="E3" s="585"/>
    </row>
    <row r="4" spans="1:5" x14ac:dyDescent="0.3">
      <c r="A4" s="313">
        <v>1</v>
      </c>
      <c r="B4" s="281">
        <v>44230</v>
      </c>
      <c r="C4" s="285" t="s">
        <v>105</v>
      </c>
      <c r="D4" s="312" t="s">
        <v>106</v>
      </c>
      <c r="E4" s="586" t="s">
        <v>107</v>
      </c>
    </row>
    <row r="5" spans="1:5" ht="26.4" x14ac:dyDescent="0.3">
      <c r="A5" s="313"/>
      <c r="B5" s="282"/>
      <c r="C5" s="283" t="s">
        <v>108</v>
      </c>
      <c r="D5" s="310" t="s">
        <v>109</v>
      </c>
      <c r="E5" s="587"/>
    </row>
    <row r="6" spans="1:5" ht="39.6" x14ac:dyDescent="0.3">
      <c r="A6" s="313"/>
      <c r="B6" s="282"/>
      <c r="C6" s="284" t="s">
        <v>110</v>
      </c>
      <c r="D6" s="311" t="s">
        <v>111</v>
      </c>
      <c r="E6" s="587"/>
    </row>
    <row r="7" spans="1:5" ht="66" x14ac:dyDescent="0.3">
      <c r="A7" s="313"/>
      <c r="B7" s="282"/>
      <c r="C7" s="315" t="s">
        <v>112</v>
      </c>
      <c r="D7" s="316" t="s">
        <v>113</v>
      </c>
      <c r="E7" s="587"/>
    </row>
    <row r="8" spans="1:5" x14ac:dyDescent="0.3">
      <c r="A8" s="313"/>
      <c r="B8" s="282"/>
      <c r="C8" s="285" t="s">
        <v>114</v>
      </c>
      <c r="D8" s="312" t="s">
        <v>115</v>
      </c>
      <c r="E8" s="588"/>
    </row>
    <row r="9" spans="1:5" x14ac:dyDescent="0.3">
      <c r="A9" s="313">
        <v>2</v>
      </c>
      <c r="B9" s="282">
        <v>44312</v>
      </c>
      <c r="C9" s="317" t="s">
        <v>116</v>
      </c>
      <c r="D9" s="318" t="s">
        <v>117</v>
      </c>
      <c r="E9" s="319" t="s">
        <v>118</v>
      </c>
    </row>
    <row r="10" spans="1:5" ht="27" x14ac:dyDescent="0.3">
      <c r="A10" s="313">
        <v>3</v>
      </c>
      <c r="B10" s="282">
        <v>44355</v>
      </c>
      <c r="C10" s="320" t="s">
        <v>119</v>
      </c>
      <c r="D10" s="312" t="s">
        <v>120</v>
      </c>
      <c r="E10" s="319" t="s">
        <v>118</v>
      </c>
    </row>
    <row r="11" spans="1:5" ht="26.4" x14ac:dyDescent="0.3">
      <c r="A11" s="313">
        <v>4</v>
      </c>
      <c r="B11" s="282">
        <v>44659</v>
      </c>
      <c r="C11" s="284" t="s">
        <v>389</v>
      </c>
      <c r="D11" s="312" t="s">
        <v>390</v>
      </c>
      <c r="E11" s="319" t="s">
        <v>118</v>
      </c>
    </row>
    <row r="12" spans="1:5" x14ac:dyDescent="0.3">
      <c r="A12" s="313">
        <v>5</v>
      </c>
      <c r="B12" s="282" t="s">
        <v>393</v>
      </c>
      <c r="C12" s="285" t="s">
        <v>394</v>
      </c>
      <c r="D12" s="312" t="s">
        <v>395</v>
      </c>
      <c r="E12" s="319" t="s">
        <v>118</v>
      </c>
    </row>
    <row r="13" spans="1:5" ht="39.6" x14ac:dyDescent="0.3">
      <c r="A13" s="313">
        <v>6</v>
      </c>
      <c r="B13" s="282" t="s">
        <v>396</v>
      </c>
      <c r="C13" s="361" t="s">
        <v>397</v>
      </c>
      <c r="D13" s="361" t="s">
        <v>398</v>
      </c>
      <c r="E13" s="319" t="s">
        <v>107</v>
      </c>
    </row>
    <row r="14" spans="1:5" x14ac:dyDescent="0.3">
      <c r="A14" s="313">
        <v>7</v>
      </c>
      <c r="B14" s="282" t="s">
        <v>396</v>
      </c>
      <c r="C14" s="285" t="s">
        <v>399</v>
      </c>
      <c r="D14" s="312" t="s">
        <v>400</v>
      </c>
      <c r="E14" s="319" t="s">
        <v>118</v>
      </c>
    </row>
    <row r="15" spans="1:5" x14ac:dyDescent="0.3">
      <c r="A15" s="313"/>
      <c r="B15" s="282"/>
      <c r="C15" s="285"/>
      <c r="D15" s="312"/>
      <c r="E15" s="319"/>
    </row>
    <row r="16" spans="1:5" x14ac:dyDescent="0.3">
      <c r="A16" s="313"/>
      <c r="B16" s="282"/>
      <c r="C16" s="285"/>
      <c r="D16" s="312"/>
      <c r="E16" s="319"/>
    </row>
    <row r="17" spans="1:5" x14ac:dyDescent="0.3">
      <c r="A17" s="313"/>
      <c r="B17" s="282"/>
      <c r="C17" s="285"/>
      <c r="D17" s="312"/>
      <c r="E17" s="319"/>
    </row>
    <row r="18" spans="1:5" x14ac:dyDescent="0.3">
      <c r="A18" s="313"/>
      <c r="B18" s="282"/>
      <c r="C18" s="285"/>
      <c r="D18" s="312"/>
      <c r="E18" s="319"/>
    </row>
    <row r="19" spans="1:5" x14ac:dyDescent="0.3">
      <c r="A19" s="313"/>
      <c r="B19" s="282"/>
      <c r="C19" s="285"/>
      <c r="D19" s="312"/>
      <c r="E19" s="319"/>
    </row>
    <row r="20" spans="1:5" x14ac:dyDescent="0.3">
      <c r="A20" s="313"/>
      <c r="B20" s="282"/>
      <c r="C20" s="285"/>
      <c r="D20" s="312"/>
      <c r="E20" s="319"/>
    </row>
    <row r="21" spans="1:5" x14ac:dyDescent="0.3">
      <c r="A21" s="313"/>
      <c r="B21" s="282"/>
      <c r="C21" s="285"/>
      <c r="D21" s="312"/>
      <c r="E21" s="319"/>
    </row>
    <row r="22" spans="1:5" x14ac:dyDescent="0.3">
      <c r="A22" s="313"/>
      <c r="B22" s="282"/>
      <c r="C22" s="285"/>
      <c r="D22" s="312"/>
      <c r="E22" s="319"/>
    </row>
    <row r="23" spans="1:5" x14ac:dyDescent="0.3">
      <c r="A23" s="313"/>
      <c r="B23" s="282"/>
      <c r="C23" s="285"/>
      <c r="D23" s="312"/>
      <c r="E23" s="319"/>
    </row>
    <row r="24" spans="1:5" x14ac:dyDescent="0.3">
      <c r="A24" s="313"/>
      <c r="B24" s="282"/>
      <c r="C24" s="285"/>
      <c r="D24" s="312"/>
      <c r="E24" s="319"/>
    </row>
    <row r="25" spans="1:5" x14ac:dyDescent="0.3">
      <c r="A25" s="313"/>
      <c r="B25" s="282"/>
      <c r="C25" s="285"/>
      <c r="D25" s="312"/>
      <c r="E25" s="319"/>
    </row>
    <row r="26" spans="1:5" x14ac:dyDescent="0.3">
      <c r="A26" s="313"/>
      <c r="B26" s="282"/>
      <c r="C26" s="285"/>
      <c r="D26" s="312"/>
      <c r="E26" s="319"/>
    </row>
    <row r="27" spans="1:5" x14ac:dyDescent="0.3">
      <c r="A27" s="313"/>
      <c r="B27" s="282"/>
      <c r="C27" s="285"/>
      <c r="D27" s="312"/>
      <c r="E27" s="319"/>
    </row>
    <row r="28" spans="1:5" x14ac:dyDescent="0.3">
      <c r="A28" s="313"/>
      <c r="B28" s="282"/>
      <c r="C28" s="285"/>
      <c r="D28" s="312"/>
      <c r="E28" s="319"/>
    </row>
    <row r="29" spans="1:5" x14ac:dyDescent="0.3">
      <c r="A29" s="313"/>
      <c r="B29" s="282"/>
      <c r="C29" s="285"/>
      <c r="D29" s="312"/>
      <c r="E29" s="319"/>
    </row>
    <row r="30" spans="1:5" x14ac:dyDescent="0.3">
      <c r="A30" s="313"/>
      <c r="B30" s="282"/>
      <c r="C30" s="285"/>
      <c r="D30" s="312"/>
      <c r="E30" s="319"/>
    </row>
    <row r="31" spans="1:5" x14ac:dyDescent="0.3">
      <c r="A31" s="313"/>
      <c r="B31" s="282"/>
      <c r="C31" s="285"/>
      <c r="D31" s="312"/>
      <c r="E31" s="319"/>
    </row>
    <row r="100" spans="1:1" x14ac:dyDescent="0.3">
      <c r="A100" s="314" t="s">
        <v>414</v>
      </c>
    </row>
  </sheetData>
  <sheetProtection algorithmName="SHA-512" hashValue="EbP0kl9rTNx7jFjdk+LfAS97Un9WaESSwyL5d3NklB6wczkwAbJzMYmbU9tvdzqMbk94UPnE54GiQmdTPjY2Zg==" saltValue="SuUNPnIRd+O7cLOUTpG7qw==" spinCount="100000" sheet="1" objects="1" scenarios="1"/>
  <mergeCells count="5">
    <mergeCell ref="A2:A3"/>
    <mergeCell ref="B2:B3"/>
    <mergeCell ref="C2:D2"/>
    <mergeCell ref="E2:E3"/>
    <mergeCell ref="E4:E8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3"/>
  <sheetViews>
    <sheetView view="pageBreakPreview" topLeftCell="A75" zoomScale="130" zoomScaleNormal="100" zoomScaleSheetLayoutView="130" workbookViewId="0">
      <selection activeCell="B81" sqref="B81:H81"/>
    </sheetView>
  </sheetViews>
  <sheetFormatPr defaultColWidth="9.21875" defaultRowHeight="13.8" x14ac:dyDescent="0.25"/>
  <cols>
    <col min="1" max="1" width="3.44140625" style="465" customWidth="1"/>
    <col min="2" max="2" width="16.21875" style="465" customWidth="1"/>
    <col min="3" max="3" width="14.44140625" style="465" customWidth="1"/>
    <col min="4" max="4" width="15" style="465" customWidth="1"/>
    <col min="5" max="5" width="11.77734375" style="465" customWidth="1"/>
    <col min="6" max="7" width="13.44140625" style="465" customWidth="1"/>
    <col min="8" max="8" width="12" style="465" customWidth="1"/>
    <col min="9" max="9" width="14.44140625" style="465" customWidth="1"/>
    <col min="10" max="10" width="11.77734375" style="465" customWidth="1"/>
    <col min="11" max="11" width="11.21875" style="465" customWidth="1"/>
    <col min="12" max="12" width="12" style="465" customWidth="1"/>
    <col min="13" max="13" width="13.77734375" style="465" customWidth="1"/>
    <col min="14" max="14" width="19" style="465" bestFit="1" customWidth="1"/>
    <col min="15" max="15" width="15" style="465" customWidth="1"/>
    <col min="16" max="16" width="9.21875" style="465"/>
    <col min="17" max="17" width="11.77734375" style="465" customWidth="1"/>
    <col min="18" max="18" width="12.21875" style="465" customWidth="1"/>
    <col min="19" max="16384" width="9.21875" style="465"/>
  </cols>
  <sheetData>
    <row r="1" spans="1:14" ht="17.399999999999999" x14ac:dyDescent="0.3">
      <c r="A1" s="593" t="s">
        <v>121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402"/>
      <c r="N1" s="402"/>
    </row>
    <row r="2" spans="1:14" ht="15.6" x14ac:dyDescent="0.3">
      <c r="A2" s="466"/>
      <c r="B2" s="466"/>
      <c r="C2" s="607" t="str">
        <f>LOOKUP(B85,'Cetik Cetik'!A19:A20,'Cetik Cetik'!A7:A8)</f>
        <v xml:space="preserve">Nomor Sertifikat : 2 / </v>
      </c>
      <c r="D2" s="607"/>
      <c r="E2" s="607"/>
      <c r="F2" s="607"/>
      <c r="G2" s="607"/>
      <c r="H2" s="607"/>
      <c r="I2" s="567" t="s">
        <v>385</v>
      </c>
      <c r="J2" s="466"/>
      <c r="K2" s="466"/>
      <c r="L2" s="466"/>
      <c r="M2" s="402"/>
      <c r="N2" s="402"/>
    </row>
    <row r="3" spans="1:14" x14ac:dyDescent="0.25">
      <c r="A3" s="467"/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02"/>
      <c r="N3" s="402"/>
    </row>
    <row r="4" spans="1:14" x14ac:dyDescent="0.25">
      <c r="A4" s="402" t="str">
        <f>LK!A4</f>
        <v>Merek</v>
      </c>
      <c r="B4" s="402"/>
      <c r="C4" s="468" t="s">
        <v>33</v>
      </c>
      <c r="D4" s="469" t="s">
        <v>386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</row>
    <row r="5" spans="1:14" x14ac:dyDescent="0.25">
      <c r="A5" s="402" t="str">
        <f>LK!A5</f>
        <v>Model/Type</v>
      </c>
      <c r="B5" s="402"/>
      <c r="C5" s="468" t="s">
        <v>33</v>
      </c>
      <c r="D5" s="470" t="s">
        <v>387</v>
      </c>
      <c r="E5" s="402"/>
      <c r="F5" s="402"/>
      <c r="G5" s="402"/>
      <c r="H5" s="402"/>
      <c r="I5" s="402"/>
      <c r="J5" s="402"/>
      <c r="K5" s="402"/>
      <c r="L5" s="402"/>
      <c r="M5" s="402"/>
      <c r="N5" s="402"/>
    </row>
    <row r="6" spans="1:14" x14ac:dyDescent="0.25">
      <c r="A6" s="402" t="str">
        <f>LK!A6</f>
        <v>No. Seri</v>
      </c>
      <c r="B6" s="402"/>
      <c r="C6" s="468" t="s">
        <v>33</v>
      </c>
      <c r="D6" s="469">
        <v>122</v>
      </c>
      <c r="E6" s="402"/>
      <c r="F6" s="402"/>
      <c r="G6" s="402"/>
      <c r="H6" s="402"/>
      <c r="I6" s="402"/>
      <c r="J6" s="402"/>
      <c r="K6" s="402"/>
      <c r="L6" s="402"/>
      <c r="M6" s="402"/>
      <c r="N6" s="402"/>
    </row>
    <row r="7" spans="1:14" ht="15.6" x14ac:dyDescent="0.3">
      <c r="A7" s="402" t="str">
        <f>LK!A7</f>
        <v>Kapasitas</v>
      </c>
      <c r="B7" s="402"/>
      <c r="C7" s="468" t="s">
        <v>33</v>
      </c>
      <c r="D7" s="568">
        <v>2000</v>
      </c>
      <c r="E7" s="402"/>
      <c r="F7" s="402"/>
      <c r="G7" s="402"/>
      <c r="H7" s="402"/>
      <c r="I7" s="466"/>
      <c r="J7" s="402"/>
      <c r="K7" s="402"/>
      <c r="L7" s="402"/>
      <c r="M7" s="402"/>
      <c r="N7" s="402"/>
    </row>
    <row r="8" spans="1:14" x14ac:dyDescent="0.25">
      <c r="A8" s="402" t="str">
        <f>LK!A8</f>
        <v>Resolusi</v>
      </c>
      <c r="B8" s="402"/>
      <c r="C8" s="468" t="s">
        <v>33</v>
      </c>
      <c r="D8" s="371">
        <v>0.01</v>
      </c>
      <c r="E8" s="402" t="s">
        <v>10</v>
      </c>
      <c r="F8" s="402"/>
      <c r="G8" s="402"/>
      <c r="H8" s="402"/>
      <c r="I8" s="402"/>
      <c r="J8" s="402"/>
      <c r="K8" s="402"/>
      <c r="L8" s="402"/>
      <c r="M8" s="402"/>
      <c r="N8" s="402"/>
    </row>
    <row r="9" spans="1:14" x14ac:dyDescent="0.25">
      <c r="A9" s="402" t="s">
        <v>122</v>
      </c>
      <c r="B9" s="402"/>
      <c r="C9" s="468" t="s">
        <v>33</v>
      </c>
      <c r="D9" s="471">
        <v>44655</v>
      </c>
      <c r="E9" s="402"/>
      <c r="F9" s="402"/>
      <c r="G9" s="402"/>
      <c r="H9" s="402"/>
      <c r="I9" s="402"/>
      <c r="J9" s="402"/>
      <c r="K9" s="402"/>
      <c r="L9" s="402"/>
      <c r="M9" s="402"/>
      <c r="N9" s="402"/>
    </row>
    <row r="10" spans="1:14" x14ac:dyDescent="0.25">
      <c r="A10" s="402" t="str">
        <f>LK!A9</f>
        <v>Tanggal Kalibrasi</v>
      </c>
      <c r="B10" s="402"/>
      <c r="C10" s="468" t="s">
        <v>33</v>
      </c>
      <c r="D10" s="471">
        <v>44655</v>
      </c>
      <c r="E10" s="402"/>
      <c r="F10" s="402"/>
      <c r="G10" s="402"/>
      <c r="H10" s="402"/>
      <c r="I10" s="402"/>
      <c r="J10" s="402"/>
      <c r="K10" s="402"/>
      <c r="L10" s="402"/>
      <c r="M10" s="402"/>
      <c r="N10" s="402"/>
    </row>
    <row r="11" spans="1:14" x14ac:dyDescent="0.25">
      <c r="A11" s="402" t="str">
        <f>LK!A10</f>
        <v>Tempat Kalibrasi</v>
      </c>
      <c r="B11" s="402"/>
      <c r="C11" s="468" t="s">
        <v>33</v>
      </c>
      <c r="D11" s="469" t="s">
        <v>124</v>
      </c>
      <c r="E11" s="402"/>
      <c r="F11" s="402"/>
      <c r="G11" s="402"/>
      <c r="H11" s="402"/>
      <c r="I11" s="402"/>
      <c r="J11" s="402"/>
      <c r="K11" s="402"/>
      <c r="L11" s="402"/>
      <c r="M11" s="402"/>
      <c r="N11" s="402"/>
    </row>
    <row r="12" spans="1:14" x14ac:dyDescent="0.25">
      <c r="A12" s="402" t="s">
        <v>40</v>
      </c>
      <c r="B12" s="402"/>
      <c r="C12" s="468" t="s">
        <v>33</v>
      </c>
      <c r="D12" s="469" t="s">
        <v>125</v>
      </c>
      <c r="E12" s="402"/>
      <c r="F12" s="402"/>
      <c r="G12" s="402"/>
      <c r="H12" s="402"/>
      <c r="I12" s="402"/>
      <c r="J12" s="402"/>
      <c r="K12" s="402"/>
      <c r="L12" s="402"/>
      <c r="M12" s="402"/>
      <c r="N12" s="402"/>
    </row>
    <row r="13" spans="1:14" x14ac:dyDescent="0.25">
      <c r="A13" s="402" t="s">
        <v>41</v>
      </c>
      <c r="B13" s="402"/>
      <c r="C13" s="468" t="s">
        <v>33</v>
      </c>
      <c r="D13" s="402" t="s">
        <v>391</v>
      </c>
      <c r="E13" s="402"/>
      <c r="F13" s="402"/>
      <c r="G13" s="402"/>
      <c r="H13" s="402"/>
      <c r="I13" s="402"/>
      <c r="J13" s="402"/>
      <c r="K13" s="402"/>
      <c r="L13" s="402"/>
      <c r="M13" s="402"/>
      <c r="N13" s="402"/>
    </row>
    <row r="14" spans="1:14" x14ac:dyDescent="0.25">
      <c r="A14" s="402"/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2"/>
      <c r="N14" s="402"/>
    </row>
    <row r="15" spans="1:14" x14ac:dyDescent="0.25">
      <c r="A15" s="472" t="s">
        <v>42</v>
      </c>
      <c r="B15" s="473" t="s">
        <v>43</v>
      </c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</row>
    <row r="16" spans="1:14" x14ac:dyDescent="0.25">
      <c r="A16" s="472"/>
      <c r="B16" s="474"/>
      <c r="C16" s="475"/>
      <c r="D16" s="476" t="s">
        <v>103</v>
      </c>
      <c r="E16" s="476" t="s">
        <v>104</v>
      </c>
      <c r="F16" s="476" t="s">
        <v>126</v>
      </c>
      <c r="G16" s="606"/>
      <c r="H16" s="592"/>
      <c r="I16" s="402"/>
      <c r="J16" s="402"/>
      <c r="K16" s="402"/>
      <c r="L16" s="402"/>
      <c r="M16" s="402"/>
      <c r="N16" s="402"/>
    </row>
    <row r="17" spans="1:14" x14ac:dyDescent="0.25">
      <c r="A17" s="472"/>
      <c r="B17" s="475" t="s">
        <v>44</v>
      </c>
      <c r="C17" s="477" t="s">
        <v>33</v>
      </c>
      <c r="D17" s="549">
        <v>21</v>
      </c>
      <c r="E17" s="549">
        <v>21</v>
      </c>
      <c r="F17" s="478">
        <f>AVERAGE(D17:E17)</f>
        <v>21</v>
      </c>
      <c r="G17" s="606"/>
      <c r="H17" s="592"/>
      <c r="I17" s="402"/>
      <c r="J17" s="402"/>
      <c r="K17" s="402"/>
      <c r="L17" s="402"/>
      <c r="M17" s="402"/>
      <c r="N17" s="402"/>
    </row>
    <row r="18" spans="1:14" x14ac:dyDescent="0.25">
      <c r="A18" s="402"/>
      <c r="B18" s="475" t="s">
        <v>47</v>
      </c>
      <c r="C18" s="477" t="s">
        <v>33</v>
      </c>
      <c r="D18" s="549">
        <v>60.5</v>
      </c>
      <c r="E18" s="549">
        <v>60</v>
      </c>
      <c r="F18" s="478">
        <f>AVERAGE(D18:E18)</f>
        <v>60.25</v>
      </c>
      <c r="G18" s="479"/>
      <c r="H18" s="479"/>
      <c r="I18" s="402"/>
      <c r="J18" s="402"/>
      <c r="K18" s="402"/>
      <c r="L18" s="402"/>
      <c r="M18" s="402"/>
      <c r="N18" s="402"/>
    </row>
    <row r="19" spans="1:14" x14ac:dyDescent="0.25">
      <c r="A19" s="402"/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</row>
    <row r="20" spans="1:14" x14ac:dyDescent="0.25">
      <c r="A20" s="473" t="s">
        <v>48</v>
      </c>
      <c r="B20" s="473" t="s">
        <v>127</v>
      </c>
      <c r="C20" s="473"/>
      <c r="D20" s="473"/>
      <c r="E20" s="473"/>
      <c r="F20" s="402"/>
      <c r="G20" s="402"/>
      <c r="H20" s="402"/>
      <c r="I20" s="402"/>
      <c r="J20" s="402"/>
      <c r="K20" s="402"/>
      <c r="L20" s="402"/>
      <c r="M20" s="402"/>
      <c r="N20" s="402"/>
    </row>
    <row r="21" spans="1:14" x14ac:dyDescent="0.25">
      <c r="A21" s="402"/>
      <c r="B21" s="402" t="s">
        <v>50</v>
      </c>
      <c r="C21" s="468" t="s">
        <v>33</v>
      </c>
      <c r="D21" s="569" t="s">
        <v>128</v>
      </c>
      <c r="E21" s="402"/>
      <c r="F21" s="402"/>
      <c r="G21" s="402"/>
      <c r="H21" s="402"/>
      <c r="I21" s="402"/>
      <c r="J21" s="402"/>
      <c r="K21" s="402"/>
      <c r="L21" s="402"/>
      <c r="M21" s="402"/>
      <c r="N21" s="402"/>
    </row>
    <row r="22" spans="1:14" x14ac:dyDescent="0.25">
      <c r="A22" s="402"/>
      <c r="B22" s="402" t="s">
        <v>52</v>
      </c>
      <c r="C22" s="468" t="s">
        <v>33</v>
      </c>
      <c r="D22" s="569" t="s">
        <v>128</v>
      </c>
      <c r="E22" s="402"/>
      <c r="F22" s="402"/>
      <c r="G22" s="402"/>
      <c r="H22" s="402"/>
      <c r="I22" s="402"/>
      <c r="J22" s="402"/>
      <c r="K22" s="402"/>
      <c r="L22" s="402"/>
      <c r="M22" s="402"/>
      <c r="N22" s="402"/>
    </row>
    <row r="23" spans="1:14" x14ac:dyDescent="0.25">
      <c r="A23" s="402"/>
      <c r="B23" s="402"/>
      <c r="C23" s="468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</row>
    <row r="24" spans="1:14" x14ac:dyDescent="0.25">
      <c r="A24" s="473" t="s">
        <v>53</v>
      </c>
      <c r="B24" s="473" t="s">
        <v>54</v>
      </c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73"/>
      <c r="N24" s="402"/>
    </row>
    <row r="25" spans="1:14" x14ac:dyDescent="0.25">
      <c r="A25" s="402"/>
      <c r="B25" s="474" t="s">
        <v>129</v>
      </c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</row>
    <row r="26" spans="1:14" x14ac:dyDescent="0.25">
      <c r="A26" s="402"/>
      <c r="B26" s="480" t="s">
        <v>426</v>
      </c>
      <c r="C26" s="481">
        <v>100</v>
      </c>
      <c r="D26" s="482" t="s">
        <v>10</v>
      </c>
      <c r="E26" s="597" t="s">
        <v>130</v>
      </c>
      <c r="F26" s="402"/>
      <c r="G26" s="483" t="s">
        <v>426</v>
      </c>
      <c r="H26" s="484">
        <v>200</v>
      </c>
      <c r="I26" s="485" t="s">
        <v>10</v>
      </c>
      <c r="J26" s="597" t="s">
        <v>130</v>
      </c>
      <c r="K26" s="402"/>
      <c r="L26" s="402"/>
      <c r="M26" s="402"/>
      <c r="N26" s="402"/>
    </row>
    <row r="27" spans="1:14" x14ac:dyDescent="0.25">
      <c r="A27" s="402"/>
      <c r="B27" s="476" t="s">
        <v>58</v>
      </c>
      <c r="C27" s="476" t="s">
        <v>59</v>
      </c>
      <c r="D27" s="476" t="s">
        <v>60</v>
      </c>
      <c r="E27" s="598"/>
      <c r="F27" s="402"/>
      <c r="G27" s="476" t="s">
        <v>131</v>
      </c>
      <c r="H27" s="476" t="s">
        <v>59</v>
      </c>
      <c r="I27" s="476" t="s">
        <v>60</v>
      </c>
      <c r="J27" s="598"/>
      <c r="K27" s="402"/>
      <c r="L27" s="402"/>
      <c r="M27" s="402"/>
      <c r="N27" s="402"/>
    </row>
    <row r="28" spans="1:14" x14ac:dyDescent="0.25">
      <c r="A28" s="402"/>
      <c r="B28" s="486">
        <v>1</v>
      </c>
      <c r="C28" s="398">
        <v>0</v>
      </c>
      <c r="D28" s="564">
        <v>100</v>
      </c>
      <c r="E28" s="487">
        <f t="shared" ref="E28:E37" si="0">D28-C28</f>
        <v>100</v>
      </c>
      <c r="F28" s="402"/>
      <c r="G28" s="486">
        <v>1</v>
      </c>
      <c r="H28" s="372">
        <v>0</v>
      </c>
      <c r="I28" s="565">
        <v>200</v>
      </c>
      <c r="J28" s="488">
        <f>I28-H28</f>
        <v>200</v>
      </c>
      <c r="K28" s="402"/>
      <c r="L28" s="402"/>
      <c r="M28" s="402"/>
      <c r="N28" s="402"/>
    </row>
    <row r="29" spans="1:14" x14ac:dyDescent="0.25">
      <c r="A29" s="402"/>
      <c r="B29" s="486">
        <v>2</v>
      </c>
      <c r="C29" s="398">
        <v>0</v>
      </c>
      <c r="D29" s="564">
        <v>100</v>
      </c>
      <c r="E29" s="487">
        <f t="shared" si="0"/>
        <v>100</v>
      </c>
      <c r="F29" s="402"/>
      <c r="G29" s="486">
        <v>2</v>
      </c>
      <c r="H29" s="372">
        <v>0</v>
      </c>
      <c r="I29" s="565">
        <v>200</v>
      </c>
      <c r="J29" s="488">
        <f t="shared" ref="J29:J37" si="1">I29-H29</f>
        <v>200</v>
      </c>
      <c r="K29" s="402"/>
      <c r="L29" s="402"/>
      <c r="M29" s="402"/>
      <c r="N29" s="402"/>
    </row>
    <row r="30" spans="1:14" x14ac:dyDescent="0.25">
      <c r="A30" s="402"/>
      <c r="B30" s="486">
        <v>3</v>
      </c>
      <c r="C30" s="398">
        <v>0</v>
      </c>
      <c r="D30" s="564">
        <v>100</v>
      </c>
      <c r="E30" s="487">
        <f t="shared" si="0"/>
        <v>100</v>
      </c>
      <c r="F30" s="402"/>
      <c r="G30" s="486">
        <v>3</v>
      </c>
      <c r="H30" s="372">
        <v>0</v>
      </c>
      <c r="I30" s="565">
        <v>200</v>
      </c>
      <c r="J30" s="488">
        <f t="shared" si="1"/>
        <v>200</v>
      </c>
      <c r="K30" s="402"/>
      <c r="L30" s="402"/>
      <c r="M30" s="402"/>
      <c r="N30" s="402"/>
    </row>
    <row r="31" spans="1:14" x14ac:dyDescent="0.25">
      <c r="A31" s="402"/>
      <c r="B31" s="486">
        <v>4</v>
      </c>
      <c r="C31" s="398">
        <v>0</v>
      </c>
      <c r="D31" s="564">
        <v>100</v>
      </c>
      <c r="E31" s="487">
        <f t="shared" si="0"/>
        <v>100</v>
      </c>
      <c r="F31" s="402"/>
      <c r="G31" s="486">
        <v>4</v>
      </c>
      <c r="H31" s="372">
        <v>0</v>
      </c>
      <c r="I31" s="565">
        <v>200</v>
      </c>
      <c r="J31" s="488">
        <f t="shared" si="1"/>
        <v>200</v>
      </c>
      <c r="K31" s="402"/>
      <c r="L31" s="402"/>
      <c r="M31" s="402"/>
      <c r="N31" s="402"/>
    </row>
    <row r="32" spans="1:14" x14ac:dyDescent="0.25">
      <c r="A32" s="402"/>
      <c r="B32" s="486">
        <v>5</v>
      </c>
      <c r="C32" s="398">
        <v>0</v>
      </c>
      <c r="D32" s="564">
        <v>100</v>
      </c>
      <c r="E32" s="487">
        <f t="shared" si="0"/>
        <v>100</v>
      </c>
      <c r="F32" s="402"/>
      <c r="G32" s="486">
        <v>5</v>
      </c>
      <c r="H32" s="372">
        <v>0</v>
      </c>
      <c r="I32" s="565">
        <v>200</v>
      </c>
      <c r="J32" s="488">
        <f t="shared" si="1"/>
        <v>200</v>
      </c>
      <c r="K32" s="402"/>
      <c r="L32" s="402"/>
      <c r="M32" s="402"/>
      <c r="N32" s="402"/>
    </row>
    <row r="33" spans="1:14" x14ac:dyDescent="0.25">
      <c r="A33" s="402"/>
      <c r="B33" s="486">
        <v>6</v>
      </c>
      <c r="C33" s="398">
        <v>0</v>
      </c>
      <c r="D33" s="564">
        <v>100</v>
      </c>
      <c r="E33" s="487">
        <f t="shared" si="0"/>
        <v>100</v>
      </c>
      <c r="F33" s="402"/>
      <c r="G33" s="486">
        <v>6</v>
      </c>
      <c r="H33" s="372">
        <v>0</v>
      </c>
      <c r="I33" s="565">
        <v>200</v>
      </c>
      <c r="J33" s="488">
        <f t="shared" si="1"/>
        <v>200</v>
      </c>
      <c r="K33" s="402"/>
      <c r="L33" s="402"/>
      <c r="M33" s="402"/>
      <c r="N33" s="402"/>
    </row>
    <row r="34" spans="1:14" x14ac:dyDescent="0.25">
      <c r="A34" s="402"/>
      <c r="B34" s="486">
        <v>7</v>
      </c>
      <c r="C34" s="398">
        <v>0</v>
      </c>
      <c r="D34" s="564">
        <v>100</v>
      </c>
      <c r="E34" s="487">
        <f t="shared" si="0"/>
        <v>100</v>
      </c>
      <c r="F34" s="402"/>
      <c r="G34" s="486">
        <v>7</v>
      </c>
      <c r="H34" s="372">
        <v>0</v>
      </c>
      <c r="I34" s="565">
        <v>200</v>
      </c>
      <c r="J34" s="488">
        <f t="shared" si="1"/>
        <v>200</v>
      </c>
      <c r="K34" s="402"/>
      <c r="L34" s="402"/>
      <c r="M34" s="402"/>
      <c r="N34" s="402"/>
    </row>
    <row r="35" spans="1:14" x14ac:dyDescent="0.25">
      <c r="A35" s="402"/>
      <c r="B35" s="486">
        <v>8</v>
      </c>
      <c r="C35" s="398">
        <v>0</v>
      </c>
      <c r="D35" s="564">
        <v>100</v>
      </c>
      <c r="E35" s="487">
        <f t="shared" si="0"/>
        <v>100</v>
      </c>
      <c r="F35" s="402"/>
      <c r="G35" s="486">
        <v>8</v>
      </c>
      <c r="H35" s="372">
        <v>0</v>
      </c>
      <c r="I35" s="565">
        <v>200</v>
      </c>
      <c r="J35" s="488">
        <f t="shared" si="1"/>
        <v>200</v>
      </c>
      <c r="K35" s="402"/>
      <c r="L35" s="402"/>
      <c r="M35" s="402"/>
      <c r="N35" s="402"/>
    </row>
    <row r="36" spans="1:14" x14ac:dyDescent="0.25">
      <c r="A36" s="402"/>
      <c r="B36" s="486">
        <v>9</v>
      </c>
      <c r="C36" s="398">
        <v>0</v>
      </c>
      <c r="D36" s="564">
        <v>100</v>
      </c>
      <c r="E36" s="487">
        <f t="shared" si="0"/>
        <v>100</v>
      </c>
      <c r="F36" s="402"/>
      <c r="G36" s="486">
        <v>9</v>
      </c>
      <c r="H36" s="372">
        <v>0</v>
      </c>
      <c r="I36" s="565">
        <v>200</v>
      </c>
      <c r="J36" s="488">
        <f t="shared" si="1"/>
        <v>200</v>
      </c>
      <c r="K36" s="402"/>
      <c r="L36" s="402"/>
      <c r="M36" s="402"/>
      <c r="N36" s="402"/>
    </row>
    <row r="37" spans="1:14" x14ac:dyDescent="0.25">
      <c r="A37" s="402"/>
      <c r="B37" s="486">
        <v>10</v>
      </c>
      <c r="C37" s="398">
        <v>0</v>
      </c>
      <c r="D37" s="564">
        <v>100</v>
      </c>
      <c r="E37" s="487">
        <f t="shared" si="0"/>
        <v>100</v>
      </c>
      <c r="F37" s="402"/>
      <c r="G37" s="486">
        <v>10</v>
      </c>
      <c r="H37" s="372">
        <v>0</v>
      </c>
      <c r="I37" s="565">
        <v>200</v>
      </c>
      <c r="J37" s="488">
        <f t="shared" si="1"/>
        <v>200</v>
      </c>
      <c r="K37" s="402"/>
      <c r="L37" s="402"/>
      <c r="M37" s="402"/>
      <c r="N37" s="402"/>
    </row>
    <row r="38" spans="1:14" x14ac:dyDescent="0.25">
      <c r="A38" s="402"/>
      <c r="B38" s="402"/>
      <c r="C38" s="489"/>
      <c r="D38" s="490" t="s">
        <v>132</v>
      </c>
      <c r="E38" s="491">
        <f>STDEV(E28:E37)</f>
        <v>0</v>
      </c>
      <c r="F38" s="402"/>
      <c r="G38" s="402"/>
      <c r="H38" s="402"/>
      <c r="I38" s="492" t="s">
        <v>132</v>
      </c>
      <c r="J38" s="491">
        <f>STDEV(J28:J37)</f>
        <v>0</v>
      </c>
      <c r="K38" s="402"/>
      <c r="L38" s="402"/>
      <c r="M38" s="402"/>
      <c r="N38" s="402"/>
    </row>
    <row r="39" spans="1:14" x14ac:dyDescent="0.25">
      <c r="A39" s="402"/>
      <c r="B39" s="489"/>
      <c r="C39" s="489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</row>
    <row r="40" spans="1:14" x14ac:dyDescent="0.25">
      <c r="A40" s="402"/>
      <c r="B40" s="474" t="s">
        <v>133</v>
      </c>
      <c r="C40" s="489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</row>
    <row r="41" spans="1:14" ht="41.4" x14ac:dyDescent="0.25">
      <c r="A41" s="402"/>
      <c r="B41" s="476" t="s">
        <v>134</v>
      </c>
      <c r="C41" s="493" t="s">
        <v>63</v>
      </c>
      <c r="D41" s="493" t="s">
        <v>64</v>
      </c>
      <c r="E41" s="476" t="s">
        <v>65</v>
      </c>
      <c r="F41" s="476" t="s">
        <v>66</v>
      </c>
      <c r="G41" s="494" t="s">
        <v>135</v>
      </c>
      <c r="H41" s="494" t="s">
        <v>136</v>
      </c>
      <c r="I41" s="494" t="s">
        <v>137</v>
      </c>
      <c r="J41" s="494" t="s">
        <v>138</v>
      </c>
      <c r="K41" s="402"/>
      <c r="L41" s="402"/>
      <c r="M41" s="402"/>
      <c r="N41" s="494" t="s">
        <v>139</v>
      </c>
    </row>
    <row r="42" spans="1:14" x14ac:dyDescent="0.25">
      <c r="A42" s="402"/>
      <c r="B42" s="566">
        <v>20</v>
      </c>
      <c r="C42" s="565">
        <v>0</v>
      </c>
      <c r="D42" s="565">
        <v>20</v>
      </c>
      <c r="E42" s="565">
        <v>20</v>
      </c>
      <c r="F42" s="565">
        <v>0</v>
      </c>
      <c r="G42" s="488">
        <f t="shared" ref="G42:G51" si="2">((D42-C42)+(E42-F42))/2</f>
        <v>20</v>
      </c>
      <c r="H42" s="495">
        <f>'Sertifikat Anak'!B8</f>
        <v>20.000005999999999</v>
      </c>
      <c r="I42" s="495">
        <f>H42-G42</f>
        <v>5.999999999062311E-6</v>
      </c>
      <c r="J42" s="594">
        <f>MAX(N42:N51)</f>
        <v>5.2999999979874701E-5</v>
      </c>
      <c r="K42" s="402"/>
      <c r="L42" s="402"/>
      <c r="M42" s="402"/>
      <c r="N42" s="495">
        <f>ABS(I42)</f>
        <v>5.999999999062311E-6</v>
      </c>
    </row>
    <row r="43" spans="1:14" x14ac:dyDescent="0.25">
      <c r="A43" s="402"/>
      <c r="B43" s="566">
        <v>40</v>
      </c>
      <c r="C43" s="565">
        <v>0</v>
      </c>
      <c r="D43" s="565">
        <v>40</v>
      </c>
      <c r="E43" s="565">
        <v>40</v>
      </c>
      <c r="F43" s="565">
        <v>0</v>
      </c>
      <c r="G43" s="488">
        <f t="shared" si="2"/>
        <v>40</v>
      </c>
      <c r="H43" s="495">
        <f>'Sertifikat Anak'!B9</f>
        <v>40.000011999999998</v>
      </c>
      <c r="I43" s="495">
        <f t="shared" ref="I43:I51" si="3">H43-G43</f>
        <v>1.1999999998124622E-5</v>
      </c>
      <c r="J43" s="595"/>
      <c r="K43" s="402"/>
      <c r="L43" s="402"/>
      <c r="M43" s="402"/>
      <c r="N43" s="495">
        <f t="shared" ref="N43:N51" si="4">ABS(I43)</f>
        <v>1.1999999998124622E-5</v>
      </c>
    </row>
    <row r="44" spans="1:14" x14ac:dyDescent="0.25">
      <c r="A44" s="402"/>
      <c r="B44" s="566">
        <v>60</v>
      </c>
      <c r="C44" s="565">
        <v>0</v>
      </c>
      <c r="D44" s="565">
        <v>60</v>
      </c>
      <c r="E44" s="565">
        <v>60</v>
      </c>
      <c r="F44" s="565">
        <v>0</v>
      </c>
      <c r="G44" s="488">
        <f t="shared" si="2"/>
        <v>60</v>
      </c>
      <c r="H44" s="495">
        <f>'Sertifikat Anak'!B10</f>
        <v>60.000028999999998</v>
      </c>
      <c r="I44" s="495">
        <f t="shared" si="3"/>
        <v>2.8999999997836312E-5</v>
      </c>
      <c r="J44" s="595"/>
      <c r="K44" s="402"/>
      <c r="L44" s="402"/>
      <c r="M44" s="402"/>
      <c r="N44" s="495">
        <f t="shared" si="4"/>
        <v>2.8999999997836312E-5</v>
      </c>
    </row>
    <row r="45" spans="1:14" x14ac:dyDescent="0.25">
      <c r="A45" s="402"/>
      <c r="B45" s="566">
        <v>80</v>
      </c>
      <c r="C45" s="565">
        <v>0</v>
      </c>
      <c r="D45" s="565">
        <v>80</v>
      </c>
      <c r="E45" s="565">
        <v>80</v>
      </c>
      <c r="F45" s="565">
        <v>0</v>
      </c>
      <c r="G45" s="488">
        <f t="shared" si="2"/>
        <v>80</v>
      </c>
      <c r="H45" s="495">
        <f>'Sertifikat Anak'!B11</f>
        <v>80.000034999999997</v>
      </c>
      <c r="I45" s="495">
        <f>H45-G45</f>
        <v>3.4999999996898623E-5</v>
      </c>
      <c r="J45" s="595"/>
      <c r="K45" s="402"/>
      <c r="L45" s="402"/>
      <c r="M45" s="402"/>
      <c r="N45" s="495">
        <f t="shared" si="4"/>
        <v>3.4999999996898623E-5</v>
      </c>
    </row>
    <row r="46" spans="1:14" x14ac:dyDescent="0.25">
      <c r="A46" s="402"/>
      <c r="B46" s="566">
        <v>100</v>
      </c>
      <c r="C46" s="565">
        <v>0</v>
      </c>
      <c r="D46" s="565">
        <v>100</v>
      </c>
      <c r="E46" s="565">
        <v>100</v>
      </c>
      <c r="F46" s="565">
        <v>0</v>
      </c>
      <c r="G46" s="496">
        <f t="shared" si="2"/>
        <v>100</v>
      </c>
      <c r="H46" s="495">
        <f>'Sertifikat Anak'!B12</f>
        <v>100.000018</v>
      </c>
      <c r="I46" s="495">
        <f t="shared" si="3"/>
        <v>1.7999999997186933E-5</v>
      </c>
      <c r="J46" s="595"/>
      <c r="K46" s="402"/>
      <c r="L46" s="402"/>
      <c r="M46" s="402"/>
      <c r="N46" s="495">
        <f t="shared" si="4"/>
        <v>1.7999999997186933E-5</v>
      </c>
    </row>
    <row r="47" spans="1:14" x14ac:dyDescent="0.25">
      <c r="A47" s="402"/>
      <c r="B47" s="566">
        <v>120</v>
      </c>
      <c r="C47" s="565">
        <v>0</v>
      </c>
      <c r="D47" s="565">
        <v>120</v>
      </c>
      <c r="E47" s="565">
        <v>120</v>
      </c>
      <c r="F47" s="565">
        <v>0</v>
      </c>
      <c r="G47" s="488">
        <f t="shared" si="2"/>
        <v>120</v>
      </c>
      <c r="H47" s="495">
        <f>'Sertifikat Anak'!B13</f>
        <v>120.000024</v>
      </c>
      <c r="I47" s="495">
        <f t="shared" si="3"/>
        <v>2.3999999996249244E-5</v>
      </c>
      <c r="J47" s="595"/>
      <c r="K47" s="402"/>
      <c r="L47" s="402"/>
      <c r="M47" s="402"/>
      <c r="N47" s="495">
        <f t="shared" si="4"/>
        <v>2.3999999996249244E-5</v>
      </c>
    </row>
    <row r="48" spans="1:14" x14ac:dyDescent="0.25">
      <c r="A48" s="402"/>
      <c r="B48" s="566">
        <v>140</v>
      </c>
      <c r="C48" s="565">
        <v>0</v>
      </c>
      <c r="D48" s="565">
        <v>140</v>
      </c>
      <c r="E48" s="565">
        <v>140</v>
      </c>
      <c r="F48" s="565">
        <v>0</v>
      </c>
      <c r="G48" s="488">
        <f t="shared" si="2"/>
        <v>140</v>
      </c>
      <c r="H48" s="495">
        <f>'Sertifikat Anak'!B14</f>
        <v>140.00002999999998</v>
      </c>
      <c r="I48" s="495">
        <f t="shared" si="3"/>
        <v>2.99999999811007E-5</v>
      </c>
      <c r="J48" s="595"/>
      <c r="K48" s="402"/>
      <c r="L48" s="402"/>
      <c r="M48" s="402"/>
      <c r="N48" s="495">
        <f t="shared" si="4"/>
        <v>2.99999999811007E-5</v>
      </c>
    </row>
    <row r="49" spans="1:14" x14ac:dyDescent="0.25">
      <c r="A49" s="402"/>
      <c r="B49" s="566">
        <v>160</v>
      </c>
      <c r="C49" s="565">
        <v>0</v>
      </c>
      <c r="D49" s="565">
        <v>160</v>
      </c>
      <c r="E49" s="565">
        <v>160</v>
      </c>
      <c r="F49" s="565">
        <v>0</v>
      </c>
      <c r="G49" s="488">
        <f t="shared" si="2"/>
        <v>160</v>
      </c>
      <c r="H49" s="495">
        <f>'Sertifikat Anak'!B15</f>
        <v>160.000047</v>
      </c>
      <c r="I49" s="495">
        <f t="shared" si="3"/>
        <v>4.6999999995023245E-5</v>
      </c>
      <c r="J49" s="595"/>
      <c r="K49" s="402"/>
      <c r="L49" s="402"/>
      <c r="M49" s="402"/>
      <c r="N49" s="495">
        <f t="shared" si="4"/>
        <v>4.6999999995023245E-5</v>
      </c>
    </row>
    <row r="50" spans="1:14" x14ac:dyDescent="0.25">
      <c r="A50" s="402"/>
      <c r="B50" s="566">
        <v>180</v>
      </c>
      <c r="C50" s="565">
        <v>0</v>
      </c>
      <c r="D50" s="565">
        <v>180</v>
      </c>
      <c r="E50" s="565">
        <v>180</v>
      </c>
      <c r="F50" s="565">
        <v>0</v>
      </c>
      <c r="G50" s="496">
        <f t="shared" si="2"/>
        <v>180</v>
      </c>
      <c r="H50" s="495">
        <f>'Sertifikat Anak'!B16</f>
        <v>180.00005299999998</v>
      </c>
      <c r="I50" s="495">
        <f>H50-G50</f>
        <v>5.2999999979874701E-5</v>
      </c>
      <c r="J50" s="595"/>
      <c r="K50" s="402"/>
      <c r="L50" s="402"/>
      <c r="M50" s="402"/>
      <c r="N50" s="495">
        <f t="shared" si="4"/>
        <v>5.2999999979874701E-5</v>
      </c>
    </row>
    <row r="51" spans="1:14" x14ac:dyDescent="0.25">
      <c r="A51" s="402"/>
      <c r="B51" s="566">
        <v>200</v>
      </c>
      <c r="C51" s="565">
        <v>0</v>
      </c>
      <c r="D51" s="565">
        <v>200</v>
      </c>
      <c r="E51" s="565">
        <v>200</v>
      </c>
      <c r="F51" s="565">
        <v>0</v>
      </c>
      <c r="G51" s="488">
        <f t="shared" si="2"/>
        <v>200</v>
      </c>
      <c r="H51" s="495">
        <f>'Sertifikat Anak'!B17</f>
        <v>200.00005200000001</v>
      </c>
      <c r="I51" s="495">
        <f t="shared" si="3"/>
        <v>5.2000000010821168E-5</v>
      </c>
      <c r="J51" s="596"/>
      <c r="K51" s="402"/>
      <c r="L51" s="402"/>
      <c r="M51" s="402"/>
      <c r="N51" s="495">
        <f t="shared" si="4"/>
        <v>5.2000000010821168E-5</v>
      </c>
    </row>
    <row r="52" spans="1:14" x14ac:dyDescent="0.25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</row>
    <row r="53" spans="1:14" x14ac:dyDescent="0.25">
      <c r="A53" s="402"/>
      <c r="B53" s="473" t="s">
        <v>70</v>
      </c>
      <c r="C53" s="489"/>
      <c r="D53" s="489"/>
      <c r="E53" s="489"/>
      <c r="F53" s="489"/>
      <c r="G53" s="497"/>
      <c r="H53" s="402"/>
      <c r="I53" s="402"/>
      <c r="J53" s="402"/>
      <c r="K53" s="402"/>
      <c r="L53" s="402"/>
      <c r="M53" s="402"/>
      <c r="N53" s="402"/>
    </row>
    <row r="54" spans="1:14" ht="41.4" x14ac:dyDescent="0.25">
      <c r="A54" s="402"/>
      <c r="B54" s="494" t="s">
        <v>71</v>
      </c>
      <c r="C54" s="493" t="s">
        <v>63</v>
      </c>
      <c r="D54" s="498" t="s">
        <v>64</v>
      </c>
      <c r="E54" s="476" t="s">
        <v>72</v>
      </c>
      <c r="F54" s="476" t="s">
        <v>65</v>
      </c>
      <c r="G54" s="476" t="s">
        <v>66</v>
      </c>
      <c r="H54" s="494" t="s">
        <v>140</v>
      </c>
      <c r="I54" s="494" t="s">
        <v>141</v>
      </c>
      <c r="J54" s="476" t="s">
        <v>142</v>
      </c>
      <c r="K54" s="402"/>
      <c r="L54" s="402"/>
      <c r="M54" s="402"/>
      <c r="N54" s="402"/>
    </row>
    <row r="55" spans="1:14" x14ac:dyDescent="0.25">
      <c r="A55" s="402"/>
      <c r="B55" s="499">
        <v>1</v>
      </c>
      <c r="C55" s="373">
        <v>0</v>
      </c>
      <c r="D55" s="374">
        <v>100</v>
      </c>
      <c r="E55" s="373">
        <v>149.91999999999999</v>
      </c>
      <c r="F55" s="374">
        <v>100</v>
      </c>
      <c r="G55" s="373">
        <v>0</v>
      </c>
      <c r="H55" s="600">
        <f>SUM(D55:D57) /3</f>
        <v>100</v>
      </c>
      <c r="I55" s="603">
        <f>SUM(F55:F57)/3</f>
        <v>100</v>
      </c>
      <c r="J55" s="599">
        <f>ABS(I55-H55)</f>
        <v>0</v>
      </c>
      <c r="K55" s="402"/>
      <c r="L55" s="402"/>
      <c r="M55" s="402"/>
      <c r="N55" s="402"/>
    </row>
    <row r="56" spans="1:14" x14ac:dyDescent="0.25">
      <c r="A56" s="402"/>
      <c r="B56" s="499">
        <v>2</v>
      </c>
      <c r="C56" s="373">
        <v>0</v>
      </c>
      <c r="D56" s="374">
        <v>100</v>
      </c>
      <c r="E56" s="373">
        <v>149.91999999999999</v>
      </c>
      <c r="F56" s="374">
        <v>100</v>
      </c>
      <c r="G56" s="373">
        <v>0</v>
      </c>
      <c r="H56" s="601"/>
      <c r="I56" s="604"/>
      <c r="J56" s="599"/>
      <c r="K56" s="402"/>
      <c r="L56" s="402"/>
      <c r="M56" s="402"/>
      <c r="N56" s="402"/>
    </row>
    <row r="57" spans="1:14" x14ac:dyDescent="0.25">
      <c r="A57" s="402"/>
      <c r="B57" s="499">
        <v>3</v>
      </c>
      <c r="C57" s="373">
        <v>0</v>
      </c>
      <c r="D57" s="374">
        <v>100</v>
      </c>
      <c r="E57" s="373">
        <v>149.91999999999999</v>
      </c>
      <c r="F57" s="374">
        <v>100</v>
      </c>
      <c r="G57" s="373">
        <v>0</v>
      </c>
      <c r="H57" s="602"/>
      <c r="I57" s="605"/>
      <c r="J57" s="599"/>
      <c r="K57" s="402"/>
      <c r="L57" s="402"/>
      <c r="M57" s="402"/>
      <c r="N57" s="402"/>
    </row>
    <row r="58" spans="1:14" x14ac:dyDescent="0.25">
      <c r="A58" s="402"/>
      <c r="B58" s="402"/>
      <c r="C58" s="402"/>
      <c r="D58" s="402"/>
      <c r="E58" s="402"/>
      <c r="F58" s="402"/>
      <c r="G58" s="402"/>
      <c r="H58" s="402"/>
      <c r="I58" s="402" t="s">
        <v>143</v>
      </c>
      <c r="J58" s="402"/>
      <c r="K58" s="402"/>
      <c r="L58" s="402"/>
      <c r="M58" s="402"/>
      <c r="N58" s="402"/>
    </row>
    <row r="59" spans="1:14" x14ac:dyDescent="0.25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</row>
    <row r="60" spans="1:14" x14ac:dyDescent="0.25">
      <c r="A60" s="402"/>
      <c r="B60" s="474" t="s">
        <v>75</v>
      </c>
      <c r="C60" s="402"/>
      <c r="D60" s="402"/>
      <c r="E60" s="500"/>
      <c r="F60" s="473"/>
      <c r="G60" s="402"/>
      <c r="H60" s="402"/>
      <c r="I60" s="402"/>
      <c r="J60" s="402"/>
      <c r="K60" s="402"/>
      <c r="L60" s="402"/>
      <c r="M60" s="402"/>
      <c r="N60" s="402"/>
    </row>
    <row r="61" spans="1:14" x14ac:dyDescent="0.25">
      <c r="A61" s="402"/>
      <c r="B61" s="476" t="s">
        <v>144</v>
      </c>
      <c r="C61" s="476">
        <v>0</v>
      </c>
      <c r="D61" s="476">
        <v>1</v>
      </c>
      <c r="E61" s="476">
        <v>2</v>
      </c>
      <c r="F61" s="476">
        <v>3</v>
      </c>
      <c r="G61" s="476">
        <v>4</v>
      </c>
      <c r="H61" s="402"/>
      <c r="I61" s="489"/>
      <c r="J61" s="402"/>
      <c r="K61" s="402"/>
      <c r="L61" s="501"/>
      <c r="M61" s="402"/>
      <c r="N61" s="402"/>
    </row>
    <row r="62" spans="1:14" x14ac:dyDescent="0.25">
      <c r="A62" s="402"/>
      <c r="B62" s="502" t="s">
        <v>78</v>
      </c>
      <c r="C62" s="374">
        <v>100</v>
      </c>
      <c r="D62" s="374">
        <v>100</v>
      </c>
      <c r="E62" s="374">
        <v>100</v>
      </c>
      <c r="F62" s="374">
        <v>100</v>
      </c>
      <c r="G62" s="374">
        <v>100</v>
      </c>
      <c r="H62" s="402"/>
      <c r="I62" s="503"/>
      <c r="J62" s="402"/>
      <c r="K62" s="402"/>
      <c r="L62" s="489"/>
      <c r="M62" s="503"/>
      <c r="N62" s="402"/>
    </row>
    <row r="63" spans="1:14" x14ac:dyDescent="0.25">
      <c r="A63" s="402"/>
      <c r="B63" s="502" t="s">
        <v>79</v>
      </c>
      <c r="C63" s="374">
        <v>100</v>
      </c>
      <c r="D63" s="374">
        <v>100</v>
      </c>
      <c r="E63" s="374">
        <v>100</v>
      </c>
      <c r="F63" s="374">
        <v>100</v>
      </c>
      <c r="G63" s="374">
        <v>100</v>
      </c>
      <c r="H63" s="402"/>
      <c r="I63" s="402"/>
      <c r="J63" s="402"/>
      <c r="K63" s="402"/>
      <c r="L63" s="402"/>
      <c r="M63" s="402"/>
      <c r="N63" s="402"/>
    </row>
    <row r="64" spans="1:14" x14ac:dyDescent="0.25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</row>
    <row r="65" spans="1:14" ht="30" customHeight="1" x14ac:dyDescent="0.25">
      <c r="A65" s="402"/>
      <c r="B65" s="504" t="s">
        <v>144</v>
      </c>
      <c r="C65" s="504" t="s">
        <v>78</v>
      </c>
      <c r="D65" s="504" t="s">
        <v>79</v>
      </c>
      <c r="E65" s="504" t="s">
        <v>145</v>
      </c>
      <c r="F65" s="504" t="s">
        <v>146</v>
      </c>
      <c r="G65" s="505" t="s">
        <v>147</v>
      </c>
      <c r="H65" s="504" t="s">
        <v>148</v>
      </c>
      <c r="I65" s="402"/>
      <c r="J65" s="402"/>
      <c r="K65" s="402"/>
      <c r="L65" s="402"/>
      <c r="M65" s="506"/>
      <c r="N65" s="402"/>
    </row>
    <row r="66" spans="1:14" x14ac:dyDescent="0.25">
      <c r="A66" s="402"/>
      <c r="B66" s="507">
        <v>0</v>
      </c>
      <c r="C66" s="508">
        <f>C62</f>
        <v>100</v>
      </c>
      <c r="D66" s="508">
        <f>C63</f>
        <v>100</v>
      </c>
      <c r="E66" s="509">
        <f>(C66+D66)/2</f>
        <v>100</v>
      </c>
      <c r="F66" s="508">
        <f>E66-$E$66</f>
        <v>0</v>
      </c>
      <c r="G66" s="508">
        <f>ABS(F66)</f>
        <v>0</v>
      </c>
      <c r="H66" s="594">
        <f>MAX(G66:G70)</f>
        <v>0</v>
      </c>
      <c r="I66" s="402"/>
      <c r="J66" s="402"/>
      <c r="K66" s="402"/>
      <c r="L66" s="402"/>
      <c r="M66" s="402"/>
      <c r="N66" s="402"/>
    </row>
    <row r="67" spans="1:14" x14ac:dyDescent="0.25">
      <c r="A67" s="402"/>
      <c r="B67" s="507">
        <v>1</v>
      </c>
      <c r="C67" s="508">
        <f>D62</f>
        <v>100</v>
      </c>
      <c r="D67" s="508">
        <f>D63</f>
        <v>100</v>
      </c>
      <c r="E67" s="509">
        <f>(C67+D67)/2</f>
        <v>100</v>
      </c>
      <c r="F67" s="508">
        <f>E67-$E$66</f>
        <v>0</v>
      </c>
      <c r="G67" s="508">
        <f>ABS(F67)</f>
        <v>0</v>
      </c>
      <c r="H67" s="595"/>
      <c r="I67" s="402"/>
      <c r="J67" s="402"/>
      <c r="K67" s="402"/>
      <c r="L67" s="402"/>
      <c r="M67" s="402"/>
      <c r="N67" s="402"/>
    </row>
    <row r="68" spans="1:14" x14ac:dyDescent="0.25">
      <c r="A68" s="402"/>
      <c r="B68" s="507">
        <v>2</v>
      </c>
      <c r="C68" s="508">
        <f>E62</f>
        <v>100</v>
      </c>
      <c r="D68" s="508">
        <f>E63</f>
        <v>100</v>
      </c>
      <c r="E68" s="509">
        <f>(C68+D68)/2</f>
        <v>100</v>
      </c>
      <c r="F68" s="508">
        <f>E68-$E$66</f>
        <v>0</v>
      </c>
      <c r="G68" s="508">
        <f>ABS(F68)</f>
        <v>0</v>
      </c>
      <c r="H68" s="595"/>
      <c r="I68" s="402"/>
      <c r="J68" s="402"/>
      <c r="K68" s="402"/>
      <c r="L68" s="402"/>
      <c r="M68" s="402"/>
      <c r="N68" s="402"/>
    </row>
    <row r="69" spans="1:14" x14ac:dyDescent="0.25">
      <c r="A69" s="402"/>
      <c r="B69" s="507">
        <v>3</v>
      </c>
      <c r="C69" s="508">
        <f>F62</f>
        <v>100</v>
      </c>
      <c r="D69" s="508">
        <f>F63</f>
        <v>100</v>
      </c>
      <c r="E69" s="509">
        <f>(C69+D69)/2</f>
        <v>100</v>
      </c>
      <c r="F69" s="508">
        <f>E69-$E$66</f>
        <v>0</v>
      </c>
      <c r="G69" s="508">
        <f>ABS(F69)</f>
        <v>0</v>
      </c>
      <c r="H69" s="595"/>
      <c r="I69" s="402"/>
      <c r="J69" s="402"/>
      <c r="K69" s="402"/>
      <c r="L69" s="402"/>
      <c r="M69" s="402"/>
      <c r="N69" s="402"/>
    </row>
    <row r="70" spans="1:14" x14ac:dyDescent="0.25">
      <c r="A70" s="402"/>
      <c r="B70" s="507">
        <v>4</v>
      </c>
      <c r="C70" s="508">
        <f>G62</f>
        <v>100</v>
      </c>
      <c r="D70" s="508">
        <f>G63</f>
        <v>100</v>
      </c>
      <c r="E70" s="509">
        <f>(C70+D70)/2</f>
        <v>100</v>
      </c>
      <c r="F70" s="508">
        <f>E70-$E$66</f>
        <v>0</v>
      </c>
      <c r="G70" s="508">
        <f>ABS(F70)</f>
        <v>0</v>
      </c>
      <c r="H70" s="596"/>
      <c r="I70" s="402"/>
      <c r="J70" s="402"/>
      <c r="K70" s="402"/>
      <c r="L70" s="402"/>
      <c r="M70" s="402"/>
      <c r="N70" s="402"/>
    </row>
    <row r="71" spans="1:14" x14ac:dyDescent="0.25">
      <c r="A71" s="402"/>
      <c r="B71" s="402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2"/>
      <c r="N71" s="402"/>
    </row>
    <row r="72" spans="1:14" hidden="1" x14ac:dyDescent="0.25">
      <c r="A72" s="402"/>
      <c r="B72" s="402"/>
      <c r="C72" s="402"/>
      <c r="D72" s="402"/>
      <c r="E72" s="402"/>
      <c r="F72" s="402"/>
      <c r="G72" s="402"/>
      <c r="H72" s="402"/>
      <c r="I72" s="402"/>
      <c r="J72" s="402"/>
      <c r="K72" s="402"/>
      <c r="L72" s="402"/>
      <c r="M72" s="402"/>
      <c r="N72" s="402"/>
    </row>
    <row r="73" spans="1:14" hidden="1" x14ac:dyDescent="0.25">
      <c r="A73" s="402"/>
      <c r="B73" s="402"/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</row>
    <row r="74" spans="1:14" hidden="1" x14ac:dyDescent="0.25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</row>
    <row r="75" spans="1:14" x14ac:dyDescent="0.25">
      <c r="A75" s="473" t="s">
        <v>82</v>
      </c>
      <c r="B75" s="473" t="s">
        <v>80</v>
      </c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</row>
    <row r="76" spans="1:14" x14ac:dyDescent="0.25">
      <c r="A76" s="402"/>
      <c r="B76" s="475" t="s">
        <v>81</v>
      </c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</row>
    <row r="77" spans="1:14" x14ac:dyDescent="0.25">
      <c r="A77" s="402"/>
      <c r="B77" s="475" t="str">
        <f>'Cetik Cetik'!I11</f>
        <v>Hasil pengujian kinerja timbangan bayi tertelusur ke Satuan Internasional ( SI ) melalui MASSCAL - Jerman</v>
      </c>
      <c r="C77" s="402"/>
      <c r="D77" s="402"/>
      <c r="E77" s="402"/>
      <c r="F77" s="402"/>
      <c r="G77" s="402"/>
      <c r="H77" s="402"/>
      <c r="I77" s="402"/>
      <c r="J77" s="402"/>
      <c r="K77" s="402"/>
      <c r="L77" s="402"/>
      <c r="M77" s="402"/>
      <c r="N77" s="402"/>
    </row>
    <row r="78" spans="1:14" x14ac:dyDescent="0.25">
      <c r="A78" s="402"/>
      <c r="B78" s="570" t="s">
        <v>151</v>
      </c>
      <c r="C78" s="402"/>
      <c r="D78" s="402"/>
      <c r="E78" s="402"/>
      <c r="F78" s="402"/>
      <c r="G78" s="402"/>
      <c r="H78" s="402"/>
      <c r="I78" s="402"/>
      <c r="J78" s="402"/>
      <c r="K78" s="402"/>
      <c r="L78" s="402"/>
      <c r="M78" s="402"/>
      <c r="N78" s="402"/>
    </row>
    <row r="79" spans="1:14" x14ac:dyDescent="0.25">
      <c r="A79" s="402"/>
      <c r="B79" s="475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</row>
    <row r="80" spans="1:14" x14ac:dyDescent="0.25">
      <c r="A80" s="473" t="s">
        <v>150</v>
      </c>
      <c r="B80" s="473" t="s">
        <v>83</v>
      </c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</row>
    <row r="81" spans="1:14" x14ac:dyDescent="0.25">
      <c r="A81" s="402"/>
      <c r="B81" s="591" t="s">
        <v>445</v>
      </c>
      <c r="C81" s="591"/>
      <c r="D81" s="591"/>
      <c r="E81" s="591"/>
      <c r="F81" s="591"/>
      <c r="G81" s="591"/>
      <c r="H81" s="591"/>
      <c r="I81" s="402"/>
      <c r="J81" s="402"/>
      <c r="K81" s="402"/>
      <c r="L81" s="402"/>
      <c r="M81" s="402"/>
      <c r="N81" s="402"/>
    </row>
    <row r="82" spans="1:14" ht="16.5" customHeight="1" x14ac:dyDescent="0.25">
      <c r="A82" s="402"/>
      <c r="B82" s="589" t="s">
        <v>460</v>
      </c>
      <c r="C82" s="589"/>
      <c r="D82" s="589"/>
      <c r="E82" s="589"/>
      <c r="F82" s="589"/>
      <c r="G82" s="589"/>
      <c r="H82" s="589"/>
      <c r="I82" s="402"/>
      <c r="J82" s="402"/>
      <c r="K82" s="402"/>
      <c r="L82" s="402"/>
      <c r="M82" s="402"/>
      <c r="N82" s="402" t="s">
        <v>151</v>
      </c>
    </row>
    <row r="83" spans="1:14" ht="18.75" customHeight="1" x14ac:dyDescent="0.25">
      <c r="A83" s="402"/>
      <c r="B83" s="402"/>
      <c r="C83" s="402"/>
      <c r="D83" s="402"/>
      <c r="E83" s="402"/>
      <c r="F83" s="402"/>
      <c r="G83" s="402"/>
      <c r="H83" s="402"/>
      <c r="I83" s="402"/>
      <c r="J83" s="402"/>
      <c r="K83" s="402"/>
      <c r="L83" s="402"/>
      <c r="M83" s="402"/>
      <c r="N83" s="401" t="s">
        <v>149</v>
      </c>
    </row>
    <row r="84" spans="1:14" ht="12" customHeight="1" x14ac:dyDescent="0.25">
      <c r="A84" s="474" t="s">
        <v>152</v>
      </c>
      <c r="B84" s="474" t="s">
        <v>92</v>
      </c>
      <c r="C84" s="475"/>
      <c r="D84" s="475"/>
      <c r="E84" s="475"/>
      <c r="F84" s="475"/>
      <c r="G84" s="475"/>
      <c r="H84" s="475"/>
      <c r="I84" s="475"/>
      <c r="J84" s="475"/>
      <c r="K84" s="475"/>
      <c r="L84" s="475"/>
      <c r="M84" s="475"/>
      <c r="N84" s="402"/>
    </row>
    <row r="85" spans="1:14" ht="18" customHeight="1" x14ac:dyDescent="0.25">
      <c r="A85" s="475"/>
      <c r="B85" s="590" t="str">
        <f>IF('Lembar Penyelia'!I71&gt;=10,'Cetik Cetik'!A19,'Cetik Cetik'!A20)</f>
        <v>Alat yang dikalibrasi dalam batas toleransi dan dinyatakan LAIK PAKAI, dimana hasil pengujian kinerja LOP kurang dari sama dengan 5 kali resolusi berdasarkan Keputusan Direktur Jenderal Pelayanan Kesehatan No : HK.02.02/V/0412/2020</v>
      </c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10"/>
      <c r="N85" s="402"/>
    </row>
    <row r="86" spans="1:14" ht="14.25" customHeight="1" x14ac:dyDescent="0.25">
      <c r="A86" s="475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10"/>
      <c r="N86" s="402"/>
    </row>
    <row r="87" spans="1:14" ht="14.25" customHeight="1" x14ac:dyDescent="0.25">
      <c r="A87" s="475"/>
      <c r="B87" s="511"/>
      <c r="C87" s="511"/>
      <c r="D87" s="511"/>
      <c r="E87" s="511"/>
      <c r="F87" s="511"/>
      <c r="G87" s="511"/>
      <c r="H87" s="511"/>
      <c r="I87" s="511"/>
      <c r="J87" s="511"/>
      <c r="K87" s="511"/>
      <c r="L87" s="511"/>
      <c r="M87" s="511"/>
      <c r="N87" s="402"/>
    </row>
    <row r="88" spans="1:14" x14ac:dyDescent="0.25">
      <c r="A88" s="473" t="s">
        <v>153</v>
      </c>
      <c r="B88" s="473" t="s">
        <v>154</v>
      </c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</row>
    <row r="89" spans="1:14" x14ac:dyDescent="0.25">
      <c r="A89" s="402"/>
      <c r="B89" s="402" t="s">
        <v>155</v>
      </c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02"/>
    </row>
    <row r="90" spans="1:14" x14ac:dyDescent="0.25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02"/>
    </row>
    <row r="91" spans="1:14" x14ac:dyDescent="0.25">
      <c r="A91" s="473" t="s">
        <v>156</v>
      </c>
      <c r="B91" s="473" t="s">
        <v>157</v>
      </c>
      <c r="C91" s="473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</row>
    <row r="92" spans="1:14" x14ac:dyDescent="0.25">
      <c r="A92" s="402"/>
      <c r="B92" s="401" t="s">
        <v>158</v>
      </c>
      <c r="C92" s="402"/>
      <c r="D92" s="402"/>
      <c r="E92" s="402"/>
      <c r="F92" s="402"/>
      <c r="G92" s="402"/>
      <c r="H92" s="402"/>
      <c r="I92" s="402"/>
      <c r="J92" s="402"/>
      <c r="K92" s="402"/>
      <c r="L92" s="402"/>
      <c r="M92" s="402"/>
      <c r="N92" s="402"/>
    </row>
    <row r="93" spans="1:14" x14ac:dyDescent="0.25">
      <c r="A93" s="402"/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M93" s="402"/>
      <c r="N93" s="402"/>
    </row>
  </sheetData>
  <mergeCells count="14">
    <mergeCell ref="B82:H82"/>
    <mergeCell ref="B85:L86"/>
    <mergeCell ref="B81:H81"/>
    <mergeCell ref="H16:H17"/>
    <mergeCell ref="A1:L1"/>
    <mergeCell ref="H66:H70"/>
    <mergeCell ref="E26:E27"/>
    <mergeCell ref="J55:J57"/>
    <mergeCell ref="H55:H57"/>
    <mergeCell ref="I55:I57"/>
    <mergeCell ref="G16:G17"/>
    <mergeCell ref="J42:J51"/>
    <mergeCell ref="J26:J27"/>
    <mergeCell ref="C2:H2"/>
  </mergeCells>
  <dataValidations count="1">
    <dataValidation type="list" allowBlank="1" showInputMessage="1" showErrorMessage="1" sqref="B78" xr:uid="{700DB15C-5FA2-4F48-A8B6-3C599D168E7F}">
      <formula1>$N$82:$N$83</formula1>
    </dataValidation>
  </dataValidations>
  <printOptions horizontalCentered="1"/>
  <pageMargins left="0.51181102362204722" right="0.23622047244094491" top="0.62992125984251968" bottom="0.23622047244094491" header="0.47244094488188981" footer="0.23622047244094491"/>
  <pageSetup paperSize="9" scale="56" orientation="portrait" r:id="rId1"/>
  <headerFooter>
    <oddHeader>&amp;RGM.004-18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'Cetik Cetik'!$A$4:$A$5</xm:f>
          </x14:formula1>
          <xm:sqref>D21:D22</xm:sqref>
        </x14:dataValidation>
        <x14:dataValidation type="list" allowBlank="1" showInputMessage="1" showErrorMessage="1" xr:uid="{00000000-0002-0000-0200-000006000000}">
          <x14:formula1>
            <xm:f>'Cetik Cetik'!$A$25:$A$49</xm:f>
          </x14:formula1>
          <xm:sqref>B89</xm:sqref>
        </x14:dataValidation>
        <x14:dataValidation type="list" allowBlank="1" showInputMessage="1" showErrorMessage="1" xr:uid="{1AC9B298-1D6F-4D71-A4BC-1054F9D71F31}">
          <x14:formula1>
            <xm:f>'Sertifikat Anak'!$J$241:$J$248</xm:f>
          </x14:formula1>
          <xm:sqref>B81</xm:sqref>
        </x14:dataValidation>
        <x14:dataValidation type="list" allowBlank="1" showInputMessage="1" showErrorMessage="1" xr:uid="{97B24E1C-B53D-45DA-A04B-19BD82916EA0}">
          <x14:formula1>
            <xm:f>'DB Thermohygro'!$A$357:$A$374</xm:f>
          </x14:formula1>
          <xm:sqref>B82:H82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0"/>
  <sheetViews>
    <sheetView tabSelected="1" view="pageBreakPreview" topLeftCell="A40" zoomScaleNormal="100" zoomScaleSheetLayoutView="100" workbookViewId="0">
      <selection activeCell="F59" sqref="F59"/>
    </sheetView>
  </sheetViews>
  <sheetFormatPr defaultColWidth="9.21875" defaultRowHeight="13.8" x14ac:dyDescent="0.25"/>
  <cols>
    <col min="1" max="1" width="4.21875" style="465" customWidth="1"/>
    <col min="2" max="2" width="14" style="465" customWidth="1"/>
    <col min="3" max="3" width="11.5546875" style="465" customWidth="1"/>
    <col min="4" max="4" width="12.77734375" style="465" customWidth="1"/>
    <col min="5" max="5" width="16.21875" style="465" customWidth="1"/>
    <col min="6" max="6" width="15.44140625" style="465" customWidth="1"/>
    <col min="7" max="7" width="15.21875" style="465" customWidth="1"/>
    <col min="8" max="8" width="15.44140625" style="465" customWidth="1"/>
    <col min="9" max="9" width="13" style="465" customWidth="1"/>
    <col min="10" max="10" width="17.77734375" style="465" customWidth="1"/>
    <col min="11" max="11" width="16.5546875" style="465" customWidth="1"/>
    <col min="12" max="13" width="13.77734375" style="465" customWidth="1"/>
    <col min="14" max="14" width="19" style="465" bestFit="1" customWidth="1"/>
    <col min="15" max="15" width="15" style="465" customWidth="1"/>
    <col min="16" max="16" width="9.21875" style="465"/>
    <col min="17" max="17" width="11.77734375" style="465" customWidth="1"/>
    <col min="18" max="18" width="12.21875" style="465" customWidth="1"/>
    <col min="19" max="16384" width="9.21875" style="465"/>
  </cols>
  <sheetData>
    <row r="1" spans="1:12" x14ac:dyDescent="0.25">
      <c r="A1" s="610" t="str">
        <f>'Lembar Penyelia'!A1:K1</f>
        <v>HASIL KALIBRASI ANALITICAL BALANCE</v>
      </c>
      <c r="B1" s="610"/>
      <c r="C1" s="610"/>
      <c r="D1" s="610"/>
      <c r="E1" s="610"/>
      <c r="F1" s="610"/>
      <c r="G1" s="610"/>
      <c r="H1" s="610"/>
      <c r="I1" s="610"/>
      <c r="J1" s="512"/>
      <c r="K1" s="512"/>
      <c r="L1" s="512"/>
    </row>
    <row r="2" spans="1:12" x14ac:dyDescent="0.25">
      <c r="A2" s="609" t="str">
        <f>'Lembar Penyelia'!A2:K2</f>
        <v>Nomor Sertifikat : 2 /  1 / VIII - 20 / E - 011.120 DL</v>
      </c>
      <c r="B2" s="609"/>
      <c r="C2" s="609"/>
      <c r="D2" s="609"/>
      <c r="E2" s="609"/>
      <c r="F2" s="609"/>
      <c r="G2" s="609"/>
      <c r="H2" s="609"/>
      <c r="I2" s="609"/>
      <c r="K2" s="512"/>
      <c r="L2" s="512"/>
    </row>
    <row r="3" spans="1:12" x14ac:dyDescent="0.25">
      <c r="A3" s="513"/>
      <c r="B3" s="513"/>
      <c r="C3" s="513"/>
      <c r="D3" s="513"/>
      <c r="E3" s="513"/>
      <c r="F3" s="513"/>
      <c r="G3" s="513"/>
      <c r="H3" s="513"/>
      <c r="I3" s="513"/>
      <c r="J3" s="513"/>
      <c r="K3" s="512"/>
      <c r="L3" s="512"/>
    </row>
    <row r="4" spans="1:12" x14ac:dyDescent="0.25">
      <c r="A4" s="465" t="str">
        <f>'Lembar Penyelia'!A4</f>
        <v>Merek</v>
      </c>
      <c r="D4" s="514" t="str">
        <f>'Lembar Penyelia'!C4</f>
        <v>:</v>
      </c>
      <c r="E4" s="515" t="str">
        <f>'Lembar Penyelia'!D4</f>
        <v>a</v>
      </c>
    </row>
    <row r="5" spans="1:12" x14ac:dyDescent="0.25">
      <c r="A5" s="465" t="str">
        <f>'Lembar Penyelia'!A5</f>
        <v>Model/Type</v>
      </c>
      <c r="D5" s="514" t="str">
        <f>'Lembar Penyelia'!C5</f>
        <v>:</v>
      </c>
      <c r="E5" s="515" t="str">
        <f>'Lembar Penyelia'!D5</f>
        <v>b</v>
      </c>
    </row>
    <row r="6" spans="1:12" x14ac:dyDescent="0.25">
      <c r="A6" s="465" t="str">
        <f>'Lembar Penyelia'!A6</f>
        <v>No. Seri</v>
      </c>
      <c r="D6" s="514" t="str">
        <f>'Lembar Penyelia'!C6</f>
        <v>:</v>
      </c>
      <c r="E6" s="515">
        <f>'Lembar Penyelia'!D6</f>
        <v>122</v>
      </c>
    </row>
    <row r="7" spans="1:12" x14ac:dyDescent="0.25">
      <c r="A7" s="465" t="str">
        <f>'Lembar Penyelia'!A7</f>
        <v>Kapasitas</v>
      </c>
      <c r="D7" s="514" t="str">
        <f>'Lembar Penyelia'!C7</f>
        <v>:</v>
      </c>
      <c r="E7" s="516">
        <f>'Lembar Penyelia'!D7</f>
        <v>2000</v>
      </c>
      <c r="F7" s="465" t="s">
        <v>10</v>
      </c>
    </row>
    <row r="8" spans="1:12" x14ac:dyDescent="0.25">
      <c r="A8" s="465" t="str">
        <f>'Lembar Penyelia'!A8</f>
        <v>Resolusi</v>
      </c>
      <c r="D8" s="514" t="str">
        <f>'Lembar Penyelia'!C8</f>
        <v>:</v>
      </c>
      <c r="E8" s="517">
        <f>'Lembar Penyelia'!D8</f>
        <v>0.01</v>
      </c>
      <c r="F8" s="465" t="s">
        <v>10</v>
      </c>
    </row>
    <row r="9" spans="1:12" x14ac:dyDescent="0.25">
      <c r="A9" s="465" t="str">
        <f>'Lembar Penyelia'!A9</f>
        <v>Tangga Penerimaan Alat</v>
      </c>
      <c r="D9" s="514" t="str">
        <f>'Lembar Penyelia'!C9</f>
        <v>:</v>
      </c>
      <c r="E9" s="518">
        <f>'Lembar Penyelia'!D9</f>
        <v>44655</v>
      </c>
    </row>
    <row r="10" spans="1:12" x14ac:dyDescent="0.25">
      <c r="A10" s="465" t="str">
        <f>'Lembar Penyelia'!A10</f>
        <v>Tanggal Kalibrasi</v>
      </c>
      <c r="D10" s="514" t="str">
        <f>'Lembar Penyelia'!C10</f>
        <v>:</v>
      </c>
      <c r="E10" s="518">
        <f>'Lembar Penyelia'!D10</f>
        <v>44655</v>
      </c>
    </row>
    <row r="11" spans="1:12" x14ac:dyDescent="0.25">
      <c r="A11" s="465" t="str">
        <f>'Lembar Penyelia'!A11</f>
        <v>Tempat Kalibrasi</v>
      </c>
      <c r="D11" s="514" t="str">
        <f>'Lembar Penyelia'!C11</f>
        <v>:</v>
      </c>
      <c r="E11" s="515" t="str">
        <f>'Lembar Penyelia'!D11</f>
        <v>G</v>
      </c>
    </row>
    <row r="12" spans="1:12" x14ac:dyDescent="0.25">
      <c r="A12" s="465" t="s">
        <v>40</v>
      </c>
      <c r="D12" s="514" t="s">
        <v>33</v>
      </c>
      <c r="E12" s="515" t="str">
        <f>'Lembar Penyelia'!D12</f>
        <v>Ruang Bayi</v>
      </c>
    </row>
    <row r="13" spans="1:12" x14ac:dyDescent="0.25">
      <c r="A13" s="465" t="str">
        <f>'Lembar Penyelia'!A13</f>
        <v>Metode Kerja</v>
      </c>
      <c r="D13" s="514" t="str">
        <f>'Lembar Penyelia'!C13</f>
        <v>:</v>
      </c>
      <c r="E13" s="515" t="str">
        <f>'Lembar Penyelia'!D13</f>
        <v>MK.004-18</v>
      </c>
    </row>
    <row r="14" spans="1:12" ht="4.05" customHeight="1" x14ac:dyDescent="0.25">
      <c r="E14" s="519"/>
    </row>
    <row r="15" spans="1:12" x14ac:dyDescent="0.25">
      <c r="A15" s="520" t="s">
        <v>42</v>
      </c>
      <c r="B15" s="512" t="s">
        <v>43</v>
      </c>
      <c r="C15" s="512"/>
      <c r="E15" s="519"/>
    </row>
    <row r="16" spans="1:12" x14ac:dyDescent="0.25">
      <c r="A16" s="520"/>
      <c r="B16" s="521" t="s">
        <v>44</v>
      </c>
      <c r="C16" s="521"/>
      <c r="D16" s="362" t="s">
        <v>33</v>
      </c>
      <c r="E16" s="550" t="str">
        <f>'Lembar Penyelia'!D16</f>
        <v>20.9</v>
      </c>
      <c r="F16" s="522" t="str">
        <f>'Lembar Penyelia'!E16</f>
        <v xml:space="preserve"> ± </v>
      </c>
      <c r="G16" s="550" t="str">
        <f>'Lembar Penyelia'!F16</f>
        <v>0.3</v>
      </c>
      <c r="H16" s="522" t="str">
        <f>'Lembar Penyelia'!G16</f>
        <v xml:space="preserve"> °C</v>
      </c>
      <c r="I16" s="523"/>
    </row>
    <row r="17" spans="1:10" x14ac:dyDescent="0.25">
      <c r="B17" s="521" t="s">
        <v>47</v>
      </c>
      <c r="C17" s="521"/>
      <c r="D17" s="362" t="s">
        <v>33</v>
      </c>
      <c r="E17" s="550" t="str">
        <f>'Lembar Penyelia'!D17</f>
        <v>60.0</v>
      </c>
      <c r="F17" s="522" t="str">
        <f>'Lembar Penyelia'!E17</f>
        <v xml:space="preserve"> ± </v>
      </c>
      <c r="G17" s="550" t="str">
        <f>'Lembar Penyelia'!F17</f>
        <v>1.6</v>
      </c>
      <c r="H17" s="522" t="str">
        <f>'Lembar Penyelia'!G17</f>
        <v xml:space="preserve"> %RH</v>
      </c>
      <c r="I17" s="524"/>
    </row>
    <row r="18" spans="1:10" ht="4.05" customHeight="1" x14ac:dyDescent="0.25"/>
    <row r="19" spans="1:10" x14ac:dyDescent="0.25">
      <c r="A19" s="512" t="s">
        <v>48</v>
      </c>
      <c r="B19" s="512" t="str">
        <f>'Lembar Penyelia'!B19</f>
        <v>Pemeriksaan Kondisi Fisik dan Fungsi Alat</v>
      </c>
      <c r="C19" s="512"/>
      <c r="D19" s="512"/>
      <c r="E19" s="512"/>
      <c r="F19" s="512"/>
    </row>
    <row r="20" spans="1:10" x14ac:dyDescent="0.25">
      <c r="B20" s="465" t="s">
        <v>50</v>
      </c>
      <c r="D20" s="514" t="s">
        <v>33</v>
      </c>
      <c r="E20" s="465" t="str">
        <f>'Lembar Penyelia'!D20</f>
        <v>Baik</v>
      </c>
    </row>
    <row r="21" spans="1:10" x14ac:dyDescent="0.25">
      <c r="B21" s="465" t="s">
        <v>52</v>
      </c>
      <c r="D21" s="514" t="s">
        <v>33</v>
      </c>
      <c r="E21" s="465" t="str">
        <f>'Lembar Penyelia'!D21</f>
        <v>Baik</v>
      </c>
    </row>
    <row r="22" spans="1:10" ht="4.5" customHeight="1" x14ac:dyDescent="0.25">
      <c r="D22" s="514"/>
    </row>
    <row r="23" spans="1:10" hidden="1" x14ac:dyDescent="0.25">
      <c r="D23" s="514"/>
    </row>
    <row r="24" spans="1:10" x14ac:dyDescent="0.25">
      <c r="A24" s="512" t="s">
        <v>53</v>
      </c>
      <c r="B24" s="512" t="s">
        <v>54</v>
      </c>
      <c r="C24" s="512"/>
    </row>
    <row r="25" spans="1:10" ht="0.75" customHeight="1" x14ac:dyDescent="0.25">
      <c r="A25" s="512"/>
      <c r="B25" s="512"/>
      <c r="C25" s="512"/>
    </row>
    <row r="26" spans="1:10" x14ac:dyDescent="0.25">
      <c r="B26" s="525" t="s">
        <v>129</v>
      </c>
      <c r="C26" s="525"/>
    </row>
    <row r="27" spans="1:10" ht="15" customHeight="1" x14ac:dyDescent="0.25">
      <c r="B27" s="608" t="s">
        <v>191</v>
      </c>
      <c r="C27" s="608" t="s">
        <v>192</v>
      </c>
      <c r="D27" s="608"/>
      <c r="E27" s="608" t="s">
        <v>419</v>
      </c>
      <c r="F27" s="608"/>
      <c r="G27" s="615" t="s">
        <v>420</v>
      </c>
      <c r="H27" s="615"/>
    </row>
    <row r="28" spans="1:10" ht="15" customHeight="1" x14ac:dyDescent="0.25">
      <c r="B28" s="608"/>
      <c r="C28" s="608"/>
      <c r="D28" s="608"/>
      <c r="E28" s="608"/>
      <c r="F28" s="608"/>
      <c r="G28" s="615"/>
      <c r="H28" s="615"/>
    </row>
    <row r="29" spans="1:10" x14ac:dyDescent="0.25">
      <c r="B29" s="526">
        <f>'Lembar Penyelia'!B28</f>
        <v>100</v>
      </c>
      <c r="C29" s="546">
        <f>'Lembar Penyelia'!C28:D28</f>
        <v>100</v>
      </c>
      <c r="D29" s="547"/>
      <c r="E29" s="546">
        <f>'Lembar Penyelia'!E28:F28</f>
        <v>0</v>
      </c>
      <c r="F29" s="547"/>
      <c r="G29" s="527" t="str">
        <f>'Lembar Penyelia'!G28:H28</f>
        <v xml:space="preserve">± </v>
      </c>
      <c r="H29" s="399">
        <f>'Lembar Penyelia'!H28:I28</f>
        <v>5.6648080950578465E-3</v>
      </c>
    </row>
    <row r="30" spans="1:10" ht="15" customHeight="1" x14ac:dyDescent="0.25">
      <c r="B30" s="526">
        <f>'Lembar Penyelia'!B29</f>
        <v>200</v>
      </c>
      <c r="C30" s="546">
        <f>'Lembar Penyelia'!C29:D29</f>
        <v>200</v>
      </c>
      <c r="D30" s="547"/>
      <c r="E30" s="546">
        <f>'Lembar Penyelia'!E29:F29</f>
        <v>0</v>
      </c>
      <c r="F30" s="547"/>
      <c r="G30" s="527" t="str">
        <f>'Lembar Penyelia'!G29:H29</f>
        <v xml:space="preserve">± </v>
      </c>
      <c r="H30" s="399">
        <f>'Lembar Penyelia'!H29:I29</f>
        <v>5.664866894980896E-3</v>
      </c>
    </row>
    <row r="31" spans="1:10" ht="6" customHeight="1" x14ac:dyDescent="0.25">
      <c r="B31" s="528"/>
      <c r="C31" s="528"/>
      <c r="D31" s="528"/>
      <c r="E31" s="519"/>
      <c r="F31" s="519"/>
      <c r="G31" s="519"/>
      <c r="H31" s="519"/>
      <c r="I31" s="519"/>
      <c r="J31" s="519"/>
    </row>
    <row r="32" spans="1:10" x14ac:dyDescent="0.25">
      <c r="B32" s="525" t="s">
        <v>133</v>
      </c>
      <c r="C32" s="525"/>
      <c r="D32" s="528"/>
    </row>
    <row r="33" spans="1:9" ht="15" customHeight="1" x14ac:dyDescent="0.25">
      <c r="B33" s="529" t="s">
        <v>191</v>
      </c>
      <c r="C33" s="613" t="s">
        <v>192</v>
      </c>
      <c r="D33" s="614"/>
      <c r="E33" s="530" t="s">
        <v>421</v>
      </c>
      <c r="F33" s="611" t="s">
        <v>420</v>
      </c>
      <c r="G33" s="612"/>
    </row>
    <row r="34" spans="1:9" ht="15" customHeight="1" x14ac:dyDescent="0.25">
      <c r="A34" s="519"/>
      <c r="B34" s="531">
        <f>'Lembar Penyelia'!B33</f>
        <v>20</v>
      </c>
      <c r="C34" s="545">
        <f>'Lembar Penyelia'!C33</f>
        <v>20</v>
      </c>
      <c r="D34" s="548"/>
      <c r="E34" s="397">
        <f>'Lembar Penyelia'!E33</f>
        <v>5.999999999062311E-6</v>
      </c>
      <c r="F34" s="527" t="str">
        <f>'Lembar Penyelia'!F33</f>
        <v xml:space="preserve">± </v>
      </c>
      <c r="G34" s="400">
        <f>'Lembar Penyelia'!G33</f>
        <v>5.6647907608600011E-3</v>
      </c>
    </row>
    <row r="35" spans="1:9" ht="15" customHeight="1" x14ac:dyDescent="0.25">
      <c r="A35" s="519"/>
      <c r="B35" s="531">
        <f>'Lembar Penyelia'!B34</f>
        <v>40</v>
      </c>
      <c r="C35" s="545">
        <f>'Lembar Penyelia'!C34</f>
        <v>40</v>
      </c>
      <c r="D35" s="548"/>
      <c r="E35" s="397">
        <f>'Lembar Penyelia'!E34</f>
        <v>1.1999999998124622E-5</v>
      </c>
      <c r="F35" s="527" t="str">
        <f>'Lembar Penyelia'!F34</f>
        <v xml:space="preserve">± </v>
      </c>
      <c r="G35" s="400">
        <f>'Lembar Penyelia'!G34</f>
        <v>5.6648080950578465E-3</v>
      </c>
    </row>
    <row r="36" spans="1:9" ht="15" customHeight="1" x14ac:dyDescent="0.25">
      <c r="A36" s="519"/>
      <c r="B36" s="531">
        <f>'Lembar Penyelia'!B35</f>
        <v>60</v>
      </c>
      <c r="C36" s="545">
        <f>'Lembar Penyelia'!C35</f>
        <v>60</v>
      </c>
      <c r="D36" s="548"/>
      <c r="E36" s="397">
        <f>'Lembar Penyelia'!E35</f>
        <v>2.8999999997836312E-5</v>
      </c>
      <c r="F36" s="527" t="str">
        <f>'Lembar Penyelia'!F35</f>
        <v xml:space="preserve">± </v>
      </c>
      <c r="G36" s="400">
        <f>'Lembar Penyelia'!G35</f>
        <v>5.6648080950578465E-3</v>
      </c>
    </row>
    <row r="37" spans="1:9" ht="15" customHeight="1" x14ac:dyDescent="0.25">
      <c r="A37" s="519"/>
      <c r="B37" s="531">
        <f>'Lembar Penyelia'!B36</f>
        <v>80</v>
      </c>
      <c r="C37" s="545">
        <f>'Lembar Penyelia'!C36</f>
        <v>80</v>
      </c>
      <c r="D37" s="548"/>
      <c r="E37" s="397">
        <f>'Lembar Penyelia'!E36</f>
        <v>3.4999999996898623E-5</v>
      </c>
      <c r="F37" s="527" t="str">
        <f>'Lembar Penyelia'!F36</f>
        <v xml:space="preserve">± </v>
      </c>
      <c r="G37" s="400">
        <f>'Lembar Penyelia'!G36</f>
        <v>5.6648369852697177E-3</v>
      </c>
    </row>
    <row r="38" spans="1:9" ht="15" customHeight="1" x14ac:dyDescent="0.25">
      <c r="A38" s="519"/>
      <c r="B38" s="531">
        <f>'Lembar Penyelia'!B37</f>
        <v>100</v>
      </c>
      <c r="C38" s="545">
        <f>'Lembar Penyelia'!C37</f>
        <v>100</v>
      </c>
      <c r="D38" s="548"/>
      <c r="E38" s="397">
        <f>'Lembar Penyelia'!E37</f>
        <v>1.7999999997186933E-5</v>
      </c>
      <c r="F38" s="527" t="str">
        <f>'Lembar Penyelia'!F37</f>
        <v xml:space="preserve">± </v>
      </c>
      <c r="G38" s="400">
        <f>'Lembar Penyelia'!G37</f>
        <v>5.6648080950578465E-3</v>
      </c>
    </row>
    <row r="39" spans="1:9" ht="15" customHeight="1" x14ac:dyDescent="0.25">
      <c r="A39" s="519"/>
      <c r="B39" s="531">
        <f>'Lembar Penyelia'!B38</f>
        <v>120</v>
      </c>
      <c r="C39" s="545">
        <f>'Lembar Penyelia'!C38</f>
        <v>120</v>
      </c>
      <c r="D39" s="548"/>
      <c r="E39" s="397">
        <f>'Lembar Penyelia'!E38</f>
        <v>2.3999999996249244E-5</v>
      </c>
      <c r="F39" s="527" t="str">
        <f>'Lembar Penyelia'!F38</f>
        <v xml:space="preserve">± </v>
      </c>
      <c r="G39" s="400">
        <f>'Lembar Penyelia'!G38</f>
        <v>5.6648369852697177E-3</v>
      </c>
    </row>
    <row r="40" spans="1:9" ht="15" customHeight="1" x14ac:dyDescent="0.25">
      <c r="A40" s="519"/>
      <c r="B40" s="531">
        <f>'Lembar Penyelia'!B39</f>
        <v>140</v>
      </c>
      <c r="C40" s="545">
        <f>'Lembar Penyelia'!C39</f>
        <v>140</v>
      </c>
      <c r="D40" s="548"/>
      <c r="E40" s="397">
        <f>'Lembar Penyelia'!E39</f>
        <v>2.99999999811007E-5</v>
      </c>
      <c r="F40" s="527" t="str">
        <f>'Lembar Penyelia'!F39</f>
        <v xml:space="preserve">± </v>
      </c>
      <c r="G40" s="400">
        <f>'Lembar Penyelia'!G39</f>
        <v>5.664877431318811E-3</v>
      </c>
    </row>
    <row r="41" spans="1:9" ht="15" customHeight="1" x14ac:dyDescent="0.25">
      <c r="A41" s="519"/>
      <c r="B41" s="531">
        <f>'Lembar Penyelia'!B40</f>
        <v>160</v>
      </c>
      <c r="C41" s="545">
        <f>'Lembar Penyelia'!C40</f>
        <v>160</v>
      </c>
      <c r="D41" s="548"/>
      <c r="E41" s="397">
        <f>'Lembar Penyelia'!E40</f>
        <v>4.6999999995023245E-5</v>
      </c>
      <c r="F41" s="527" t="str">
        <f>'Lembar Penyelia'!F40</f>
        <v xml:space="preserve">± </v>
      </c>
      <c r="G41" s="400">
        <f>'Lembar Penyelia'!G40</f>
        <v>5.664877431318811E-3</v>
      </c>
    </row>
    <row r="42" spans="1:9" ht="15" customHeight="1" x14ac:dyDescent="0.25">
      <c r="A42" s="519"/>
      <c r="B42" s="531">
        <f>'Lembar Penyelia'!B41</f>
        <v>180</v>
      </c>
      <c r="C42" s="545">
        <f>'Lembar Penyelia'!C41</f>
        <v>180</v>
      </c>
      <c r="D42" s="548"/>
      <c r="E42" s="397">
        <f>'Lembar Penyelia'!E41</f>
        <v>5.2999999979874701E-5</v>
      </c>
      <c r="F42" s="527" t="str">
        <f>'Lembar Penyelia'!F41</f>
        <v xml:space="preserve">± </v>
      </c>
      <c r="G42" s="400">
        <f>'Lembar Penyelia'!G41</f>
        <v>5.6649294329576098E-3</v>
      </c>
    </row>
    <row r="43" spans="1:9" ht="15" customHeight="1" x14ac:dyDescent="0.25">
      <c r="A43" s="519"/>
      <c r="B43" s="531">
        <f>'Lembar Penyelia'!B42</f>
        <v>200</v>
      </c>
      <c r="C43" s="545">
        <f>'Lembar Penyelia'!C42</f>
        <v>200</v>
      </c>
      <c r="D43" s="548"/>
      <c r="E43" s="397">
        <f>'Lembar Penyelia'!E42</f>
        <v>5.2000000010821168E-5</v>
      </c>
      <c r="F43" s="527" t="str">
        <f>'Lembar Penyelia'!F42</f>
        <v xml:space="preserve">± </v>
      </c>
      <c r="G43" s="400">
        <f>'Lembar Penyelia'!G42</f>
        <v>5.664866894980896E-3</v>
      </c>
    </row>
    <row r="44" spans="1:9" ht="6" customHeight="1" x14ac:dyDescent="0.25">
      <c r="A44" s="519"/>
      <c r="B44" s="519"/>
      <c r="C44" s="519"/>
      <c r="D44" s="519"/>
      <c r="E44" s="519"/>
      <c r="F44" s="519"/>
      <c r="G44" s="519"/>
      <c r="H44" s="519"/>
      <c r="I44" s="519"/>
    </row>
    <row r="45" spans="1:9" x14ac:dyDescent="0.25">
      <c r="A45" s="519"/>
      <c r="B45" s="532" t="s">
        <v>194</v>
      </c>
      <c r="C45" s="532"/>
      <c r="D45" s="533"/>
      <c r="E45" s="533"/>
      <c r="F45" s="533"/>
      <c r="G45" s="533"/>
      <c r="H45" s="534"/>
      <c r="I45" s="519"/>
    </row>
    <row r="46" spans="1:9" ht="20.100000000000001" customHeight="1" x14ac:dyDescent="0.25">
      <c r="A46" s="519"/>
      <c r="B46" s="535" t="s">
        <v>195</v>
      </c>
      <c r="C46" s="616" t="s">
        <v>196</v>
      </c>
      <c r="D46" s="616"/>
      <c r="E46" s="616" t="s">
        <v>197</v>
      </c>
      <c r="F46" s="616"/>
      <c r="G46" s="535" t="s">
        <v>198</v>
      </c>
    </row>
    <row r="47" spans="1:9" x14ac:dyDescent="0.25">
      <c r="A47" s="519"/>
      <c r="B47" s="536">
        <f>'Lembar Penyelia'!B46</f>
        <v>100</v>
      </c>
      <c r="C47" s="545">
        <f>'Lembar Penyelia'!C46</f>
        <v>100</v>
      </c>
      <c r="D47" s="548"/>
      <c r="E47" s="545">
        <f>'Lembar Penyelia'!E46</f>
        <v>100</v>
      </c>
      <c r="F47" s="548"/>
      <c r="G47" s="397">
        <f>'Lembar Penyelia'!G46</f>
        <v>0</v>
      </c>
    </row>
    <row r="48" spans="1:9" ht="5.0999999999999996" customHeight="1" x14ac:dyDescent="0.25">
      <c r="A48" s="519"/>
      <c r="B48" s="537"/>
      <c r="C48" s="537"/>
      <c r="D48" s="533"/>
      <c r="E48" s="533"/>
      <c r="F48" s="533"/>
      <c r="G48" s="533"/>
      <c r="H48" s="534"/>
      <c r="I48" s="519"/>
    </row>
    <row r="49" spans="1:11" x14ac:dyDescent="0.25">
      <c r="A49" s="519"/>
      <c r="B49" s="525" t="s">
        <v>75</v>
      </c>
      <c r="C49" s="525"/>
      <c r="D49" s="519"/>
      <c r="E49" s="519"/>
      <c r="F49" s="538"/>
      <c r="G49" s="532"/>
      <c r="H49" s="519"/>
      <c r="I49" s="519"/>
    </row>
    <row r="50" spans="1:11" x14ac:dyDescent="0.25">
      <c r="A50" s="519"/>
      <c r="B50" s="535" t="s">
        <v>199</v>
      </c>
      <c r="C50" s="535" t="s">
        <v>200</v>
      </c>
      <c r="D50" s="535" t="s">
        <v>201</v>
      </c>
      <c r="E50" s="535" t="s">
        <v>202</v>
      </c>
      <c r="F50" s="617" t="str">
        <f>'Lembar Penyelia'!F50:G50</f>
        <v>4 (Kanan)</v>
      </c>
      <c r="G50" s="617"/>
      <c r="H50" s="528"/>
    </row>
    <row r="51" spans="1:11" x14ac:dyDescent="0.25">
      <c r="A51" s="519"/>
      <c r="B51" s="397">
        <f>'Lembar Penyelia'!B51</f>
        <v>100</v>
      </c>
      <c r="C51" s="397">
        <f>'Lembar Penyelia'!C51</f>
        <v>100</v>
      </c>
      <c r="D51" s="397">
        <f>'Lembar Penyelia'!D51</f>
        <v>100</v>
      </c>
      <c r="E51" s="397">
        <f>'Lembar Penyelia'!E51</f>
        <v>100</v>
      </c>
      <c r="F51" s="545">
        <f>'Lembar Penyelia'!F51</f>
        <v>100</v>
      </c>
      <c r="G51" s="548"/>
      <c r="H51" s="539"/>
      <c r="K51" s="539"/>
    </row>
    <row r="52" spans="1:11" ht="3" customHeight="1" x14ac:dyDescent="0.25">
      <c r="A52" s="519"/>
      <c r="B52" s="519"/>
      <c r="C52" s="519"/>
      <c r="D52" s="519"/>
      <c r="E52" s="519"/>
      <c r="F52" s="519"/>
      <c r="G52" s="519"/>
      <c r="H52" s="519"/>
      <c r="I52" s="519"/>
    </row>
    <row r="53" spans="1:11" ht="16.5" customHeight="1" x14ac:dyDescent="0.25">
      <c r="A53" s="519"/>
      <c r="B53" s="532" t="str">
        <f>'Lembar Penyelia'!B54</f>
        <v>E. Evaluasi Kinerja Timbangan Analitik Berdasarkan LOP</v>
      </c>
      <c r="C53" s="519"/>
      <c r="D53" s="519"/>
      <c r="E53" s="519"/>
      <c r="F53" s="519"/>
      <c r="G53" s="519"/>
      <c r="H53" s="519"/>
      <c r="I53" s="519"/>
    </row>
    <row r="54" spans="1:11" ht="16.5" customHeight="1" x14ac:dyDescent="0.25">
      <c r="A54" s="519"/>
      <c r="B54" s="617" t="str">
        <f>'Lembar Penyelia'!B55:C55</f>
        <v>Koreksi Maksimum (g)</v>
      </c>
      <c r="C54" s="617"/>
      <c r="D54" s="617" t="str">
        <f>'Lembar Penyelia'!D55:E55</f>
        <v>Ketidakpastian Maksimum (g)</v>
      </c>
      <c r="E54" s="617"/>
      <c r="F54" s="535" t="str">
        <f>'Lembar Penyelia'!F55</f>
        <v>LOP (g)</v>
      </c>
      <c r="G54" s="535" t="str">
        <f>'Lembar Penyelia'!G55</f>
        <v>Toleransi (g)</v>
      </c>
      <c r="H54" s="519"/>
      <c r="I54" s="519"/>
    </row>
    <row r="55" spans="1:11" ht="16.5" customHeight="1" x14ac:dyDescent="0.25">
      <c r="A55" s="519"/>
      <c r="B55" s="545">
        <f>'Lembar Penyelia'!B56</f>
        <v>5.2999999979874701E-5</v>
      </c>
      <c r="C55" s="548"/>
      <c r="D55" s="545">
        <f>'Lembar Penyelia'!D56</f>
        <v>5.6649294329576098E-3</v>
      </c>
      <c r="E55" s="548"/>
      <c r="F55" s="397">
        <f>'Lembar Penyelia'!F56</f>
        <v>5.7179294329374845E-3</v>
      </c>
      <c r="G55" s="397">
        <f>'Lembar Penyelia'!G57</f>
        <v>0.05</v>
      </c>
      <c r="H55" s="519"/>
      <c r="I55" s="519"/>
    </row>
    <row r="56" spans="1:11" ht="6.6" customHeight="1" x14ac:dyDescent="0.25">
      <c r="A56" s="519"/>
      <c r="B56" s="519"/>
      <c r="C56" s="519"/>
      <c r="D56" s="519"/>
      <c r="E56" s="519"/>
      <c r="F56" s="519"/>
      <c r="G56" s="519"/>
      <c r="H56" s="519"/>
      <c r="I56" s="519"/>
    </row>
    <row r="57" spans="1:11" ht="16.5" customHeight="1" x14ac:dyDescent="0.25">
      <c r="A57" s="540" t="str">
        <f>'Lembar Penyelia'!A59</f>
        <v>IV.</v>
      </c>
      <c r="B57" s="540" t="str">
        <f>'Lembar Penyelia'!B59</f>
        <v>Keterangan</v>
      </c>
      <c r="C57" s="540"/>
      <c r="D57" s="541"/>
      <c r="E57" s="541"/>
      <c r="F57" s="541"/>
      <c r="G57" s="541"/>
      <c r="H57" s="541"/>
      <c r="I57" s="541"/>
    </row>
    <row r="58" spans="1:11" ht="16.5" customHeight="1" x14ac:dyDescent="0.25">
      <c r="A58" s="541"/>
      <c r="B58" s="541" t="str">
        <f>'Lembar Penyelia'!B60</f>
        <v>Ketidakpastian pengukuran pada tingkat kepercayaan 95% dengan faktor cakupan k = 2</v>
      </c>
      <c r="C58" s="541"/>
      <c r="D58" s="541"/>
      <c r="E58" s="541"/>
      <c r="F58" s="541"/>
      <c r="G58" s="541"/>
      <c r="H58" s="541"/>
      <c r="I58" s="541"/>
    </row>
    <row r="59" spans="1:11" ht="16.5" customHeight="1" x14ac:dyDescent="0.25">
      <c r="A59" s="541"/>
      <c r="B59" s="541" t="str">
        <f>'Lembar Penyelia'!B61</f>
        <v>Hasil pengujian kinerja timbangan bayi tertelusur ke Satuan Internasional ( SI ) melalui MASSCAL - Jerman</v>
      </c>
      <c r="C59" s="541"/>
      <c r="D59" s="541"/>
      <c r="E59" s="541"/>
      <c r="F59" s="541"/>
      <c r="G59" s="541"/>
      <c r="H59" s="541"/>
      <c r="I59" s="541"/>
    </row>
    <row r="60" spans="1:11" ht="6" customHeight="1" x14ac:dyDescent="0.25">
      <c r="A60" s="541"/>
      <c r="B60" s="541"/>
      <c r="C60" s="541"/>
      <c r="D60" s="541"/>
      <c r="E60" s="541"/>
      <c r="F60" s="541"/>
      <c r="G60" s="541"/>
      <c r="H60" s="541"/>
      <c r="I60" s="541"/>
    </row>
    <row r="61" spans="1:11" ht="14.55" customHeight="1" x14ac:dyDescent="0.3">
      <c r="A61" s="540" t="str">
        <f>'Lembar Penyelia'!A64</f>
        <v>V.</v>
      </c>
      <c r="B61" s="540" t="str">
        <f>'Lembar Penyelia'!B64</f>
        <v>Alat ukur yang digunakan</v>
      </c>
      <c r="C61" s="541"/>
      <c r="D61" s="541"/>
      <c r="E61" s="541"/>
      <c r="F61" s="541"/>
      <c r="G61" s="541"/>
      <c r="H61" s="542"/>
      <c r="I61" s="402"/>
    </row>
    <row r="62" spans="1:11" ht="12.6" customHeight="1" x14ac:dyDescent="0.3">
      <c r="A62" s="541"/>
      <c r="B62" s="541" t="str">
        <f>'Lembar Penyelia'!B65</f>
        <v>Anak Timbangan Standar, Merek : HÄFNER, Tipe : 9.XNHM-810, SN : 6580920</v>
      </c>
      <c r="C62" s="541"/>
      <c r="D62" s="541"/>
      <c r="E62" s="541"/>
      <c r="F62" s="541"/>
      <c r="G62" s="541"/>
      <c r="H62" s="542"/>
      <c r="I62" s="543"/>
    </row>
    <row r="63" spans="1:11" ht="7.05" customHeight="1" x14ac:dyDescent="0.3">
      <c r="A63" s="541"/>
      <c r="B63" s="541"/>
      <c r="C63" s="541"/>
      <c r="D63" s="541"/>
      <c r="E63" s="541"/>
      <c r="F63" s="541"/>
      <c r="G63" s="541"/>
      <c r="H63" s="542"/>
      <c r="I63" s="543"/>
    </row>
    <row r="64" spans="1:11" ht="12.6" customHeight="1" x14ac:dyDescent="0.25">
      <c r="A64" s="474" t="str">
        <f>'Lembar Penyelia'!A68</f>
        <v>VI.</v>
      </c>
      <c r="B64" s="474" t="str">
        <f>'Lembar Penyelia'!B68</f>
        <v>Kesimpulan</v>
      </c>
      <c r="C64" s="474"/>
      <c r="D64" s="475"/>
      <c r="E64" s="475"/>
      <c r="F64" s="475"/>
      <c r="G64" s="475"/>
      <c r="H64" s="475"/>
      <c r="I64" s="475"/>
    </row>
    <row r="65" spans="1:13" ht="12.6" customHeight="1" x14ac:dyDescent="0.25">
      <c r="A65" s="475"/>
      <c r="B65" s="618" t="str">
        <f>ID!B85</f>
        <v>Alat yang dikalibrasi dalam batas toleransi dan dinyatakan LAIK PAKAI, dimana hasil pengujian kinerja LOP kurang dari sama dengan 5 kali resolusi berdasarkan Keputusan Direktur Jenderal Pelayanan Kesehatan No : HK.02.02/V/0412/2020</v>
      </c>
      <c r="C65" s="618"/>
      <c r="D65" s="618"/>
      <c r="E65" s="618"/>
      <c r="F65" s="618"/>
      <c r="G65" s="618"/>
      <c r="H65" s="618"/>
      <c r="I65" s="618"/>
    </row>
    <row r="66" spans="1:13" ht="17.100000000000001" customHeight="1" x14ac:dyDescent="0.25">
      <c r="A66" s="475"/>
      <c r="B66" s="618"/>
      <c r="C66" s="618"/>
      <c r="D66" s="618"/>
      <c r="E66" s="618"/>
      <c r="F66" s="618"/>
      <c r="G66" s="618"/>
      <c r="H66" s="618"/>
      <c r="I66" s="618"/>
    </row>
    <row r="67" spans="1:13" ht="7.05" customHeight="1" x14ac:dyDescent="0.3">
      <c r="A67" s="541"/>
      <c r="B67" s="541"/>
      <c r="C67" s="541"/>
      <c r="D67" s="541"/>
      <c r="E67" s="541"/>
      <c r="F67" s="541"/>
      <c r="G67" s="541"/>
      <c r="H67" s="542"/>
      <c r="I67" s="543"/>
    </row>
    <row r="68" spans="1:13" x14ac:dyDescent="0.25">
      <c r="A68" s="473" t="s">
        <v>205</v>
      </c>
      <c r="B68" s="473" t="str">
        <f>'Lembar Penyelia'!B71</f>
        <v>Petugas Kalibrasi</v>
      </c>
      <c r="C68" s="540"/>
      <c r="D68" s="541"/>
      <c r="E68" s="541"/>
      <c r="F68" s="541"/>
      <c r="G68" s="541"/>
      <c r="H68" s="541"/>
      <c r="I68" s="541"/>
    </row>
    <row r="69" spans="1:13" x14ac:dyDescent="0.25">
      <c r="A69" s="402"/>
      <c r="B69" s="497" t="str">
        <f>ID!B89</f>
        <v>Muhammad Zaenuri Sugiasmoro</v>
      </c>
      <c r="C69" s="541"/>
      <c r="D69" s="541"/>
      <c r="E69" s="541"/>
      <c r="F69" s="541"/>
      <c r="G69" s="541"/>
      <c r="H69" s="541"/>
      <c r="I69" s="541"/>
      <c r="K69" s="81"/>
      <c r="L69" s="82"/>
    </row>
    <row r="70" spans="1:13" ht="7.5" customHeight="1" x14ac:dyDescent="0.25">
      <c r="A70" s="402"/>
      <c r="B70" s="497"/>
      <c r="C70" s="541"/>
      <c r="D70" s="541"/>
      <c r="E70" s="541"/>
      <c r="F70" s="541"/>
      <c r="G70" s="541"/>
      <c r="H70" s="541"/>
      <c r="I70" s="541"/>
      <c r="K70" s="81"/>
      <c r="L70" s="82"/>
    </row>
    <row r="71" spans="1:13" ht="15.6" x14ac:dyDescent="0.25">
      <c r="A71" s="402"/>
      <c r="B71" s="402"/>
      <c r="C71" s="402"/>
      <c r="D71" s="402"/>
      <c r="E71" s="402"/>
      <c r="F71" s="402"/>
      <c r="G71" s="402"/>
      <c r="H71" s="87" t="s">
        <v>209</v>
      </c>
      <c r="I71" s="402"/>
    </row>
    <row r="72" spans="1:13" ht="15.6" x14ac:dyDescent="0.25">
      <c r="A72" s="402"/>
      <c r="B72" s="402"/>
      <c r="C72" s="402"/>
      <c r="D72" s="402"/>
      <c r="E72" s="402"/>
      <c r="F72" s="402"/>
      <c r="G72" s="362" t="str">
        <f>IF(H78=L72,"a.n."," ")</f>
        <v xml:space="preserve"> </v>
      </c>
      <c r="H72" s="87" t="s">
        <v>210</v>
      </c>
      <c r="I72" s="402"/>
      <c r="L72" s="93" t="s">
        <v>402</v>
      </c>
      <c r="M72" s="92" t="s">
        <v>403</v>
      </c>
    </row>
    <row r="73" spans="1:13" ht="15.6" x14ac:dyDescent="0.25">
      <c r="A73" s="402"/>
      <c r="B73" s="402"/>
      <c r="C73" s="402"/>
      <c r="D73" s="402"/>
      <c r="E73" s="402"/>
      <c r="F73" s="402"/>
      <c r="G73" s="402"/>
      <c r="H73" s="87" t="s">
        <v>212</v>
      </c>
      <c r="I73" s="402"/>
      <c r="L73" s="93" t="s">
        <v>213</v>
      </c>
      <c r="M73" s="92" t="s">
        <v>214</v>
      </c>
    </row>
    <row r="74" spans="1:13" ht="15.6" x14ac:dyDescent="0.25">
      <c r="A74" s="402"/>
      <c r="B74" s="402"/>
      <c r="C74" s="402"/>
      <c r="D74" s="402"/>
      <c r="E74" s="402"/>
      <c r="F74" s="402"/>
      <c r="G74" s="402"/>
      <c r="H74" s="87"/>
      <c r="I74" s="402"/>
    </row>
    <row r="75" spans="1:13" ht="15.6" x14ac:dyDescent="0.25">
      <c r="A75" s="402"/>
      <c r="B75" s="402"/>
      <c r="C75" s="402"/>
      <c r="D75" s="402"/>
      <c r="E75" s="402"/>
      <c r="F75" s="402"/>
      <c r="G75" s="402"/>
      <c r="H75" s="87"/>
      <c r="I75" s="402"/>
    </row>
    <row r="76" spans="1:13" ht="9.6" customHeight="1" x14ac:dyDescent="0.25">
      <c r="A76" s="402"/>
      <c r="B76" s="402"/>
      <c r="C76" s="402"/>
      <c r="D76" s="402"/>
      <c r="E76" s="402"/>
      <c r="F76" s="402"/>
      <c r="G76" s="402"/>
      <c r="H76" s="87"/>
      <c r="I76" s="402"/>
    </row>
    <row r="77" spans="1:13" ht="15.6" x14ac:dyDescent="0.25">
      <c r="A77" s="402"/>
      <c r="B77" s="402"/>
      <c r="C77" s="402"/>
      <c r="D77" s="402"/>
      <c r="E77" s="402"/>
      <c r="F77" s="81"/>
      <c r="G77" s="81"/>
      <c r="H77" s="88"/>
      <c r="I77" s="402"/>
      <c r="J77" s="81"/>
    </row>
    <row r="78" spans="1:13" ht="15.6" x14ac:dyDescent="0.25">
      <c r="A78" s="402"/>
      <c r="B78" s="402"/>
      <c r="C78" s="402"/>
      <c r="D78" s="402"/>
      <c r="E78" s="402"/>
      <c r="F78" s="81"/>
      <c r="G78" s="81"/>
      <c r="H78" s="89" t="s">
        <v>213</v>
      </c>
      <c r="I78" s="402"/>
      <c r="J78" s="81"/>
    </row>
    <row r="79" spans="1:13" x14ac:dyDescent="0.25">
      <c r="A79" s="402"/>
      <c r="B79" s="402"/>
      <c r="C79" s="402"/>
      <c r="D79" s="402"/>
      <c r="E79" s="402"/>
      <c r="F79" s="84"/>
      <c r="G79" s="84"/>
      <c r="H79" s="402" t="str">
        <f>VLOOKUP(H78,L72:M73,2,0)</f>
        <v>NIP 198008062010121001</v>
      </c>
      <c r="I79" s="402"/>
      <c r="J79" s="81"/>
    </row>
    <row r="80" spans="1:13" ht="6.6" customHeight="1" x14ac:dyDescent="0.25">
      <c r="A80" s="402"/>
      <c r="B80" s="402"/>
      <c r="C80" s="402"/>
      <c r="D80" s="402"/>
      <c r="E80" s="402"/>
      <c r="F80" s="84"/>
      <c r="G80" s="84"/>
      <c r="H80" s="402"/>
      <c r="I80" s="402"/>
      <c r="J80" s="81"/>
    </row>
    <row r="81" spans="1:10" x14ac:dyDescent="0.25">
      <c r="A81" s="402"/>
      <c r="B81" s="402"/>
      <c r="C81" s="402"/>
      <c r="D81" s="402"/>
      <c r="E81" s="402"/>
      <c r="F81" s="84"/>
      <c r="G81" s="84"/>
      <c r="H81" s="84"/>
      <c r="I81" s="544" t="s">
        <v>215</v>
      </c>
      <c r="J81" s="81"/>
    </row>
    <row r="82" spans="1:10" x14ac:dyDescent="0.25">
      <c r="F82" s="84"/>
      <c r="G82" s="84"/>
      <c r="H82" s="84"/>
      <c r="I82" s="402"/>
      <c r="J82" s="81"/>
    </row>
    <row r="83" spans="1:10" x14ac:dyDescent="0.25">
      <c r="F83" s="84"/>
      <c r="G83" s="84"/>
      <c r="H83" s="84"/>
      <c r="I83" s="402"/>
      <c r="J83" s="81"/>
    </row>
    <row r="84" spans="1:10" x14ac:dyDescent="0.25">
      <c r="F84" s="84"/>
      <c r="G84" s="84"/>
      <c r="H84" s="84"/>
      <c r="I84" s="402"/>
      <c r="J84" s="81"/>
    </row>
    <row r="85" spans="1:10" x14ac:dyDescent="0.25">
      <c r="F85" s="84"/>
      <c r="G85" s="84"/>
      <c r="H85" s="84"/>
      <c r="I85" s="402"/>
      <c r="J85" s="81"/>
    </row>
    <row r="86" spans="1:10" x14ac:dyDescent="0.25">
      <c r="F86" s="84"/>
      <c r="G86" s="84"/>
      <c r="H86" s="84"/>
      <c r="I86" s="402"/>
      <c r="J86" s="81"/>
    </row>
    <row r="87" spans="1:10" x14ac:dyDescent="0.25">
      <c r="F87" s="84"/>
      <c r="G87" s="84"/>
      <c r="H87" s="84"/>
      <c r="I87" s="402"/>
      <c r="J87" s="81"/>
    </row>
    <row r="88" spans="1:10" x14ac:dyDescent="0.25">
      <c r="F88" s="84"/>
      <c r="G88" s="84"/>
      <c r="H88" s="84"/>
      <c r="I88" s="402"/>
      <c r="J88" s="81"/>
    </row>
    <row r="89" spans="1:10" x14ac:dyDescent="0.25">
      <c r="F89" s="84"/>
      <c r="G89" s="84"/>
      <c r="H89" s="84"/>
      <c r="I89" s="402"/>
      <c r="J89" s="81"/>
    </row>
    <row r="90" spans="1:10" x14ac:dyDescent="0.25">
      <c r="F90" s="84"/>
      <c r="G90" s="84"/>
      <c r="H90" s="84"/>
      <c r="I90" s="402"/>
      <c r="J90" s="81"/>
    </row>
    <row r="91" spans="1:10" x14ac:dyDescent="0.25">
      <c r="F91" s="84"/>
      <c r="G91" s="84"/>
      <c r="H91" s="84"/>
      <c r="I91" s="402"/>
      <c r="J91" s="81"/>
    </row>
    <row r="92" spans="1:10" x14ac:dyDescent="0.25">
      <c r="F92" s="84"/>
      <c r="G92" s="84"/>
      <c r="H92" s="84"/>
      <c r="I92" s="402"/>
      <c r="J92" s="81"/>
    </row>
    <row r="93" spans="1:10" x14ac:dyDescent="0.25">
      <c r="F93" s="84"/>
      <c r="G93" s="84"/>
      <c r="H93" s="84"/>
      <c r="I93" s="402"/>
      <c r="J93" s="81"/>
    </row>
    <row r="94" spans="1:10" x14ac:dyDescent="0.25">
      <c r="F94" s="84"/>
      <c r="G94" s="84"/>
      <c r="H94" s="84"/>
      <c r="I94" s="402"/>
      <c r="J94" s="81"/>
    </row>
    <row r="95" spans="1:10" x14ac:dyDescent="0.25">
      <c r="F95" s="84"/>
      <c r="G95" s="84"/>
      <c r="H95" s="84"/>
      <c r="I95" s="402"/>
      <c r="J95" s="81"/>
    </row>
    <row r="96" spans="1:10" x14ac:dyDescent="0.25">
      <c r="F96" s="84"/>
      <c r="G96" s="84"/>
      <c r="H96" s="84"/>
      <c r="I96" s="402"/>
      <c r="J96" s="81"/>
    </row>
    <row r="97" spans="6:10" x14ac:dyDescent="0.25">
      <c r="F97" s="84"/>
      <c r="G97" s="84"/>
      <c r="H97" s="84"/>
      <c r="I97" s="402"/>
      <c r="J97" s="81"/>
    </row>
    <row r="98" spans="6:10" x14ac:dyDescent="0.25">
      <c r="F98" s="84"/>
      <c r="G98" s="84"/>
      <c r="H98" s="84"/>
      <c r="I98" s="402"/>
      <c r="J98" s="81"/>
    </row>
    <row r="99" spans="6:10" x14ac:dyDescent="0.25">
      <c r="F99" s="84"/>
      <c r="G99" s="84"/>
      <c r="H99" s="84"/>
      <c r="I99" s="402"/>
      <c r="J99" s="81"/>
    </row>
    <row r="100" spans="6:10" x14ac:dyDescent="0.25">
      <c r="F100" s="84"/>
      <c r="G100" s="84"/>
      <c r="H100" s="84"/>
      <c r="I100" s="402"/>
      <c r="J100" s="81"/>
    </row>
    <row r="101" spans="6:10" x14ac:dyDescent="0.25">
      <c r="F101" s="84"/>
      <c r="G101" s="84"/>
      <c r="H101" s="84"/>
      <c r="I101" s="402"/>
      <c r="J101" s="81"/>
    </row>
    <row r="102" spans="6:10" x14ac:dyDescent="0.25">
      <c r="F102" s="84"/>
      <c r="G102" s="84"/>
      <c r="H102" s="84"/>
      <c r="I102" s="402"/>
      <c r="J102" s="81"/>
    </row>
    <row r="103" spans="6:10" x14ac:dyDescent="0.25">
      <c r="F103" s="84"/>
      <c r="G103" s="84"/>
      <c r="H103" s="84"/>
      <c r="I103" s="402"/>
      <c r="J103" s="81"/>
    </row>
    <row r="104" spans="6:10" x14ac:dyDescent="0.25">
      <c r="F104" s="84"/>
      <c r="G104" s="84"/>
      <c r="H104" s="84"/>
      <c r="I104" s="402"/>
      <c r="J104" s="81"/>
    </row>
    <row r="105" spans="6:10" x14ac:dyDescent="0.25">
      <c r="F105" s="84"/>
      <c r="G105" s="84"/>
      <c r="H105" s="84"/>
      <c r="I105" s="402"/>
      <c r="J105" s="81"/>
    </row>
    <row r="106" spans="6:10" x14ac:dyDescent="0.25">
      <c r="F106" s="84"/>
      <c r="G106" s="84"/>
      <c r="H106" s="84"/>
      <c r="I106" s="402"/>
      <c r="J106" s="81"/>
    </row>
    <row r="107" spans="6:10" x14ac:dyDescent="0.25">
      <c r="F107" s="84"/>
      <c r="G107" s="84"/>
      <c r="H107" s="84"/>
      <c r="I107" s="402"/>
      <c r="J107" s="81"/>
    </row>
    <row r="108" spans="6:10" x14ac:dyDescent="0.25">
      <c r="F108" s="84"/>
      <c r="G108" s="84"/>
      <c r="H108" s="84"/>
      <c r="I108" s="402"/>
      <c r="J108" s="81"/>
    </row>
    <row r="109" spans="6:10" x14ac:dyDescent="0.25">
      <c r="F109" s="84"/>
      <c r="G109" s="84"/>
      <c r="H109" s="84"/>
      <c r="I109" s="402"/>
      <c r="J109" s="81"/>
    </row>
    <row r="110" spans="6:10" x14ac:dyDescent="0.25">
      <c r="F110" s="84"/>
      <c r="G110" s="84"/>
      <c r="H110" s="84"/>
      <c r="I110" s="402"/>
      <c r="J110" s="81"/>
    </row>
    <row r="111" spans="6:10" x14ac:dyDescent="0.25">
      <c r="F111" s="84"/>
      <c r="G111" s="84"/>
      <c r="H111" s="84"/>
      <c r="I111" s="402"/>
      <c r="J111" s="81"/>
    </row>
    <row r="112" spans="6:10" x14ac:dyDescent="0.25">
      <c r="F112" s="84"/>
      <c r="G112" s="84"/>
      <c r="H112" s="84"/>
      <c r="I112" s="402"/>
      <c r="J112" s="81"/>
    </row>
    <row r="113" spans="6:10" x14ac:dyDescent="0.25">
      <c r="F113" s="84"/>
      <c r="G113" s="84"/>
      <c r="H113" s="84"/>
      <c r="I113" s="402"/>
      <c r="J113" s="81"/>
    </row>
    <row r="114" spans="6:10" x14ac:dyDescent="0.25">
      <c r="F114" s="84"/>
      <c r="G114" s="84"/>
      <c r="H114" s="84"/>
      <c r="I114" s="402"/>
      <c r="J114" s="81"/>
    </row>
    <row r="115" spans="6:10" x14ac:dyDescent="0.25">
      <c r="F115" s="84"/>
      <c r="G115" s="84"/>
      <c r="H115" s="84"/>
      <c r="I115" s="402"/>
      <c r="J115" s="81"/>
    </row>
    <row r="116" spans="6:10" x14ac:dyDescent="0.25">
      <c r="F116" s="84"/>
      <c r="G116" s="84"/>
      <c r="H116" s="84"/>
      <c r="I116" s="402"/>
      <c r="J116" s="81"/>
    </row>
    <row r="117" spans="6:10" x14ac:dyDescent="0.25">
      <c r="F117" s="84"/>
      <c r="G117" s="84"/>
      <c r="H117" s="84"/>
      <c r="I117" s="402"/>
      <c r="J117" s="81"/>
    </row>
    <row r="118" spans="6:10" x14ac:dyDescent="0.25">
      <c r="F118" s="84"/>
      <c r="G118" s="84"/>
      <c r="H118" s="84"/>
      <c r="I118" s="402"/>
      <c r="J118" s="81"/>
    </row>
    <row r="119" spans="6:10" x14ac:dyDescent="0.25">
      <c r="F119" s="84"/>
      <c r="G119" s="84"/>
      <c r="H119" s="84"/>
      <c r="I119" s="402"/>
      <c r="J119" s="81"/>
    </row>
    <row r="120" spans="6:10" x14ac:dyDescent="0.25">
      <c r="F120" s="84"/>
      <c r="G120" s="84"/>
      <c r="H120" s="84"/>
      <c r="I120" s="402"/>
      <c r="J120" s="81"/>
    </row>
    <row r="121" spans="6:10" x14ac:dyDescent="0.25">
      <c r="F121" s="84"/>
      <c r="G121" s="84"/>
      <c r="H121" s="84"/>
      <c r="I121" s="402"/>
      <c r="J121" s="81"/>
    </row>
    <row r="122" spans="6:10" x14ac:dyDescent="0.25">
      <c r="F122" s="84"/>
      <c r="G122" s="84"/>
      <c r="H122" s="84"/>
      <c r="I122" s="402"/>
      <c r="J122" s="81"/>
    </row>
    <row r="123" spans="6:10" x14ac:dyDescent="0.25">
      <c r="F123" s="84"/>
      <c r="G123" s="84"/>
      <c r="H123" s="84"/>
      <c r="I123" s="402"/>
      <c r="J123" s="81"/>
    </row>
    <row r="124" spans="6:10" ht="13.5" customHeight="1" x14ac:dyDescent="0.25">
      <c r="F124" s="84"/>
      <c r="G124" s="84"/>
      <c r="H124" s="84"/>
      <c r="I124" s="402"/>
      <c r="J124" s="81"/>
    </row>
    <row r="125" spans="6:10" x14ac:dyDescent="0.25">
      <c r="F125" s="84"/>
      <c r="G125" s="84"/>
      <c r="H125" s="84"/>
      <c r="I125" s="402"/>
      <c r="J125" s="81"/>
    </row>
    <row r="126" spans="6:10" x14ac:dyDescent="0.25">
      <c r="F126" s="84"/>
      <c r="G126" s="84"/>
      <c r="H126" s="84"/>
      <c r="I126" s="402"/>
      <c r="J126" s="81"/>
    </row>
    <row r="127" spans="6:10" x14ac:dyDescent="0.25">
      <c r="F127" s="84"/>
      <c r="G127" s="84"/>
      <c r="H127" s="84"/>
      <c r="I127" s="402"/>
      <c r="J127" s="81"/>
    </row>
    <row r="128" spans="6:10" x14ac:dyDescent="0.25">
      <c r="F128" s="84"/>
      <c r="G128" s="84"/>
      <c r="H128" s="84"/>
      <c r="I128" s="402"/>
      <c r="J128" s="81"/>
    </row>
    <row r="129" spans="6:10" x14ac:dyDescent="0.25">
      <c r="F129" s="84"/>
      <c r="G129" s="84"/>
      <c r="H129" s="84"/>
      <c r="I129" s="402"/>
      <c r="J129" s="81"/>
    </row>
    <row r="130" spans="6:10" x14ac:dyDescent="0.25">
      <c r="F130" s="85"/>
      <c r="G130" s="86"/>
      <c r="H130" s="86"/>
    </row>
  </sheetData>
  <sheetProtection formatCells="0" formatColumns="0" formatRows="0" insertColumns="0" insertRows="0" deleteColumns="0" deleteRows="0"/>
  <mergeCells count="14">
    <mergeCell ref="C46:D46"/>
    <mergeCell ref="E46:F46"/>
    <mergeCell ref="F50:G50"/>
    <mergeCell ref="B65:I66"/>
    <mergeCell ref="B54:C54"/>
    <mergeCell ref="D54:E54"/>
    <mergeCell ref="B27:B28"/>
    <mergeCell ref="A2:I2"/>
    <mergeCell ref="A1:I1"/>
    <mergeCell ref="C27:D28"/>
    <mergeCell ref="F33:G33"/>
    <mergeCell ref="C33:D33"/>
    <mergeCell ref="E27:F28"/>
    <mergeCell ref="G27:H28"/>
  </mergeCells>
  <dataValidations count="1">
    <dataValidation type="list" allowBlank="1" showInputMessage="1" showErrorMessage="1" sqref="H78" xr:uid="{00000000-0002-0000-0500-000000000000}">
      <formula1>$L$72:$L$73</formula1>
    </dataValidation>
  </dataValidations>
  <printOptions horizontalCentered="1"/>
  <pageMargins left="0.59055118110236204" right="0.23622047244094499" top="0.511811023622047" bottom="0.39370078740157499" header="0.23622047244094499" footer="0.23622047244094499"/>
  <pageSetup paperSize="9" scale="75" orientation="portrait" r:id="rId1"/>
  <headerFooter>
    <oddHeader>&amp;RGM.004-18</oddHeader>
    <oddFooter>&amp;C&amp;10Dilarang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6"/>
  <sheetViews>
    <sheetView showGridLines="0" view="pageBreakPreview" topLeftCell="A36" zoomScaleNormal="100" zoomScaleSheetLayoutView="100" workbookViewId="0">
      <selection activeCell="A44" sqref="A44:I44"/>
    </sheetView>
  </sheetViews>
  <sheetFormatPr defaultColWidth="9.21875" defaultRowHeight="14.4" x14ac:dyDescent="0.3"/>
  <cols>
    <col min="1" max="1" width="27.77734375" style="14" customWidth="1"/>
    <col min="2" max="2" width="6.21875" style="14" customWidth="1"/>
    <col min="3" max="3" width="12.5546875" style="14" customWidth="1"/>
    <col min="4" max="4" width="13.44140625" style="14" customWidth="1"/>
    <col min="5" max="5" width="12" style="14" customWidth="1"/>
    <col min="6" max="6" width="10.21875" style="14" customWidth="1"/>
    <col min="7" max="7" width="11.77734375" style="14" customWidth="1"/>
    <col min="8" max="8" width="12" style="14" customWidth="1"/>
    <col min="9" max="9" width="9.44140625" style="14" customWidth="1"/>
    <col min="10" max="10" width="14" style="14" customWidth="1"/>
    <col min="11" max="11" width="12.5546875" style="14" customWidth="1"/>
    <col min="12" max="12" width="10.5546875" style="14" bestFit="1" customWidth="1"/>
    <col min="13" max="13" width="9.21875" style="14"/>
    <col min="14" max="14" width="19" style="14" bestFit="1" customWidth="1"/>
    <col min="15" max="16384" width="9.21875" style="14"/>
  </cols>
  <sheetData>
    <row r="1" spans="1:11" ht="18" x14ac:dyDescent="0.35">
      <c r="A1" s="620" t="s">
        <v>159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</row>
    <row r="2" spans="1:11" x14ac:dyDescent="0.3">
      <c r="A2" s="15" t="s">
        <v>160</v>
      </c>
      <c r="B2" s="360">
        <f>ID!B42</f>
        <v>20</v>
      </c>
      <c r="C2" s="15" t="s">
        <v>10</v>
      </c>
    </row>
    <row r="3" spans="1:11" ht="16.8" x14ac:dyDescent="0.35">
      <c r="A3" s="16" t="s">
        <v>161</v>
      </c>
      <c r="B3" s="16"/>
      <c r="C3" s="16" t="s">
        <v>162</v>
      </c>
      <c r="D3" s="16" t="s">
        <v>163</v>
      </c>
      <c r="E3" s="16" t="s">
        <v>164</v>
      </c>
      <c r="F3" s="16" t="s">
        <v>165</v>
      </c>
      <c r="G3" s="16" t="s">
        <v>166</v>
      </c>
      <c r="H3" s="16" t="s">
        <v>167</v>
      </c>
      <c r="I3" s="16" t="s">
        <v>168</v>
      </c>
      <c r="J3" s="16" t="s">
        <v>169</v>
      </c>
      <c r="K3" s="16" t="s">
        <v>170</v>
      </c>
    </row>
    <row r="4" spans="1:11" x14ac:dyDescent="0.3">
      <c r="A4" s="17" t="s">
        <v>171</v>
      </c>
      <c r="B4" s="18" t="s">
        <v>10</v>
      </c>
      <c r="C4" s="18" t="s">
        <v>172</v>
      </c>
      <c r="D4" s="19">
        <f>'Sertifikat Anak'!D8</f>
        <v>7.9999999999999996E-6</v>
      </c>
      <c r="E4" s="19">
        <v>2</v>
      </c>
      <c r="F4" s="19">
        <v>60</v>
      </c>
      <c r="G4" s="19">
        <f t="shared" ref="G4:G7" si="0">D4/E4</f>
        <v>3.9999999999999998E-6</v>
      </c>
      <c r="H4" s="19">
        <v>1</v>
      </c>
      <c r="I4" s="19">
        <f t="shared" ref="I4:I7" si="1">G4*H4</f>
        <v>3.9999999999999998E-6</v>
      </c>
      <c r="J4" s="19">
        <f t="shared" ref="J4:J7" si="2">I4^2</f>
        <v>1.6E-11</v>
      </c>
      <c r="K4" s="19">
        <f t="shared" ref="K4:K7" si="3">(I4^4)/F4</f>
        <v>4.2666666666666663E-24</v>
      </c>
    </row>
    <row r="5" spans="1:11" x14ac:dyDescent="0.3">
      <c r="A5" s="20" t="s">
        <v>173</v>
      </c>
      <c r="B5" s="18" t="s">
        <v>10</v>
      </c>
      <c r="C5" s="18" t="s">
        <v>174</v>
      </c>
      <c r="D5" s="19">
        <f>(ID!$D$8*0.5)</f>
        <v>5.0000000000000001E-3</v>
      </c>
      <c r="E5" s="19">
        <f>SQRT(3)</f>
        <v>1.7320508075688772</v>
      </c>
      <c r="F5" s="459">
        <v>1000</v>
      </c>
      <c r="G5" s="19">
        <f>D5/E5</f>
        <v>2.886751345948129E-3</v>
      </c>
      <c r="H5" s="19">
        <v>1</v>
      </c>
      <c r="I5" s="19">
        <f t="shared" si="1"/>
        <v>2.886751345948129E-3</v>
      </c>
      <c r="J5" s="19">
        <f t="shared" si="2"/>
        <v>8.3333333333333337E-6</v>
      </c>
      <c r="K5" s="19">
        <f t="shared" si="3"/>
        <v>6.9444444444444449E-14</v>
      </c>
    </row>
    <row r="6" spans="1:11" x14ac:dyDescent="0.3">
      <c r="A6" s="20" t="s">
        <v>175</v>
      </c>
      <c r="B6" s="18" t="s">
        <v>10</v>
      </c>
      <c r="C6" s="18" t="s">
        <v>172</v>
      </c>
      <c r="D6" s="19">
        <f>ID!E38</f>
        <v>0</v>
      </c>
      <c r="E6" s="19">
        <f>SQRT(10)</f>
        <v>3.1622776601683795</v>
      </c>
      <c r="F6" s="19">
        <v>9</v>
      </c>
      <c r="G6" s="19">
        <f>D6/E6</f>
        <v>0</v>
      </c>
      <c r="H6" s="19">
        <v>1</v>
      </c>
      <c r="I6" s="19">
        <f t="shared" si="1"/>
        <v>0</v>
      </c>
      <c r="J6" s="19">
        <f t="shared" si="2"/>
        <v>0</v>
      </c>
      <c r="K6" s="19">
        <f t="shared" si="3"/>
        <v>0</v>
      </c>
    </row>
    <row r="7" spans="1:11" x14ac:dyDescent="0.3">
      <c r="A7" s="17" t="s">
        <v>176</v>
      </c>
      <c r="B7" s="18" t="s">
        <v>10</v>
      </c>
      <c r="C7" s="18" t="s">
        <v>174</v>
      </c>
      <c r="D7" s="19">
        <f>'Sertifikat Anak'!C8</f>
        <v>1.0000000000000002E-6</v>
      </c>
      <c r="E7" s="19">
        <v>1</v>
      </c>
      <c r="F7" s="19">
        <v>4</v>
      </c>
      <c r="G7" s="19">
        <f t="shared" si="0"/>
        <v>1.0000000000000002E-6</v>
      </c>
      <c r="H7" s="19">
        <v>1</v>
      </c>
      <c r="I7" s="19">
        <f t="shared" si="1"/>
        <v>1.0000000000000002E-6</v>
      </c>
      <c r="J7" s="19">
        <f t="shared" si="2"/>
        <v>1.0000000000000004E-12</v>
      </c>
      <c r="K7" s="19">
        <f t="shared" si="3"/>
        <v>2.5000000000000021E-25</v>
      </c>
    </row>
    <row r="8" spans="1:11" x14ac:dyDescent="0.3">
      <c r="A8" s="619" t="s">
        <v>177</v>
      </c>
      <c r="B8" s="619"/>
      <c r="C8" s="619"/>
      <c r="D8" s="619"/>
      <c r="E8" s="619"/>
      <c r="F8" s="619"/>
      <c r="G8" s="619"/>
      <c r="H8" s="619"/>
      <c r="I8" s="619"/>
      <c r="J8" s="21">
        <f>SUM(J4:J7)</f>
        <v>8.3333503333333336E-6</v>
      </c>
      <c r="K8" s="19">
        <f>SUM(K4:K7)</f>
        <v>6.9444444448961113E-14</v>
      </c>
    </row>
    <row r="9" spans="1:11" x14ac:dyDescent="0.3">
      <c r="A9" s="619" t="s">
        <v>178</v>
      </c>
      <c r="B9" s="619"/>
      <c r="C9" s="619"/>
      <c r="D9" s="619"/>
      <c r="E9" s="619"/>
      <c r="F9" s="619"/>
      <c r="G9" s="619"/>
      <c r="H9" s="619"/>
      <c r="I9" s="619"/>
      <c r="J9" s="21">
        <f>SQRT(J8)</f>
        <v>2.8867542904330002E-3</v>
      </c>
      <c r="K9" s="18"/>
    </row>
    <row r="10" spans="1:11" x14ac:dyDescent="0.3">
      <c r="A10" s="619" t="s">
        <v>179</v>
      </c>
      <c r="B10" s="619"/>
      <c r="C10" s="619"/>
      <c r="D10" s="619"/>
      <c r="E10" s="619"/>
      <c r="F10" s="619"/>
      <c r="G10" s="619"/>
      <c r="H10" s="619"/>
      <c r="I10" s="619"/>
      <c r="J10" s="21">
        <f>J8^2/K8</f>
        <v>1000.0040799391213</v>
      </c>
      <c r="K10" s="18"/>
    </row>
    <row r="11" spans="1:11" x14ac:dyDescent="0.3">
      <c r="A11" s="619" t="s">
        <v>180</v>
      </c>
      <c r="B11" s="619"/>
      <c r="C11" s="619"/>
      <c r="D11" s="619"/>
      <c r="E11" s="619"/>
      <c r="F11" s="619"/>
      <c r="G11" s="619"/>
      <c r="H11" s="619"/>
      <c r="I11" s="619"/>
      <c r="J11" s="21">
        <f>TINV(0.05,J10)</f>
        <v>1.9623390808264143</v>
      </c>
      <c r="K11" s="18"/>
    </row>
    <row r="12" spans="1:11" x14ac:dyDescent="0.3">
      <c r="A12" s="619" t="s">
        <v>181</v>
      </c>
      <c r="B12" s="619"/>
      <c r="C12" s="619"/>
      <c r="D12" s="619"/>
      <c r="E12" s="619"/>
      <c r="F12" s="619"/>
      <c r="G12" s="619"/>
      <c r="H12" s="619"/>
      <c r="I12" s="619"/>
      <c r="J12" s="117">
        <f>J9*J11</f>
        <v>5.6647907608600011E-3</v>
      </c>
      <c r="K12" s="16" t="s">
        <v>10</v>
      </c>
    </row>
    <row r="13" spans="1:11" ht="10.5" customHeight="1" x14ac:dyDescent="0.3"/>
    <row r="14" spans="1:11" x14ac:dyDescent="0.3">
      <c r="A14" s="15" t="s">
        <v>160</v>
      </c>
      <c r="B14" s="15">
        <f>ID!B43</f>
        <v>40</v>
      </c>
      <c r="C14" s="15" t="s">
        <v>10</v>
      </c>
    </row>
    <row r="15" spans="1:11" ht="16.8" x14ac:dyDescent="0.35">
      <c r="A15" s="16" t="s">
        <v>161</v>
      </c>
      <c r="B15" s="16" t="s">
        <v>16</v>
      </c>
      <c r="C15" s="16" t="s">
        <v>162</v>
      </c>
      <c r="D15" s="16" t="s">
        <v>163</v>
      </c>
      <c r="E15" s="16" t="s">
        <v>164</v>
      </c>
      <c r="F15" s="16" t="s">
        <v>165</v>
      </c>
      <c r="G15" s="16" t="s">
        <v>166</v>
      </c>
      <c r="H15" s="16" t="s">
        <v>167</v>
      </c>
      <c r="I15" s="16" t="s">
        <v>168</v>
      </c>
      <c r="J15" s="16" t="s">
        <v>169</v>
      </c>
      <c r="K15" s="16" t="s">
        <v>170</v>
      </c>
    </row>
    <row r="16" spans="1:11" x14ac:dyDescent="0.3">
      <c r="A16" s="17" t="s">
        <v>171</v>
      </c>
      <c r="B16" s="18" t="s">
        <v>10</v>
      </c>
      <c r="C16" s="18" t="s">
        <v>172</v>
      </c>
      <c r="D16" s="19">
        <f>'Sertifikat Anak'!D9</f>
        <v>1.5999999999999999E-5</v>
      </c>
      <c r="E16" s="18">
        <v>2</v>
      </c>
      <c r="F16" s="18">
        <v>60</v>
      </c>
      <c r="G16" s="18">
        <f t="shared" ref="G16:G19" si="4">D16/E16</f>
        <v>7.9999999999999996E-6</v>
      </c>
      <c r="H16" s="18">
        <v>1</v>
      </c>
      <c r="I16" s="18">
        <f t="shared" ref="I16:I19" si="5">G16*H16</f>
        <v>7.9999999999999996E-6</v>
      </c>
      <c r="J16" s="18">
        <f t="shared" ref="J16:J19" si="6">I16^2</f>
        <v>6.3999999999999999E-11</v>
      </c>
      <c r="K16" s="18">
        <f t="shared" ref="K16:K19" si="7">(I16^4)/F16</f>
        <v>6.8266666666666661E-23</v>
      </c>
    </row>
    <row r="17" spans="1:11" x14ac:dyDescent="0.3">
      <c r="A17" s="20" t="s">
        <v>173</v>
      </c>
      <c r="B17" s="18" t="s">
        <v>10</v>
      </c>
      <c r="C17" s="18" t="s">
        <v>174</v>
      </c>
      <c r="D17" s="21">
        <f>D5</f>
        <v>5.0000000000000001E-3</v>
      </c>
      <c r="E17" s="18">
        <f>SQRT(3)</f>
        <v>1.7320508075688772</v>
      </c>
      <c r="F17" s="18">
        <v>1000</v>
      </c>
      <c r="G17" s="22">
        <f t="shared" si="4"/>
        <v>2.886751345948129E-3</v>
      </c>
      <c r="H17" s="18">
        <v>1</v>
      </c>
      <c r="I17" s="18">
        <f t="shared" si="5"/>
        <v>2.886751345948129E-3</v>
      </c>
      <c r="J17" s="18">
        <f t="shared" si="6"/>
        <v>8.3333333333333337E-6</v>
      </c>
      <c r="K17" s="18">
        <f t="shared" si="7"/>
        <v>6.9444444444444449E-14</v>
      </c>
    </row>
    <row r="18" spans="1:11" x14ac:dyDescent="0.3">
      <c r="A18" s="20" t="s">
        <v>175</v>
      </c>
      <c r="B18" s="18" t="s">
        <v>10</v>
      </c>
      <c r="C18" s="18" t="str">
        <f>C6</f>
        <v>normal</v>
      </c>
      <c r="D18" s="22">
        <f>ID!E38</f>
        <v>0</v>
      </c>
      <c r="E18" s="18">
        <f>E6</f>
        <v>3.1622776601683795</v>
      </c>
      <c r="F18" s="18">
        <v>9</v>
      </c>
      <c r="G18" s="18">
        <f t="shared" si="4"/>
        <v>0</v>
      </c>
      <c r="H18" s="18">
        <v>1</v>
      </c>
      <c r="I18" s="18">
        <f t="shared" si="5"/>
        <v>0</v>
      </c>
      <c r="J18" s="18">
        <f t="shared" si="6"/>
        <v>0</v>
      </c>
      <c r="K18" s="18">
        <f t="shared" si="7"/>
        <v>0</v>
      </c>
    </row>
    <row r="19" spans="1:11" x14ac:dyDescent="0.3">
      <c r="A19" s="17" t="s">
        <v>176</v>
      </c>
      <c r="B19" s="18" t="s">
        <v>10</v>
      </c>
      <c r="C19" s="18" t="s">
        <v>174</v>
      </c>
      <c r="D19" s="22">
        <f>'Sertifikat Anak'!C9</f>
        <v>2.0000000000000003E-6</v>
      </c>
      <c r="E19" s="18">
        <v>1</v>
      </c>
      <c r="F19" s="18">
        <v>4</v>
      </c>
      <c r="G19" s="18">
        <f t="shared" si="4"/>
        <v>2.0000000000000003E-6</v>
      </c>
      <c r="H19" s="18">
        <v>1</v>
      </c>
      <c r="I19" s="18">
        <f t="shared" si="5"/>
        <v>2.0000000000000003E-6</v>
      </c>
      <c r="J19" s="18">
        <f t="shared" si="6"/>
        <v>4.0000000000000015E-12</v>
      </c>
      <c r="K19" s="18">
        <f t="shared" si="7"/>
        <v>4.0000000000000034E-24</v>
      </c>
    </row>
    <row r="20" spans="1:11" x14ac:dyDescent="0.3">
      <c r="A20" s="619" t="s">
        <v>177</v>
      </c>
      <c r="B20" s="619"/>
      <c r="C20" s="619"/>
      <c r="D20" s="619"/>
      <c r="E20" s="619"/>
      <c r="F20" s="619"/>
      <c r="G20" s="619"/>
      <c r="H20" s="619"/>
      <c r="I20" s="619"/>
      <c r="J20" s="18">
        <f>SUM(J16:J19)</f>
        <v>8.3334013333333331E-6</v>
      </c>
      <c r="K20" s="18">
        <f>SUM(K16:K19)</f>
        <v>6.9444444516711125E-14</v>
      </c>
    </row>
    <row r="21" spans="1:11" x14ac:dyDescent="0.3">
      <c r="A21" s="619" t="s">
        <v>178</v>
      </c>
      <c r="B21" s="619"/>
      <c r="C21" s="619"/>
      <c r="D21" s="619"/>
      <c r="E21" s="619"/>
      <c r="F21" s="619"/>
      <c r="G21" s="619"/>
      <c r="H21" s="619"/>
      <c r="I21" s="619"/>
      <c r="J21" s="441">
        <f>SQRT(J20)</f>
        <v>2.8867631238695935E-3</v>
      </c>
      <c r="K21" s="18"/>
    </row>
    <row r="22" spans="1:11" x14ac:dyDescent="0.3">
      <c r="A22" s="619" t="s">
        <v>179</v>
      </c>
      <c r="B22" s="619"/>
      <c r="C22" s="619"/>
      <c r="D22" s="619"/>
      <c r="E22" s="619"/>
      <c r="F22" s="619"/>
      <c r="G22" s="619"/>
      <c r="H22" s="619"/>
      <c r="I22" s="619"/>
      <c r="J22" s="18">
        <f>J20^2/K20</f>
        <v>1000.0163190259284</v>
      </c>
      <c r="K22" s="18"/>
    </row>
    <row r="23" spans="1:11" x14ac:dyDescent="0.3">
      <c r="A23" s="619" t="s">
        <v>180</v>
      </c>
      <c r="B23" s="619"/>
      <c r="C23" s="619"/>
      <c r="D23" s="619"/>
      <c r="E23" s="619"/>
      <c r="F23" s="619"/>
      <c r="G23" s="619"/>
      <c r="H23" s="619"/>
      <c r="I23" s="619"/>
      <c r="J23" s="441">
        <f>TINV(0.05,J22)</f>
        <v>1.9623390808264143</v>
      </c>
      <c r="K23" s="18"/>
    </row>
    <row r="24" spans="1:11" x14ac:dyDescent="0.3">
      <c r="A24" s="619" t="s">
        <v>181</v>
      </c>
      <c r="B24" s="619"/>
      <c r="C24" s="619"/>
      <c r="D24" s="619"/>
      <c r="E24" s="619"/>
      <c r="F24" s="619"/>
      <c r="G24" s="619"/>
      <c r="H24" s="619"/>
      <c r="I24" s="619"/>
      <c r="J24" s="80">
        <f>J21*J23</f>
        <v>5.6648080950578465E-3</v>
      </c>
      <c r="K24" s="16" t="s">
        <v>10</v>
      </c>
    </row>
    <row r="25" spans="1:11" ht="10.5" customHeight="1" x14ac:dyDescent="0.3"/>
    <row r="26" spans="1:11" x14ac:dyDescent="0.3">
      <c r="A26" s="15" t="s">
        <v>160</v>
      </c>
      <c r="B26" s="15">
        <f>ID!B44</f>
        <v>60</v>
      </c>
      <c r="C26" s="15" t="s">
        <v>10</v>
      </c>
    </row>
    <row r="27" spans="1:11" ht="16.8" x14ac:dyDescent="0.35">
      <c r="A27" s="16" t="s">
        <v>161</v>
      </c>
      <c r="B27" s="16" t="s">
        <v>16</v>
      </c>
      <c r="C27" s="16" t="s">
        <v>162</v>
      </c>
      <c r="D27" s="16" t="s">
        <v>163</v>
      </c>
      <c r="E27" s="16" t="s">
        <v>164</v>
      </c>
      <c r="F27" s="16" t="s">
        <v>165</v>
      </c>
      <c r="G27" s="16" t="s">
        <v>166</v>
      </c>
      <c r="H27" s="16" t="s">
        <v>167</v>
      </c>
      <c r="I27" s="16" t="s">
        <v>168</v>
      </c>
      <c r="J27" s="16" t="s">
        <v>169</v>
      </c>
      <c r="K27" s="16" t="s">
        <v>170</v>
      </c>
    </row>
    <row r="28" spans="1:11" x14ac:dyDescent="0.3">
      <c r="A28" s="17" t="s">
        <v>171</v>
      </c>
      <c r="B28" s="18" t="s">
        <v>10</v>
      </c>
      <c r="C28" s="18" t="s">
        <v>172</v>
      </c>
      <c r="D28" s="19">
        <f>'Sertifikat Anak'!D10</f>
        <v>1.6000000000000003E-5</v>
      </c>
      <c r="E28" s="18">
        <v>2</v>
      </c>
      <c r="F28" s="18">
        <v>60</v>
      </c>
      <c r="G28" s="18">
        <f t="shared" ref="G28:G31" si="8">D28/E28</f>
        <v>8.0000000000000013E-6</v>
      </c>
      <c r="H28" s="18">
        <v>1</v>
      </c>
      <c r="I28" s="18">
        <f>G28*H28</f>
        <v>8.0000000000000013E-6</v>
      </c>
      <c r="J28" s="18">
        <f>I28^2</f>
        <v>6.4000000000000025E-11</v>
      </c>
      <c r="K28" s="18">
        <f t="shared" ref="K28:K31" si="9">(I28^4)/F28</f>
        <v>6.826666666666672E-23</v>
      </c>
    </row>
    <row r="29" spans="1:11" x14ac:dyDescent="0.3">
      <c r="A29" s="20" t="s">
        <v>173</v>
      </c>
      <c r="B29" s="18" t="s">
        <v>10</v>
      </c>
      <c r="C29" s="18" t="s">
        <v>174</v>
      </c>
      <c r="D29" s="21">
        <f>D17</f>
        <v>5.0000000000000001E-3</v>
      </c>
      <c r="E29" s="18">
        <f>SQRT(3)</f>
        <v>1.7320508075688772</v>
      </c>
      <c r="F29" s="18">
        <v>1000</v>
      </c>
      <c r="G29" s="22">
        <f t="shared" si="8"/>
        <v>2.886751345948129E-3</v>
      </c>
      <c r="H29" s="18">
        <v>1</v>
      </c>
      <c r="I29" s="18">
        <f t="shared" ref="I29" si="10">G29*H29</f>
        <v>2.886751345948129E-3</v>
      </c>
      <c r="J29" s="18">
        <f t="shared" ref="J29" si="11">I29^2</f>
        <v>8.3333333333333337E-6</v>
      </c>
      <c r="K29" s="18">
        <f t="shared" si="9"/>
        <v>6.9444444444444449E-14</v>
      </c>
    </row>
    <row r="30" spans="1:11" x14ac:dyDescent="0.3">
      <c r="A30" s="20" t="s">
        <v>175</v>
      </c>
      <c r="B30" s="18" t="s">
        <v>10</v>
      </c>
      <c r="C30" s="18" t="str">
        <f>C18</f>
        <v>normal</v>
      </c>
      <c r="D30" s="22">
        <f>ID!E38</f>
        <v>0</v>
      </c>
      <c r="E30" s="18">
        <f>E18</f>
        <v>3.1622776601683795</v>
      </c>
      <c r="F30" s="18">
        <v>9</v>
      </c>
      <c r="G30" s="18">
        <f t="shared" si="8"/>
        <v>0</v>
      </c>
      <c r="H30" s="18">
        <v>1</v>
      </c>
      <c r="I30" s="18">
        <f t="shared" ref="I30:I31" si="12">G30*H30</f>
        <v>0</v>
      </c>
      <c r="J30" s="18">
        <f t="shared" ref="J30:J31" si="13">I30^2</f>
        <v>0</v>
      </c>
      <c r="K30" s="18">
        <f t="shared" si="9"/>
        <v>0</v>
      </c>
    </row>
    <row r="31" spans="1:11" x14ac:dyDescent="0.3">
      <c r="A31" s="17" t="s">
        <v>176</v>
      </c>
      <c r="B31" s="18" t="s">
        <v>10</v>
      </c>
      <c r="C31" s="18" t="s">
        <v>174</v>
      </c>
      <c r="D31" s="23">
        <f>'Sertifikat Anak'!C10</f>
        <v>2.0000000000000003E-6</v>
      </c>
      <c r="E31" s="18">
        <v>1</v>
      </c>
      <c r="F31" s="18">
        <v>4</v>
      </c>
      <c r="G31" s="18">
        <f t="shared" si="8"/>
        <v>2.0000000000000003E-6</v>
      </c>
      <c r="H31" s="18">
        <v>1</v>
      </c>
      <c r="I31" s="18">
        <f t="shared" si="12"/>
        <v>2.0000000000000003E-6</v>
      </c>
      <c r="J31" s="18">
        <f t="shared" si="13"/>
        <v>4.0000000000000015E-12</v>
      </c>
      <c r="K31" s="18">
        <f t="shared" si="9"/>
        <v>4.0000000000000034E-24</v>
      </c>
    </row>
    <row r="32" spans="1:11" x14ac:dyDescent="0.3">
      <c r="A32" s="619" t="s">
        <v>177</v>
      </c>
      <c r="B32" s="619"/>
      <c r="C32" s="619"/>
      <c r="D32" s="619"/>
      <c r="E32" s="619"/>
      <c r="F32" s="619"/>
      <c r="G32" s="619"/>
      <c r="H32" s="619"/>
      <c r="I32" s="619"/>
      <c r="J32" s="18">
        <f>SUM(J28:J31)</f>
        <v>8.3334013333333331E-6</v>
      </c>
      <c r="K32" s="18">
        <f>SUM(K28:K31)</f>
        <v>6.9444444516711125E-14</v>
      </c>
    </row>
    <row r="33" spans="1:11" x14ac:dyDescent="0.3">
      <c r="A33" s="619" t="s">
        <v>178</v>
      </c>
      <c r="B33" s="619"/>
      <c r="C33" s="619"/>
      <c r="D33" s="619"/>
      <c r="E33" s="619"/>
      <c r="F33" s="619"/>
      <c r="G33" s="619"/>
      <c r="H33" s="619"/>
      <c r="I33" s="619"/>
      <c r="J33" s="18">
        <f>SQRT(J32)</f>
        <v>2.8867631238695935E-3</v>
      </c>
      <c r="K33" s="18"/>
    </row>
    <row r="34" spans="1:11" x14ac:dyDescent="0.3">
      <c r="A34" s="619" t="s">
        <v>179</v>
      </c>
      <c r="B34" s="619"/>
      <c r="C34" s="619"/>
      <c r="D34" s="619"/>
      <c r="E34" s="619"/>
      <c r="F34" s="619"/>
      <c r="G34" s="619"/>
      <c r="H34" s="619"/>
      <c r="I34" s="619"/>
      <c r="J34" s="18">
        <f>J32^2/K32</f>
        <v>1000.0163190259284</v>
      </c>
      <c r="K34" s="18"/>
    </row>
    <row r="35" spans="1:11" x14ac:dyDescent="0.3">
      <c r="A35" s="619" t="s">
        <v>180</v>
      </c>
      <c r="B35" s="619"/>
      <c r="C35" s="619"/>
      <c r="D35" s="619"/>
      <c r="E35" s="619"/>
      <c r="F35" s="619"/>
      <c r="G35" s="619"/>
      <c r="H35" s="619"/>
      <c r="I35" s="619"/>
      <c r="J35" s="18">
        <f>TINV(0.05,J34)</f>
        <v>1.9623390808264143</v>
      </c>
      <c r="K35" s="18"/>
    </row>
    <row r="36" spans="1:11" x14ac:dyDescent="0.3">
      <c r="A36" s="619" t="s">
        <v>181</v>
      </c>
      <c r="B36" s="619"/>
      <c r="C36" s="619"/>
      <c r="D36" s="619"/>
      <c r="E36" s="619"/>
      <c r="F36" s="619"/>
      <c r="G36" s="619"/>
      <c r="H36" s="619"/>
      <c r="I36" s="619"/>
      <c r="J36" s="80">
        <f>J33*J35</f>
        <v>5.6648080950578465E-3</v>
      </c>
      <c r="K36" s="16" t="s">
        <v>10</v>
      </c>
    </row>
    <row r="37" spans="1:11" ht="10.5" customHeight="1" x14ac:dyDescent="0.3"/>
    <row r="38" spans="1:11" x14ac:dyDescent="0.3">
      <c r="A38" s="24" t="s">
        <v>160</v>
      </c>
      <c r="B38" s="25">
        <f>ID!B45</f>
        <v>80</v>
      </c>
      <c r="C38" s="26" t="s">
        <v>10</v>
      </c>
      <c r="D38" s="27"/>
      <c r="E38" s="27"/>
      <c r="F38" s="27"/>
      <c r="G38" s="27"/>
      <c r="H38" s="27"/>
      <c r="I38" s="27"/>
      <c r="J38" s="27"/>
      <c r="K38" s="27"/>
    </row>
    <row r="39" spans="1:11" ht="16.8" x14ac:dyDescent="0.35">
      <c r="A39" s="16" t="s">
        <v>161</v>
      </c>
      <c r="B39" s="16" t="s">
        <v>16</v>
      </c>
      <c r="C39" s="16" t="s">
        <v>162</v>
      </c>
      <c r="D39" s="16" t="s">
        <v>163</v>
      </c>
      <c r="E39" s="16" t="s">
        <v>164</v>
      </c>
      <c r="F39" s="16" t="s">
        <v>165</v>
      </c>
      <c r="G39" s="16" t="s">
        <v>166</v>
      </c>
      <c r="H39" s="16" t="s">
        <v>167</v>
      </c>
      <c r="I39" s="16" t="s">
        <v>168</v>
      </c>
      <c r="J39" s="16" t="s">
        <v>169</v>
      </c>
      <c r="K39" s="16" t="s">
        <v>170</v>
      </c>
    </row>
    <row r="40" spans="1:11" x14ac:dyDescent="0.3">
      <c r="A40" s="17" t="s">
        <v>171</v>
      </c>
      <c r="B40" s="18" t="s">
        <v>10</v>
      </c>
      <c r="C40" s="18" t="s">
        <v>172</v>
      </c>
      <c r="D40" s="19">
        <f>'Sertifikat Anak'!D11</f>
        <v>2.4000000000000001E-5</v>
      </c>
      <c r="E40" s="18">
        <v>2</v>
      </c>
      <c r="F40" s="18">
        <v>60</v>
      </c>
      <c r="G40" s="18">
        <f t="shared" ref="G40:G43" si="14">D40/E40</f>
        <v>1.2E-5</v>
      </c>
      <c r="H40" s="18">
        <v>1</v>
      </c>
      <c r="I40" s="18">
        <f>G40*H40</f>
        <v>1.2E-5</v>
      </c>
      <c r="J40" s="18">
        <f>I40^2</f>
        <v>1.4400000000000002E-10</v>
      </c>
      <c r="K40" s="18">
        <f t="shared" ref="K40:K43" si="15">(I40^4)/F40</f>
        <v>3.456000000000001E-22</v>
      </c>
    </row>
    <row r="41" spans="1:11" x14ac:dyDescent="0.3">
      <c r="A41" s="20" t="s">
        <v>173</v>
      </c>
      <c r="B41" s="18" t="s">
        <v>10</v>
      </c>
      <c r="C41" s="18" t="s">
        <v>174</v>
      </c>
      <c r="D41" s="21">
        <f>D29</f>
        <v>5.0000000000000001E-3</v>
      </c>
      <c r="E41" s="18">
        <f>SQRT(3)</f>
        <v>1.7320508075688772</v>
      </c>
      <c r="F41" s="18">
        <v>1000</v>
      </c>
      <c r="G41" s="22">
        <f t="shared" si="14"/>
        <v>2.886751345948129E-3</v>
      </c>
      <c r="H41" s="18">
        <v>1</v>
      </c>
      <c r="I41" s="18">
        <f t="shared" ref="I41" si="16">G41*H41</f>
        <v>2.886751345948129E-3</v>
      </c>
      <c r="J41" s="18">
        <f t="shared" ref="J41" si="17">I41^2</f>
        <v>8.3333333333333337E-6</v>
      </c>
      <c r="K41" s="18">
        <f t="shared" si="15"/>
        <v>6.9444444444444449E-14</v>
      </c>
    </row>
    <row r="42" spans="1:11" x14ac:dyDescent="0.3">
      <c r="A42" s="20" t="s">
        <v>175</v>
      </c>
      <c r="B42" s="18" t="s">
        <v>10</v>
      </c>
      <c r="C42" s="18" t="str">
        <f>C30</f>
        <v>normal</v>
      </c>
      <c r="D42" s="22">
        <f>ID!E38</f>
        <v>0</v>
      </c>
      <c r="E42" s="18">
        <f>E30</f>
        <v>3.1622776601683795</v>
      </c>
      <c r="F42" s="18">
        <v>9</v>
      </c>
      <c r="G42" s="18">
        <f t="shared" si="14"/>
        <v>0</v>
      </c>
      <c r="H42" s="18">
        <v>1</v>
      </c>
      <c r="I42" s="18">
        <f t="shared" ref="I42:I43" si="18">G42*H42</f>
        <v>0</v>
      </c>
      <c r="J42" s="18">
        <f t="shared" ref="J42:J43" si="19">I42^2</f>
        <v>0</v>
      </c>
      <c r="K42" s="18">
        <f t="shared" si="15"/>
        <v>0</v>
      </c>
    </row>
    <row r="43" spans="1:11" x14ac:dyDescent="0.3">
      <c r="A43" s="17" t="s">
        <v>176</v>
      </c>
      <c r="B43" s="18" t="s">
        <v>10</v>
      </c>
      <c r="C43" s="18" t="s">
        <v>174</v>
      </c>
      <c r="D43" s="22">
        <f>'Sertifikat Anak'!C11</f>
        <v>3.0000000000000001E-6</v>
      </c>
      <c r="E43" s="18">
        <v>1</v>
      </c>
      <c r="F43" s="18">
        <v>4</v>
      </c>
      <c r="G43" s="18">
        <f t="shared" si="14"/>
        <v>3.0000000000000001E-6</v>
      </c>
      <c r="H43" s="18">
        <v>1</v>
      </c>
      <c r="I43" s="18">
        <f t="shared" si="18"/>
        <v>3.0000000000000001E-6</v>
      </c>
      <c r="J43" s="18">
        <f t="shared" si="19"/>
        <v>9.0000000000000012E-12</v>
      </c>
      <c r="K43" s="18">
        <f t="shared" si="15"/>
        <v>2.0250000000000006E-23</v>
      </c>
    </row>
    <row r="44" spans="1:11" x14ac:dyDescent="0.3">
      <c r="A44" s="619" t="s">
        <v>177</v>
      </c>
      <c r="B44" s="619"/>
      <c r="C44" s="619"/>
      <c r="D44" s="619"/>
      <c r="E44" s="619"/>
      <c r="F44" s="619"/>
      <c r="G44" s="619"/>
      <c r="H44" s="619"/>
      <c r="I44" s="619"/>
      <c r="J44" s="18">
        <f>SUM(J40:J43)</f>
        <v>8.3334863333333339E-6</v>
      </c>
      <c r="K44" s="18">
        <f>SUM(K40:K43)</f>
        <v>6.9444444810294445E-14</v>
      </c>
    </row>
    <row r="45" spans="1:11" x14ac:dyDescent="0.3">
      <c r="A45" s="619" t="s">
        <v>178</v>
      </c>
      <c r="B45" s="619"/>
      <c r="C45" s="621"/>
      <c r="D45" s="621"/>
      <c r="E45" s="621"/>
      <c r="F45" s="621"/>
      <c r="G45" s="619"/>
      <c r="H45" s="619"/>
      <c r="I45" s="619"/>
      <c r="J45" s="18">
        <f>SQRT(J44)</f>
        <v>2.8867778462038493E-3</v>
      </c>
      <c r="K45" s="18"/>
    </row>
    <row r="46" spans="1:11" x14ac:dyDescent="0.3">
      <c r="A46" s="619" t="s">
        <v>179</v>
      </c>
      <c r="B46" s="619"/>
      <c r="C46" s="621"/>
      <c r="D46" s="621"/>
      <c r="E46" s="621"/>
      <c r="F46" s="621"/>
      <c r="G46" s="619"/>
      <c r="H46" s="619"/>
      <c r="I46" s="619"/>
      <c r="J46" s="18">
        <f>J44^2/K44</f>
        <v>1000.0367150686563</v>
      </c>
      <c r="K46" s="18"/>
    </row>
    <row r="47" spans="1:11" x14ac:dyDescent="0.3">
      <c r="A47" s="619" t="s">
        <v>180</v>
      </c>
      <c r="B47" s="619"/>
      <c r="C47" s="621"/>
      <c r="D47" s="621"/>
      <c r="E47" s="621"/>
      <c r="F47" s="621"/>
      <c r="G47" s="619"/>
      <c r="H47" s="619"/>
      <c r="I47" s="619"/>
      <c r="J47" s="18">
        <f>TINV(0.05,J46)</f>
        <v>1.9623390808264143</v>
      </c>
      <c r="K47" s="18"/>
    </row>
    <row r="48" spans="1:11" x14ac:dyDescent="0.3">
      <c r="A48" s="619" t="s">
        <v>181</v>
      </c>
      <c r="B48" s="619"/>
      <c r="C48" s="621"/>
      <c r="D48" s="621"/>
      <c r="E48" s="621"/>
      <c r="F48" s="621"/>
      <c r="G48" s="619"/>
      <c r="H48" s="619"/>
      <c r="I48" s="619"/>
      <c r="J48" s="117">
        <f>J45*J47</f>
        <v>5.6648369852697177E-3</v>
      </c>
      <c r="K48" s="16" t="s">
        <v>10</v>
      </c>
    </row>
    <row r="49" spans="1:15" ht="10.5" customHeight="1" x14ac:dyDescent="0.3">
      <c r="C49" s="98"/>
      <c r="D49" s="98"/>
      <c r="E49" s="98"/>
      <c r="F49" s="98"/>
    </row>
    <row r="50" spans="1:15" x14ac:dyDescent="0.3">
      <c r="A50" s="15" t="s">
        <v>160</v>
      </c>
      <c r="B50" s="15">
        <f>ID!B46</f>
        <v>100</v>
      </c>
      <c r="C50" s="102" t="s">
        <v>10</v>
      </c>
      <c r="D50" s="98"/>
      <c r="E50" s="98"/>
      <c r="F50" s="98"/>
    </row>
    <row r="51" spans="1:15" ht="16.8" x14ac:dyDescent="0.35">
      <c r="A51" s="16" t="s">
        <v>161</v>
      </c>
      <c r="B51" s="16" t="s">
        <v>16</v>
      </c>
      <c r="C51" s="99" t="s">
        <v>162</v>
      </c>
      <c r="D51" s="99" t="s">
        <v>182</v>
      </c>
      <c r="E51" s="99" t="s">
        <v>164</v>
      </c>
      <c r="F51" s="99" t="s">
        <v>183</v>
      </c>
      <c r="G51" s="16" t="s">
        <v>166</v>
      </c>
      <c r="H51" s="16" t="s">
        <v>167</v>
      </c>
      <c r="I51" s="16" t="s">
        <v>168</v>
      </c>
      <c r="J51" s="16" t="s">
        <v>169</v>
      </c>
      <c r="K51" s="16" t="s">
        <v>170</v>
      </c>
    </row>
    <row r="52" spans="1:15" x14ac:dyDescent="0.3">
      <c r="A52" s="17" t="s">
        <v>171</v>
      </c>
      <c r="B52" s="18" t="s">
        <v>10</v>
      </c>
      <c r="C52" s="101" t="s">
        <v>172</v>
      </c>
      <c r="D52" s="100">
        <f>'Sertifikat Anak'!D12</f>
        <v>1.5999999999999999E-5</v>
      </c>
      <c r="E52" s="101">
        <v>2</v>
      </c>
      <c r="F52" s="101">
        <v>60</v>
      </c>
      <c r="G52" s="18">
        <f>D52/E52</f>
        <v>7.9999999999999996E-6</v>
      </c>
      <c r="H52" s="18">
        <v>1</v>
      </c>
      <c r="I52" s="18">
        <f>G52*H52</f>
        <v>7.9999999999999996E-6</v>
      </c>
      <c r="J52" s="18">
        <f>I52^2</f>
        <v>6.3999999999999999E-11</v>
      </c>
      <c r="K52" s="18">
        <f>(I52^4)/F52</f>
        <v>6.8266666666666661E-23</v>
      </c>
    </row>
    <row r="53" spans="1:15" x14ac:dyDescent="0.3">
      <c r="A53" s="20" t="s">
        <v>173</v>
      </c>
      <c r="B53" s="18" t="s">
        <v>10</v>
      </c>
      <c r="C53" s="18" t="s">
        <v>174</v>
      </c>
      <c r="D53" s="21">
        <f>D41</f>
        <v>5.0000000000000001E-3</v>
      </c>
      <c r="E53" s="18">
        <f>SQRT(3)</f>
        <v>1.7320508075688772</v>
      </c>
      <c r="F53" s="18">
        <v>1000</v>
      </c>
      <c r="G53" s="22">
        <f t="shared" ref="G53" si="20">D53/E53</f>
        <v>2.886751345948129E-3</v>
      </c>
      <c r="H53" s="18">
        <v>1</v>
      </c>
      <c r="I53" s="18">
        <f t="shared" ref="I53" si="21">G53*H53</f>
        <v>2.886751345948129E-3</v>
      </c>
      <c r="J53" s="18">
        <f t="shared" ref="J53" si="22">I53^2</f>
        <v>8.3333333333333337E-6</v>
      </c>
      <c r="K53" s="18">
        <f t="shared" ref="K53" si="23">(I53^4)/F53</f>
        <v>6.9444444444444449E-14</v>
      </c>
    </row>
    <row r="54" spans="1:15" x14ac:dyDescent="0.3">
      <c r="A54" s="20" t="s">
        <v>175</v>
      </c>
      <c r="B54" s="18" t="s">
        <v>10</v>
      </c>
      <c r="C54" s="101" t="str">
        <f>C42</f>
        <v>normal</v>
      </c>
      <c r="D54" s="100">
        <f>ID!E38</f>
        <v>0</v>
      </c>
      <c r="E54" s="101">
        <f>E42</f>
        <v>3.1622776601683795</v>
      </c>
      <c r="F54" s="101">
        <v>9</v>
      </c>
      <c r="G54" s="18">
        <f t="shared" ref="G54:G55" si="24">D54/E54</f>
        <v>0</v>
      </c>
      <c r="H54" s="18">
        <v>1</v>
      </c>
      <c r="I54" s="18">
        <f t="shared" ref="I54:I55" si="25">G54*H54</f>
        <v>0</v>
      </c>
      <c r="J54" s="18">
        <f t="shared" ref="J54:J55" si="26">I54^2</f>
        <v>0</v>
      </c>
      <c r="K54" s="18">
        <f t="shared" ref="K54:K55" si="27">(I54^4)/F54</f>
        <v>0</v>
      </c>
    </row>
    <row r="55" spans="1:15" x14ac:dyDescent="0.3">
      <c r="A55" s="17" t="s">
        <v>176</v>
      </c>
      <c r="B55" s="18" t="s">
        <v>10</v>
      </c>
      <c r="C55" s="18" t="s">
        <v>174</v>
      </c>
      <c r="D55" s="22">
        <f>'Sertifikat Anak'!C12</f>
        <v>2.0000000000000003E-6</v>
      </c>
      <c r="E55" s="18">
        <v>1</v>
      </c>
      <c r="F55" s="18">
        <v>4</v>
      </c>
      <c r="G55" s="18">
        <f t="shared" si="24"/>
        <v>2.0000000000000003E-6</v>
      </c>
      <c r="H55" s="18">
        <v>1</v>
      </c>
      <c r="I55" s="18">
        <f t="shared" si="25"/>
        <v>2.0000000000000003E-6</v>
      </c>
      <c r="J55" s="18">
        <f t="shared" si="26"/>
        <v>4.0000000000000015E-12</v>
      </c>
      <c r="K55" s="18">
        <f t="shared" si="27"/>
        <v>4.0000000000000034E-24</v>
      </c>
    </row>
    <row r="56" spans="1:15" x14ac:dyDescent="0.3">
      <c r="A56" s="619" t="s">
        <v>177</v>
      </c>
      <c r="B56" s="619"/>
      <c r="C56" s="619"/>
      <c r="D56" s="619"/>
      <c r="E56" s="619"/>
      <c r="F56" s="619"/>
      <c r="G56" s="619"/>
      <c r="H56" s="619"/>
      <c r="I56" s="619"/>
      <c r="J56" s="18">
        <f>SUM(J52:J55)</f>
        <v>8.3334013333333331E-6</v>
      </c>
      <c r="K56" s="18">
        <f>SUM(K52:K55)</f>
        <v>6.9444444516711125E-14</v>
      </c>
    </row>
    <row r="57" spans="1:15" x14ac:dyDescent="0.3">
      <c r="A57" s="619" t="s">
        <v>178</v>
      </c>
      <c r="B57" s="619"/>
      <c r="C57" s="619"/>
      <c r="D57" s="619"/>
      <c r="E57" s="619"/>
      <c r="F57" s="619"/>
      <c r="G57" s="619"/>
      <c r="H57" s="619"/>
      <c r="I57" s="619"/>
      <c r="J57" s="18">
        <f>SQRT(J56)</f>
        <v>2.8867631238695935E-3</v>
      </c>
      <c r="K57" s="18"/>
    </row>
    <row r="58" spans="1:15" x14ac:dyDescent="0.3">
      <c r="A58" s="619" t="s">
        <v>179</v>
      </c>
      <c r="B58" s="619"/>
      <c r="C58" s="619"/>
      <c r="D58" s="619"/>
      <c r="E58" s="619"/>
      <c r="F58" s="619"/>
      <c r="G58" s="619"/>
      <c r="H58" s="619"/>
      <c r="I58" s="619"/>
      <c r="J58" s="18">
        <f>J56^2/K56</f>
        <v>1000.0163190259284</v>
      </c>
      <c r="K58" s="18"/>
      <c r="N58" s="28"/>
      <c r="O58" s="29"/>
    </row>
    <row r="59" spans="1:15" x14ac:dyDescent="0.3">
      <c r="A59" s="619" t="s">
        <v>180</v>
      </c>
      <c r="B59" s="619"/>
      <c r="C59" s="619"/>
      <c r="D59" s="619"/>
      <c r="E59" s="619"/>
      <c r="F59" s="619"/>
      <c r="G59" s="619"/>
      <c r="H59" s="619"/>
      <c r="I59" s="619"/>
      <c r="J59" s="18">
        <f>TINV(0.05,J58)</f>
        <v>1.9623390808264143</v>
      </c>
      <c r="K59" s="18"/>
      <c r="N59" s="28"/>
      <c r="O59" s="29"/>
    </row>
    <row r="60" spans="1:15" x14ac:dyDescent="0.3">
      <c r="A60" s="619" t="s">
        <v>181</v>
      </c>
      <c r="B60" s="619"/>
      <c r="C60" s="619"/>
      <c r="D60" s="619"/>
      <c r="E60" s="619"/>
      <c r="F60" s="619"/>
      <c r="G60" s="619"/>
      <c r="H60" s="619"/>
      <c r="I60" s="619"/>
      <c r="J60" s="117">
        <f>J57*J59</f>
        <v>5.6648080950578465E-3</v>
      </c>
      <c r="K60" s="16" t="s">
        <v>10</v>
      </c>
    </row>
    <row r="63" spans="1:15" x14ac:dyDescent="0.3">
      <c r="A63" s="15" t="s">
        <v>160</v>
      </c>
      <c r="B63" s="15">
        <f>ID!B47</f>
        <v>120</v>
      </c>
      <c r="C63" s="15" t="s">
        <v>10</v>
      </c>
    </row>
    <row r="64" spans="1:15" ht="16.8" x14ac:dyDescent="0.35">
      <c r="A64" s="16" t="s">
        <v>161</v>
      </c>
      <c r="B64" s="16" t="s">
        <v>16</v>
      </c>
      <c r="C64" s="16" t="s">
        <v>162</v>
      </c>
      <c r="D64" s="16" t="s">
        <v>163</v>
      </c>
      <c r="E64" s="16" t="s">
        <v>164</v>
      </c>
      <c r="F64" s="16" t="s">
        <v>165</v>
      </c>
      <c r="G64" s="16" t="s">
        <v>166</v>
      </c>
      <c r="H64" s="16" t="s">
        <v>167</v>
      </c>
      <c r="I64" s="16" t="s">
        <v>168</v>
      </c>
      <c r="J64" s="16" t="s">
        <v>169</v>
      </c>
      <c r="K64" s="16" t="s">
        <v>170</v>
      </c>
    </row>
    <row r="65" spans="1:11" x14ac:dyDescent="0.3">
      <c r="A65" s="17" t="s">
        <v>171</v>
      </c>
      <c r="B65" s="18" t="s">
        <v>10</v>
      </c>
      <c r="C65" s="18" t="s">
        <v>172</v>
      </c>
      <c r="D65" s="22">
        <f>'Sertifikat Anak'!D13</f>
        <v>2.4000000000000001E-5</v>
      </c>
      <c r="E65" s="18">
        <v>2</v>
      </c>
      <c r="F65" s="18">
        <v>60</v>
      </c>
      <c r="G65" s="18">
        <f>D65/E65</f>
        <v>1.2E-5</v>
      </c>
      <c r="H65" s="18">
        <v>1</v>
      </c>
      <c r="I65" s="18">
        <f>G65*H65</f>
        <v>1.2E-5</v>
      </c>
      <c r="J65" s="18">
        <f>I65^2</f>
        <v>1.4400000000000002E-10</v>
      </c>
      <c r="K65" s="18">
        <f>(I65^4)/F65</f>
        <v>3.456000000000001E-22</v>
      </c>
    </row>
    <row r="66" spans="1:11" x14ac:dyDescent="0.3">
      <c r="A66" s="20" t="s">
        <v>173</v>
      </c>
      <c r="B66" s="18" t="s">
        <v>10</v>
      </c>
      <c r="C66" s="18" t="s">
        <v>174</v>
      </c>
      <c r="D66" s="21">
        <f>D53</f>
        <v>5.0000000000000001E-3</v>
      </c>
      <c r="E66" s="18">
        <f>SQRT(3)</f>
        <v>1.7320508075688772</v>
      </c>
      <c r="F66" s="18">
        <v>1000</v>
      </c>
      <c r="G66" s="22">
        <f t="shared" ref="G66" si="28">D66/E66</f>
        <v>2.886751345948129E-3</v>
      </c>
      <c r="H66" s="18">
        <v>1</v>
      </c>
      <c r="I66" s="18">
        <f t="shared" ref="I66" si="29">G66*H66</f>
        <v>2.886751345948129E-3</v>
      </c>
      <c r="J66" s="18">
        <f t="shared" ref="J66" si="30">I66^2</f>
        <v>8.3333333333333337E-6</v>
      </c>
      <c r="K66" s="18">
        <f t="shared" ref="K66" si="31">(I66^4)/F66</f>
        <v>6.9444444444444449E-14</v>
      </c>
    </row>
    <row r="67" spans="1:11" x14ac:dyDescent="0.3">
      <c r="A67" s="20" t="s">
        <v>175</v>
      </c>
      <c r="B67" s="18" t="s">
        <v>10</v>
      </c>
      <c r="C67" s="18" t="str">
        <f>C54</f>
        <v>normal</v>
      </c>
      <c r="D67" s="22">
        <f>ID!J38</f>
        <v>0</v>
      </c>
      <c r="E67" s="18">
        <f>E54</f>
        <v>3.1622776601683795</v>
      </c>
      <c r="F67" s="18">
        <v>9</v>
      </c>
      <c r="G67" s="18">
        <f t="shared" ref="G67:G68" si="32">D67/E67</f>
        <v>0</v>
      </c>
      <c r="H67" s="18">
        <v>1</v>
      </c>
      <c r="I67" s="18">
        <f t="shared" ref="I67:I68" si="33">G67*H67</f>
        <v>0</v>
      </c>
      <c r="J67" s="18">
        <f t="shared" ref="J67:J68" si="34">I67^2</f>
        <v>0</v>
      </c>
      <c r="K67" s="18">
        <f t="shared" ref="K67:K68" si="35">(I67^4)/F67</f>
        <v>0</v>
      </c>
    </row>
    <row r="68" spans="1:11" x14ac:dyDescent="0.3">
      <c r="A68" s="17" t="s">
        <v>176</v>
      </c>
      <c r="B68" s="18" t="s">
        <v>10</v>
      </c>
      <c r="C68" s="18" t="s">
        <v>174</v>
      </c>
      <c r="D68" s="22">
        <f>'Sertifikat Anak'!C13</f>
        <v>3.0000000000000005E-6</v>
      </c>
      <c r="E68" s="18">
        <v>1</v>
      </c>
      <c r="F68" s="18">
        <v>4</v>
      </c>
      <c r="G68" s="18">
        <f t="shared" si="32"/>
        <v>3.0000000000000005E-6</v>
      </c>
      <c r="H68" s="18">
        <v>1</v>
      </c>
      <c r="I68" s="18">
        <f t="shared" si="33"/>
        <v>3.0000000000000005E-6</v>
      </c>
      <c r="J68" s="18">
        <f t="shared" si="34"/>
        <v>9.0000000000000028E-12</v>
      </c>
      <c r="K68" s="18">
        <f t="shared" si="35"/>
        <v>2.0250000000000012E-23</v>
      </c>
    </row>
    <row r="69" spans="1:11" x14ac:dyDescent="0.3">
      <c r="A69" s="619" t="s">
        <v>177</v>
      </c>
      <c r="B69" s="619"/>
      <c r="C69" s="619"/>
      <c r="D69" s="619"/>
      <c r="E69" s="619"/>
      <c r="F69" s="619"/>
      <c r="G69" s="619"/>
      <c r="H69" s="619"/>
      <c r="I69" s="619"/>
      <c r="J69" s="18">
        <f>SUM(J65:J68)</f>
        <v>8.3334863333333339E-6</v>
      </c>
      <c r="K69" s="18">
        <f>SUM(K65:K68)</f>
        <v>6.9444444810294445E-14</v>
      </c>
    </row>
    <row r="70" spans="1:11" x14ac:dyDescent="0.3">
      <c r="A70" s="619" t="s">
        <v>178</v>
      </c>
      <c r="B70" s="619"/>
      <c r="C70" s="619"/>
      <c r="D70" s="619"/>
      <c r="E70" s="619"/>
      <c r="F70" s="619"/>
      <c r="G70" s="619"/>
      <c r="H70" s="619"/>
      <c r="I70" s="619"/>
      <c r="J70" s="18">
        <f>SQRT(J69)</f>
        <v>2.8867778462038493E-3</v>
      </c>
      <c r="K70" s="18"/>
    </row>
    <row r="71" spans="1:11" x14ac:dyDescent="0.3">
      <c r="A71" s="619" t="s">
        <v>179</v>
      </c>
      <c r="B71" s="619"/>
      <c r="C71" s="619"/>
      <c r="D71" s="619"/>
      <c r="E71" s="619"/>
      <c r="F71" s="619"/>
      <c r="G71" s="619"/>
      <c r="H71" s="619"/>
      <c r="I71" s="619"/>
      <c r="J71" s="18">
        <f>J69^2/K69</f>
        <v>1000.0367150686563</v>
      </c>
      <c r="K71" s="18"/>
    </row>
    <row r="72" spans="1:11" x14ac:dyDescent="0.3">
      <c r="A72" s="619" t="s">
        <v>180</v>
      </c>
      <c r="B72" s="619"/>
      <c r="C72" s="619"/>
      <c r="D72" s="619"/>
      <c r="E72" s="619"/>
      <c r="F72" s="619"/>
      <c r="G72" s="619"/>
      <c r="H72" s="619"/>
      <c r="I72" s="619"/>
      <c r="J72" s="18">
        <f>TINV(0.05,J71)</f>
        <v>1.9623390808264143</v>
      </c>
      <c r="K72" s="18"/>
    </row>
    <row r="73" spans="1:11" x14ac:dyDescent="0.3">
      <c r="A73" s="619" t="s">
        <v>181</v>
      </c>
      <c r="B73" s="619"/>
      <c r="C73" s="619"/>
      <c r="D73" s="619"/>
      <c r="E73" s="619"/>
      <c r="F73" s="619"/>
      <c r="G73" s="619"/>
      <c r="H73" s="619"/>
      <c r="I73" s="619"/>
      <c r="J73" s="127">
        <f>J70*J72</f>
        <v>5.6648369852697177E-3</v>
      </c>
      <c r="K73" s="16" t="s">
        <v>10</v>
      </c>
    </row>
    <row r="75" spans="1:11" x14ac:dyDescent="0.3">
      <c r="A75" s="15" t="s">
        <v>160</v>
      </c>
      <c r="B75" s="15">
        <f>ID!B48</f>
        <v>140</v>
      </c>
      <c r="C75" s="15" t="s">
        <v>10</v>
      </c>
    </row>
    <row r="76" spans="1:11" ht="16.8" x14ac:dyDescent="0.35">
      <c r="A76" s="16" t="s">
        <v>161</v>
      </c>
      <c r="B76" s="16" t="s">
        <v>16</v>
      </c>
      <c r="C76" s="16" t="s">
        <v>162</v>
      </c>
      <c r="D76" s="16" t="s">
        <v>163</v>
      </c>
      <c r="E76" s="16" t="s">
        <v>164</v>
      </c>
      <c r="F76" s="16" t="s">
        <v>165</v>
      </c>
      <c r="G76" s="16" t="s">
        <v>166</v>
      </c>
      <c r="H76" s="16" t="s">
        <v>167</v>
      </c>
      <c r="I76" s="16" t="s">
        <v>168</v>
      </c>
      <c r="J76" s="16" t="s">
        <v>169</v>
      </c>
      <c r="K76" s="16" t="s">
        <v>170</v>
      </c>
    </row>
    <row r="77" spans="1:11" x14ac:dyDescent="0.3">
      <c r="A77" s="17" t="s">
        <v>171</v>
      </c>
      <c r="B77" s="18" t="s">
        <v>10</v>
      </c>
      <c r="C77" s="18" t="s">
        <v>172</v>
      </c>
      <c r="D77" s="22">
        <f>'Sertifikat Anak'!D14</f>
        <v>3.1999999999999999E-5</v>
      </c>
      <c r="E77" s="18">
        <v>2</v>
      </c>
      <c r="F77" s="18">
        <v>60</v>
      </c>
      <c r="G77" s="18">
        <f>D77/E77</f>
        <v>1.5999999999999999E-5</v>
      </c>
      <c r="H77" s="18">
        <v>1</v>
      </c>
      <c r="I77" s="18">
        <f>G77*H77</f>
        <v>1.5999999999999999E-5</v>
      </c>
      <c r="J77" s="18">
        <f>I77^2</f>
        <v>2.5599999999999999E-10</v>
      </c>
      <c r="K77" s="18">
        <f>(I77^4)/F77</f>
        <v>1.0922666666666666E-21</v>
      </c>
    </row>
    <row r="78" spans="1:11" x14ac:dyDescent="0.3">
      <c r="A78" s="20" t="s">
        <v>173</v>
      </c>
      <c r="B78" s="18" t="s">
        <v>10</v>
      </c>
      <c r="C78" s="18" t="s">
        <v>174</v>
      </c>
      <c r="D78" s="21">
        <f>D66</f>
        <v>5.0000000000000001E-3</v>
      </c>
      <c r="E78" s="18">
        <f>SQRT(3)</f>
        <v>1.7320508075688772</v>
      </c>
      <c r="F78" s="18">
        <v>1000</v>
      </c>
      <c r="G78" s="22">
        <f t="shared" ref="G78" si="36">D78/E78</f>
        <v>2.886751345948129E-3</v>
      </c>
      <c r="H78" s="18">
        <v>1</v>
      </c>
      <c r="I78" s="18">
        <f t="shared" ref="I78" si="37">G78*H78</f>
        <v>2.886751345948129E-3</v>
      </c>
      <c r="J78" s="18">
        <f t="shared" ref="J78" si="38">I78^2</f>
        <v>8.3333333333333337E-6</v>
      </c>
      <c r="K78" s="18">
        <f t="shared" ref="K78" si="39">(I78^4)/F78</f>
        <v>6.9444444444444449E-14</v>
      </c>
    </row>
    <row r="79" spans="1:11" x14ac:dyDescent="0.3">
      <c r="A79" s="20" t="s">
        <v>175</v>
      </c>
      <c r="B79" s="18" t="s">
        <v>10</v>
      </c>
      <c r="C79" s="18" t="str">
        <f>C67</f>
        <v>normal</v>
      </c>
      <c r="D79" s="22">
        <f>ID!J38</f>
        <v>0</v>
      </c>
      <c r="E79" s="18">
        <f>E67</f>
        <v>3.1622776601683795</v>
      </c>
      <c r="F79" s="18">
        <v>9</v>
      </c>
      <c r="G79" s="18">
        <f t="shared" ref="G79:G80" si="40">D79/E79</f>
        <v>0</v>
      </c>
      <c r="H79" s="18">
        <v>1</v>
      </c>
      <c r="I79" s="18">
        <f t="shared" ref="I79:I80" si="41">G79*H79</f>
        <v>0</v>
      </c>
      <c r="J79" s="18">
        <f t="shared" ref="J79:J80" si="42">I79^2</f>
        <v>0</v>
      </c>
      <c r="K79" s="18">
        <f t="shared" ref="K79:K80" si="43">(I79^4)/F79</f>
        <v>0</v>
      </c>
    </row>
    <row r="80" spans="1:11" x14ac:dyDescent="0.3">
      <c r="A80" s="17" t="s">
        <v>176</v>
      </c>
      <c r="B80" s="18" t="s">
        <v>10</v>
      </c>
      <c r="C80" s="18" t="s">
        <v>174</v>
      </c>
      <c r="D80" s="22">
        <f>'Sertifikat Anak'!C14</f>
        <v>4.0000000000000007E-6</v>
      </c>
      <c r="E80" s="18">
        <v>1</v>
      </c>
      <c r="F80" s="18">
        <v>4</v>
      </c>
      <c r="G80" s="18">
        <f t="shared" si="40"/>
        <v>4.0000000000000007E-6</v>
      </c>
      <c r="H80" s="18">
        <v>1</v>
      </c>
      <c r="I80" s="18">
        <f t="shared" si="41"/>
        <v>4.0000000000000007E-6</v>
      </c>
      <c r="J80" s="18">
        <f t="shared" si="42"/>
        <v>1.6000000000000006E-11</v>
      </c>
      <c r="K80" s="18">
        <f t="shared" si="43"/>
        <v>6.4000000000000054E-23</v>
      </c>
    </row>
    <row r="81" spans="1:11" x14ac:dyDescent="0.3">
      <c r="A81" s="619" t="s">
        <v>177</v>
      </c>
      <c r="B81" s="619"/>
      <c r="C81" s="619"/>
      <c r="D81" s="619"/>
      <c r="E81" s="619"/>
      <c r="F81" s="619"/>
      <c r="G81" s="619"/>
      <c r="H81" s="619"/>
      <c r="I81" s="619"/>
      <c r="J81" s="18">
        <f>SUM(J77:J80)</f>
        <v>8.3336053333333345E-6</v>
      </c>
      <c r="K81" s="18">
        <f>SUM(K77:K80)</f>
        <v>6.9444445600711111E-14</v>
      </c>
    </row>
    <row r="82" spans="1:11" x14ac:dyDescent="0.3">
      <c r="A82" s="619" t="s">
        <v>178</v>
      </c>
      <c r="B82" s="619"/>
      <c r="C82" s="619"/>
      <c r="D82" s="619"/>
      <c r="E82" s="619"/>
      <c r="F82" s="619"/>
      <c r="G82" s="619"/>
      <c r="H82" s="619"/>
      <c r="I82" s="619"/>
      <c r="J82" s="18">
        <f>SQRT(J81)</f>
        <v>2.886798457345669E-3</v>
      </c>
      <c r="K82" s="18"/>
    </row>
    <row r="83" spans="1:11" x14ac:dyDescent="0.3">
      <c r="A83" s="619" t="s">
        <v>179</v>
      </c>
      <c r="B83" s="619"/>
      <c r="C83" s="619"/>
      <c r="D83" s="619"/>
      <c r="E83" s="619"/>
      <c r="F83" s="619"/>
      <c r="G83" s="619"/>
      <c r="H83" s="619"/>
      <c r="I83" s="619"/>
      <c r="J83" s="18">
        <f>J81^2/K81</f>
        <v>1000.0652644140432</v>
      </c>
      <c r="K83" s="18"/>
    </row>
    <row r="84" spans="1:11" x14ac:dyDescent="0.3">
      <c r="A84" s="619" t="s">
        <v>180</v>
      </c>
      <c r="B84" s="619"/>
      <c r="C84" s="619"/>
      <c r="D84" s="619"/>
      <c r="E84" s="619"/>
      <c r="F84" s="619"/>
      <c r="G84" s="619"/>
      <c r="H84" s="619"/>
      <c r="I84" s="619"/>
      <c r="J84" s="18">
        <f>TINV(0.05,J83)</f>
        <v>1.9623390808264143</v>
      </c>
      <c r="K84" s="18"/>
    </row>
    <row r="85" spans="1:11" x14ac:dyDescent="0.3">
      <c r="A85" s="619" t="s">
        <v>181</v>
      </c>
      <c r="B85" s="619"/>
      <c r="C85" s="619"/>
      <c r="D85" s="619"/>
      <c r="E85" s="619"/>
      <c r="F85" s="619"/>
      <c r="G85" s="619"/>
      <c r="H85" s="619"/>
      <c r="I85" s="619"/>
      <c r="J85" s="80">
        <f>J82*J84</f>
        <v>5.664877431318811E-3</v>
      </c>
      <c r="K85" s="16" t="s">
        <v>10</v>
      </c>
    </row>
    <row r="87" spans="1:11" x14ac:dyDescent="0.3">
      <c r="A87" s="15" t="s">
        <v>160</v>
      </c>
      <c r="B87" s="15">
        <f>ID!B49</f>
        <v>160</v>
      </c>
      <c r="C87" s="15" t="s">
        <v>10</v>
      </c>
    </row>
    <row r="88" spans="1:11" ht="16.8" x14ac:dyDescent="0.35">
      <c r="A88" s="16" t="s">
        <v>161</v>
      </c>
      <c r="B88" s="16" t="s">
        <v>16</v>
      </c>
      <c r="C88" s="16" t="s">
        <v>162</v>
      </c>
      <c r="D88" s="16" t="s">
        <v>163</v>
      </c>
      <c r="E88" s="16" t="s">
        <v>164</v>
      </c>
      <c r="F88" s="16" t="s">
        <v>165</v>
      </c>
      <c r="G88" s="16" t="s">
        <v>166</v>
      </c>
      <c r="H88" s="16" t="s">
        <v>167</v>
      </c>
      <c r="I88" s="16" t="s">
        <v>168</v>
      </c>
      <c r="J88" s="16" t="s">
        <v>169</v>
      </c>
      <c r="K88" s="16" t="s">
        <v>170</v>
      </c>
    </row>
    <row r="89" spans="1:11" x14ac:dyDescent="0.3">
      <c r="A89" s="17" t="s">
        <v>171</v>
      </c>
      <c r="B89" s="18" t="s">
        <v>10</v>
      </c>
      <c r="C89" s="18" t="s">
        <v>172</v>
      </c>
      <c r="D89" s="22">
        <f>'Sertifikat Anak'!D15</f>
        <v>3.2000000000000005E-5</v>
      </c>
      <c r="E89" s="18">
        <v>2</v>
      </c>
      <c r="F89" s="18">
        <v>60</v>
      </c>
      <c r="G89" s="18">
        <f>D89/E89</f>
        <v>1.6000000000000003E-5</v>
      </c>
      <c r="H89" s="18">
        <v>1</v>
      </c>
      <c r="I89" s="18">
        <f>G89*H89</f>
        <v>1.6000000000000003E-5</v>
      </c>
      <c r="J89" s="18">
        <f>I89^2</f>
        <v>2.560000000000001E-10</v>
      </c>
      <c r="K89" s="18">
        <f>(I89^4)/F89</f>
        <v>1.0922666666666675E-21</v>
      </c>
    </row>
    <row r="90" spans="1:11" x14ac:dyDescent="0.3">
      <c r="A90" s="20" t="s">
        <v>173</v>
      </c>
      <c r="B90" s="18" t="s">
        <v>10</v>
      </c>
      <c r="C90" s="18" t="s">
        <v>174</v>
      </c>
      <c r="D90" s="21">
        <f>D78</f>
        <v>5.0000000000000001E-3</v>
      </c>
      <c r="E90" s="18">
        <f>SQRT(3)</f>
        <v>1.7320508075688772</v>
      </c>
      <c r="F90" s="18">
        <v>1000</v>
      </c>
      <c r="G90" s="22">
        <f t="shared" ref="G90" si="44">D90/E90</f>
        <v>2.886751345948129E-3</v>
      </c>
      <c r="H90" s="18">
        <v>1</v>
      </c>
      <c r="I90" s="18">
        <f t="shared" ref="I90" si="45">G90*H90</f>
        <v>2.886751345948129E-3</v>
      </c>
      <c r="J90" s="18">
        <f t="shared" ref="J90" si="46">I90^2</f>
        <v>8.3333333333333337E-6</v>
      </c>
      <c r="K90" s="18">
        <f t="shared" ref="K90" si="47">(I90^4)/F90</f>
        <v>6.9444444444444449E-14</v>
      </c>
    </row>
    <row r="91" spans="1:11" x14ac:dyDescent="0.3">
      <c r="A91" s="20" t="s">
        <v>175</v>
      </c>
      <c r="B91" s="18" t="s">
        <v>10</v>
      </c>
      <c r="C91" s="18" t="str">
        <f>C79</f>
        <v>normal</v>
      </c>
      <c r="D91" s="22">
        <f>ID!J38</f>
        <v>0</v>
      </c>
      <c r="E91" s="18">
        <f>E79</f>
        <v>3.1622776601683795</v>
      </c>
      <c r="F91" s="18">
        <v>9</v>
      </c>
      <c r="G91" s="18">
        <f t="shared" ref="G91:G92" si="48">D91/E91</f>
        <v>0</v>
      </c>
      <c r="H91" s="18">
        <v>1</v>
      </c>
      <c r="I91" s="18">
        <f t="shared" ref="I91:I92" si="49">G91*H91</f>
        <v>0</v>
      </c>
      <c r="J91" s="18">
        <f t="shared" ref="J91:J92" si="50">I91^2</f>
        <v>0</v>
      </c>
      <c r="K91" s="18">
        <f t="shared" ref="K91:K92" si="51">(I91^4)/F91</f>
        <v>0</v>
      </c>
    </row>
    <row r="92" spans="1:11" x14ac:dyDescent="0.3">
      <c r="A92" s="17" t="s">
        <v>176</v>
      </c>
      <c r="B92" s="18" t="s">
        <v>10</v>
      </c>
      <c r="C92" s="18" t="s">
        <v>174</v>
      </c>
      <c r="D92" s="22">
        <f>'Sertifikat Anak'!C15</f>
        <v>4.0000000000000007E-6</v>
      </c>
      <c r="E92" s="18">
        <v>1</v>
      </c>
      <c r="F92" s="18">
        <v>4</v>
      </c>
      <c r="G92" s="18">
        <f t="shared" si="48"/>
        <v>4.0000000000000007E-6</v>
      </c>
      <c r="H92" s="18">
        <v>1</v>
      </c>
      <c r="I92" s="18">
        <f t="shared" si="49"/>
        <v>4.0000000000000007E-6</v>
      </c>
      <c r="J92" s="18">
        <f t="shared" si="50"/>
        <v>1.6000000000000006E-11</v>
      </c>
      <c r="K92" s="18">
        <f t="shared" si="51"/>
        <v>6.4000000000000054E-23</v>
      </c>
    </row>
    <row r="93" spans="1:11" x14ac:dyDescent="0.3">
      <c r="A93" s="619" t="s">
        <v>177</v>
      </c>
      <c r="B93" s="619"/>
      <c r="C93" s="619"/>
      <c r="D93" s="619"/>
      <c r="E93" s="619"/>
      <c r="F93" s="619"/>
      <c r="G93" s="619"/>
      <c r="H93" s="619"/>
      <c r="I93" s="619"/>
      <c r="J93" s="18">
        <f>SUM(J89:J92)</f>
        <v>8.3336053333333345E-6</v>
      </c>
      <c r="K93" s="18">
        <f>SUM(K89:K92)</f>
        <v>6.9444445600711111E-14</v>
      </c>
    </row>
    <row r="94" spans="1:11" x14ac:dyDescent="0.3">
      <c r="A94" s="619" t="s">
        <v>178</v>
      </c>
      <c r="B94" s="619"/>
      <c r="C94" s="619"/>
      <c r="D94" s="619"/>
      <c r="E94" s="619"/>
      <c r="F94" s="619"/>
      <c r="G94" s="619"/>
      <c r="H94" s="619"/>
      <c r="I94" s="619"/>
      <c r="J94" s="18">
        <f>SQRT(J93)</f>
        <v>2.886798457345669E-3</v>
      </c>
      <c r="K94" s="18"/>
    </row>
    <row r="95" spans="1:11" x14ac:dyDescent="0.3">
      <c r="A95" s="619" t="s">
        <v>179</v>
      </c>
      <c r="B95" s="619"/>
      <c r="C95" s="619"/>
      <c r="D95" s="619"/>
      <c r="E95" s="619"/>
      <c r="F95" s="619"/>
      <c r="G95" s="619"/>
      <c r="H95" s="619"/>
      <c r="I95" s="619"/>
      <c r="J95" s="18">
        <f>J93^2/K93</f>
        <v>1000.0652644140432</v>
      </c>
      <c r="K95" s="18"/>
    </row>
    <row r="96" spans="1:11" x14ac:dyDescent="0.3">
      <c r="A96" s="619" t="s">
        <v>180</v>
      </c>
      <c r="B96" s="619"/>
      <c r="C96" s="619"/>
      <c r="D96" s="619"/>
      <c r="E96" s="619"/>
      <c r="F96" s="619"/>
      <c r="G96" s="619"/>
      <c r="H96" s="619"/>
      <c r="I96" s="619"/>
      <c r="J96" s="18">
        <f>TINV(0.05,J95)</f>
        <v>1.9623390808264143</v>
      </c>
      <c r="K96" s="18"/>
    </row>
    <row r="97" spans="1:11" x14ac:dyDescent="0.3">
      <c r="A97" s="619" t="s">
        <v>181</v>
      </c>
      <c r="B97" s="619"/>
      <c r="C97" s="619"/>
      <c r="D97" s="619"/>
      <c r="E97" s="619"/>
      <c r="F97" s="619"/>
      <c r="G97" s="619"/>
      <c r="H97" s="619"/>
      <c r="I97" s="619"/>
      <c r="J97" s="80">
        <f>J94*J96</f>
        <v>5.664877431318811E-3</v>
      </c>
      <c r="K97" s="16" t="s">
        <v>10</v>
      </c>
    </row>
    <row r="99" spans="1:11" x14ac:dyDescent="0.3">
      <c r="A99" s="15" t="s">
        <v>160</v>
      </c>
      <c r="B99" s="15">
        <f>ID!B50</f>
        <v>180</v>
      </c>
      <c r="C99" s="15" t="s">
        <v>10</v>
      </c>
    </row>
    <row r="100" spans="1:11" ht="16.8" x14ac:dyDescent="0.35">
      <c r="A100" s="16" t="s">
        <v>161</v>
      </c>
      <c r="B100" s="16" t="s">
        <v>16</v>
      </c>
      <c r="C100" s="16" t="s">
        <v>162</v>
      </c>
      <c r="D100" s="16" t="s">
        <v>163</v>
      </c>
      <c r="E100" s="16" t="s">
        <v>164</v>
      </c>
      <c r="F100" s="16" t="s">
        <v>165</v>
      </c>
      <c r="G100" s="16" t="s">
        <v>166</v>
      </c>
      <c r="H100" s="16" t="s">
        <v>167</v>
      </c>
      <c r="I100" s="16" t="s">
        <v>168</v>
      </c>
      <c r="J100" s="16" t="s">
        <v>169</v>
      </c>
      <c r="K100" s="16" t="s">
        <v>170</v>
      </c>
    </row>
    <row r="101" spans="1:11" x14ac:dyDescent="0.3">
      <c r="A101" s="17" t="s">
        <v>171</v>
      </c>
      <c r="B101" s="18" t="s">
        <v>10</v>
      </c>
      <c r="C101" s="18" t="s">
        <v>172</v>
      </c>
      <c r="D101" s="22">
        <f>'Sertifikat Anak'!D16</f>
        <v>3.9999999999999996E-5</v>
      </c>
      <c r="E101" s="18">
        <v>2</v>
      </c>
      <c r="F101" s="18">
        <v>60</v>
      </c>
      <c r="G101" s="18">
        <f>D101/E101</f>
        <v>1.9999999999999998E-5</v>
      </c>
      <c r="H101" s="18">
        <v>1</v>
      </c>
      <c r="I101" s="18">
        <f>G101*H101</f>
        <v>1.9999999999999998E-5</v>
      </c>
      <c r="J101" s="18">
        <f>I101^2</f>
        <v>3.9999999999999991E-10</v>
      </c>
      <c r="K101" s="18">
        <f>(I101^4)/F101</f>
        <v>2.6666666666666654E-21</v>
      </c>
    </row>
    <row r="102" spans="1:11" x14ac:dyDescent="0.3">
      <c r="A102" s="20" t="s">
        <v>173</v>
      </c>
      <c r="B102" s="18" t="s">
        <v>10</v>
      </c>
      <c r="C102" s="18" t="s">
        <v>174</v>
      </c>
      <c r="D102" s="21">
        <f>D90</f>
        <v>5.0000000000000001E-3</v>
      </c>
      <c r="E102" s="18">
        <f>SQRT(3)</f>
        <v>1.7320508075688772</v>
      </c>
      <c r="F102" s="18">
        <v>1000</v>
      </c>
      <c r="G102" s="22">
        <f t="shared" ref="G102" si="52">D102/E102</f>
        <v>2.886751345948129E-3</v>
      </c>
      <c r="H102" s="18">
        <v>1</v>
      </c>
      <c r="I102" s="18">
        <f t="shared" ref="I102" si="53">G102*H102</f>
        <v>2.886751345948129E-3</v>
      </c>
      <c r="J102" s="18">
        <f t="shared" ref="J102" si="54">I102^2</f>
        <v>8.3333333333333337E-6</v>
      </c>
      <c r="K102" s="18">
        <f t="shared" ref="K102" si="55">(I102^4)/F102</f>
        <v>6.9444444444444449E-14</v>
      </c>
    </row>
    <row r="103" spans="1:11" x14ac:dyDescent="0.3">
      <c r="A103" s="20" t="s">
        <v>175</v>
      </c>
      <c r="B103" s="18" t="s">
        <v>10</v>
      </c>
      <c r="C103" s="18" t="str">
        <f>C91</f>
        <v>normal</v>
      </c>
      <c r="D103" s="22">
        <f>ID!J38</f>
        <v>0</v>
      </c>
      <c r="E103" s="18">
        <f>E91</f>
        <v>3.1622776601683795</v>
      </c>
      <c r="F103" s="18">
        <v>9</v>
      </c>
      <c r="G103" s="18">
        <f t="shared" ref="G103:G104" si="56">D103/E103</f>
        <v>0</v>
      </c>
      <c r="H103" s="18">
        <v>1</v>
      </c>
      <c r="I103" s="18">
        <f t="shared" ref="I103:I104" si="57">G103*H103</f>
        <v>0</v>
      </c>
      <c r="J103" s="18">
        <f t="shared" ref="J103:J104" si="58">I103^2</f>
        <v>0</v>
      </c>
      <c r="K103" s="18">
        <f t="shared" ref="K103:K104" si="59">(I103^4)/F103</f>
        <v>0</v>
      </c>
    </row>
    <row r="104" spans="1:11" x14ac:dyDescent="0.3">
      <c r="A104" s="17" t="s">
        <v>176</v>
      </c>
      <c r="B104" s="18" t="s">
        <v>10</v>
      </c>
      <c r="C104" s="18" t="s">
        <v>174</v>
      </c>
      <c r="D104" s="22">
        <f>'Sertifikat Anak'!C16</f>
        <v>5.0000000000000004E-6</v>
      </c>
      <c r="E104" s="18">
        <v>1</v>
      </c>
      <c r="F104" s="18">
        <v>4</v>
      </c>
      <c r="G104" s="18">
        <f t="shared" si="56"/>
        <v>5.0000000000000004E-6</v>
      </c>
      <c r="H104" s="18">
        <v>1</v>
      </c>
      <c r="I104" s="18">
        <f t="shared" si="57"/>
        <v>5.0000000000000004E-6</v>
      </c>
      <c r="J104" s="18">
        <f t="shared" si="58"/>
        <v>2.5000000000000004E-11</v>
      </c>
      <c r="K104" s="18">
        <f t="shared" si="59"/>
        <v>1.5625000000000006E-22</v>
      </c>
    </row>
    <row r="105" spans="1:11" x14ac:dyDescent="0.3">
      <c r="A105" s="619" t="s">
        <v>177</v>
      </c>
      <c r="B105" s="619"/>
      <c r="C105" s="619"/>
      <c r="D105" s="619"/>
      <c r="E105" s="619"/>
      <c r="F105" s="619"/>
      <c r="G105" s="619"/>
      <c r="H105" s="619"/>
      <c r="I105" s="619"/>
      <c r="J105" s="18">
        <f>SUM(J101:J104)</f>
        <v>8.333758333333333E-6</v>
      </c>
      <c r="K105" s="18">
        <f>SUM(K101:K104)</f>
        <v>6.944444726736111E-14</v>
      </c>
    </row>
    <row r="106" spans="1:11" x14ac:dyDescent="0.3">
      <c r="A106" s="619" t="s">
        <v>178</v>
      </c>
      <c r="B106" s="619"/>
      <c r="C106" s="619"/>
      <c r="D106" s="619"/>
      <c r="E106" s="619"/>
      <c r="F106" s="619"/>
      <c r="G106" s="619"/>
      <c r="H106" s="619"/>
      <c r="I106" s="619"/>
      <c r="J106" s="18">
        <f>SQRT(J105)</f>
        <v>2.8868249571689193E-3</v>
      </c>
      <c r="K106" s="18"/>
    </row>
    <row r="107" spans="1:11" x14ac:dyDescent="0.3">
      <c r="A107" s="619" t="s">
        <v>179</v>
      </c>
      <c r="B107" s="619"/>
      <c r="C107" s="619"/>
      <c r="D107" s="619"/>
      <c r="E107" s="619"/>
      <c r="F107" s="619"/>
      <c r="G107" s="619"/>
      <c r="H107" s="619"/>
      <c r="I107" s="619"/>
      <c r="J107" s="18">
        <f>J105^2/K105</f>
        <v>1000.1019619468552</v>
      </c>
      <c r="K107" s="18"/>
    </row>
    <row r="108" spans="1:11" x14ac:dyDescent="0.3">
      <c r="A108" s="619" t="s">
        <v>180</v>
      </c>
      <c r="B108" s="619"/>
      <c r="C108" s="619"/>
      <c r="D108" s="619"/>
      <c r="E108" s="619"/>
      <c r="F108" s="619"/>
      <c r="G108" s="619"/>
      <c r="H108" s="619"/>
      <c r="I108" s="619"/>
      <c r="J108" s="18">
        <f>TINV(0.05,J107)</f>
        <v>1.9623390808264143</v>
      </c>
      <c r="K108" s="18"/>
    </row>
    <row r="109" spans="1:11" x14ac:dyDescent="0.3">
      <c r="A109" s="619" t="s">
        <v>181</v>
      </c>
      <c r="B109" s="619"/>
      <c r="C109" s="619"/>
      <c r="D109" s="619"/>
      <c r="E109" s="619"/>
      <c r="F109" s="619"/>
      <c r="G109" s="619"/>
      <c r="H109" s="619"/>
      <c r="I109" s="619"/>
      <c r="J109" s="80">
        <f>J106*J108</f>
        <v>5.6649294329576098E-3</v>
      </c>
      <c r="K109" s="16" t="s">
        <v>10</v>
      </c>
    </row>
    <row r="111" spans="1:11" x14ac:dyDescent="0.3">
      <c r="A111" s="15" t="s">
        <v>160</v>
      </c>
      <c r="B111" s="15">
        <f>ID!B51</f>
        <v>200</v>
      </c>
      <c r="C111" s="15" t="s">
        <v>10</v>
      </c>
    </row>
    <row r="112" spans="1:11" ht="16.8" x14ac:dyDescent="0.35">
      <c r="A112" s="16" t="s">
        <v>161</v>
      </c>
      <c r="B112" s="16" t="s">
        <v>16</v>
      </c>
      <c r="C112" s="16" t="s">
        <v>162</v>
      </c>
      <c r="D112" s="16" t="s">
        <v>163</v>
      </c>
      <c r="E112" s="16" t="s">
        <v>164</v>
      </c>
      <c r="F112" s="16" t="s">
        <v>165</v>
      </c>
      <c r="G112" s="16" t="s">
        <v>166</v>
      </c>
      <c r="H112" s="16" t="s">
        <v>167</v>
      </c>
      <c r="I112" s="16" t="s">
        <v>168</v>
      </c>
      <c r="J112" s="16" t="s">
        <v>169</v>
      </c>
      <c r="K112" s="16" t="s">
        <v>170</v>
      </c>
    </row>
    <row r="113" spans="1:11" x14ac:dyDescent="0.3">
      <c r="A113" s="17" t="s">
        <v>171</v>
      </c>
      <c r="B113" s="18" t="s">
        <v>10</v>
      </c>
      <c r="C113" s="18" t="s">
        <v>172</v>
      </c>
      <c r="D113" s="22">
        <f>'Sertifikat Anak'!D17</f>
        <v>3.0000000000000001E-5</v>
      </c>
      <c r="E113" s="18">
        <v>2</v>
      </c>
      <c r="F113" s="18">
        <v>60</v>
      </c>
      <c r="G113" s="18">
        <f>D113/E113</f>
        <v>1.5E-5</v>
      </c>
      <c r="H113" s="18">
        <v>1</v>
      </c>
      <c r="I113" s="18">
        <f>G113*H113</f>
        <v>1.5E-5</v>
      </c>
      <c r="J113" s="18">
        <f>I113^2</f>
        <v>2.25E-10</v>
      </c>
      <c r="K113" s="18">
        <f>(I113^4)/F113</f>
        <v>8.4374999999999999E-22</v>
      </c>
    </row>
    <row r="114" spans="1:11" x14ac:dyDescent="0.3">
      <c r="A114" s="20" t="s">
        <v>173</v>
      </c>
      <c r="B114" s="18" t="s">
        <v>10</v>
      </c>
      <c r="C114" s="18" t="s">
        <v>174</v>
      </c>
      <c r="D114" s="21">
        <f>D102</f>
        <v>5.0000000000000001E-3</v>
      </c>
      <c r="E114" s="18">
        <f>SQRT(3)</f>
        <v>1.7320508075688772</v>
      </c>
      <c r="F114" s="18">
        <v>1000</v>
      </c>
      <c r="G114" s="22">
        <f t="shared" ref="G114" si="60">D114/E114</f>
        <v>2.886751345948129E-3</v>
      </c>
      <c r="H114" s="18">
        <v>1</v>
      </c>
      <c r="I114" s="18">
        <f t="shared" ref="I114" si="61">G114*H114</f>
        <v>2.886751345948129E-3</v>
      </c>
      <c r="J114" s="18">
        <f t="shared" ref="J114" si="62">I114^2</f>
        <v>8.3333333333333337E-6</v>
      </c>
      <c r="K114" s="18">
        <f t="shared" ref="K114" si="63">(I114^4)/F114</f>
        <v>6.9444444444444449E-14</v>
      </c>
    </row>
    <row r="115" spans="1:11" x14ac:dyDescent="0.3">
      <c r="A115" s="20" t="s">
        <v>175</v>
      </c>
      <c r="B115" s="18" t="s">
        <v>10</v>
      </c>
      <c r="C115" s="18" t="str">
        <f>C103</f>
        <v>normal</v>
      </c>
      <c r="D115" s="22">
        <f>ID!J38</f>
        <v>0</v>
      </c>
      <c r="E115" s="18">
        <f>E103</f>
        <v>3.1622776601683795</v>
      </c>
      <c r="F115" s="18">
        <v>9</v>
      </c>
      <c r="G115" s="18">
        <f t="shared" ref="G115:G116" si="64">D115/E115</f>
        <v>0</v>
      </c>
      <c r="H115" s="18">
        <v>1</v>
      </c>
      <c r="I115" s="18">
        <f t="shared" ref="I115:I116" si="65">G115*H115</f>
        <v>0</v>
      </c>
      <c r="J115" s="18">
        <f t="shared" ref="J115:J116" si="66">I115^2</f>
        <v>0</v>
      </c>
      <c r="K115" s="18">
        <f t="shared" ref="K115:K116" si="67">(I115^4)/F115</f>
        <v>0</v>
      </c>
    </row>
    <row r="116" spans="1:11" x14ac:dyDescent="0.3">
      <c r="A116" s="17" t="s">
        <v>176</v>
      </c>
      <c r="B116" s="18" t="s">
        <v>10</v>
      </c>
      <c r="C116" s="18" t="s">
        <v>174</v>
      </c>
      <c r="D116" s="22">
        <f>'Sertifikat Anak'!C17</f>
        <v>4.0000000000000007E-6</v>
      </c>
      <c r="E116" s="18">
        <v>1</v>
      </c>
      <c r="F116" s="18">
        <v>4</v>
      </c>
      <c r="G116" s="18">
        <f t="shared" si="64"/>
        <v>4.0000000000000007E-6</v>
      </c>
      <c r="H116" s="18">
        <v>1</v>
      </c>
      <c r="I116" s="18">
        <f t="shared" si="65"/>
        <v>4.0000000000000007E-6</v>
      </c>
      <c r="J116" s="18">
        <f t="shared" si="66"/>
        <v>1.6000000000000006E-11</v>
      </c>
      <c r="K116" s="18">
        <f t="shared" si="67"/>
        <v>6.4000000000000054E-23</v>
      </c>
    </row>
    <row r="117" spans="1:11" x14ac:dyDescent="0.3">
      <c r="A117" s="619" t="s">
        <v>177</v>
      </c>
      <c r="B117" s="619"/>
      <c r="C117" s="619"/>
      <c r="D117" s="619"/>
      <c r="E117" s="619"/>
      <c r="F117" s="619"/>
      <c r="G117" s="619"/>
      <c r="H117" s="619"/>
      <c r="I117" s="619"/>
      <c r="J117" s="18">
        <f>SUM(J113:J116)</f>
        <v>8.3335743333333347E-6</v>
      </c>
      <c r="K117" s="18">
        <f>SUM(K113:K116)</f>
        <v>6.9444445352194442E-14</v>
      </c>
    </row>
    <row r="118" spans="1:11" x14ac:dyDescent="0.3">
      <c r="A118" s="619" t="s">
        <v>178</v>
      </c>
      <c r="B118" s="619"/>
      <c r="C118" s="619"/>
      <c r="D118" s="619"/>
      <c r="E118" s="619"/>
      <c r="F118" s="619"/>
      <c r="G118" s="619"/>
      <c r="H118" s="619"/>
      <c r="I118" s="619"/>
      <c r="J118" s="18">
        <f>SQRT(J117)</f>
        <v>2.886793088070798E-3</v>
      </c>
      <c r="K118" s="18"/>
    </row>
    <row r="119" spans="1:11" x14ac:dyDescent="0.3">
      <c r="A119" s="619" t="s">
        <v>179</v>
      </c>
      <c r="B119" s="619"/>
      <c r="C119" s="619"/>
      <c r="D119" s="619"/>
      <c r="E119" s="619"/>
      <c r="F119" s="619"/>
      <c r="G119" s="619"/>
      <c r="H119" s="619"/>
      <c r="I119" s="619"/>
      <c r="J119" s="18">
        <f>J117^2/K117</f>
        <v>1000.0578277640108</v>
      </c>
      <c r="K119" s="18"/>
    </row>
    <row r="120" spans="1:11" x14ac:dyDescent="0.3">
      <c r="A120" s="619" t="s">
        <v>180</v>
      </c>
      <c r="B120" s="619"/>
      <c r="C120" s="619"/>
      <c r="D120" s="619"/>
      <c r="E120" s="619"/>
      <c r="F120" s="619"/>
      <c r="G120" s="619"/>
      <c r="H120" s="619"/>
      <c r="I120" s="619"/>
      <c r="J120" s="18">
        <f>TINV(0.05,J119)</f>
        <v>1.9623390808264143</v>
      </c>
      <c r="K120" s="18"/>
    </row>
    <row r="121" spans="1:11" x14ac:dyDescent="0.3">
      <c r="A121" s="619" t="s">
        <v>181</v>
      </c>
      <c r="B121" s="619"/>
      <c r="C121" s="619"/>
      <c r="D121" s="619"/>
      <c r="E121" s="619"/>
      <c r="F121" s="619"/>
      <c r="G121" s="619"/>
      <c r="H121" s="619"/>
      <c r="I121" s="619"/>
      <c r="J121" s="127">
        <f>J118*J120</f>
        <v>5.664866894980896E-3</v>
      </c>
      <c r="K121" s="16" t="s">
        <v>10</v>
      </c>
    </row>
    <row r="123" spans="1:11" x14ac:dyDescent="0.3">
      <c r="A123" s="30" t="s">
        <v>184</v>
      </c>
      <c r="B123" s="30"/>
      <c r="C123" s="94">
        <f>MAX(ID!E38,ID!J38)</f>
        <v>0</v>
      </c>
      <c r="D123" s="31" t="s">
        <v>10</v>
      </c>
    </row>
    <row r="124" spans="1:11" x14ac:dyDescent="0.3">
      <c r="A124" s="15" t="s">
        <v>185</v>
      </c>
      <c r="B124" s="15"/>
      <c r="C124" s="95">
        <f>ID!J42</f>
        <v>5.2999999979874701E-5</v>
      </c>
      <c r="D124" s="33" t="s">
        <v>10</v>
      </c>
      <c r="E124" s="128">
        <f>(ID!$D$8*0.5)</f>
        <v>5.0000000000000001E-3</v>
      </c>
    </row>
    <row r="125" spans="1:11" x14ac:dyDescent="0.3">
      <c r="A125" s="32" t="s">
        <v>186</v>
      </c>
      <c r="B125" s="15"/>
      <c r="C125" s="95">
        <f>VLOOKUP(C124,'Lembar Penyelia'!B81:C90,2,FALSE)</f>
        <v>5.6649294329576098E-3</v>
      </c>
      <c r="D125" s="33" t="s">
        <v>10</v>
      </c>
      <c r="E125" s="129">
        <f>(ID!$D$8*0.5)</f>
        <v>5.0000000000000001E-3</v>
      </c>
    </row>
    <row r="126" spans="1:11" x14ac:dyDescent="0.3">
      <c r="A126" s="34" t="s">
        <v>187</v>
      </c>
      <c r="B126" s="35"/>
      <c r="C126" s="96">
        <f>(2.26*C123)+(ABS(C124))+C125</f>
        <v>5.7179294329374845E-3</v>
      </c>
      <c r="D126" s="36" t="s">
        <v>10</v>
      </c>
    </row>
  </sheetData>
  <mergeCells count="51">
    <mergeCell ref="A119:I119"/>
    <mergeCell ref="A120:I120"/>
    <mergeCell ref="A121:I121"/>
    <mergeCell ref="A106:I106"/>
    <mergeCell ref="A107:I107"/>
    <mergeCell ref="A108:I108"/>
    <mergeCell ref="A109:I109"/>
    <mergeCell ref="A117:I117"/>
    <mergeCell ref="A118:I118"/>
    <mergeCell ref="A105:I105"/>
    <mergeCell ref="A73:I73"/>
    <mergeCell ref="A81:I81"/>
    <mergeCell ref="A82:I82"/>
    <mergeCell ref="A83:I83"/>
    <mergeCell ref="A84:I84"/>
    <mergeCell ref="A85:I85"/>
    <mergeCell ref="A93:I93"/>
    <mergeCell ref="A94:I94"/>
    <mergeCell ref="A95:I95"/>
    <mergeCell ref="A96:I96"/>
    <mergeCell ref="A97:I97"/>
    <mergeCell ref="A72:I72"/>
    <mergeCell ref="A46:I46"/>
    <mergeCell ref="A47:I47"/>
    <mergeCell ref="A48:I48"/>
    <mergeCell ref="A56:I56"/>
    <mergeCell ref="A57:I57"/>
    <mergeCell ref="A58:I58"/>
    <mergeCell ref="A59:I59"/>
    <mergeCell ref="A60:I60"/>
    <mergeCell ref="A69:I69"/>
    <mergeCell ref="A70:I70"/>
    <mergeCell ref="A71:I71"/>
    <mergeCell ref="A45:I45"/>
    <mergeCell ref="A20:I20"/>
    <mergeCell ref="A21:I21"/>
    <mergeCell ref="A22:I22"/>
    <mergeCell ref="A23:I23"/>
    <mergeCell ref="A24:I24"/>
    <mergeCell ref="A32:I32"/>
    <mergeCell ref="A33:I33"/>
    <mergeCell ref="A34:I34"/>
    <mergeCell ref="A35:I35"/>
    <mergeCell ref="A36:I36"/>
    <mergeCell ref="A44:I44"/>
    <mergeCell ref="A12:I12"/>
    <mergeCell ref="A1:K1"/>
    <mergeCell ref="A8:I8"/>
    <mergeCell ref="A9:I9"/>
    <mergeCell ref="A10:I10"/>
    <mergeCell ref="A11:I11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71" orientation="portrait" r:id="rId1"/>
  <headerFooter>
    <oddHeader>&amp;R&amp;8GM.004-18</oddHeader>
  </headerFooter>
  <rowBreaks count="1" manualBreakCount="1">
    <brk id="73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:BY248"/>
  <sheetViews>
    <sheetView topLeftCell="J221" zoomScaleNormal="100" workbookViewId="0">
      <selection activeCell="J243" sqref="J243"/>
    </sheetView>
  </sheetViews>
  <sheetFormatPr defaultRowHeight="14.4" x14ac:dyDescent="0.3"/>
  <cols>
    <col min="1" max="1" width="9.77734375" customWidth="1"/>
    <col min="2" max="2" width="14" customWidth="1"/>
    <col min="3" max="3" width="16.21875" customWidth="1"/>
    <col min="4" max="4" width="12.109375" bestFit="1" customWidth="1"/>
    <col min="5" max="5" width="11.109375" bestFit="1" customWidth="1"/>
    <col min="6" max="6" width="11.5546875" bestFit="1" customWidth="1"/>
    <col min="7" max="7" width="11.21875" customWidth="1"/>
    <col min="8" max="8" width="12.21875" bestFit="1" customWidth="1"/>
    <col min="9" max="9" width="4.21875" bestFit="1" customWidth="1"/>
    <col min="10" max="10" width="11.44140625" customWidth="1"/>
    <col min="11" max="11" width="12.21875" bestFit="1" customWidth="1"/>
    <col min="12" max="12" width="13.21875" customWidth="1"/>
    <col min="13" max="13" width="12.77734375" bestFit="1" customWidth="1"/>
    <col min="14" max="15" width="13.21875" customWidth="1"/>
    <col min="16" max="16" width="9.33203125" bestFit="1" customWidth="1"/>
    <col min="17" max="18" width="5.44140625" bestFit="1" customWidth="1"/>
    <col min="19" max="19" width="22.109375" bestFit="1" customWidth="1"/>
    <col min="20" max="20" width="11.77734375" bestFit="1" customWidth="1"/>
    <col min="21" max="21" width="12.33203125" bestFit="1" customWidth="1"/>
    <col min="22" max="25" width="12.44140625" bestFit="1" customWidth="1"/>
    <col min="27" max="27" width="12" bestFit="1" customWidth="1"/>
    <col min="28" max="28" width="11.44140625" bestFit="1" customWidth="1"/>
    <col min="29" max="30" width="9.21875" bestFit="1" customWidth="1"/>
    <col min="31" max="32" width="8.5546875" bestFit="1" customWidth="1"/>
    <col min="33" max="33" width="8.77734375" style="443"/>
    <col min="34" max="34" width="11.44140625" bestFit="1" customWidth="1"/>
    <col min="35" max="35" width="9" bestFit="1" customWidth="1"/>
    <col min="36" max="36" width="11.44140625" bestFit="1" customWidth="1"/>
    <col min="37" max="37" width="11.6640625" bestFit="1" customWidth="1"/>
    <col min="38" max="38" width="16.109375" customWidth="1"/>
    <col min="39" max="39" width="12.21875" bestFit="1" customWidth="1"/>
    <col min="40" max="41" width="11.77734375" bestFit="1" customWidth="1"/>
    <col min="43" max="43" width="10.5546875" bestFit="1" customWidth="1"/>
    <col min="44" max="44" width="9" bestFit="1" customWidth="1"/>
    <col min="45" max="45" width="10.5546875" bestFit="1" customWidth="1"/>
    <col min="46" max="46" width="10.88671875" bestFit="1" customWidth="1"/>
    <col min="47" max="48" width="11.44140625" bestFit="1" customWidth="1"/>
    <col min="49" max="49" width="10.33203125" bestFit="1" customWidth="1"/>
    <col min="50" max="50" width="9.44140625" bestFit="1" customWidth="1"/>
  </cols>
  <sheetData>
    <row r="2" spans="1:77" x14ac:dyDescent="0.3">
      <c r="A2" s="653" t="str">
        <f>ID!B81</f>
        <v>Anak Timbangan Standar, Merek : HÄFNER, Tipe : 9.XNHM-810, SN : 6580920</v>
      </c>
      <c r="B2" s="653"/>
      <c r="C2" s="653"/>
      <c r="D2" s="653"/>
      <c r="E2" s="653"/>
      <c r="F2" s="404"/>
      <c r="G2" s="404"/>
      <c r="H2" s="405"/>
      <c r="I2" s="405"/>
      <c r="J2" s="405"/>
      <c r="K2" s="405"/>
      <c r="L2" s="405"/>
      <c r="M2" s="405"/>
      <c r="N2" s="405"/>
      <c r="O2" s="405"/>
      <c r="P2" s="405"/>
      <c r="S2" s="645">
        <f>A4</f>
        <v>2</v>
      </c>
      <c r="T2" s="645"/>
      <c r="U2" s="645"/>
      <c r="V2" s="645"/>
      <c r="W2" s="645"/>
      <c r="X2" s="645"/>
      <c r="AA2" t="s">
        <v>318</v>
      </c>
    </row>
    <row r="3" spans="1:77" x14ac:dyDescent="0.3">
      <c r="A3" s="653"/>
      <c r="B3" s="653"/>
      <c r="C3" s="653"/>
      <c r="D3" s="653"/>
      <c r="E3" s="653"/>
      <c r="F3" s="404"/>
      <c r="G3" s="404"/>
      <c r="H3" s="655"/>
      <c r="I3" s="405"/>
      <c r="J3" s="649"/>
      <c r="K3" s="650" t="s">
        <v>62</v>
      </c>
      <c r="L3" s="650" t="s">
        <v>392</v>
      </c>
      <c r="M3" s="639" t="s">
        <v>220</v>
      </c>
      <c r="N3" s="640"/>
      <c r="O3" s="650" t="s">
        <v>320</v>
      </c>
      <c r="P3" s="650" t="s">
        <v>218</v>
      </c>
      <c r="S3" s="571" t="s">
        <v>321</v>
      </c>
      <c r="T3" s="571" t="s">
        <v>322</v>
      </c>
      <c r="U3" s="571" t="s">
        <v>319</v>
      </c>
      <c r="V3" s="571" t="s">
        <v>220</v>
      </c>
      <c r="W3" s="571"/>
      <c r="X3" s="571" t="s">
        <v>320</v>
      </c>
      <c r="Y3" s="571" t="s">
        <v>218</v>
      </c>
      <c r="AA3" s="641" t="s">
        <v>322</v>
      </c>
      <c r="AB3" s="641" t="s">
        <v>319</v>
      </c>
      <c r="AC3" s="643" t="s">
        <v>220</v>
      </c>
      <c r="AD3" s="644"/>
      <c r="AE3" s="641" t="s">
        <v>320</v>
      </c>
      <c r="AF3" s="641" t="s">
        <v>218</v>
      </c>
      <c r="AH3" s="629">
        <v>1E-3</v>
      </c>
      <c r="AI3" s="625" t="s">
        <v>434</v>
      </c>
      <c r="AJ3" s="625" t="s">
        <v>433</v>
      </c>
      <c r="AK3" s="627" t="s">
        <v>220</v>
      </c>
      <c r="AL3" s="628"/>
      <c r="AM3" s="625">
        <v>2018</v>
      </c>
      <c r="AN3" s="625" t="s">
        <v>320</v>
      </c>
      <c r="AO3" s="625" t="s">
        <v>218</v>
      </c>
      <c r="AP3" s="67"/>
      <c r="AQ3" s="629" t="s">
        <v>435</v>
      </c>
      <c r="AR3" s="625"/>
      <c r="AS3" s="625"/>
      <c r="AT3" s="636" t="s">
        <v>319</v>
      </c>
      <c r="AU3" s="634" t="s">
        <v>220</v>
      </c>
      <c r="AV3" s="635"/>
      <c r="AW3" s="625"/>
      <c r="AX3" s="632"/>
    </row>
    <row r="4" spans="1:77" x14ac:dyDescent="0.3">
      <c r="A4" s="647">
        <f>VLOOKUP(A2,J241:S248,10,(FALSE))</f>
        <v>2</v>
      </c>
      <c r="B4" s="647"/>
      <c r="C4" s="647"/>
      <c r="D4" s="647"/>
      <c r="E4" s="647"/>
      <c r="F4" s="406"/>
      <c r="G4" s="406"/>
      <c r="H4" s="656"/>
      <c r="I4" s="405"/>
      <c r="J4" s="649"/>
      <c r="K4" s="650"/>
      <c r="L4" s="650"/>
      <c r="M4" s="444">
        <v>2022</v>
      </c>
      <c r="N4" s="444">
        <v>2018</v>
      </c>
      <c r="O4" s="650"/>
      <c r="P4" s="650"/>
      <c r="S4" s="571"/>
      <c r="T4" s="571"/>
      <c r="U4" s="571"/>
      <c r="V4" s="1"/>
      <c r="W4" s="1"/>
      <c r="X4" s="571"/>
      <c r="Y4" s="571"/>
      <c r="AA4" s="642"/>
      <c r="AB4" s="642"/>
      <c r="AC4" s="1"/>
      <c r="AD4" s="1"/>
      <c r="AE4" s="642"/>
      <c r="AF4" s="642"/>
      <c r="AH4" s="630"/>
      <c r="AI4" s="626"/>
      <c r="AJ4" s="626"/>
      <c r="AK4" s="453" t="s">
        <v>319</v>
      </c>
      <c r="AL4" s="453">
        <v>2022</v>
      </c>
      <c r="AM4" s="626"/>
      <c r="AN4" s="626"/>
      <c r="AO4" s="626"/>
      <c r="AP4" s="67"/>
      <c r="AQ4" s="630"/>
      <c r="AR4" s="626" t="s">
        <v>434</v>
      </c>
      <c r="AS4" s="626" t="s">
        <v>433</v>
      </c>
      <c r="AT4" s="637"/>
      <c r="AU4" s="453">
        <v>2022</v>
      </c>
      <c r="AV4" s="454">
        <v>2018</v>
      </c>
      <c r="AW4" s="626" t="s">
        <v>320</v>
      </c>
      <c r="AX4" s="633" t="s">
        <v>218</v>
      </c>
    </row>
    <row r="5" spans="1:77" ht="15" customHeight="1" x14ac:dyDescent="0.3">
      <c r="A5" s="405"/>
      <c r="B5" s="405"/>
      <c r="C5" s="405"/>
      <c r="D5" s="405"/>
      <c r="E5" s="405"/>
      <c r="F5" s="405"/>
      <c r="G5" s="405"/>
      <c r="H5" s="407">
        <v>1.0020000000000001E-3</v>
      </c>
      <c r="I5" s="405"/>
      <c r="J5" s="408">
        <v>1</v>
      </c>
      <c r="K5" s="409">
        <v>1E-3</v>
      </c>
      <c r="L5" s="448">
        <v>1E-3</v>
      </c>
      <c r="M5" s="403">
        <f>L5-K5</f>
        <v>0</v>
      </c>
      <c r="N5" s="403">
        <f t="shared" ref="N5:N29" si="0">H5-K5</f>
        <v>2.0000000000000486E-6</v>
      </c>
      <c r="O5" s="403">
        <f>0.5*(MAX(M5,N5)-MIN(M5,N5))</f>
        <v>1.0000000000000243E-6</v>
      </c>
      <c r="P5" s="403">
        <f>0.000001</f>
        <v>9.9999999999999995E-7</v>
      </c>
      <c r="R5" s="429"/>
      <c r="S5" s="1">
        <f>$S$2</f>
        <v>2</v>
      </c>
      <c r="T5" s="456">
        <v>1E-3</v>
      </c>
      <c r="U5" s="97">
        <f>VLOOKUP($S$5,$AI$5:$AO$10,3,(FALSE))</f>
        <v>1E-3</v>
      </c>
      <c r="V5" s="97">
        <f>VLOOKUP($S$5,$AI$5:$AO$10,4,(FALSE))</f>
        <v>0</v>
      </c>
      <c r="W5" s="97">
        <f>VLOOKUP($S$5,$AI$5:$AO$10,5,(FALSE))</f>
        <v>-1E-3</v>
      </c>
      <c r="X5" s="97">
        <f>VLOOKUP($S$5,$AI$5:$AO$10,6,(FALSE))</f>
        <v>0</v>
      </c>
      <c r="Y5" s="97">
        <f>VLOOKUP($S$5,$AI$5:$AO$10,7,(FALSE))</f>
        <v>0</v>
      </c>
      <c r="AA5" s="6">
        <f>T5</f>
        <v>1E-3</v>
      </c>
      <c r="AB5" s="6">
        <f>U5</f>
        <v>1E-3</v>
      </c>
      <c r="AC5" s="6">
        <f t="shared" ref="AC5:AF6" si="1">V5</f>
        <v>0</v>
      </c>
      <c r="AD5" s="6">
        <f t="shared" si="1"/>
        <v>-1E-3</v>
      </c>
      <c r="AE5" s="6">
        <f>X5</f>
        <v>0</v>
      </c>
      <c r="AF5" s="6">
        <f t="shared" si="1"/>
        <v>0</v>
      </c>
      <c r="AH5" s="630"/>
      <c r="AI5" s="451">
        <v>1</v>
      </c>
      <c r="AJ5" s="451">
        <v>1E-3</v>
      </c>
      <c r="AK5" s="451">
        <f>L5</f>
        <v>1E-3</v>
      </c>
      <c r="AL5" s="451">
        <f t="shared" ref="AL5:AO5" si="2">M5</f>
        <v>0</v>
      </c>
      <c r="AM5" s="451">
        <f t="shared" si="2"/>
        <v>2.0000000000000486E-6</v>
      </c>
      <c r="AN5" s="451">
        <f t="shared" si="2"/>
        <v>1.0000000000000243E-6</v>
      </c>
      <c r="AO5" s="451">
        <f t="shared" si="2"/>
        <v>9.9999999999999995E-7</v>
      </c>
      <c r="AP5" s="67"/>
      <c r="AQ5" s="630" t="s">
        <v>435</v>
      </c>
      <c r="AR5" s="451">
        <v>1</v>
      </c>
      <c r="AS5" s="451">
        <v>2E-3</v>
      </c>
      <c r="AT5" s="451">
        <f>L6</f>
        <v>1.9989000000000001E-3</v>
      </c>
      <c r="AU5" s="451">
        <f t="shared" ref="AU5:AX5" si="3">M6</f>
        <v>-1.0999999999999725E-6</v>
      </c>
      <c r="AV5" s="451">
        <f t="shared" si="3"/>
        <v>-1.0000000000001327E-6</v>
      </c>
      <c r="AW5" s="451">
        <f t="shared" si="3"/>
        <v>4.99999999999199E-8</v>
      </c>
      <c r="AX5" s="450">
        <f t="shared" si="3"/>
        <v>9.9999999999999995E-7</v>
      </c>
      <c r="AZ5" s="638"/>
      <c r="BA5" s="445"/>
      <c r="BB5" s="446"/>
      <c r="BC5" s="447"/>
      <c r="BD5" s="447"/>
      <c r="BE5" s="447"/>
      <c r="BF5" s="447"/>
      <c r="BG5" s="447"/>
      <c r="BI5" s="638"/>
      <c r="BJ5" s="445"/>
      <c r="BK5" s="446"/>
      <c r="BL5" s="447"/>
      <c r="BM5" s="447"/>
      <c r="BN5" s="447"/>
      <c r="BO5" s="447"/>
      <c r="BP5" s="447"/>
      <c r="BR5" s="638"/>
      <c r="BS5" s="445"/>
      <c r="BT5" s="446"/>
      <c r="BU5" s="447"/>
      <c r="BV5" s="447"/>
      <c r="BW5" s="447"/>
      <c r="BX5" s="447"/>
      <c r="BY5" s="447"/>
    </row>
    <row r="6" spans="1:77" x14ac:dyDescent="0.3">
      <c r="A6" s="405"/>
      <c r="B6" s="405"/>
      <c r="C6" s="405"/>
      <c r="D6" s="405"/>
      <c r="E6" s="405"/>
      <c r="F6" s="405"/>
      <c r="G6" s="405"/>
      <c r="H6" s="407">
        <v>1.9989999999999999E-3</v>
      </c>
      <c r="I6" s="405"/>
      <c r="J6" s="408">
        <v>1</v>
      </c>
      <c r="K6" s="409">
        <v>2E-3</v>
      </c>
      <c r="L6" s="449">
        <v>1.9989000000000001E-3</v>
      </c>
      <c r="M6" s="403">
        <f t="shared" ref="M6:M32" si="4">L6-K6</f>
        <v>-1.0999999999999725E-6</v>
      </c>
      <c r="N6" s="403">
        <f t="shared" si="0"/>
        <v>-1.0000000000001327E-6</v>
      </c>
      <c r="O6" s="403">
        <f t="shared" ref="O6:O29" si="5">0.5*(MAX(M6,N6)-MIN(M6,N6))</f>
        <v>4.99999999999199E-8</v>
      </c>
      <c r="P6" s="403">
        <f>0.000001</f>
        <v>9.9999999999999995E-7</v>
      </c>
      <c r="R6" s="429"/>
      <c r="S6" s="1">
        <f t="shared" ref="S6:S29" si="6">$S$2</f>
        <v>2</v>
      </c>
      <c r="T6" s="456">
        <v>2E-3</v>
      </c>
      <c r="U6" s="97">
        <f>VLOOKUP($S$6,$AR$5:$AX$10,3,(FALSE))</f>
        <v>2E-3</v>
      </c>
      <c r="V6" s="97">
        <f>VLOOKUP($S$6,$AR$5:$AX$10,4,(FALSE))</f>
        <v>1.9989000000000001E-3</v>
      </c>
      <c r="W6" s="97">
        <f>VLOOKUP($S$6,$AR$5:$AX$10,5,(FALSE))</f>
        <v>-1.0999999999999725E-6</v>
      </c>
      <c r="X6" s="97">
        <f>VLOOKUP($S$6,$AR$5:$AX$10,6,(FALSE))</f>
        <v>0</v>
      </c>
      <c r="Y6" s="97">
        <f>VLOOKUP($S$6,$AR$5:$AX$10,7,(FALSE))</f>
        <v>0</v>
      </c>
      <c r="AA6" s="6">
        <f>T6</f>
        <v>2E-3</v>
      </c>
      <c r="AB6" s="6">
        <f>U6</f>
        <v>2E-3</v>
      </c>
      <c r="AC6" s="6">
        <f t="shared" si="1"/>
        <v>1.9989000000000001E-3</v>
      </c>
      <c r="AD6" s="6">
        <f t="shared" si="1"/>
        <v>-1.0999999999999725E-6</v>
      </c>
      <c r="AE6" s="6">
        <f t="shared" si="1"/>
        <v>0</v>
      </c>
      <c r="AF6" s="6">
        <f t="shared" si="1"/>
        <v>0</v>
      </c>
      <c r="AH6" s="630"/>
      <c r="AI6" s="451">
        <v>2</v>
      </c>
      <c r="AJ6" s="451">
        <v>1E-3</v>
      </c>
      <c r="AK6" s="451">
        <f>K30</f>
        <v>1E-3</v>
      </c>
      <c r="AL6" s="451">
        <f t="shared" ref="AL6:AO6" si="7">L30</f>
        <v>0</v>
      </c>
      <c r="AM6" s="451">
        <f t="shared" si="7"/>
        <v>-1E-3</v>
      </c>
      <c r="AN6" s="451">
        <f t="shared" si="7"/>
        <v>0</v>
      </c>
      <c r="AO6" s="451">
        <f t="shared" si="7"/>
        <v>0</v>
      </c>
      <c r="AP6" s="67"/>
      <c r="AQ6" s="630"/>
      <c r="AR6" s="451">
        <v>2</v>
      </c>
      <c r="AS6" s="451">
        <v>2E-3</v>
      </c>
      <c r="AT6" s="451">
        <f>K31</f>
        <v>2E-3</v>
      </c>
      <c r="AU6" s="451">
        <f t="shared" ref="AU6:AX6" si="8">L31</f>
        <v>1.9989000000000001E-3</v>
      </c>
      <c r="AV6" s="451">
        <f t="shared" si="8"/>
        <v>-1.0999999999999725E-6</v>
      </c>
      <c r="AW6" s="451">
        <f t="shared" si="8"/>
        <v>0</v>
      </c>
      <c r="AX6" s="452">
        <f t="shared" si="8"/>
        <v>0</v>
      </c>
      <c r="AZ6" s="638"/>
      <c r="BA6" s="445"/>
      <c r="BB6" s="446"/>
      <c r="BC6" s="405"/>
      <c r="BD6" s="405"/>
      <c r="BE6" s="405"/>
      <c r="BF6" s="405"/>
      <c r="BG6" s="405"/>
      <c r="BI6" s="638"/>
      <c r="BJ6" s="445"/>
      <c r="BK6" s="446"/>
      <c r="BL6" s="405"/>
      <c r="BM6" s="405"/>
      <c r="BN6" s="405"/>
      <c r="BO6" s="405"/>
      <c r="BP6" s="405"/>
      <c r="BR6" s="638"/>
      <c r="BS6" s="445"/>
      <c r="BT6" s="446"/>
      <c r="BU6" s="405"/>
      <c r="BV6" s="405"/>
      <c r="BW6" s="405"/>
      <c r="BX6" s="405"/>
      <c r="BY6" s="405"/>
    </row>
    <row r="7" spans="1:77" x14ac:dyDescent="0.3">
      <c r="A7" s="413" t="s">
        <v>323</v>
      </c>
      <c r="B7" s="414" t="s">
        <v>319</v>
      </c>
      <c r="C7" s="414" t="s">
        <v>320</v>
      </c>
      <c r="D7" s="414" t="s">
        <v>218</v>
      </c>
      <c r="E7" s="405"/>
      <c r="F7" s="405"/>
      <c r="G7" s="405"/>
      <c r="H7" s="407">
        <v>2.0040000000000001E-3</v>
      </c>
      <c r="I7" s="405"/>
      <c r="J7" s="408">
        <v>1</v>
      </c>
      <c r="K7" s="409">
        <v>2E-3</v>
      </c>
      <c r="L7" s="448">
        <v>1.9989000000000001E-3</v>
      </c>
      <c r="M7" s="403">
        <f t="shared" si="4"/>
        <v>-1.0999999999999725E-6</v>
      </c>
      <c r="N7" s="403">
        <f t="shared" si="0"/>
        <v>4.0000000000000972E-6</v>
      </c>
      <c r="O7" s="403">
        <f t="shared" si="5"/>
        <v>2.5500000000000349E-6</v>
      </c>
      <c r="P7" s="403">
        <f>0.000001</f>
        <v>9.9999999999999995E-7</v>
      </c>
      <c r="R7" s="429"/>
      <c r="S7" s="1">
        <f t="shared" si="6"/>
        <v>2</v>
      </c>
      <c r="T7" s="456">
        <v>2E-3</v>
      </c>
      <c r="U7" s="97">
        <f>VLOOKUP($S$7,$AI$14:$AO$19,3,(FALSE))</f>
        <v>2E-3</v>
      </c>
      <c r="V7" s="97">
        <f>VLOOKUP($S$7,$AI$14:$AO$19,4,(FALSE))</f>
        <v>1.9989000000000001E-3</v>
      </c>
      <c r="W7" s="97">
        <f>VLOOKUP($S$7,$AI$14:$AO$19,5,(FALSE))</f>
        <v>-1.0999999999999725E-6</v>
      </c>
      <c r="X7" s="97">
        <f>VLOOKUP($S$7,$AI$14:$AO$19,6,(FALSE))</f>
        <v>0</v>
      </c>
      <c r="Y7" s="97">
        <f>VLOOKUP($S$7,$AI$14:$AO$19,7,(FALSE))</f>
        <v>0</v>
      </c>
      <c r="AA7" s="6">
        <f>AA5+AA6</f>
        <v>3.0000000000000001E-3</v>
      </c>
      <c r="AB7" s="6">
        <f>AB5+AB6</f>
        <v>3.0000000000000001E-3</v>
      </c>
      <c r="AC7" s="6">
        <f t="shared" ref="AC7:AF7" si="9">AC5+AC6</f>
        <v>1.9989000000000001E-3</v>
      </c>
      <c r="AD7" s="6">
        <f t="shared" si="9"/>
        <v>-1.0011E-3</v>
      </c>
      <c r="AE7" s="6">
        <f t="shared" si="9"/>
        <v>0</v>
      </c>
      <c r="AF7" s="6">
        <f t="shared" si="9"/>
        <v>0</v>
      </c>
      <c r="AH7" s="630"/>
      <c r="AI7" s="451">
        <v>3</v>
      </c>
      <c r="AJ7" s="451">
        <v>1E-3</v>
      </c>
      <c r="AK7" s="451">
        <f>K55</f>
        <v>1E-3</v>
      </c>
      <c r="AL7" s="451">
        <f t="shared" ref="AL7:AO7" si="10">L55</f>
        <v>1.0020000000000001E-3</v>
      </c>
      <c r="AM7" s="451">
        <f t="shared" si="10"/>
        <v>1.9999999999999999E-6</v>
      </c>
      <c r="AN7" s="451">
        <f t="shared" si="10"/>
        <v>0</v>
      </c>
      <c r="AO7" s="451">
        <f t="shared" si="10"/>
        <v>2.4000000000000003E-6</v>
      </c>
      <c r="AP7" s="67"/>
      <c r="AQ7" s="630"/>
      <c r="AR7" s="451">
        <v>3</v>
      </c>
      <c r="AS7" s="451">
        <v>2E-3</v>
      </c>
      <c r="AT7" s="451">
        <f>K56</f>
        <v>2E-3</v>
      </c>
      <c r="AU7" s="451">
        <f t="shared" ref="AU7:AX7" si="11">L56</f>
        <v>2.0019999999999999E-3</v>
      </c>
      <c r="AV7" s="451">
        <f t="shared" si="11"/>
        <v>1.9999999999999999E-6</v>
      </c>
      <c r="AW7" s="451">
        <f t="shared" si="11"/>
        <v>0</v>
      </c>
      <c r="AX7" s="440">
        <f t="shared" si="11"/>
        <v>2.4000000000000003E-6</v>
      </c>
      <c r="AZ7" s="638"/>
      <c r="BA7" s="445"/>
      <c r="BB7" s="446"/>
      <c r="BC7" s="405"/>
      <c r="BD7" s="405"/>
      <c r="BE7" s="405"/>
      <c r="BF7" s="405"/>
      <c r="BG7" s="405"/>
      <c r="BI7" s="638"/>
      <c r="BJ7" s="445"/>
      <c r="BK7" s="446"/>
      <c r="BL7" s="405"/>
      <c r="BM7" s="405"/>
      <c r="BN7" s="405"/>
      <c r="BO7" s="405"/>
      <c r="BP7" s="405"/>
      <c r="BR7" s="638"/>
      <c r="BS7" s="445"/>
      <c r="BT7" s="446"/>
      <c r="BU7" s="405"/>
      <c r="BV7" s="405"/>
      <c r="BW7" s="405"/>
      <c r="BX7" s="405"/>
      <c r="BY7" s="405"/>
    </row>
    <row r="8" spans="1:77" x14ac:dyDescent="0.3">
      <c r="A8" s="413">
        <f>ID!B42</f>
        <v>20</v>
      </c>
      <c r="B8" s="426">
        <f t="shared" ref="B8:B17" si="12">VLOOKUP(A8,$AA$5:$AF$140,2,(FALSE))</f>
        <v>20.000005999999999</v>
      </c>
      <c r="C8" s="426">
        <f t="shared" ref="C8:C17" si="13">VLOOKUP(A8,$AA$5:$AF$140,5,(FALSE))</f>
        <v>1.0000000000000002E-6</v>
      </c>
      <c r="D8" s="426">
        <f t="shared" ref="D8:D17" si="14">VLOOKUP(A8,$AA$5:$AF$140,6,(FALSE))</f>
        <v>7.9999999999999996E-6</v>
      </c>
      <c r="E8" s="405"/>
      <c r="F8" s="405"/>
      <c r="G8" s="405"/>
      <c r="H8" s="407">
        <v>4.999E-3</v>
      </c>
      <c r="I8" s="405"/>
      <c r="J8" s="408">
        <v>1</v>
      </c>
      <c r="K8" s="409">
        <v>5.0000000000000001E-3</v>
      </c>
      <c r="L8" s="449">
        <v>5.0001999999999998E-3</v>
      </c>
      <c r="M8" s="403">
        <f t="shared" si="4"/>
        <v>1.999999999996796E-7</v>
      </c>
      <c r="N8" s="403">
        <f t="shared" si="0"/>
        <v>-1.0000000000001327E-6</v>
      </c>
      <c r="O8" s="403">
        <f t="shared" si="5"/>
        <v>5.9999999999990616E-7</v>
      </c>
      <c r="P8" s="403">
        <f>0.000001</f>
        <v>9.9999999999999995E-7</v>
      </c>
      <c r="R8" s="429"/>
      <c r="S8" s="1">
        <f t="shared" si="6"/>
        <v>2</v>
      </c>
      <c r="T8" s="456">
        <v>5.0000000000000001E-3</v>
      </c>
      <c r="U8" s="97">
        <f>VLOOKUP($S$8,$AR$14:$AX$19,3,(FALSE))</f>
        <v>5.0000000000000001E-3</v>
      </c>
      <c r="V8" s="97">
        <f>VLOOKUP($S$8,$AR$14:$AX$19,4,(FALSE))</f>
        <v>5.0001999999999998E-3</v>
      </c>
      <c r="W8" s="97">
        <f>VLOOKUP($S$8,$AR$14:$AX$19,5,(FALSE))</f>
        <v>1.999999999996796E-7</v>
      </c>
      <c r="X8" s="97">
        <f>VLOOKUP($S$8,$AR$14:$AX$19,6,(FALSE))</f>
        <v>0</v>
      </c>
      <c r="Y8" s="97">
        <f>VLOOKUP($S$8,$AR$14:$AX$19,7,(FALSE))</f>
        <v>0</v>
      </c>
      <c r="AA8" s="6">
        <f>T6+T7</f>
        <v>4.0000000000000001E-3</v>
      </c>
      <c r="AB8" s="6">
        <f>U6+U7</f>
        <v>4.0000000000000001E-3</v>
      </c>
      <c r="AC8" s="6">
        <f t="shared" ref="AC8:AF8" si="15">V6+V7</f>
        <v>3.9978000000000001E-3</v>
      </c>
      <c r="AD8" s="6">
        <f t="shared" si="15"/>
        <v>-2.1999999999999451E-6</v>
      </c>
      <c r="AE8" s="6">
        <f t="shared" si="15"/>
        <v>0</v>
      </c>
      <c r="AF8" s="6">
        <f t="shared" si="15"/>
        <v>0</v>
      </c>
      <c r="AH8" s="630"/>
      <c r="AI8" s="451">
        <v>4</v>
      </c>
      <c r="AJ8" s="451">
        <v>1E-3</v>
      </c>
      <c r="AK8" s="451"/>
      <c r="AL8" s="451"/>
      <c r="AM8" s="451"/>
      <c r="AN8" s="451"/>
      <c r="AO8" s="451"/>
      <c r="AP8" s="67"/>
      <c r="AQ8" s="630"/>
      <c r="AR8" s="451">
        <v>4</v>
      </c>
      <c r="AS8" s="451">
        <v>2E-3</v>
      </c>
      <c r="AT8" s="451"/>
      <c r="AU8" s="451"/>
      <c r="AV8" s="451"/>
      <c r="AW8" s="451"/>
      <c r="AX8" s="439"/>
      <c r="AZ8" s="638"/>
      <c r="BA8" s="445"/>
      <c r="BB8" s="446"/>
      <c r="BI8" s="638"/>
      <c r="BJ8" s="445"/>
      <c r="BK8" s="446"/>
      <c r="BR8" s="638"/>
      <c r="BS8" s="445"/>
      <c r="BT8" s="446"/>
    </row>
    <row r="9" spans="1:77" x14ac:dyDescent="0.3">
      <c r="A9" s="413">
        <f>ID!B43</f>
        <v>40</v>
      </c>
      <c r="B9" s="426">
        <f t="shared" si="12"/>
        <v>40.000011999999998</v>
      </c>
      <c r="C9" s="426">
        <f t="shared" si="13"/>
        <v>2.0000000000000003E-6</v>
      </c>
      <c r="D9" s="426">
        <f t="shared" si="14"/>
        <v>1.5999999999999999E-5</v>
      </c>
      <c r="E9" s="405"/>
      <c r="F9" s="405"/>
      <c r="G9" s="405"/>
      <c r="H9" s="407">
        <v>1.0003E-2</v>
      </c>
      <c r="I9" s="405"/>
      <c r="J9" s="408">
        <v>1</v>
      </c>
      <c r="K9" s="409">
        <v>0.01</v>
      </c>
      <c r="L9" s="448">
        <v>1.0008700000000001E-2</v>
      </c>
      <c r="M9" s="403">
        <f t="shared" si="4"/>
        <v>8.7000000000003741E-6</v>
      </c>
      <c r="N9" s="403">
        <f t="shared" si="0"/>
        <v>2.9999999999995308E-6</v>
      </c>
      <c r="O9" s="403">
        <f t="shared" si="5"/>
        <v>2.8500000000004216E-6</v>
      </c>
      <c r="P9" s="403">
        <f>0.000001</f>
        <v>9.9999999999999995E-7</v>
      </c>
      <c r="R9" s="429"/>
      <c r="S9" s="1">
        <f t="shared" si="6"/>
        <v>2</v>
      </c>
      <c r="T9" s="456">
        <v>0.01</v>
      </c>
      <c r="U9" s="97">
        <f>VLOOKUP($S$9,$AI$23:$AO$28,3,(FALSE))</f>
        <v>9.9997999999999997E-3</v>
      </c>
      <c r="V9" s="97">
        <f>VLOOKUP($S$9,$AI$23:$AO$28,4,(FALSE))</f>
        <v>-1.9999999999999999E-7</v>
      </c>
      <c r="W9" s="97">
        <f>VLOOKUP($S$9,$AI$23:$AO$28,5,(FALSE))</f>
        <v>0</v>
      </c>
      <c r="X9" s="97">
        <f>VLOOKUP($S$9,$AI$23:$AO$28,6,(FALSE))</f>
        <v>1.2000000000000002E-7</v>
      </c>
      <c r="Y9" s="97">
        <f>VLOOKUP($S$9,$AI$23:$AO$28,7,(FALSE))</f>
        <v>7.9999999999999996E-7</v>
      </c>
      <c r="AA9" s="6">
        <f>T8</f>
        <v>5.0000000000000001E-3</v>
      </c>
      <c r="AB9" s="6">
        <f>U8</f>
        <v>5.0000000000000001E-3</v>
      </c>
      <c r="AC9" s="6">
        <f t="shared" ref="AC9:AF9" si="16">V8</f>
        <v>5.0001999999999998E-3</v>
      </c>
      <c r="AD9" s="6">
        <f t="shared" si="16"/>
        <v>1.999999999996796E-7</v>
      </c>
      <c r="AE9" s="6">
        <f t="shared" si="16"/>
        <v>0</v>
      </c>
      <c r="AF9" s="6">
        <f t="shared" si="16"/>
        <v>0</v>
      </c>
      <c r="AH9" s="630"/>
      <c r="AI9" s="451">
        <v>5</v>
      </c>
      <c r="AJ9" s="451">
        <v>1E-3</v>
      </c>
      <c r="AK9" s="451"/>
      <c r="AL9" s="451"/>
      <c r="AM9" s="451"/>
      <c r="AN9" s="451"/>
      <c r="AO9" s="451"/>
      <c r="AP9" s="67"/>
      <c r="AQ9" s="630"/>
      <c r="AR9" s="451">
        <v>5</v>
      </c>
      <c r="AS9" s="451">
        <v>2E-3</v>
      </c>
      <c r="AT9" s="451"/>
      <c r="AU9" s="451"/>
      <c r="AV9" s="451"/>
      <c r="AW9" s="451"/>
      <c r="AX9" s="439"/>
      <c r="AZ9" s="638"/>
      <c r="BA9" s="445"/>
      <c r="BB9" s="446"/>
      <c r="BI9" s="638"/>
      <c r="BJ9" s="445"/>
      <c r="BK9" s="446"/>
      <c r="BR9" s="638"/>
      <c r="BS9" s="445"/>
      <c r="BT9" s="446"/>
    </row>
    <row r="10" spans="1:77" x14ac:dyDescent="0.3">
      <c r="A10" s="413">
        <f>ID!B44</f>
        <v>60</v>
      </c>
      <c r="B10" s="426">
        <f t="shared" si="12"/>
        <v>60.000028999999998</v>
      </c>
      <c r="C10" s="426">
        <f t="shared" si="13"/>
        <v>2.0000000000000003E-6</v>
      </c>
      <c r="D10" s="426">
        <f t="shared" si="14"/>
        <v>1.6000000000000003E-5</v>
      </c>
      <c r="E10" s="405"/>
      <c r="F10" s="405"/>
      <c r="G10" s="405"/>
      <c r="H10" s="407">
        <v>2.0001000000000001E-2</v>
      </c>
      <c r="I10" s="405"/>
      <c r="J10" s="408">
        <v>1</v>
      </c>
      <c r="K10" s="409">
        <v>0.02</v>
      </c>
      <c r="L10" s="449">
        <v>2.00012E-2</v>
      </c>
      <c r="M10" s="403">
        <f t="shared" si="4"/>
        <v>1.1999999999998123E-6</v>
      </c>
      <c r="N10" s="403">
        <f t="shared" si="0"/>
        <v>1.0000000000010001E-6</v>
      </c>
      <c r="O10" s="403">
        <f t="shared" si="5"/>
        <v>9.9999999999406119E-8</v>
      </c>
      <c r="P10" s="403">
        <f t="shared" ref="P10:P12" si="17">0.001/1000</f>
        <v>9.9999999999999995E-7</v>
      </c>
      <c r="R10" s="429"/>
      <c r="S10" s="1">
        <f t="shared" si="6"/>
        <v>2</v>
      </c>
      <c r="T10" s="456">
        <v>0.02</v>
      </c>
      <c r="U10" s="97">
        <f>VLOOKUP($S$10,$AR$23:$AX$28,3,(FALSE))</f>
        <v>1.9999699999999999E-2</v>
      </c>
      <c r="V10" s="97">
        <f>VLOOKUP($S$10,$AR$23:$AX$28,4,(FALSE))</f>
        <v>-2.9999999999999999E-7</v>
      </c>
      <c r="W10" s="97">
        <f>VLOOKUP($S$10,$AR$23:$AX$28,5,(FALSE))</f>
        <v>0</v>
      </c>
      <c r="X10" s="97">
        <f>VLOOKUP($S$10,$AR$23:$AX$28,6,(FALSE))</f>
        <v>1.2000000000000002E-7</v>
      </c>
      <c r="Y10" s="97">
        <f>VLOOKUP($S$10,$AR$23:$AX$28,7,(FALSE))</f>
        <v>9.9999999999999995E-7</v>
      </c>
      <c r="AA10" s="6">
        <f>AA9+AA5</f>
        <v>6.0000000000000001E-3</v>
      </c>
      <c r="AB10" s="6">
        <f>AB9+AB5</f>
        <v>6.0000000000000001E-3</v>
      </c>
      <c r="AC10" s="6">
        <f t="shared" ref="AC10:AF10" si="18">AC9+AC5</f>
        <v>5.0001999999999998E-3</v>
      </c>
      <c r="AD10" s="6">
        <f t="shared" si="18"/>
        <v>-9.9980000000000034E-4</v>
      </c>
      <c r="AE10" s="6">
        <f t="shared" si="18"/>
        <v>0</v>
      </c>
      <c r="AF10" s="6">
        <f t="shared" si="18"/>
        <v>0</v>
      </c>
      <c r="AH10" s="631"/>
      <c r="AI10" s="451">
        <v>6</v>
      </c>
      <c r="AJ10" s="451">
        <v>1E-3</v>
      </c>
      <c r="AK10" s="451"/>
      <c r="AL10" s="451"/>
      <c r="AM10" s="451"/>
      <c r="AN10" s="451"/>
      <c r="AO10" s="451"/>
      <c r="AP10" s="67"/>
      <c r="AQ10" s="631"/>
      <c r="AR10" s="451">
        <v>6</v>
      </c>
      <c r="AS10" s="451">
        <v>2E-3</v>
      </c>
      <c r="AT10" s="451"/>
      <c r="AU10" s="451"/>
      <c r="AV10" s="451"/>
      <c r="AW10" s="451"/>
      <c r="AX10" s="439"/>
      <c r="AZ10" s="638"/>
      <c r="BA10" s="445"/>
      <c r="BB10" s="446"/>
      <c r="BI10" s="638"/>
      <c r="BJ10" s="445"/>
      <c r="BK10" s="446"/>
      <c r="BR10" s="638"/>
      <c r="BS10" s="445"/>
      <c r="BT10" s="446"/>
    </row>
    <row r="11" spans="1:77" x14ac:dyDescent="0.3">
      <c r="A11" s="413">
        <f>ID!B45</f>
        <v>80</v>
      </c>
      <c r="B11" s="426">
        <f t="shared" si="12"/>
        <v>80.000034999999997</v>
      </c>
      <c r="C11" s="426">
        <f t="shared" si="13"/>
        <v>3.0000000000000001E-6</v>
      </c>
      <c r="D11" s="426">
        <f t="shared" si="14"/>
        <v>2.4000000000000001E-5</v>
      </c>
      <c r="E11" s="405"/>
      <c r="F11" s="405"/>
      <c r="G11" s="405"/>
      <c r="H11" s="407">
        <v>2.0007E-2</v>
      </c>
      <c r="I11" s="405"/>
      <c r="J11" s="408">
        <v>1</v>
      </c>
      <c r="K11" s="409">
        <v>0.02</v>
      </c>
      <c r="L11" s="448">
        <v>1.9998599999999998E-2</v>
      </c>
      <c r="M11" s="403">
        <f t="shared" si="4"/>
        <v>-1.400000000002094E-6</v>
      </c>
      <c r="N11" s="403">
        <f t="shared" si="0"/>
        <v>7.0000000000000617E-6</v>
      </c>
      <c r="O11" s="403">
        <f t="shared" si="5"/>
        <v>4.2000000000010779E-6</v>
      </c>
      <c r="P11" s="403">
        <f t="shared" si="17"/>
        <v>9.9999999999999995E-7</v>
      </c>
      <c r="R11" s="429"/>
      <c r="S11" s="1">
        <f t="shared" si="6"/>
        <v>2</v>
      </c>
      <c r="T11" s="456">
        <v>0.02</v>
      </c>
      <c r="U11" s="97">
        <f>VLOOKUP($S$11,$AI$32:$AO$37,3,(FALSE))</f>
        <v>1.9999699999999999E-2</v>
      </c>
      <c r="V11" s="97">
        <f>VLOOKUP($S$6,$AI$32:$AO$37,4,(FALSE))</f>
        <v>-2.9999999999999999E-7</v>
      </c>
      <c r="W11" s="97">
        <f>VLOOKUP($S$6,$AI$32:$AO$37,5,(FALSE))</f>
        <v>0</v>
      </c>
      <c r="X11" s="97">
        <f>VLOOKUP($S$6,$AI$32:$AO$37,6,(FALSE))</f>
        <v>1.2000000000000002E-7</v>
      </c>
      <c r="Y11" s="97">
        <f>VLOOKUP($S$6,$AI$32:$AO$37,7,(FALSE))</f>
        <v>9.9999999999999995E-7</v>
      </c>
      <c r="AA11" s="6">
        <f>AA9+AA6</f>
        <v>7.0000000000000001E-3</v>
      </c>
      <c r="AB11" s="6">
        <f>AB9+AB6</f>
        <v>7.0000000000000001E-3</v>
      </c>
      <c r="AC11" s="6">
        <f t="shared" ref="AC11:AF11" si="19">AC9+AC6</f>
        <v>6.9990999999999994E-3</v>
      </c>
      <c r="AD11" s="6">
        <f t="shared" si="19"/>
        <v>-9.0000000000029293E-7</v>
      </c>
      <c r="AE11" s="6">
        <f t="shared" si="19"/>
        <v>0</v>
      </c>
      <c r="AF11" s="6">
        <f t="shared" si="19"/>
        <v>0</v>
      </c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</row>
    <row r="12" spans="1:77" x14ac:dyDescent="0.3">
      <c r="A12" s="413">
        <f>ID!B46</f>
        <v>100</v>
      </c>
      <c r="B12" s="426">
        <f t="shared" si="12"/>
        <v>100.000018</v>
      </c>
      <c r="C12" s="426">
        <f t="shared" si="13"/>
        <v>2.0000000000000003E-6</v>
      </c>
      <c r="D12" s="426">
        <f t="shared" si="14"/>
        <v>1.5999999999999999E-5</v>
      </c>
      <c r="E12" s="405"/>
      <c r="F12" s="405"/>
      <c r="G12" s="405"/>
      <c r="H12" s="407">
        <v>4.9999000000000002E-2</v>
      </c>
      <c r="I12" s="405"/>
      <c r="J12" s="408">
        <v>1</v>
      </c>
      <c r="K12" s="409">
        <v>0.05</v>
      </c>
      <c r="L12" s="449">
        <v>5.0000599999999999E-2</v>
      </c>
      <c r="M12" s="403">
        <f t="shared" si="4"/>
        <v>5.9999999999643672E-7</v>
      </c>
      <c r="N12" s="403">
        <f t="shared" si="0"/>
        <v>-1.0000000000010001E-6</v>
      </c>
      <c r="O12" s="403">
        <f t="shared" si="5"/>
        <v>7.999999999987184E-7</v>
      </c>
      <c r="P12" s="403">
        <f t="shared" si="17"/>
        <v>9.9999999999999995E-7</v>
      </c>
      <c r="R12" s="429"/>
      <c r="S12" s="1">
        <f t="shared" si="6"/>
        <v>2</v>
      </c>
      <c r="T12" s="456">
        <v>0.05</v>
      </c>
      <c r="U12" s="97">
        <f>VLOOKUP($S$12,$AR$32:$AX$37,3,(FALSE))</f>
        <v>0.05</v>
      </c>
      <c r="V12" s="97">
        <f>VLOOKUP($S$12,$AR$32:$AX$37,4,(FALSE))</f>
        <v>0</v>
      </c>
      <c r="W12" s="97">
        <f>VLOOKUP($S$12,$AR$32:$AX$37,5,(FALSE))</f>
        <v>0</v>
      </c>
      <c r="X12" s="97">
        <f>VLOOKUP($S$12,$AR$32:$AX$37,6,(FALSE))</f>
        <v>1.6E-7</v>
      </c>
      <c r="Y12" s="97">
        <f>VLOOKUP($S$12,$AR$32:$AX$37,7,(FALSE))</f>
        <v>1.1999999999999999E-6</v>
      </c>
      <c r="AA12" s="6">
        <f>AA9+AA7</f>
        <v>8.0000000000000002E-3</v>
      </c>
      <c r="AB12" s="6">
        <f>AB9+AB7</f>
        <v>8.0000000000000002E-3</v>
      </c>
      <c r="AC12" s="6">
        <f t="shared" ref="AC12:AF12" si="20">AC9+AC7</f>
        <v>6.9990999999999994E-3</v>
      </c>
      <c r="AD12" s="6">
        <f t="shared" si="20"/>
        <v>-1.0009000000000003E-3</v>
      </c>
      <c r="AE12" s="6">
        <f t="shared" si="20"/>
        <v>0</v>
      </c>
      <c r="AF12" s="6">
        <f t="shared" si="20"/>
        <v>0</v>
      </c>
      <c r="AH12" s="629">
        <v>2E-3</v>
      </c>
      <c r="AI12" s="625"/>
      <c r="AJ12" s="625"/>
      <c r="AK12" s="627"/>
      <c r="AL12" s="628" t="s">
        <v>220</v>
      </c>
      <c r="AM12" s="625"/>
      <c r="AN12" s="625"/>
      <c r="AO12" s="625"/>
      <c r="AP12" s="67"/>
      <c r="AQ12" s="629">
        <v>5.0000000000000001E-3</v>
      </c>
      <c r="AR12" s="625"/>
      <c r="AS12" s="625"/>
      <c r="AT12" s="627"/>
      <c r="AU12" s="628"/>
      <c r="AV12" s="625"/>
      <c r="AW12" s="625"/>
      <c r="AX12" s="632"/>
    </row>
    <row r="13" spans="1:77" x14ac:dyDescent="0.3">
      <c r="A13" s="413">
        <f>ID!B47</f>
        <v>120</v>
      </c>
      <c r="B13" s="426">
        <f t="shared" si="12"/>
        <v>120.000024</v>
      </c>
      <c r="C13" s="426">
        <f t="shared" si="13"/>
        <v>3.0000000000000005E-6</v>
      </c>
      <c r="D13" s="426">
        <f t="shared" si="14"/>
        <v>2.4000000000000001E-5</v>
      </c>
      <c r="E13" s="405"/>
      <c r="F13" s="405"/>
      <c r="G13" s="405"/>
      <c r="H13" s="407">
        <v>0.100007</v>
      </c>
      <c r="I13" s="405"/>
      <c r="J13" s="408">
        <v>1</v>
      </c>
      <c r="K13" s="409">
        <v>0.1</v>
      </c>
      <c r="L13" s="448">
        <v>0.1000091</v>
      </c>
      <c r="M13" s="403">
        <f>L13-K13</f>
        <v>9.0999999999979986E-6</v>
      </c>
      <c r="N13" s="403">
        <f t="shared" si="0"/>
        <v>6.9999999999931228E-6</v>
      </c>
      <c r="O13" s="403">
        <f t="shared" si="5"/>
        <v>1.0500000000024379E-6</v>
      </c>
      <c r="P13" s="403">
        <f>0.002/1000</f>
        <v>1.9999999999999999E-6</v>
      </c>
      <c r="R13" s="429"/>
      <c r="S13" s="1">
        <f t="shared" si="6"/>
        <v>2</v>
      </c>
      <c r="T13" s="456">
        <v>0.1</v>
      </c>
      <c r="U13" s="97">
        <f>VLOOKUP($S$13,$AI$41:$AO$46,3,(FALSE))</f>
        <v>0.10000110000000001</v>
      </c>
      <c r="V13" s="97">
        <f>VLOOKUP($S$13,$AI$41:$AO$46,4,(FALSE))</f>
        <v>1.1000000000000001E-6</v>
      </c>
      <c r="W13" s="97">
        <f>VLOOKUP($S$13,$AI$41:$AO$46,5,(FALSE))</f>
        <v>0</v>
      </c>
      <c r="X13" s="97">
        <f>VLOOKUP($S$13,$AI$41:$AO$46,6,(FALSE))</f>
        <v>2.0000000000000002E-7</v>
      </c>
      <c r="Y13" s="97">
        <f>VLOOKUP($S$13,$AI$41:$AO$46,7,(FALSE))</f>
        <v>1.5999999999999999E-6</v>
      </c>
      <c r="AA13" s="6">
        <f>AA9+AA8</f>
        <v>9.0000000000000011E-3</v>
      </c>
      <c r="AB13" s="6">
        <f>AB9+AB8</f>
        <v>9.0000000000000011E-3</v>
      </c>
      <c r="AC13" s="6">
        <f t="shared" ref="AC13:AF13" si="21">AC9+AC8</f>
        <v>8.9979999999999991E-3</v>
      </c>
      <c r="AD13" s="6">
        <f t="shared" si="21"/>
        <v>-2.0000000000002655E-6</v>
      </c>
      <c r="AE13" s="6">
        <f t="shared" si="21"/>
        <v>0</v>
      </c>
      <c r="AF13" s="6">
        <f t="shared" si="21"/>
        <v>0</v>
      </c>
      <c r="AH13" s="630"/>
      <c r="AI13" s="626" t="s">
        <v>434</v>
      </c>
      <c r="AJ13" s="626" t="s">
        <v>433</v>
      </c>
      <c r="AK13" s="453" t="s">
        <v>319</v>
      </c>
      <c r="AL13" s="453">
        <v>2022</v>
      </c>
      <c r="AM13" s="626">
        <v>2018</v>
      </c>
      <c r="AN13" s="626" t="s">
        <v>320</v>
      </c>
      <c r="AO13" s="626" t="s">
        <v>218</v>
      </c>
      <c r="AP13" s="67"/>
      <c r="AQ13" s="630"/>
      <c r="AR13" s="626" t="s">
        <v>434</v>
      </c>
      <c r="AS13" s="626" t="s">
        <v>433</v>
      </c>
      <c r="AT13" s="453" t="s">
        <v>319</v>
      </c>
      <c r="AU13" s="453">
        <v>2022</v>
      </c>
      <c r="AV13" s="626">
        <v>2018</v>
      </c>
      <c r="AW13" s="626" t="s">
        <v>320</v>
      </c>
      <c r="AX13" s="633" t="s">
        <v>218</v>
      </c>
    </row>
    <row r="14" spans="1:77" x14ac:dyDescent="0.3">
      <c r="A14" s="413">
        <f>ID!B48</f>
        <v>140</v>
      </c>
      <c r="B14" s="426">
        <f t="shared" si="12"/>
        <v>140.00002999999998</v>
      </c>
      <c r="C14" s="426">
        <f t="shared" si="13"/>
        <v>4.0000000000000007E-6</v>
      </c>
      <c r="D14" s="426">
        <f t="shared" si="14"/>
        <v>3.1999999999999999E-5</v>
      </c>
      <c r="E14" s="405"/>
      <c r="F14" s="405"/>
      <c r="G14" s="405"/>
      <c r="H14" s="407">
        <v>0.20000399999999999</v>
      </c>
      <c r="I14" s="405"/>
      <c r="J14" s="408">
        <v>1</v>
      </c>
      <c r="K14" s="409">
        <v>0.2</v>
      </c>
      <c r="L14" s="449">
        <v>0.2000062</v>
      </c>
      <c r="M14" s="403">
        <f t="shared" si="4"/>
        <v>6.1999999999839961E-6</v>
      </c>
      <c r="N14" s="403">
        <f t="shared" si="0"/>
        <v>3.9999999999762448E-6</v>
      </c>
      <c r="O14" s="403">
        <f t="shared" si="5"/>
        <v>1.1000000000038757E-6</v>
      </c>
      <c r="P14" s="403">
        <f t="shared" ref="P14:P16" si="22">0.002/1000</f>
        <v>1.9999999999999999E-6</v>
      </c>
      <c r="R14" s="429"/>
      <c r="S14" s="1">
        <f t="shared" si="6"/>
        <v>2</v>
      </c>
      <c r="T14" s="456">
        <v>0.2</v>
      </c>
      <c r="U14" s="97">
        <f>VLOOKUP($S$14,$AR$41:$AX$46,3,(FALSE))</f>
        <v>0.2000006</v>
      </c>
      <c r="V14" s="97">
        <f>VLOOKUP($S$14,$AR$41:$AX$46,4,(FALSE))</f>
        <v>5.9999999999999997E-7</v>
      </c>
      <c r="W14" s="97">
        <f>VLOOKUP($S$14,$AR$41:$AX$46,5,(FALSE))</f>
        <v>0</v>
      </c>
      <c r="X14" s="97">
        <f>VLOOKUP($S$14,$AR$41:$AX$46,6,(FALSE))</f>
        <v>2.4000000000000003E-7</v>
      </c>
      <c r="Y14" s="97">
        <f>VLOOKUP($S$14,$AR$41:$AX$46,7,(FALSE))</f>
        <v>1.9999999999999999E-6</v>
      </c>
      <c r="AA14" s="6">
        <f>T9</f>
        <v>0.01</v>
      </c>
      <c r="AB14" s="6">
        <f t="shared" ref="AB14:AF15" si="23">U9</f>
        <v>9.9997999999999997E-3</v>
      </c>
      <c r="AC14" s="6">
        <f t="shared" si="23"/>
        <v>-1.9999999999999999E-7</v>
      </c>
      <c r="AD14" s="6">
        <f t="shared" si="23"/>
        <v>0</v>
      </c>
      <c r="AE14" s="6">
        <f t="shared" si="23"/>
        <v>1.2000000000000002E-7</v>
      </c>
      <c r="AF14" s="6">
        <f t="shared" si="23"/>
        <v>7.9999999999999996E-7</v>
      </c>
      <c r="AH14" s="630">
        <v>2E-3</v>
      </c>
      <c r="AI14" s="451">
        <v>1</v>
      </c>
      <c r="AJ14" s="451">
        <v>2E-3</v>
      </c>
      <c r="AK14" s="451">
        <f>K7</f>
        <v>2E-3</v>
      </c>
      <c r="AL14" s="451">
        <f t="shared" ref="AL14:AO14" si="24">L7</f>
        <v>1.9989000000000001E-3</v>
      </c>
      <c r="AM14" s="451">
        <f t="shared" si="24"/>
        <v>-1.0999999999999725E-6</v>
      </c>
      <c r="AN14" s="451">
        <f t="shared" si="24"/>
        <v>4.0000000000000972E-6</v>
      </c>
      <c r="AO14" s="451">
        <f t="shared" si="24"/>
        <v>2.5500000000000349E-6</v>
      </c>
      <c r="AP14" s="67"/>
      <c r="AQ14" s="630">
        <v>5.0000000000000001E-3</v>
      </c>
      <c r="AR14" s="451">
        <v>1</v>
      </c>
      <c r="AS14" s="451">
        <v>5.0000000000000001E-3</v>
      </c>
      <c r="AT14" s="451">
        <f>K8</f>
        <v>5.0000000000000001E-3</v>
      </c>
      <c r="AU14" s="451">
        <f t="shared" ref="AU14:AX14" si="25">L8</f>
        <v>5.0001999999999998E-3</v>
      </c>
      <c r="AV14" s="451">
        <f t="shared" si="25"/>
        <v>1.999999999996796E-7</v>
      </c>
      <c r="AW14" s="451">
        <f t="shared" si="25"/>
        <v>-1.0000000000001327E-6</v>
      </c>
      <c r="AX14" s="450">
        <f t="shared" si="25"/>
        <v>5.9999999999990616E-7</v>
      </c>
    </row>
    <row r="15" spans="1:77" x14ac:dyDescent="0.3">
      <c r="A15" s="413">
        <f>ID!B49</f>
        <v>160</v>
      </c>
      <c r="B15" s="426">
        <f t="shared" si="12"/>
        <v>160.000047</v>
      </c>
      <c r="C15" s="426">
        <f t="shared" si="13"/>
        <v>4.0000000000000007E-6</v>
      </c>
      <c r="D15" s="426">
        <f t="shared" si="14"/>
        <v>3.2000000000000005E-5</v>
      </c>
      <c r="E15" s="405"/>
      <c r="F15" s="405"/>
      <c r="G15" s="405"/>
      <c r="H15" s="407">
        <v>0.19999900000000001</v>
      </c>
      <c r="I15" s="405"/>
      <c r="J15" s="408">
        <v>1</v>
      </c>
      <c r="K15" s="409">
        <v>0.2</v>
      </c>
      <c r="L15" s="448">
        <v>0.1999976</v>
      </c>
      <c r="M15" s="403">
        <f t="shared" si="4"/>
        <v>-2.4000000000135024E-6</v>
      </c>
      <c r="N15" s="403">
        <f t="shared" si="0"/>
        <v>-1.0000000000010001E-6</v>
      </c>
      <c r="O15" s="403">
        <f t="shared" si="5"/>
        <v>7.0000000000625118E-7</v>
      </c>
      <c r="P15" s="403">
        <f t="shared" si="22"/>
        <v>1.9999999999999999E-6</v>
      </c>
      <c r="R15" s="429"/>
      <c r="S15" s="1">
        <f t="shared" si="6"/>
        <v>2</v>
      </c>
      <c r="T15" s="456">
        <v>0.2</v>
      </c>
      <c r="U15" s="97">
        <f>VLOOKUP($S$15,$AI$50:$AO$55,3,(FALSE))</f>
        <v>0.2000006</v>
      </c>
      <c r="V15" s="97">
        <f>VLOOKUP($S$15,$AI$50:$AO$55,4,(FALSE))</f>
        <v>5.9999999999999997E-7</v>
      </c>
      <c r="W15" s="97">
        <f>VLOOKUP($S$15,$AI$50:$AO$55,5,(FALSE))</f>
        <v>0</v>
      </c>
      <c r="X15" s="97">
        <f>VLOOKUP($S$15,$AI$50:$AO$55,6,(FALSE))</f>
        <v>2.4000000000000003E-7</v>
      </c>
      <c r="Y15" s="97">
        <f>VLOOKUP($S$15,$AI$50:$AO$55,7,(FALSE))</f>
        <v>1.9999999999999999E-6</v>
      </c>
      <c r="AA15" s="6">
        <f>T10</f>
        <v>0.02</v>
      </c>
      <c r="AB15" s="6">
        <f t="shared" si="23"/>
        <v>1.9999699999999999E-2</v>
      </c>
      <c r="AC15" s="6">
        <f t="shared" si="23"/>
        <v>-2.9999999999999999E-7</v>
      </c>
      <c r="AD15" s="6">
        <f t="shared" si="23"/>
        <v>0</v>
      </c>
      <c r="AE15" s="6">
        <f t="shared" si="23"/>
        <v>1.2000000000000002E-7</v>
      </c>
      <c r="AF15" s="6">
        <f t="shared" si="23"/>
        <v>9.9999999999999995E-7</v>
      </c>
      <c r="AH15" s="630"/>
      <c r="AI15" s="451">
        <v>2</v>
      </c>
      <c r="AJ15" s="451">
        <f>AJ14</f>
        <v>2E-3</v>
      </c>
      <c r="AK15" s="451">
        <f>K32</f>
        <v>2E-3</v>
      </c>
      <c r="AL15" s="451">
        <f t="shared" ref="AL15:AO15" si="26">L32</f>
        <v>1.9989000000000001E-3</v>
      </c>
      <c r="AM15" s="451">
        <f t="shared" si="26"/>
        <v>-1.0999999999999725E-6</v>
      </c>
      <c r="AN15" s="451">
        <f t="shared" si="26"/>
        <v>0</v>
      </c>
      <c r="AO15" s="451">
        <f t="shared" si="26"/>
        <v>0</v>
      </c>
      <c r="AP15" s="67"/>
      <c r="AQ15" s="630"/>
      <c r="AR15" s="451">
        <v>2</v>
      </c>
      <c r="AS15" s="451">
        <f>AS14</f>
        <v>5.0000000000000001E-3</v>
      </c>
      <c r="AT15" s="451">
        <f>K33</f>
        <v>5.0000000000000001E-3</v>
      </c>
      <c r="AU15" s="451">
        <f t="shared" ref="AU15:AX15" si="27">L33</f>
        <v>5.0001999999999998E-3</v>
      </c>
      <c r="AV15" s="451">
        <f t="shared" si="27"/>
        <v>1.999999999996796E-7</v>
      </c>
      <c r="AW15" s="451">
        <f t="shared" si="27"/>
        <v>0</v>
      </c>
      <c r="AX15" s="440">
        <f t="shared" si="27"/>
        <v>0</v>
      </c>
    </row>
    <row r="16" spans="1:77" x14ac:dyDescent="0.3">
      <c r="A16" s="413">
        <f>ID!B50</f>
        <v>180</v>
      </c>
      <c r="B16" s="426">
        <f t="shared" si="12"/>
        <v>180.00005299999998</v>
      </c>
      <c r="C16" s="426">
        <f t="shared" si="13"/>
        <v>5.0000000000000004E-6</v>
      </c>
      <c r="D16" s="426">
        <f t="shared" si="14"/>
        <v>3.9999999999999996E-5</v>
      </c>
      <c r="E16" s="405"/>
      <c r="F16" s="405"/>
      <c r="G16" s="405"/>
      <c r="H16" s="407">
        <v>0.50000699999999998</v>
      </c>
      <c r="I16" s="405"/>
      <c r="J16" s="408">
        <v>1</v>
      </c>
      <c r="K16" s="409">
        <v>0.5</v>
      </c>
      <c r="L16" s="449">
        <v>0.50000310000000003</v>
      </c>
      <c r="M16" s="403">
        <f t="shared" si="4"/>
        <v>3.1000000000336314E-6</v>
      </c>
      <c r="N16" s="403">
        <f t="shared" si="0"/>
        <v>6.999999999979245E-6</v>
      </c>
      <c r="O16" s="403">
        <f t="shared" si="5"/>
        <v>1.9499999999728068E-6</v>
      </c>
      <c r="P16" s="403">
        <f t="shared" si="22"/>
        <v>1.9999999999999999E-6</v>
      </c>
      <c r="R16" s="429"/>
      <c r="S16" s="1">
        <f t="shared" si="6"/>
        <v>2</v>
      </c>
      <c r="T16" s="456">
        <v>0.5</v>
      </c>
      <c r="U16" s="97">
        <f>VLOOKUP($S$16,$AR$50:$AX$55,3,(FALSE))</f>
        <v>0.50000180000000005</v>
      </c>
      <c r="V16" s="97">
        <f>VLOOKUP($S$16,$AR$50:$AX$55,4,(FALSE))</f>
        <v>1.7999999999999999E-6</v>
      </c>
      <c r="W16" s="97">
        <f>VLOOKUP($S$16,$AR$50:$AX$55,5,(FALSE))</f>
        <v>0</v>
      </c>
      <c r="X16" s="97">
        <f>VLOOKUP($S$16,$AR$50:$AX$55,6,(FALSE))</f>
        <v>3.2000000000000001E-7</v>
      </c>
      <c r="Y16" s="97">
        <f>VLOOKUP($S$16,$AR$50:$AX$55,7,(FALSE))</f>
        <v>2.5000000000000002E-6</v>
      </c>
      <c r="AA16" s="6">
        <f>AA15+AA14</f>
        <v>0.03</v>
      </c>
      <c r="AB16" s="6">
        <f t="shared" ref="AB16:AF16" si="28">AB15+AB14</f>
        <v>2.9999499999999998E-2</v>
      </c>
      <c r="AC16" s="6">
        <f t="shared" si="28"/>
        <v>-4.9999999999999998E-7</v>
      </c>
      <c r="AD16" s="6">
        <f t="shared" si="28"/>
        <v>0</v>
      </c>
      <c r="AE16" s="6">
        <f t="shared" si="28"/>
        <v>2.4000000000000003E-7</v>
      </c>
      <c r="AF16" s="6">
        <f t="shared" si="28"/>
        <v>1.7999999999999999E-6</v>
      </c>
      <c r="AH16" s="630"/>
      <c r="AI16" s="451">
        <v>3</v>
      </c>
      <c r="AJ16" s="451">
        <f t="shared" ref="AJ16:AJ19" si="29">AJ15</f>
        <v>2E-3</v>
      </c>
      <c r="AK16" s="451">
        <f>K57</f>
        <v>2E-3</v>
      </c>
      <c r="AL16" s="451">
        <f t="shared" ref="AL16:AO16" si="30">L57</f>
        <v>2.0019999999999999E-3</v>
      </c>
      <c r="AM16" s="451">
        <f t="shared" si="30"/>
        <v>1.9999999999999999E-6</v>
      </c>
      <c r="AN16" s="451">
        <f t="shared" si="30"/>
        <v>0</v>
      </c>
      <c r="AO16" s="451">
        <f t="shared" si="30"/>
        <v>2.4000000000000003E-6</v>
      </c>
      <c r="AP16" s="67"/>
      <c r="AQ16" s="630"/>
      <c r="AR16" s="451">
        <v>3</v>
      </c>
      <c r="AS16" s="451">
        <f t="shared" ref="AS16:AS19" si="31">AS15</f>
        <v>5.0000000000000001E-3</v>
      </c>
      <c r="AT16" s="451">
        <f>K58</f>
        <v>5.0000000000000001E-3</v>
      </c>
      <c r="AU16" s="451">
        <f t="shared" ref="AU16:AX16" si="32">L58</f>
        <v>5.0020000000000004E-3</v>
      </c>
      <c r="AV16" s="451">
        <f t="shared" si="32"/>
        <v>1.9999999999999999E-6</v>
      </c>
      <c r="AW16" s="451">
        <f t="shared" si="32"/>
        <v>0</v>
      </c>
      <c r="AX16" s="440">
        <f t="shared" si="32"/>
        <v>2.4000000000000003E-6</v>
      </c>
    </row>
    <row r="17" spans="1:50" x14ac:dyDescent="0.3">
      <c r="A17" s="413">
        <f>ID!B51</f>
        <v>200</v>
      </c>
      <c r="B17" s="426">
        <f t="shared" si="12"/>
        <v>200.00005200000001</v>
      </c>
      <c r="C17" s="426">
        <f t="shared" si="13"/>
        <v>4.0000000000000007E-6</v>
      </c>
      <c r="D17" s="426">
        <f t="shared" si="14"/>
        <v>3.0000000000000001E-5</v>
      </c>
      <c r="E17" s="405"/>
      <c r="F17" s="405"/>
      <c r="G17" s="405"/>
      <c r="H17" s="407">
        <v>1.000027</v>
      </c>
      <c r="I17" s="405"/>
      <c r="J17" s="408">
        <v>1</v>
      </c>
      <c r="K17" s="409">
        <v>1</v>
      </c>
      <c r="L17" s="448">
        <v>1.0000171</v>
      </c>
      <c r="M17" s="403">
        <f t="shared" si="4"/>
        <v>1.7099999999992122E-5</v>
      </c>
      <c r="N17" s="403">
        <f t="shared" si="0"/>
        <v>2.6999999999999247E-5</v>
      </c>
      <c r="O17" s="403">
        <f t="shared" si="5"/>
        <v>4.9500000000035627E-6</v>
      </c>
      <c r="P17" s="403">
        <f>0.003/1000</f>
        <v>3.0000000000000001E-6</v>
      </c>
      <c r="R17" s="429"/>
      <c r="S17" s="1">
        <f t="shared" si="6"/>
        <v>2</v>
      </c>
      <c r="T17" s="456">
        <v>1</v>
      </c>
      <c r="U17" s="97">
        <f>VLOOKUP($S$17,$AI$59:$AO$64,3,(FALSE))</f>
        <v>1.000003</v>
      </c>
      <c r="V17" s="97">
        <f>VLOOKUP($S$17,$AI$59:$AO$64,4,(FALSE))</f>
        <v>3.0000000000000001E-6</v>
      </c>
      <c r="W17" s="97">
        <f>VLOOKUP($S$17,$AI$59:$AO$64,5,(FALSE))</f>
        <v>0</v>
      </c>
      <c r="X17" s="97">
        <f>VLOOKUP($S$17,$AI$59:$AO$64,6,(FALSE))</f>
        <v>1.2E-5</v>
      </c>
      <c r="Y17" s="97">
        <f>VLOOKUP($S$17,$AI$59:$AO$64,7,(FALSE))</f>
        <v>1.0000000000000001E-5</v>
      </c>
      <c r="AA17" s="6">
        <f>AA15+T11</f>
        <v>0.04</v>
      </c>
      <c r="AB17" s="6">
        <f t="shared" ref="AB17:AF17" si="33">AB15+U11</f>
        <v>3.9999399999999997E-2</v>
      </c>
      <c r="AC17" s="6">
        <f t="shared" si="33"/>
        <v>-5.9999999999999997E-7</v>
      </c>
      <c r="AD17" s="6">
        <f t="shared" si="33"/>
        <v>0</v>
      </c>
      <c r="AE17" s="6">
        <f t="shared" si="33"/>
        <v>2.4000000000000003E-7</v>
      </c>
      <c r="AF17" s="6">
        <f t="shared" si="33"/>
        <v>1.9999999999999999E-6</v>
      </c>
      <c r="AH17" s="630"/>
      <c r="AI17" s="451">
        <v>4</v>
      </c>
      <c r="AJ17" s="451">
        <f t="shared" si="29"/>
        <v>2E-3</v>
      </c>
      <c r="AK17" s="451"/>
      <c r="AL17" s="451"/>
      <c r="AM17" s="451"/>
      <c r="AN17" s="451"/>
      <c r="AO17" s="451"/>
      <c r="AP17" s="67"/>
      <c r="AQ17" s="630"/>
      <c r="AR17" s="451">
        <v>4</v>
      </c>
      <c r="AS17" s="451">
        <f t="shared" si="31"/>
        <v>5.0000000000000001E-3</v>
      </c>
      <c r="AT17" s="451"/>
      <c r="AU17" s="451"/>
      <c r="AV17" s="451"/>
      <c r="AW17" s="451"/>
      <c r="AX17" s="439"/>
    </row>
    <row r="18" spans="1:50" x14ac:dyDescent="0.3">
      <c r="A18" s="405"/>
      <c r="B18" s="405"/>
      <c r="C18" s="405"/>
      <c r="D18" s="405"/>
      <c r="E18" s="405"/>
      <c r="F18" s="405"/>
      <c r="G18" s="405"/>
      <c r="H18" s="407">
        <v>2.0000119999999999</v>
      </c>
      <c r="I18" s="405"/>
      <c r="J18" s="408">
        <v>1</v>
      </c>
      <c r="K18" s="409">
        <v>2</v>
      </c>
      <c r="L18" s="449">
        <v>2.0000197000000002</v>
      </c>
      <c r="M18" s="403">
        <f t="shared" si="4"/>
        <v>1.9700000000177909E-5</v>
      </c>
      <c r="N18" s="403">
        <f t="shared" si="0"/>
        <v>1.1999999999900979E-5</v>
      </c>
      <c r="O18" s="403">
        <f t="shared" si="5"/>
        <v>3.8500000001384649E-6</v>
      </c>
      <c r="P18" s="403">
        <f>0.004/1000</f>
        <v>3.9999999999999998E-6</v>
      </c>
      <c r="R18" s="429"/>
      <c r="S18" s="1">
        <f t="shared" si="6"/>
        <v>2</v>
      </c>
      <c r="T18" s="456">
        <v>2</v>
      </c>
      <c r="U18" s="97">
        <f>VLOOKUP($S$18,$AR$59:$AX$64,3,(FALSE))</f>
        <v>2.0000010000000001</v>
      </c>
      <c r="V18" s="97">
        <f>VLOOKUP($S$18,$AR$59:$AX$64,4,(FALSE))</f>
        <v>9.9999999999999995E-7</v>
      </c>
      <c r="W18" s="97">
        <f>VLOOKUP($S$18,$AR$59:$AX$64,5,(FALSE))</f>
        <v>0</v>
      </c>
      <c r="X18" s="97">
        <f>VLOOKUP($S$18,$AR$59:$AX$64,6,(FALSE))</f>
        <v>4.8000000000000006E-7</v>
      </c>
      <c r="Y18" s="97">
        <f>VLOOKUP($S$18,$AR$59:$AX$64,7,(FALSE))</f>
        <v>3.9999999999999998E-6</v>
      </c>
      <c r="AA18" s="6">
        <f>T12</f>
        <v>0.05</v>
      </c>
      <c r="AB18" s="6">
        <f t="shared" ref="AB18:AF18" si="34">U12</f>
        <v>0.05</v>
      </c>
      <c r="AC18" s="6">
        <f t="shared" si="34"/>
        <v>0</v>
      </c>
      <c r="AD18" s="6">
        <f t="shared" si="34"/>
        <v>0</v>
      </c>
      <c r="AE18" s="6">
        <f t="shared" si="34"/>
        <v>1.6E-7</v>
      </c>
      <c r="AF18" s="6">
        <f t="shared" si="34"/>
        <v>1.1999999999999999E-6</v>
      </c>
      <c r="AH18" s="630"/>
      <c r="AI18" s="451">
        <v>5</v>
      </c>
      <c r="AJ18" s="451">
        <f t="shared" si="29"/>
        <v>2E-3</v>
      </c>
      <c r="AK18" s="451"/>
      <c r="AL18" s="451"/>
      <c r="AM18" s="451"/>
      <c r="AN18" s="451"/>
      <c r="AO18" s="451"/>
      <c r="AP18" s="67"/>
      <c r="AQ18" s="630"/>
      <c r="AR18" s="451">
        <v>5</v>
      </c>
      <c r="AS18" s="451">
        <f t="shared" si="31"/>
        <v>5.0000000000000001E-3</v>
      </c>
      <c r="AT18" s="451"/>
      <c r="AU18" s="451"/>
      <c r="AV18" s="451"/>
      <c r="AW18" s="451"/>
      <c r="AX18" s="439"/>
    </row>
    <row r="19" spans="1:50" x14ac:dyDescent="0.3">
      <c r="A19" s="646"/>
      <c r="B19" s="646"/>
      <c r="C19" s="646"/>
      <c r="D19" s="646"/>
      <c r="E19" s="646"/>
      <c r="F19" s="405"/>
      <c r="G19" s="405"/>
      <c r="H19" s="462">
        <v>2.0000149999999999</v>
      </c>
      <c r="I19" s="405"/>
      <c r="J19" s="408">
        <v>1</v>
      </c>
      <c r="K19" s="409">
        <v>2</v>
      </c>
      <c r="L19" s="448">
        <v>2.0000209999999998</v>
      </c>
      <c r="M19" s="403">
        <f t="shared" si="4"/>
        <v>2.0999999999826713E-5</v>
      </c>
      <c r="N19" s="403">
        <f t="shared" si="0"/>
        <v>1.4999999999876223E-5</v>
      </c>
      <c r="O19" s="403">
        <f t="shared" si="5"/>
        <v>2.9999999999752447E-6</v>
      </c>
      <c r="P19" s="403">
        <f t="shared" ref="P19:P20" si="35">0.004/1000</f>
        <v>3.9999999999999998E-6</v>
      </c>
      <c r="R19" s="429"/>
      <c r="S19" s="1">
        <f t="shared" si="6"/>
        <v>2</v>
      </c>
      <c r="T19" s="456">
        <v>2</v>
      </c>
      <c r="U19" s="97">
        <f>VLOOKUP($S$19,$AI$68:$AO$73,3,(FALSE))</f>
        <v>2.000003</v>
      </c>
      <c r="V19" s="97">
        <f>VLOOKUP($S$19,$AI$68:$AO$73,4,(FALSE))</f>
        <v>3.0000000000000001E-6</v>
      </c>
      <c r="W19" s="97">
        <f>VLOOKUP($S$19,$AI$68:$AO$73,5,(FALSE))</f>
        <v>0</v>
      </c>
      <c r="X19" s="97">
        <f>VLOOKUP($S$19,$AI$68:$AO$73,6,(FALSE))</f>
        <v>4.8000000000000006E-7</v>
      </c>
      <c r="Y19" s="97">
        <f>VLOOKUP($S$19,$AI$68:$AO$73,7,(FALSE))</f>
        <v>3.9999999999999998E-6</v>
      </c>
      <c r="AA19" s="6">
        <f>AA18+AA14</f>
        <v>6.0000000000000005E-2</v>
      </c>
      <c r="AB19" s="6">
        <f t="shared" ref="AB19:AF19" si="36">AB18+AB14</f>
        <v>5.9999800000000006E-2</v>
      </c>
      <c r="AC19" s="6">
        <f t="shared" si="36"/>
        <v>-1.9999999999999999E-7</v>
      </c>
      <c r="AD19" s="6">
        <f t="shared" si="36"/>
        <v>0</v>
      </c>
      <c r="AE19" s="6">
        <f t="shared" si="36"/>
        <v>2.8000000000000002E-7</v>
      </c>
      <c r="AF19" s="6">
        <f t="shared" si="36"/>
        <v>1.9999999999999999E-6</v>
      </c>
      <c r="AH19" s="631"/>
      <c r="AI19" s="451">
        <v>6</v>
      </c>
      <c r="AJ19" s="451">
        <f t="shared" si="29"/>
        <v>2E-3</v>
      </c>
      <c r="AK19" s="451"/>
      <c r="AL19" s="451"/>
      <c r="AM19" s="451"/>
      <c r="AN19" s="451"/>
      <c r="AO19" s="451"/>
      <c r="AP19" s="67"/>
      <c r="AQ19" s="631"/>
      <c r="AR19" s="451">
        <v>6</v>
      </c>
      <c r="AS19" s="451">
        <f t="shared" si="31"/>
        <v>5.0000000000000001E-3</v>
      </c>
      <c r="AT19" s="451"/>
      <c r="AU19" s="451"/>
      <c r="AV19" s="451"/>
      <c r="AW19" s="451"/>
      <c r="AX19" s="439"/>
    </row>
    <row r="20" spans="1:50" x14ac:dyDescent="0.3">
      <c r="A20" s="646"/>
      <c r="B20" s="646"/>
      <c r="C20" s="464"/>
      <c r="D20" s="464"/>
      <c r="E20" s="646"/>
      <c r="F20" s="405"/>
      <c r="G20" s="405"/>
      <c r="H20" s="462">
        <v>5.0000179999999999</v>
      </c>
      <c r="I20" s="405"/>
      <c r="J20" s="408">
        <v>1</v>
      </c>
      <c r="K20" s="409">
        <v>5</v>
      </c>
      <c r="L20" s="449">
        <v>5.0000308999999996</v>
      </c>
      <c r="M20" s="403">
        <f t="shared" si="4"/>
        <v>3.0899999999611794E-5</v>
      </c>
      <c r="N20" s="403">
        <f t="shared" si="0"/>
        <v>1.7999999999851468E-5</v>
      </c>
      <c r="O20" s="403">
        <f t="shared" si="5"/>
        <v>6.4499999998801627E-6</v>
      </c>
      <c r="P20" s="403">
        <f t="shared" si="35"/>
        <v>3.9999999999999998E-6</v>
      </c>
      <c r="R20" s="429"/>
      <c r="S20" s="1">
        <f t="shared" si="6"/>
        <v>2</v>
      </c>
      <c r="T20" s="456">
        <v>5</v>
      </c>
      <c r="U20" s="97">
        <f>VLOOKUP($S$20,$AR$68:$AX$73,3,(FALSE))</f>
        <v>5.0000099999999996</v>
      </c>
      <c r="V20" s="97">
        <f>VLOOKUP($S$20,$AR$68:$AX$73,4,(FALSE))</f>
        <v>1.0000000000000001E-5</v>
      </c>
      <c r="W20" s="97">
        <f>VLOOKUP($S$20,$AR$68:$AX$73,5,(FALSE))</f>
        <v>0</v>
      </c>
      <c r="X20" s="97">
        <f>VLOOKUP($S$20,$AR$68:$AX$73,6,(FALSE))</f>
        <v>6.4000000000000001E-7</v>
      </c>
      <c r="Y20" s="97">
        <f>VLOOKUP($S$20,$AR$68:$AX$73,7,(FALSE))</f>
        <v>5.0000000000000004E-6</v>
      </c>
      <c r="AA20" s="6">
        <f>AA18+AA15</f>
        <v>7.0000000000000007E-2</v>
      </c>
      <c r="AB20" s="6">
        <f t="shared" ref="AB20:AF20" si="37">AB18+AB15</f>
        <v>6.9999699999999998E-2</v>
      </c>
      <c r="AC20" s="6">
        <f t="shared" si="37"/>
        <v>-2.9999999999999999E-7</v>
      </c>
      <c r="AD20" s="6">
        <f t="shared" si="37"/>
        <v>0</v>
      </c>
      <c r="AE20" s="6">
        <f t="shared" si="37"/>
        <v>2.8000000000000002E-7</v>
      </c>
      <c r="AF20" s="6">
        <f t="shared" si="37"/>
        <v>2.2000000000000001E-6</v>
      </c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</row>
    <row r="21" spans="1:50" x14ac:dyDescent="0.3">
      <c r="A21" s="646"/>
      <c r="B21" s="405"/>
      <c r="C21" s="405"/>
      <c r="D21" s="405"/>
      <c r="E21" s="405"/>
      <c r="F21" s="405"/>
      <c r="G21" s="405"/>
      <c r="H21" s="462">
        <v>10.000025000000001</v>
      </c>
      <c r="I21" s="405"/>
      <c r="J21" s="408">
        <v>1</v>
      </c>
      <c r="K21" s="410">
        <v>10</v>
      </c>
      <c r="L21" s="448">
        <v>10.000028800000001</v>
      </c>
      <c r="M21" s="403">
        <f t="shared" si="4"/>
        <v>2.8800000000828163E-5</v>
      </c>
      <c r="N21" s="403">
        <f t="shared" si="0"/>
        <v>2.5000000000829914E-5</v>
      </c>
      <c r="O21" s="403">
        <f t="shared" si="5"/>
        <v>1.8999999999991246E-6</v>
      </c>
      <c r="P21" s="403">
        <f>0.000006</f>
        <v>6.0000000000000002E-6</v>
      </c>
      <c r="R21" s="429"/>
      <c r="S21" s="1">
        <f t="shared" si="6"/>
        <v>2</v>
      </c>
      <c r="T21" s="456">
        <v>10</v>
      </c>
      <c r="U21" s="97">
        <f>VLOOKUP($S$21,$AI$77:$AO$82,3,(FALSE))</f>
        <v>10.00001</v>
      </c>
      <c r="V21" s="97">
        <f>VLOOKUP($S$21,$AI$77:$AO$82,4,(FALSE))</f>
        <v>9.9999999996214228E-6</v>
      </c>
      <c r="W21" s="97">
        <f>VLOOKUP($S$21,$AI$77:$AO$82,5,(FALSE))</f>
        <v>0</v>
      </c>
      <c r="X21" s="97">
        <f>VLOOKUP($S$21,$AI$77:$AO$82,6,(FALSE))</f>
        <v>8.0000000000000007E-7</v>
      </c>
      <c r="Y21" s="97">
        <f>VLOOKUP($S$21,$AI$77:$AO$82,7,(FALSE))</f>
        <v>6.0000000000000002E-6</v>
      </c>
      <c r="AA21" s="6">
        <f>AA18+AA16</f>
        <v>0.08</v>
      </c>
      <c r="AB21" s="6">
        <f t="shared" ref="AB21:AF21" si="38">AB18+AB16</f>
        <v>7.9999500000000001E-2</v>
      </c>
      <c r="AC21" s="6">
        <f t="shared" si="38"/>
        <v>-4.9999999999999998E-7</v>
      </c>
      <c r="AD21" s="6">
        <f t="shared" si="38"/>
        <v>0</v>
      </c>
      <c r="AE21" s="6">
        <f t="shared" si="38"/>
        <v>4.0000000000000003E-7</v>
      </c>
      <c r="AF21" s="6">
        <f t="shared" si="38"/>
        <v>3.0000000000000001E-6</v>
      </c>
      <c r="AH21" s="629">
        <v>0.01</v>
      </c>
      <c r="AI21" s="625"/>
      <c r="AJ21" s="625"/>
      <c r="AK21" s="627"/>
      <c r="AL21" s="628" t="s">
        <v>220</v>
      </c>
      <c r="AM21" s="625"/>
      <c r="AN21" s="625"/>
      <c r="AO21" s="625"/>
      <c r="AP21" s="67"/>
      <c r="AQ21" s="629" t="s">
        <v>436</v>
      </c>
      <c r="AR21" s="625"/>
      <c r="AS21" s="625"/>
      <c r="AT21" s="627"/>
      <c r="AU21" s="628" t="s">
        <v>220</v>
      </c>
      <c r="AV21" s="625"/>
      <c r="AW21" s="625"/>
      <c r="AX21" s="632"/>
    </row>
    <row r="22" spans="1:50" x14ac:dyDescent="0.3">
      <c r="A22" s="646"/>
      <c r="B22" s="405"/>
      <c r="C22" s="405"/>
      <c r="D22" s="405"/>
      <c r="E22" s="405"/>
      <c r="F22" s="405"/>
      <c r="G22" s="405"/>
      <c r="H22" s="462">
        <v>20.000029000000001</v>
      </c>
      <c r="I22" s="405"/>
      <c r="J22" s="408">
        <v>1</v>
      </c>
      <c r="K22" s="410">
        <v>20</v>
      </c>
      <c r="L22" s="449">
        <v>20.000033500000001</v>
      </c>
      <c r="M22" s="403">
        <f t="shared" si="4"/>
        <v>3.3500000000685759E-5</v>
      </c>
      <c r="N22" s="403">
        <f t="shared" si="0"/>
        <v>2.9000000001389026E-5</v>
      </c>
      <c r="O22" s="403">
        <f t="shared" si="5"/>
        <v>2.2499999996483666E-6</v>
      </c>
      <c r="P22" s="403">
        <f>0.000007</f>
        <v>6.9999999999999999E-6</v>
      </c>
      <c r="R22" s="429"/>
      <c r="S22" s="1">
        <f t="shared" si="6"/>
        <v>2</v>
      </c>
      <c r="T22" s="458">
        <f>VLOOKUP($S$22,$AR$77:$AX$82,2,(FALSE))</f>
        <v>20</v>
      </c>
      <c r="U22" s="442">
        <f>VLOOKUP($S$22,$AR$77:$AX$82,3,(FALSE))</f>
        <v>20.000005999999999</v>
      </c>
      <c r="V22" s="442">
        <f>VLOOKUP($S$22,$AR$77:$AX$82,4,(FALSE))</f>
        <v>5.999999999062311E-6</v>
      </c>
      <c r="W22" s="442">
        <f>VLOOKUP($S$22,$AR$77:$AX$82,5,(FALSE))</f>
        <v>0</v>
      </c>
      <c r="X22" s="442">
        <f>VLOOKUP($S$22,$AR$77:$AX$82,6,(FALSE))</f>
        <v>1.0000000000000002E-6</v>
      </c>
      <c r="Y22" s="457">
        <f>VLOOKUP($S$22,$AR$77:$AX$82,7,(FALSE))</f>
        <v>7.9999999999999996E-6</v>
      </c>
      <c r="AA22" s="6">
        <f>AA18+AA17</f>
        <v>0.09</v>
      </c>
      <c r="AB22" s="6">
        <f t="shared" ref="AB22:AF22" si="39">AB18+AB17</f>
        <v>8.9999400000000007E-2</v>
      </c>
      <c r="AC22" s="6">
        <f t="shared" si="39"/>
        <v>-5.9999999999999997E-7</v>
      </c>
      <c r="AD22" s="6">
        <f t="shared" si="39"/>
        <v>0</v>
      </c>
      <c r="AE22" s="6">
        <f t="shared" si="39"/>
        <v>4.0000000000000003E-7</v>
      </c>
      <c r="AF22" s="6">
        <f t="shared" si="39"/>
        <v>3.1999999999999999E-6</v>
      </c>
      <c r="AH22" s="630"/>
      <c r="AI22" s="626" t="s">
        <v>434</v>
      </c>
      <c r="AJ22" s="626" t="s">
        <v>433</v>
      </c>
      <c r="AK22" s="453" t="s">
        <v>319</v>
      </c>
      <c r="AL22" s="453">
        <v>2022</v>
      </c>
      <c r="AM22" s="626">
        <v>2018</v>
      </c>
      <c r="AN22" s="626" t="s">
        <v>320</v>
      </c>
      <c r="AO22" s="626" t="s">
        <v>218</v>
      </c>
      <c r="AP22" s="67"/>
      <c r="AQ22" s="630"/>
      <c r="AR22" s="626" t="s">
        <v>434</v>
      </c>
      <c r="AS22" s="626" t="s">
        <v>433</v>
      </c>
      <c r="AT22" s="453" t="s">
        <v>319</v>
      </c>
      <c r="AU22" s="453">
        <v>2022</v>
      </c>
      <c r="AV22" s="626">
        <v>2018</v>
      </c>
      <c r="AW22" s="626" t="s">
        <v>320</v>
      </c>
      <c r="AX22" s="633" t="s">
        <v>218</v>
      </c>
    </row>
    <row r="23" spans="1:50" x14ac:dyDescent="0.3">
      <c r="A23" s="646"/>
      <c r="B23" s="405"/>
      <c r="C23" s="405"/>
      <c r="D23" s="405"/>
      <c r="E23" s="405"/>
      <c r="F23" s="405"/>
      <c r="G23" s="405"/>
      <c r="H23" s="462">
        <v>20.000029000000001</v>
      </c>
      <c r="I23" s="405"/>
      <c r="J23" s="408">
        <v>1</v>
      </c>
      <c r="K23" s="410">
        <v>20</v>
      </c>
      <c r="L23" s="448">
        <v>20.000021</v>
      </c>
      <c r="M23" s="403">
        <f t="shared" si="4"/>
        <v>2.1000000000270802E-5</v>
      </c>
      <c r="N23" s="403">
        <f t="shared" si="0"/>
        <v>2.9000000001389026E-5</v>
      </c>
      <c r="O23" s="403">
        <f t="shared" si="5"/>
        <v>4.0000000005591119E-6</v>
      </c>
      <c r="P23" s="403">
        <f>0.000007</f>
        <v>6.9999999999999999E-6</v>
      </c>
      <c r="R23" s="429"/>
      <c r="S23" s="1">
        <f t="shared" si="6"/>
        <v>2</v>
      </c>
      <c r="T23" s="458">
        <f>VLOOKUP($S$23,$AR$77:$AX$82,2,(FALSE))</f>
        <v>20</v>
      </c>
      <c r="U23" s="442">
        <f>VLOOKUP($S$23,$AR$77:$AX$82,3,(FALSE))</f>
        <v>20.000005999999999</v>
      </c>
      <c r="V23" s="442">
        <f>VLOOKUP($S$23,$AR$77:$AX$82,4,(FALSE))</f>
        <v>5.999999999062311E-6</v>
      </c>
      <c r="W23" s="442">
        <f>VLOOKUP($S$23,$AR$77:$AX$82,5,(FALSE))</f>
        <v>0</v>
      </c>
      <c r="X23" s="442">
        <f>VLOOKUP($S$23,$AR$77:$AX$82,6,(FALSE))</f>
        <v>1.0000000000000002E-6</v>
      </c>
      <c r="Y23" s="457">
        <f>VLOOKUP($S$23,$AR$77:$AX$82,7,(FALSE))</f>
        <v>7.9999999999999996E-6</v>
      </c>
      <c r="AA23" s="6">
        <f>T13</f>
        <v>0.1</v>
      </c>
      <c r="AB23" s="6">
        <f>U13</f>
        <v>0.10000110000000001</v>
      </c>
      <c r="AC23" s="6">
        <f t="shared" ref="AC23:AF24" si="40">V13</f>
        <v>1.1000000000000001E-6</v>
      </c>
      <c r="AD23" s="6">
        <f t="shared" si="40"/>
        <v>0</v>
      </c>
      <c r="AE23" s="6">
        <f t="shared" si="40"/>
        <v>2.0000000000000002E-7</v>
      </c>
      <c r="AF23" s="6">
        <f t="shared" si="40"/>
        <v>1.5999999999999999E-6</v>
      </c>
      <c r="AH23" s="630">
        <v>0.01</v>
      </c>
      <c r="AI23" s="451">
        <v>1</v>
      </c>
      <c r="AJ23" s="451">
        <v>0.01</v>
      </c>
      <c r="AK23" s="451">
        <f>L9</f>
        <v>1.0008700000000001E-2</v>
      </c>
      <c r="AL23" s="451">
        <f t="shared" ref="AL23:AO23" si="41">M9</f>
        <v>8.7000000000003741E-6</v>
      </c>
      <c r="AM23" s="451">
        <f t="shared" si="41"/>
        <v>2.9999999999995308E-6</v>
      </c>
      <c r="AN23" s="451">
        <f t="shared" si="41"/>
        <v>2.8500000000004216E-6</v>
      </c>
      <c r="AO23" s="451">
        <f t="shared" si="41"/>
        <v>9.9999999999999995E-7</v>
      </c>
      <c r="AP23" s="67"/>
      <c r="AQ23" s="630" t="s">
        <v>436</v>
      </c>
      <c r="AR23" s="451">
        <v>1</v>
      </c>
      <c r="AS23" s="451">
        <v>0.02</v>
      </c>
      <c r="AT23" s="451">
        <f>L10</f>
        <v>2.00012E-2</v>
      </c>
      <c r="AU23" s="451">
        <f t="shared" ref="AU23:AX23" si="42">M10</f>
        <v>1.1999999999998123E-6</v>
      </c>
      <c r="AV23" s="451">
        <f t="shared" si="42"/>
        <v>1.0000000000010001E-6</v>
      </c>
      <c r="AW23" s="451">
        <f t="shared" si="42"/>
        <v>9.9999999999406119E-8</v>
      </c>
      <c r="AX23" s="450">
        <f t="shared" si="42"/>
        <v>9.9999999999999995E-7</v>
      </c>
    </row>
    <row r="24" spans="1:50" x14ac:dyDescent="0.3">
      <c r="A24" s="646"/>
      <c r="B24" s="405"/>
      <c r="C24" s="405"/>
      <c r="D24" s="405"/>
      <c r="E24" s="405"/>
      <c r="F24" s="405"/>
      <c r="G24" s="405"/>
      <c r="H24" s="462">
        <v>50.000100000000003</v>
      </c>
      <c r="I24" s="405"/>
      <c r="J24" s="408">
        <v>1</v>
      </c>
      <c r="K24" s="410">
        <v>50</v>
      </c>
      <c r="L24" s="449">
        <v>50.000045</v>
      </c>
      <c r="M24" s="403">
        <f t="shared" si="4"/>
        <v>4.500000000007276E-5</v>
      </c>
      <c r="N24" s="403">
        <f t="shared" si="0"/>
        <v>1.0000000000331966E-4</v>
      </c>
      <c r="O24" s="403">
        <f t="shared" si="5"/>
        <v>2.7500000001623448E-5</v>
      </c>
      <c r="P24" s="403">
        <f>0.00002</f>
        <v>2.0000000000000002E-5</v>
      </c>
      <c r="R24" s="429"/>
      <c r="S24" s="1">
        <f t="shared" si="6"/>
        <v>2</v>
      </c>
      <c r="T24" s="456">
        <v>50</v>
      </c>
      <c r="U24" s="97">
        <f>VLOOKUP($S$24,$AR$86:$AX$91,3,(FALSE))</f>
        <v>50.000019000000002</v>
      </c>
      <c r="V24" s="97">
        <f>VLOOKUP($S$24,$AR$86:$AX$91,4,(FALSE))</f>
        <v>1.9000000001767603E-5</v>
      </c>
      <c r="W24" s="97">
        <f>VLOOKUP($S$24,$AR$86:$AX$91,5,(FALSE))</f>
        <v>0</v>
      </c>
      <c r="X24" s="97">
        <f>VLOOKUP($S$24,$AR$86:$AX$91,6,(FALSE))</f>
        <v>1.2000000000000002E-6</v>
      </c>
      <c r="Y24" s="97">
        <f>VLOOKUP($S$24,$AR$86:$AX$91,7,(FALSE))</f>
        <v>1.0000000000000001E-5</v>
      </c>
      <c r="AA24" s="6">
        <f>T14</f>
        <v>0.2</v>
      </c>
      <c r="AB24" s="6">
        <f>U14</f>
        <v>0.2000006</v>
      </c>
      <c r="AC24" s="6">
        <f t="shared" si="40"/>
        <v>5.9999999999999997E-7</v>
      </c>
      <c r="AD24" s="6">
        <f t="shared" si="40"/>
        <v>0</v>
      </c>
      <c r="AE24" s="6">
        <f t="shared" si="40"/>
        <v>2.4000000000000003E-7</v>
      </c>
      <c r="AF24" s="6">
        <f t="shared" si="40"/>
        <v>1.9999999999999999E-6</v>
      </c>
      <c r="AH24" s="630"/>
      <c r="AI24" s="451">
        <v>2</v>
      </c>
      <c r="AJ24" s="451">
        <f>AJ23</f>
        <v>0.01</v>
      </c>
      <c r="AK24" s="451">
        <f>L34</f>
        <v>9.9997999999999997E-3</v>
      </c>
      <c r="AL24" s="451">
        <f t="shared" ref="AL24:AO24" si="43">M34</f>
        <v>-1.9999999999999999E-7</v>
      </c>
      <c r="AM24" s="451">
        <f t="shared" si="43"/>
        <v>0</v>
      </c>
      <c r="AN24" s="451">
        <f t="shared" si="43"/>
        <v>1.2000000000000002E-7</v>
      </c>
      <c r="AO24" s="451">
        <f t="shared" si="43"/>
        <v>7.9999999999999996E-7</v>
      </c>
      <c r="AP24" s="67"/>
      <c r="AQ24" s="630"/>
      <c r="AR24" s="451">
        <v>2</v>
      </c>
      <c r="AS24" s="451">
        <f>AS23</f>
        <v>0.02</v>
      </c>
      <c r="AT24" s="451">
        <f>L35</f>
        <v>1.9999699999999999E-2</v>
      </c>
      <c r="AU24" s="451">
        <f t="shared" ref="AU24:AX24" si="44">M35</f>
        <v>-2.9999999999999999E-7</v>
      </c>
      <c r="AV24" s="451">
        <f t="shared" si="44"/>
        <v>0</v>
      </c>
      <c r="AW24" s="451">
        <f t="shared" si="44"/>
        <v>1.2000000000000002E-7</v>
      </c>
      <c r="AX24" s="440">
        <f t="shared" si="44"/>
        <v>9.9999999999999995E-7</v>
      </c>
    </row>
    <row r="25" spans="1:50" x14ac:dyDescent="0.3">
      <c r="A25" s="646"/>
      <c r="B25" s="405"/>
      <c r="C25" s="405"/>
      <c r="D25" s="405"/>
      <c r="E25" s="405"/>
      <c r="F25" s="405"/>
      <c r="G25" s="405"/>
      <c r="H25" s="462">
        <v>100.00008</v>
      </c>
      <c r="I25" s="405"/>
      <c r="J25" s="408">
        <v>1</v>
      </c>
      <c r="K25" s="410">
        <v>100</v>
      </c>
      <c r="L25" s="448">
        <v>99.999945999999994</v>
      </c>
      <c r="M25" s="403">
        <f t="shared" si="4"/>
        <v>-5.4000000005771653E-5</v>
      </c>
      <c r="N25" s="403">
        <f>H25-K25</f>
        <v>7.9999999996971383E-5</v>
      </c>
      <c r="O25" s="403">
        <f t="shared" si="5"/>
        <v>6.7000000001371518E-5</v>
      </c>
      <c r="P25" s="403">
        <f>0.00002</f>
        <v>2.0000000000000002E-5</v>
      </c>
      <c r="R25" s="429"/>
      <c r="S25" s="1">
        <f t="shared" si="6"/>
        <v>2</v>
      </c>
      <c r="T25" s="456">
        <v>100</v>
      </c>
      <c r="U25" s="97">
        <f>VLOOKUP($S$25,$AI$95:$AO$100,3,(FALSE))</f>
        <v>100.000018</v>
      </c>
      <c r="V25" s="97">
        <f>VLOOKUP($S$25,$AI$95:$AO$100,4,(FALSE))</f>
        <v>1.7999999997186933E-5</v>
      </c>
      <c r="W25" s="97">
        <f>VLOOKUP($S$25,$AI$95:$AO$100,5,(FALSE))</f>
        <v>0</v>
      </c>
      <c r="X25" s="97">
        <f>VLOOKUP($S$25,$AI$95:$AO$100,6,(FALSE))</f>
        <v>2.0000000000000003E-6</v>
      </c>
      <c r="Y25" s="97">
        <f>VLOOKUP($S$25,$AI$95:$AO$100,7,(FALSE))</f>
        <v>1.5999999999999999E-5</v>
      </c>
      <c r="AA25" s="6">
        <f>AA24+AA23</f>
        <v>0.30000000000000004</v>
      </c>
      <c r="AB25" s="6">
        <f>AB24+AB23</f>
        <v>0.30000170000000004</v>
      </c>
      <c r="AC25" s="6">
        <f t="shared" ref="AC25:AF25" si="45">AC24+AC23</f>
        <v>1.7E-6</v>
      </c>
      <c r="AD25" s="6">
        <f t="shared" si="45"/>
        <v>0</v>
      </c>
      <c r="AE25" s="6">
        <f t="shared" si="45"/>
        <v>4.4000000000000002E-7</v>
      </c>
      <c r="AF25" s="6">
        <f t="shared" si="45"/>
        <v>3.5999999999999998E-6</v>
      </c>
      <c r="AH25" s="630"/>
      <c r="AI25" s="451">
        <v>3</v>
      </c>
      <c r="AJ25" s="451">
        <f t="shared" ref="AJ25:AJ28" si="46">AJ24</f>
        <v>0.01</v>
      </c>
      <c r="AK25" s="451">
        <f>L59</f>
        <v>0.01</v>
      </c>
      <c r="AL25" s="451">
        <f t="shared" ref="AL25:AO25" si="47">M59</f>
        <v>0</v>
      </c>
      <c r="AM25" s="451">
        <f t="shared" si="47"/>
        <v>0</v>
      </c>
      <c r="AN25" s="451">
        <f t="shared" si="47"/>
        <v>3.1999999999999999E-6</v>
      </c>
      <c r="AO25" s="451">
        <f t="shared" si="47"/>
        <v>1.9999999999999999E-6</v>
      </c>
      <c r="AP25" s="67"/>
      <c r="AQ25" s="630"/>
      <c r="AR25" s="451">
        <v>3</v>
      </c>
      <c r="AS25" s="451">
        <f t="shared" ref="AS25:AS28" si="48">AS24</f>
        <v>0.02</v>
      </c>
      <c r="AT25" s="451">
        <f>L60</f>
        <v>2.0001999999999999E-2</v>
      </c>
      <c r="AU25" s="451">
        <f t="shared" ref="AU25:AX25" si="49">M60</f>
        <v>1.9999999999999999E-6</v>
      </c>
      <c r="AV25" s="451">
        <f t="shared" si="49"/>
        <v>0</v>
      </c>
      <c r="AW25" s="451">
        <f t="shared" si="49"/>
        <v>3.1999999999999999E-6</v>
      </c>
      <c r="AX25" s="440">
        <f t="shared" si="49"/>
        <v>3.0000000000000001E-6</v>
      </c>
    </row>
    <row r="26" spans="1:50" x14ac:dyDescent="0.3">
      <c r="A26" s="646"/>
      <c r="B26" s="405"/>
      <c r="C26" s="405"/>
      <c r="D26" s="405"/>
      <c r="E26" s="405"/>
      <c r="F26" s="405"/>
      <c r="G26" s="405"/>
      <c r="H26" s="462">
        <v>200.00021000000001</v>
      </c>
      <c r="I26" s="405"/>
      <c r="J26" s="408">
        <v>1</v>
      </c>
      <c r="K26" s="410">
        <v>200</v>
      </c>
      <c r="L26" s="449">
        <v>200.000215</v>
      </c>
      <c r="M26" s="403">
        <f t="shared" si="4"/>
        <v>2.1499999999718966E-4</v>
      </c>
      <c r="N26" s="403">
        <f t="shared" si="0"/>
        <v>2.1000000000981345E-4</v>
      </c>
      <c r="O26" s="403">
        <f t="shared" si="5"/>
        <v>2.4999999936881068E-6</v>
      </c>
      <c r="P26" s="403">
        <f>0.00003</f>
        <v>3.0000000000000001E-5</v>
      </c>
      <c r="R26" s="429"/>
      <c r="S26" s="1">
        <f t="shared" si="6"/>
        <v>2</v>
      </c>
      <c r="T26" s="456">
        <v>200</v>
      </c>
      <c r="U26" s="97">
        <f>VLOOKUP($S$26,$AR$95:$AX$100,3,(FALSE))</f>
        <v>200.00005200000001</v>
      </c>
      <c r="V26" s="97">
        <f t="shared" ref="V26" si="50">VLOOKUP($S$26,$AR$95:$AX$100,4,(FALSE))</f>
        <v>5.2000000010821168E-5</v>
      </c>
      <c r="W26" s="97">
        <f>VLOOKUP($S$26,$AR$95:$AX$100,5,(FALSE))</f>
        <v>0</v>
      </c>
      <c r="X26" s="97">
        <f>VLOOKUP($S$26,$AR$95:$AX$100,6,(FALSE))</f>
        <v>4.0000000000000007E-6</v>
      </c>
      <c r="Y26" s="97">
        <f>VLOOKUP($S$26,$AR$95:$AX$100,7,(FALSE))</f>
        <v>3.0000000000000001E-5</v>
      </c>
      <c r="AA26" s="6">
        <f t="shared" ref="AA26:AF26" si="51">AA24+T15</f>
        <v>0.4</v>
      </c>
      <c r="AB26" s="6">
        <f t="shared" si="51"/>
        <v>0.4000012</v>
      </c>
      <c r="AC26" s="6">
        <f t="shared" si="51"/>
        <v>1.1999999999999999E-6</v>
      </c>
      <c r="AD26" s="6">
        <f t="shared" si="51"/>
        <v>0</v>
      </c>
      <c r="AE26" s="6">
        <f t="shared" si="51"/>
        <v>4.8000000000000006E-7</v>
      </c>
      <c r="AF26" s="6">
        <f t="shared" si="51"/>
        <v>3.9999999999999998E-6</v>
      </c>
      <c r="AH26" s="630"/>
      <c r="AI26" s="451">
        <v>4</v>
      </c>
      <c r="AJ26" s="451">
        <f t="shared" si="46"/>
        <v>0.01</v>
      </c>
      <c r="AK26" s="451"/>
      <c r="AL26" s="451"/>
      <c r="AM26" s="451"/>
      <c r="AN26" s="451"/>
      <c r="AO26" s="451"/>
      <c r="AP26" s="67"/>
      <c r="AQ26" s="630"/>
      <c r="AR26" s="451">
        <v>4</v>
      </c>
      <c r="AS26" s="451">
        <f t="shared" si="48"/>
        <v>0.02</v>
      </c>
      <c r="AT26" s="451"/>
      <c r="AU26" s="451"/>
      <c r="AV26" s="451"/>
      <c r="AW26" s="451"/>
      <c r="AX26" s="439"/>
    </row>
    <row r="27" spans="1:50" x14ac:dyDescent="0.3">
      <c r="A27" s="646"/>
      <c r="B27" s="405"/>
      <c r="C27" s="405"/>
      <c r="D27" s="405"/>
      <c r="E27" s="405"/>
      <c r="F27" s="405"/>
      <c r="G27" s="405"/>
      <c r="H27" s="462">
        <v>200.00021000000001</v>
      </c>
      <c r="I27" s="405"/>
      <c r="J27" s="408">
        <v>1</v>
      </c>
      <c r="K27" s="409">
        <v>200</v>
      </c>
      <c r="L27" s="448">
        <v>200.00026099999999</v>
      </c>
      <c r="M27" s="403">
        <f t="shared" si="4"/>
        <v>2.6099999999473766E-4</v>
      </c>
      <c r="N27" s="403">
        <f t="shared" si="0"/>
        <v>2.1000000000981345E-4</v>
      </c>
      <c r="O27" s="403">
        <f t="shared" si="5"/>
        <v>2.5499999992462108E-5</v>
      </c>
      <c r="P27" s="403">
        <f>0.00003</f>
        <v>3.0000000000000001E-5</v>
      </c>
      <c r="R27" s="429"/>
      <c r="S27" s="1">
        <f t="shared" si="6"/>
        <v>2</v>
      </c>
      <c r="T27" s="456">
        <v>200</v>
      </c>
      <c r="U27" s="97">
        <f>VLOOKUP($S$27,$AI$104:$AO$109,3,(FALSE))</f>
        <v>200.00005200000001</v>
      </c>
      <c r="V27" s="97">
        <f>VLOOKUP($S$27,$AI$104:$AO$109,4,(FALSE))</f>
        <v>5.2000000010821168E-5</v>
      </c>
      <c r="W27" s="97">
        <f>VLOOKUP($S$27,$AI$104:$AO$109,5,(FALSE))</f>
        <v>0</v>
      </c>
      <c r="X27" s="97">
        <f>VLOOKUP($S$27,$AI$104:$AO$109,6,(FALSE))</f>
        <v>2.0000000000000003E-6</v>
      </c>
      <c r="Y27" s="97">
        <f>VLOOKUP($S$27,$AI$104:$AO$109,7,(FALSE))</f>
        <v>3.0000000000000001E-5</v>
      </c>
      <c r="AA27" s="6">
        <f>T16</f>
        <v>0.5</v>
      </c>
      <c r="AB27" s="6">
        <f>U16</f>
        <v>0.50000180000000005</v>
      </c>
      <c r="AC27" s="6">
        <f t="shared" ref="AC27:AF27" si="52">V16</f>
        <v>1.7999999999999999E-6</v>
      </c>
      <c r="AD27" s="6">
        <f t="shared" si="52"/>
        <v>0</v>
      </c>
      <c r="AE27" s="6">
        <f t="shared" si="52"/>
        <v>3.2000000000000001E-7</v>
      </c>
      <c r="AF27" s="6">
        <f t="shared" si="52"/>
        <v>2.5000000000000002E-6</v>
      </c>
      <c r="AH27" s="630"/>
      <c r="AI27" s="451">
        <v>5</v>
      </c>
      <c r="AJ27" s="451">
        <f t="shared" si="46"/>
        <v>0.01</v>
      </c>
      <c r="AK27" s="451"/>
      <c r="AL27" s="451"/>
      <c r="AM27" s="451"/>
      <c r="AN27" s="451"/>
      <c r="AO27" s="451"/>
      <c r="AP27" s="67"/>
      <c r="AQ27" s="630"/>
      <c r="AR27" s="451">
        <v>5</v>
      </c>
      <c r="AS27" s="451">
        <f t="shared" si="48"/>
        <v>0.02</v>
      </c>
      <c r="AT27" s="451"/>
      <c r="AU27" s="451"/>
      <c r="AV27" s="451"/>
      <c r="AW27" s="451"/>
      <c r="AX27" s="439"/>
    </row>
    <row r="28" spans="1:50" x14ac:dyDescent="0.3">
      <c r="A28" s="646"/>
      <c r="B28" s="405"/>
      <c r="C28" s="405"/>
      <c r="D28" s="405"/>
      <c r="E28" s="405"/>
      <c r="F28" s="405"/>
      <c r="G28" s="405"/>
      <c r="H28" s="462">
        <v>500.00029999999998</v>
      </c>
      <c r="I28" s="405"/>
      <c r="J28" s="408">
        <v>1</v>
      </c>
      <c r="K28" s="409">
        <v>500</v>
      </c>
      <c r="L28" s="449">
        <v>500.000497</v>
      </c>
      <c r="M28" s="403">
        <f t="shared" si="4"/>
        <v>4.9699999999575084E-4</v>
      </c>
      <c r="N28" s="403">
        <f t="shared" si="0"/>
        <v>2.9999999998153726E-4</v>
      </c>
      <c r="O28" s="403">
        <f t="shared" si="5"/>
        <v>9.8500000007106792E-5</v>
      </c>
      <c r="P28" s="403">
        <f>0.06/1000</f>
        <v>5.9999999999999995E-5</v>
      </c>
      <c r="R28" s="429"/>
      <c r="S28" s="1">
        <f t="shared" si="6"/>
        <v>2</v>
      </c>
      <c r="T28" s="456">
        <v>500</v>
      </c>
      <c r="U28" s="97">
        <f>VLOOKUP($S$28,$AR$104:$AX$109,3,(FALSE))</f>
        <v>500.00006999999999</v>
      </c>
      <c r="V28" s="97">
        <f>VLOOKUP($S$28,$AR$104:$AX$109,4,(FALSE))</f>
        <v>6.9999999993797246E-5</v>
      </c>
      <c r="W28" s="97">
        <f>VLOOKUP($S$28,$AR$104:$AX$109,5,(FALSE))</f>
        <v>0</v>
      </c>
      <c r="X28" s="97">
        <f>VLOOKUP($S$28,$AR$104:$AX$109,6,(FALSE))</f>
        <v>1.2000000000000002E-6</v>
      </c>
      <c r="Y28" s="97">
        <f>VLOOKUP($S$28,$AR$104:$AX$109,7,(FALSE))</f>
        <v>3.0000000000000001E-5</v>
      </c>
      <c r="AA28" s="6">
        <f>AA27+AA23</f>
        <v>0.6</v>
      </c>
      <c r="AB28" s="6">
        <f>AB27+AB23</f>
        <v>0.60000290000000001</v>
      </c>
      <c r="AC28" s="6">
        <f t="shared" ref="AC28:AF28" si="53">AC27+AC23</f>
        <v>2.9000000000000002E-6</v>
      </c>
      <c r="AD28" s="6">
        <f t="shared" si="53"/>
        <v>0</v>
      </c>
      <c r="AE28" s="6">
        <f t="shared" si="53"/>
        <v>5.2E-7</v>
      </c>
      <c r="AF28" s="6">
        <f t="shared" si="53"/>
        <v>4.0999999999999997E-6</v>
      </c>
      <c r="AH28" s="631"/>
      <c r="AI28" s="451">
        <v>6</v>
      </c>
      <c r="AJ28" s="451">
        <f t="shared" si="46"/>
        <v>0.01</v>
      </c>
      <c r="AK28" s="451"/>
      <c r="AL28" s="451"/>
      <c r="AM28" s="451"/>
      <c r="AN28" s="451"/>
      <c r="AO28" s="451"/>
      <c r="AP28" s="67"/>
      <c r="AQ28" s="631"/>
      <c r="AR28" s="451">
        <v>6</v>
      </c>
      <c r="AS28" s="451">
        <f t="shared" si="48"/>
        <v>0.02</v>
      </c>
      <c r="AT28" s="451"/>
      <c r="AU28" s="451"/>
      <c r="AV28" s="451"/>
      <c r="AW28" s="451"/>
      <c r="AX28" s="439"/>
    </row>
    <row r="29" spans="1:50" x14ac:dyDescent="0.3">
      <c r="A29" s="405"/>
      <c r="B29" s="405"/>
      <c r="C29" s="405"/>
      <c r="D29" s="405"/>
      <c r="E29" s="405"/>
      <c r="F29" s="405"/>
      <c r="G29" s="405"/>
      <c r="H29" s="462">
        <v>1000.00063</v>
      </c>
      <c r="I29" s="405"/>
      <c r="J29" s="408">
        <v>1</v>
      </c>
      <c r="K29" s="409">
        <v>1000</v>
      </c>
      <c r="L29" s="448">
        <v>1000.00102</v>
      </c>
      <c r="M29" s="403">
        <f t="shared" si="4"/>
        <v>1.0200000000395448E-3</v>
      </c>
      <c r="N29" s="403">
        <f t="shared" si="0"/>
        <v>6.3000000000101863E-4</v>
      </c>
      <c r="O29" s="403">
        <f t="shared" si="5"/>
        <v>1.950000000192631E-4</v>
      </c>
      <c r="P29" s="403">
        <f>0.11/1000</f>
        <v>1.1E-4</v>
      </c>
      <c r="R29" s="429"/>
      <c r="S29" s="1">
        <f t="shared" si="6"/>
        <v>2</v>
      </c>
      <c r="T29" s="456">
        <v>1000</v>
      </c>
      <c r="U29" s="97">
        <f>VLOOKUP($S$29,$AI$113:$AO$118,3,(FALSE))</f>
        <v>1000.00004</v>
      </c>
      <c r="V29" s="97">
        <f>VLOOKUP($S$29,$AI$113:$AO$118,4,(FALSE))</f>
        <v>4.0000000012696546E-5</v>
      </c>
      <c r="W29" s="97">
        <f>VLOOKUP($S$29,$AI$113:$AO$118,5,(FALSE))</f>
        <v>0</v>
      </c>
      <c r="X29" s="97">
        <f>VLOOKUP($S$29,$AI$113:$AO$118,6,(FALSE))</f>
        <v>1.0000000000000002E-6</v>
      </c>
      <c r="Y29" s="97">
        <f>VLOOKUP($S$29,$AI$113:$AO$118,7,(FALSE))</f>
        <v>3.0000000000000001E-5</v>
      </c>
      <c r="AA29" s="6">
        <f>AA27+AA24</f>
        <v>0.7</v>
      </c>
      <c r="AB29" s="6">
        <f>AB27+AB24</f>
        <v>0.70000240000000002</v>
      </c>
      <c r="AC29" s="6">
        <f t="shared" ref="AC29:AF29" si="54">AC27+AC24</f>
        <v>2.3999999999999999E-6</v>
      </c>
      <c r="AD29" s="6">
        <f t="shared" si="54"/>
        <v>0</v>
      </c>
      <c r="AE29" s="6">
        <f t="shared" si="54"/>
        <v>5.6000000000000004E-7</v>
      </c>
      <c r="AF29" s="6">
        <f t="shared" si="54"/>
        <v>4.5000000000000001E-6</v>
      </c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</row>
    <row r="30" spans="1:50" ht="15" customHeight="1" x14ac:dyDescent="0.3">
      <c r="A30" s="646"/>
      <c r="B30" s="405"/>
      <c r="C30" s="405"/>
      <c r="D30" s="405"/>
      <c r="E30" s="405"/>
      <c r="F30" s="112"/>
      <c r="G30" s="112"/>
      <c r="H30" s="416"/>
      <c r="I30" s="405"/>
      <c r="J30" s="408">
        <v>2</v>
      </c>
      <c r="K30" s="411">
        <v>1E-3</v>
      </c>
      <c r="L30" s="412">
        <v>0</v>
      </c>
      <c r="M30" s="412">
        <f t="shared" si="4"/>
        <v>-1E-3</v>
      </c>
      <c r="N30" s="412"/>
      <c r="O30" s="412"/>
      <c r="P30" s="412"/>
      <c r="AA30" s="6">
        <f>AA27+AA25</f>
        <v>0.8</v>
      </c>
      <c r="AB30" s="6">
        <f>AB27+AB25</f>
        <v>0.80000350000000009</v>
      </c>
      <c r="AC30" s="6">
        <f t="shared" ref="AC30:AF30" si="55">AC27+AC25</f>
        <v>3.4999999999999999E-6</v>
      </c>
      <c r="AD30" s="6">
        <f t="shared" si="55"/>
        <v>0</v>
      </c>
      <c r="AE30" s="6">
        <f t="shared" si="55"/>
        <v>7.6000000000000003E-7</v>
      </c>
      <c r="AF30" s="6">
        <f t="shared" si="55"/>
        <v>6.1E-6</v>
      </c>
      <c r="AH30" s="629">
        <v>0.02</v>
      </c>
      <c r="AI30" s="625"/>
      <c r="AJ30" s="625"/>
      <c r="AK30" s="627"/>
      <c r="AL30" s="628" t="s">
        <v>220</v>
      </c>
      <c r="AM30" s="625"/>
      <c r="AN30" s="625"/>
      <c r="AO30" s="625"/>
      <c r="AP30" s="67"/>
      <c r="AQ30" s="629">
        <v>0.05</v>
      </c>
      <c r="AR30" s="625"/>
      <c r="AS30" s="625"/>
      <c r="AT30" s="627"/>
      <c r="AU30" s="628"/>
      <c r="AV30" s="625"/>
      <c r="AW30" s="625"/>
      <c r="AX30" s="632"/>
    </row>
    <row r="31" spans="1:50" x14ac:dyDescent="0.3">
      <c r="A31" s="646"/>
      <c r="B31" s="405"/>
      <c r="C31" s="405"/>
      <c r="D31" s="405"/>
      <c r="E31" s="405"/>
      <c r="F31" s="405"/>
      <c r="G31" s="405"/>
      <c r="H31" s="417"/>
      <c r="I31" s="405"/>
      <c r="J31" s="408">
        <v>2</v>
      </c>
      <c r="K31" s="409">
        <v>2E-3</v>
      </c>
      <c r="L31" s="448">
        <v>1.9989000000000001E-3</v>
      </c>
      <c r="M31" s="403">
        <f>L31-K31</f>
        <v>-1.0999999999999725E-6</v>
      </c>
      <c r="N31" s="403"/>
      <c r="O31" s="403"/>
      <c r="P31" s="403"/>
      <c r="AA31" s="6">
        <f>AA27+AA26</f>
        <v>0.9</v>
      </c>
      <c r="AB31" s="6">
        <f>AB27+AB26</f>
        <v>0.90000300000000011</v>
      </c>
      <c r="AC31" s="6">
        <f t="shared" ref="AC31:AF31" si="56">AC27+AC26</f>
        <v>3.0000000000000001E-6</v>
      </c>
      <c r="AD31" s="6">
        <f t="shared" si="56"/>
        <v>0</v>
      </c>
      <c r="AE31" s="6">
        <f t="shared" si="56"/>
        <v>8.0000000000000007E-7</v>
      </c>
      <c r="AF31" s="6">
        <f t="shared" si="56"/>
        <v>6.5000000000000004E-6</v>
      </c>
      <c r="AH31" s="630"/>
      <c r="AI31" s="626" t="s">
        <v>434</v>
      </c>
      <c r="AJ31" s="626" t="s">
        <v>433</v>
      </c>
      <c r="AK31" s="453" t="s">
        <v>319</v>
      </c>
      <c r="AL31" s="453">
        <v>2022</v>
      </c>
      <c r="AM31" s="626">
        <v>2018</v>
      </c>
      <c r="AN31" s="626" t="s">
        <v>320</v>
      </c>
      <c r="AO31" s="626" t="s">
        <v>218</v>
      </c>
      <c r="AP31" s="67"/>
      <c r="AQ31" s="630"/>
      <c r="AR31" s="626" t="s">
        <v>434</v>
      </c>
      <c r="AS31" s="626" t="s">
        <v>433</v>
      </c>
      <c r="AT31" s="453" t="s">
        <v>319</v>
      </c>
      <c r="AU31" s="453">
        <v>2022</v>
      </c>
      <c r="AV31" s="626">
        <v>2018</v>
      </c>
      <c r="AW31" s="626" t="s">
        <v>320</v>
      </c>
      <c r="AX31" s="633" t="s">
        <v>218</v>
      </c>
    </row>
    <row r="32" spans="1:50" ht="14.55" customHeight="1" x14ac:dyDescent="0.3">
      <c r="A32" s="646"/>
      <c r="B32" s="405"/>
      <c r="C32" s="405"/>
      <c r="D32" s="405"/>
      <c r="E32" s="405"/>
      <c r="F32" s="405"/>
      <c r="G32" s="405"/>
      <c r="H32" s="417"/>
      <c r="I32" s="405"/>
      <c r="J32" s="408">
        <v>2</v>
      </c>
      <c r="K32" s="409">
        <v>2E-3</v>
      </c>
      <c r="L32" s="449">
        <v>1.9989000000000001E-3</v>
      </c>
      <c r="M32" s="403">
        <f t="shared" si="4"/>
        <v>-1.0999999999999725E-6</v>
      </c>
      <c r="N32" s="403"/>
      <c r="O32" s="403"/>
      <c r="P32" s="403"/>
      <c r="AA32" s="6">
        <f>T17</f>
        <v>1</v>
      </c>
      <c r="AB32" s="6">
        <f>U17</f>
        <v>1.000003</v>
      </c>
      <c r="AC32" s="6">
        <f t="shared" ref="AC32:AF33" si="57">V17</f>
        <v>3.0000000000000001E-6</v>
      </c>
      <c r="AD32" s="6">
        <f t="shared" si="57"/>
        <v>0</v>
      </c>
      <c r="AE32" s="6">
        <f t="shared" si="57"/>
        <v>1.2E-5</v>
      </c>
      <c r="AF32" s="6">
        <f t="shared" si="57"/>
        <v>1.0000000000000001E-5</v>
      </c>
      <c r="AH32" s="630">
        <v>0.02</v>
      </c>
      <c r="AI32" s="451">
        <v>1</v>
      </c>
      <c r="AJ32" s="451">
        <v>0.02</v>
      </c>
      <c r="AK32" s="451">
        <f>L11</f>
        <v>1.9998599999999998E-2</v>
      </c>
      <c r="AL32" s="451">
        <f t="shared" ref="AL32:AO32" si="58">M11</f>
        <v>-1.400000000002094E-6</v>
      </c>
      <c r="AM32" s="451">
        <f t="shared" si="58"/>
        <v>7.0000000000000617E-6</v>
      </c>
      <c r="AN32" s="451">
        <f t="shared" si="58"/>
        <v>4.2000000000010779E-6</v>
      </c>
      <c r="AO32" s="451">
        <f t="shared" si="58"/>
        <v>9.9999999999999995E-7</v>
      </c>
      <c r="AP32" s="67"/>
      <c r="AQ32" s="630">
        <v>0.05</v>
      </c>
      <c r="AR32" s="451">
        <v>1</v>
      </c>
      <c r="AS32" s="451">
        <v>0.05</v>
      </c>
      <c r="AT32" s="451">
        <f>L12</f>
        <v>5.0000599999999999E-2</v>
      </c>
      <c r="AU32" s="451">
        <f>M12</f>
        <v>5.9999999999643672E-7</v>
      </c>
      <c r="AV32" s="451">
        <f>N12</f>
        <v>-1.0000000000010001E-6</v>
      </c>
      <c r="AW32" s="451">
        <f>O12</f>
        <v>7.999999999987184E-7</v>
      </c>
      <c r="AX32" s="450">
        <f>P12</f>
        <v>9.9999999999999995E-7</v>
      </c>
    </row>
    <row r="33" spans="1:50" x14ac:dyDescent="0.3">
      <c r="A33" s="646"/>
      <c r="B33" s="405"/>
      <c r="C33" s="405"/>
      <c r="D33" s="405"/>
      <c r="E33" s="405"/>
      <c r="F33" s="405"/>
      <c r="G33" s="405"/>
      <c r="H33" s="417"/>
      <c r="I33" s="405"/>
      <c r="J33" s="408">
        <v>2</v>
      </c>
      <c r="K33" s="409">
        <v>5.0000000000000001E-3</v>
      </c>
      <c r="L33" s="448">
        <v>5.0001999999999998E-3</v>
      </c>
      <c r="M33" s="403">
        <f>L33-K33</f>
        <v>1.999999999996796E-7</v>
      </c>
      <c r="N33" s="403"/>
      <c r="O33" s="403"/>
      <c r="P33" s="403"/>
      <c r="S33" s="421"/>
      <c r="T33" s="421" t="s">
        <v>428</v>
      </c>
      <c r="U33" s="421"/>
      <c r="V33" s="421"/>
      <c r="AA33" s="6">
        <f>T18</f>
        <v>2</v>
      </c>
      <c r="AB33" s="6">
        <f>U18</f>
        <v>2.0000010000000001</v>
      </c>
      <c r="AC33" s="6">
        <f t="shared" si="57"/>
        <v>9.9999999999999995E-7</v>
      </c>
      <c r="AD33" s="6">
        <f t="shared" si="57"/>
        <v>0</v>
      </c>
      <c r="AE33" s="6">
        <f t="shared" si="57"/>
        <v>4.8000000000000006E-7</v>
      </c>
      <c r="AF33" s="6">
        <f t="shared" si="57"/>
        <v>3.9999999999999998E-6</v>
      </c>
      <c r="AH33" s="630"/>
      <c r="AI33" s="451">
        <v>2</v>
      </c>
      <c r="AJ33" s="451">
        <f>AJ32</f>
        <v>0.02</v>
      </c>
      <c r="AK33" s="451">
        <f>L35</f>
        <v>1.9999699999999999E-2</v>
      </c>
      <c r="AL33" s="451">
        <f t="shared" ref="AL33:AO33" si="59">M35</f>
        <v>-2.9999999999999999E-7</v>
      </c>
      <c r="AM33" s="451">
        <f t="shared" si="59"/>
        <v>0</v>
      </c>
      <c r="AN33" s="451">
        <f t="shared" si="59"/>
        <v>1.2000000000000002E-7</v>
      </c>
      <c r="AO33" s="451">
        <f t="shared" si="59"/>
        <v>9.9999999999999995E-7</v>
      </c>
      <c r="AP33" s="67"/>
      <c r="AQ33" s="630"/>
      <c r="AR33" s="451">
        <v>2</v>
      </c>
      <c r="AS33" s="451">
        <f>AS32</f>
        <v>0.05</v>
      </c>
      <c r="AT33" s="451">
        <f>L37</f>
        <v>0.05</v>
      </c>
      <c r="AU33" s="451">
        <f>M37</f>
        <v>0</v>
      </c>
      <c r="AV33" s="451">
        <f>N37</f>
        <v>0</v>
      </c>
      <c r="AW33" s="451">
        <f>O37</f>
        <v>1.6E-7</v>
      </c>
      <c r="AX33" s="440">
        <f>P37</f>
        <v>1.1999999999999999E-6</v>
      </c>
    </row>
    <row r="34" spans="1:50" x14ac:dyDescent="0.3">
      <c r="A34" s="646"/>
      <c r="B34" s="405"/>
      <c r="C34" s="405"/>
      <c r="D34" s="405"/>
      <c r="E34" s="405"/>
      <c r="F34" s="405"/>
      <c r="G34" s="405"/>
      <c r="H34" s="417"/>
      <c r="I34" s="405"/>
      <c r="J34" s="408">
        <v>2</v>
      </c>
      <c r="K34" s="409">
        <v>0.01</v>
      </c>
      <c r="L34" s="449">
        <f t="shared" ref="L34:L45" si="60">K34+M34</f>
        <v>9.9997999999999997E-3</v>
      </c>
      <c r="M34" s="403">
        <v>-1.9999999999999999E-7</v>
      </c>
      <c r="N34" s="403"/>
      <c r="O34" s="403">
        <f>0.5*(0.08*MPE!B29)</f>
        <v>1.2000000000000002E-7</v>
      </c>
      <c r="P34" s="403">
        <v>7.9999999999999996E-7</v>
      </c>
      <c r="S34" s="422"/>
      <c r="T34" s="422">
        <f>IF(S35&lt;=$T$6,$T$5,IF(S35&lt;=$T$7,$T$6,IF(S35&lt;=$T$8,$T$7,IF(S35&lt;=$T$9,$T$8,IF(S35&lt;=$T$10,$T$9,IF(S35&lt;=$T$11,$T$10,IF(S35&lt;=$T$12,$T$11,IF(S35&lt;=$T$13,$T$12,IF(S35&lt;=$T$14,$T$13,IF(S35&lt;=$T$15,$T$14,IF(S35&lt;=$T$16,$T$15,IF(S35&lt;=$T$17,$T$16,IF(S35&lt;=$T$18,$T$17,IF(S35&lt;=$T$19,$T$18,IF(S35&lt;=$T$20,$T$19,IF(S35&lt;=$T$21,$T$20,IF(S35&lt;=$T$22,$T$21,IF(S35&lt;=$T$23,$T$22,IF(S35&lt;=$T$24,$T$23,IF(S35&lt;=$T$25,$T$24,IF(S35&lt;=$T$26,$T$25,IF(S35&lt;=$T$27,$T$26,IF(S35&lt;=$T$28,$T$27,IF(S35&lt;=$T$29,$T$28,$T$29))))))))))))))))))))))))</f>
        <v>10</v>
      </c>
      <c r="U34" s="422"/>
      <c r="V34" s="422">
        <f>IF(S35&lt;=$T$6,$U$5,IF(S35&lt;=$T$7,$U$6,IF(S35&lt;=$T$8,$U$7,IF(S35&lt;=$T$9,$U$8,IF(S35&lt;=$T$10,$U$9,IF(S35&lt;=$T$11,$U$10,IF(S35&lt;=$T$12,$U$11,IF(S35&lt;=$T$13,$U$12,IF(S35&lt;=$T$14,$U$13,IF(S35&lt;=$T$15,$U$14,IF(S35&lt;=$T$16,$U$15,IF(S35&lt;=$T$17,$U$16,IF(S35&lt;=$T$18,$U$17,IF(S35&lt;=$T$19,$U$18,IF(S35&lt;=$T$20,$U$19,IF(S35&lt;=$T$21,$U$20,IF(S35&lt;=$T$22,$U$21,IF(S35&lt;=$T$23,$U$22,IF(S35&lt;=$T$24,$U$23,IF(S35&lt;=$T$25,$U$24,IF(S35&lt;=$T$26,$U$25,IF(S35&lt;=$T$27,$U$26,IF(S35&lt;=$T$28,$U$27,IF(S35&lt;=$T$29,$U$28,$T$29))))))))))))))))))))))))</f>
        <v>10.00001</v>
      </c>
      <c r="W34" s="422"/>
      <c r="X34" s="422">
        <f>IF(S35&lt;=$T$6,$X$5,IF(S35&lt;=$T$7,$X$6,IF(S35&lt;=$T$8,$X$7,IF(S35&lt;=$T$9,$X$8,IF(S35&lt;=$T$10,$X$9,IF(S35&lt;=$T$11,$X$10,IF(S35&lt;=$T$12,$X$11,IF(S35&lt;=$T$13,$X$12,IF(S35&lt;=$T$14,$X$13,IF(S35&lt;=$T$15,$X$14,IF(S35&lt;=$T$16,$X$15,IF(S35&lt;=$T$17,$X$16,IF(S35&lt;=$T$18,$X$17,IF(S35&lt;=$T$19,$X$18,IF(S35&lt;=$T$20,$X$19,IF(S35&lt;=$T$21,$X$20,IF(S35&lt;=$T$22,$X$21,IF(S35&lt;=$T$23,$X$22,IF(S35&lt;=$T$24,$X$23,IF(S35&lt;=$T$25,$X$24,IF(S35&lt;=$T$26,$X$25,IF(S35&lt;=$T$27,$X$26,IF(S35&lt;=$T$28,$X$27,IF(S35&lt;=$T$29,$X$28,$T$29))))))))))))))))))))))))</f>
        <v>8.0000000000000007E-7</v>
      </c>
      <c r="Y34" s="422">
        <f>IF(S35&lt;=$T$6,$Y$5,IF(S35&lt;=$T$7,$Y$6,IF(S35&lt;=$T$8,$Y$7,IF(S35&lt;=$T$9,$Y$8,IF(S35&lt;=$T$10,$Y$9,IF(S35&lt;=$T$11,$Y$10,IF(S35&lt;=$T$12,$Y$11,IF(S35&lt;=$T$13,$Y$12,IF(S35&lt;=$T$14,$Y$13,IF(S35&lt;=$T$15,$Y$14,IF(S35&lt;=$T$16,$Y$15,IF(S35&lt;=$T$17,$Y$16,IF(S35&lt;=$T$18,$Y$17,IF(S35&lt;=$T$19,$Y$18,IF(S35&lt;=$T$20,$Y$19,IF(S35&lt;=$T$21,$Y$20,IF(S35&lt;=$T$22,$Y$21,IF(S35&lt;=$T$23,$Y$22,IF(S35&lt;=$T$24,$Y$23,IF(S35&lt;=$T$25,$Y$24,IF(S35&lt;=$T$26,$Y$25,IF(S35&lt;=$T$27,$Y$26,IF(S35&lt;=$T$28,$Y$27,IF(S35&lt;=$T$29,$Y$28,$T$29))))))))))))))))))))))))</f>
        <v>6.0000000000000002E-6</v>
      </c>
      <c r="AA34" s="6">
        <f t="shared" ref="AA34:AF34" si="61">T18+AA32</f>
        <v>3</v>
      </c>
      <c r="AB34" s="6">
        <f t="shared" si="61"/>
        <v>3.0000040000000001</v>
      </c>
      <c r="AC34" s="6">
        <f t="shared" si="61"/>
        <v>3.9999999999999998E-6</v>
      </c>
      <c r="AD34" s="6">
        <f t="shared" si="61"/>
        <v>0</v>
      </c>
      <c r="AE34" s="6">
        <f t="shared" si="61"/>
        <v>1.2480000000000001E-5</v>
      </c>
      <c r="AF34" s="6">
        <f t="shared" si="61"/>
        <v>1.4000000000000001E-5</v>
      </c>
      <c r="AH34" s="630"/>
      <c r="AI34" s="451">
        <v>3</v>
      </c>
      <c r="AJ34" s="451">
        <f t="shared" ref="AJ34:AJ37" si="62">AJ33</f>
        <v>0.02</v>
      </c>
      <c r="AK34" s="451">
        <f>L61</f>
        <v>2.0003E-2</v>
      </c>
      <c r="AL34" s="451">
        <f t="shared" ref="AL34:AO34" si="63">M61</f>
        <v>3.0000000000000001E-6</v>
      </c>
      <c r="AM34" s="451">
        <f t="shared" si="63"/>
        <v>0</v>
      </c>
      <c r="AN34" s="451">
        <f t="shared" si="63"/>
        <v>4.0000000000000007E-6</v>
      </c>
      <c r="AO34" s="451">
        <f t="shared" si="63"/>
        <v>3.0000000000000001E-6</v>
      </c>
      <c r="AP34" s="67"/>
      <c r="AQ34" s="630"/>
      <c r="AR34" s="451">
        <v>3</v>
      </c>
      <c r="AS34" s="451">
        <f t="shared" ref="AS34:AS37" si="64">AS33</f>
        <v>0.05</v>
      </c>
      <c r="AT34" s="451">
        <f>L62</f>
        <v>0.05</v>
      </c>
      <c r="AU34" s="451">
        <f>M62</f>
        <v>0</v>
      </c>
      <c r="AV34" s="451">
        <f>N62</f>
        <v>0</v>
      </c>
      <c r="AW34" s="451">
        <f>O62</f>
        <v>4.8000000000000006E-6</v>
      </c>
      <c r="AX34" s="440">
        <f>P62</f>
        <v>3.9999999999999998E-6</v>
      </c>
    </row>
    <row r="35" spans="1:50" x14ac:dyDescent="0.3">
      <c r="A35" s="646"/>
      <c r="B35" s="405"/>
      <c r="C35" s="405"/>
      <c r="D35" s="405"/>
      <c r="E35" s="405"/>
      <c r="F35" s="405"/>
      <c r="G35" s="405"/>
      <c r="H35" s="417"/>
      <c r="I35" s="405"/>
      <c r="J35" s="408">
        <v>2</v>
      </c>
      <c r="K35" s="409">
        <v>0.02</v>
      </c>
      <c r="L35" s="448">
        <f t="shared" si="60"/>
        <v>1.9999699999999999E-2</v>
      </c>
      <c r="M35" s="403">
        <v>-2.9999999999999999E-7</v>
      </c>
      <c r="N35" s="403"/>
      <c r="O35" s="403">
        <f>0.5*(0.08*MPE!B28)</f>
        <v>1.2000000000000002E-7</v>
      </c>
      <c r="P35" s="403">
        <v>9.9999999999999995E-7</v>
      </c>
      <c r="S35" s="424">
        <f>ID!B42</f>
        <v>20</v>
      </c>
      <c r="T35" s="422"/>
      <c r="U35" s="420">
        <f>((S35-T34)/(T36-T34)*(V36-V34)+V34)</f>
        <v>20.000005999999999</v>
      </c>
      <c r="V35" s="422"/>
      <c r="W35" s="422"/>
      <c r="X35" s="420">
        <f>((S35-T34)/(T36-T34)*(X36-X34)+X34)</f>
        <v>1.0000000000000002E-6</v>
      </c>
      <c r="Y35" s="420">
        <f>((S35-T34)/(T36-T34)*(Y36-Y34)+Y34)</f>
        <v>7.9999999999999996E-6</v>
      </c>
      <c r="AA35" s="6">
        <f t="shared" ref="AA35:AF35" si="65">AA33+T19</f>
        <v>4</v>
      </c>
      <c r="AB35" s="6">
        <f t="shared" si="65"/>
        <v>4.0000040000000006</v>
      </c>
      <c r="AC35" s="6">
        <f t="shared" si="65"/>
        <v>3.9999999999999998E-6</v>
      </c>
      <c r="AD35" s="6">
        <f t="shared" si="65"/>
        <v>0</v>
      </c>
      <c r="AE35" s="6">
        <f t="shared" si="65"/>
        <v>9.6000000000000013E-7</v>
      </c>
      <c r="AF35" s="6">
        <f t="shared" si="65"/>
        <v>7.9999999999999996E-6</v>
      </c>
      <c r="AH35" s="630"/>
      <c r="AI35" s="451">
        <v>4</v>
      </c>
      <c r="AJ35" s="451">
        <f t="shared" si="62"/>
        <v>0.02</v>
      </c>
      <c r="AK35" s="451"/>
      <c r="AL35" s="451"/>
      <c r="AM35" s="451"/>
      <c r="AN35" s="451"/>
      <c r="AO35" s="451"/>
      <c r="AP35" s="67"/>
      <c r="AQ35" s="630"/>
      <c r="AR35" s="451">
        <v>4</v>
      </c>
      <c r="AS35" s="451">
        <f t="shared" si="64"/>
        <v>0.05</v>
      </c>
      <c r="AT35" s="451"/>
      <c r="AU35" s="451"/>
      <c r="AV35" s="451"/>
      <c r="AW35" s="451"/>
      <c r="AX35" s="439"/>
    </row>
    <row r="36" spans="1:50" x14ac:dyDescent="0.3">
      <c r="A36" s="646"/>
      <c r="B36" s="405"/>
      <c r="C36" s="405"/>
      <c r="D36" s="405"/>
      <c r="E36" s="405"/>
      <c r="F36" s="405"/>
      <c r="G36" s="405"/>
      <c r="H36" s="417"/>
      <c r="I36" s="405"/>
      <c r="J36" s="408">
        <v>2</v>
      </c>
      <c r="K36" s="409">
        <v>0.02</v>
      </c>
      <c r="L36" s="449">
        <f t="shared" si="60"/>
        <v>2.00012E-2</v>
      </c>
      <c r="M36" s="403">
        <v>1.1999999999999999E-6</v>
      </c>
      <c r="N36" s="403"/>
      <c r="O36" s="403">
        <f>0.5*(0.08*MPE!B28)</f>
        <v>1.2000000000000002E-7</v>
      </c>
      <c r="P36" s="403">
        <v>9.9999999999999995E-7</v>
      </c>
      <c r="S36" s="423"/>
      <c r="T36" s="422">
        <f>IF(S35&lt;=$T$6,$T$6,IF(S35&lt;=$T$7,$T$7,IF(S35&lt;=$T$8,$T$8,IF(S35&lt;=$T$9,$T$9,IF(S35&lt;=$T$10,$T$10,IF(S35&lt;=$T$11,$T$11,IF(S35&lt;=$T$12,$T$12,IF(S35&lt;=$T$13,$T$13,IF(S35&lt;=$T$14,$T$14,IF(S35&lt;=$T$15,$T$15,IF(S35&lt;=$T$16,$T$16,IF(S35&lt;=$T$17,$T$17,IF(S35&lt;=$T$18,$T$18,IF(S35&lt;=$T$19,$T$19,IF(S35&lt;=$T$20,$T$20,IF(S35&lt;=$T$21,$T$21,IF(S35&lt;=$T$22,$T$22,IF(S35&lt;=$T$23,$T$23,IF(S35&lt;=$T$24,$T$24,IF(S35&lt;=$T$25,$T$25,IF(S35&lt;=$T$26,$T$26,IF(S35&lt;=$T$27,$T$27,IF(S35&lt;=$T$28,$T$28,IF(S35&lt;=$T$29,$T$29))))))))))))))))))))))))</f>
        <v>20</v>
      </c>
      <c r="U36" s="422"/>
      <c r="V36" s="422">
        <f>IF(S35&lt;=$T$6,$U$6,IF(S35&lt;=$T$7,$U$7,IF(S35&lt;=$T$8,$U$8,IF(S35&lt;=$T$9,$U$9,IF(S35&lt;=$T$10,$U$10,IF(S35&lt;=$T$11,$U$11,IF(S35&lt;=$T$12,$U$12,IF(S35&lt;=$T$13,$U$13,IF(S35&lt;=$T$14,$U$14,IF(S35&lt;=$T$15,$U$15,IF(S35&lt;=$T$16,$U$16,IF(S35&lt;=$T$17,$U$17,IF(S35&lt;=$T$18,$U$18,IF(S35&lt;=$T$19,$U$19,IF(S35&lt;=$T$20,$U$20,IF(S35&lt;=$T$21,$U$21,IF(S35&lt;=$T$22,$U$22,IF(S35&lt;=$T$23,$U$23,IF(S35&lt;=$T$24,$U$24,IF(S35&lt;=$T$25,$U$25,IF(S35&lt;=$T$26,$U$26,IF(S35&lt;=$T$27,$U$27,IF(S35&lt;=$T$28,$U$28,IF(S35&lt;=$T$29,$U$29))))))))))))))))))))))))</f>
        <v>20.000005999999999</v>
      </c>
      <c r="W36" s="422"/>
      <c r="X36" s="422">
        <f>IF(S35&lt;=$T$6,$X$6,IF(S35&lt;=$T$7,$X$7,IF(S35&lt;=$T$8,$X$8,IF(S35&lt;=$T$9,$X$9,IF(S35&lt;=$T$10,$X$10,IF(S35&lt;=$T$11,$X$11,IF(S35&lt;=$T$12,$X$12,IF(S35&lt;=$T$13,$X$13,IF(S35&lt;=$T$14,$X$14,IF(S35&lt;=$T$15,$X$15,IF(S35&lt;=$T$16,$X$16,IF(S35&lt;=$T$17,$X$17,IF(S35&lt;=$T$18,$X$18,IF(S35&lt;=$T$19,$X$19,IF(S35&lt;=$T$20,$X$20,IF(S35&lt;=$T$21,$X$21,IF(S35&lt;=$T$22,$X$22,IF(S35&lt;=$T$23,$X$23,IF(S35&lt;=$T$24,$X$24,IF(S35&lt;=$T$25,$X$25,IF(S35&lt;=$T$26,$X$26,IF(S35&lt;=$T$27,$X$27,IF(S35&lt;=$T$28,$X$28,IF(S35&lt;=$T$29,$X$29))))))))))))))))))))))))</f>
        <v>1.0000000000000002E-6</v>
      </c>
      <c r="Y36" s="422">
        <f>IF(S35&lt;=$T$6,$Y$6,IF(S35&lt;=$T$7,$Y$7,IF(S35&lt;=$T$8,$Y$8,IF(S35&lt;=$T$9,$Y$9,IF(S35&lt;=$T$10,$Y$10,IF(S35&lt;=$T$11,$Y$11,IF(S35&lt;=$T$12,$Y$12,IF(S35&lt;=$T$13,$Y$13,IF(S35&lt;=$T$14,$Y$14,IF(S35&lt;=$T$15,$Y$15,IF(S35&lt;=$T$16,$Y$16,IF(S35&lt;=$T$17,$Y$17,IF(S35&lt;=$T$18,$Y$18,IF(S35&lt;=$T$19,$Y$19,IF(S35&lt;=$T$20,$Y$20,IF(S35&lt;=$T$21,$Y$21,IF(S35&lt;=$T$22,$Y$22,IF(S35&lt;=$T$23,$Y$23,IF(S35&lt;=$T$24,$Y$24,IF(S35&lt;=$T$25,$Y$25,IF(S35&lt;=$T$26,$Y$26,IF(S35&lt;=$T$27,$Y$27,IF(S35&lt;=$T$28,$Y$28,IF(S35&lt;=$T$29,$Y$29))))))))))))))))))))))))</f>
        <v>7.9999999999999996E-6</v>
      </c>
      <c r="AA36" s="6">
        <f>T20</f>
        <v>5</v>
      </c>
      <c r="AB36" s="6">
        <f>U20</f>
        <v>5.0000099999999996</v>
      </c>
      <c r="AC36" s="6">
        <f t="shared" ref="AC36:AF36" si="66">V20</f>
        <v>1.0000000000000001E-5</v>
      </c>
      <c r="AD36" s="6">
        <f t="shared" si="66"/>
        <v>0</v>
      </c>
      <c r="AE36" s="6">
        <f t="shared" si="66"/>
        <v>6.4000000000000001E-7</v>
      </c>
      <c r="AF36" s="6">
        <f t="shared" si="66"/>
        <v>5.0000000000000004E-6</v>
      </c>
      <c r="AH36" s="630"/>
      <c r="AI36" s="451">
        <v>5</v>
      </c>
      <c r="AJ36" s="451">
        <f t="shared" si="62"/>
        <v>0.02</v>
      </c>
      <c r="AK36" s="451"/>
      <c r="AL36" s="451"/>
      <c r="AM36" s="451"/>
      <c r="AN36" s="451"/>
      <c r="AO36" s="451"/>
      <c r="AP36" s="67"/>
      <c r="AQ36" s="630"/>
      <c r="AR36" s="451">
        <v>5</v>
      </c>
      <c r="AS36" s="451">
        <f t="shared" si="64"/>
        <v>0.05</v>
      </c>
      <c r="AT36" s="451"/>
      <c r="AU36" s="451"/>
      <c r="AV36" s="451"/>
      <c r="AW36" s="451"/>
      <c r="AX36" s="439"/>
    </row>
    <row r="37" spans="1:50" x14ac:dyDescent="0.3">
      <c r="A37" s="646"/>
      <c r="B37" s="405"/>
      <c r="C37" s="405"/>
      <c r="D37" s="405"/>
      <c r="E37" s="405"/>
      <c r="F37" s="405"/>
      <c r="G37" s="405"/>
      <c r="H37" s="417"/>
      <c r="I37" s="405"/>
      <c r="J37" s="408">
        <v>2</v>
      </c>
      <c r="K37" s="409">
        <v>0.05</v>
      </c>
      <c r="L37" s="448">
        <f t="shared" si="60"/>
        <v>0.05</v>
      </c>
      <c r="M37" s="403">
        <v>0</v>
      </c>
      <c r="N37" s="403"/>
      <c r="O37" s="403">
        <f>0.5*(0.08*MPE!B27)</f>
        <v>1.6E-7</v>
      </c>
      <c r="P37" s="403">
        <v>1.1999999999999999E-6</v>
      </c>
      <c r="S37" s="425"/>
      <c r="T37" s="419">
        <f>IF(S38&lt;=$T$6,$T$5,IF(S38&lt;=$T$7,$T$6,IF(S38&lt;=$T$8,$T$7,IF(S38&lt;=$T$9,$T$8,IF(S38&lt;=$T$10,$T$9,IF(S38&lt;=$T$11,$T$10,IF(S38&lt;=$T$12,$T$11,IF(S38&lt;=$T$13,$T$12,IF(S38&lt;=$T$14,$T$13,IF(S38&lt;=$T$15,$T$14,IF(S38&lt;=$T$16,$T$15,IF(S38&lt;=$T$17,$T$16,IF(S38&lt;=$T$18,$T$17,IF(S38&lt;=$T$19,$T$18,IF(S38&lt;=$T$20,$T$19,IF(S38&lt;=$T$21,$T$20,IF(S38&lt;=$T$22,$T$21,IF(S38&lt;=$T$23,$T$22,IF(S38&lt;=$T$24,$T$23,IF(S38&lt;=$T$25,$T$24,IF(S38&lt;=$T$26,$T$25,IF(S38&lt;=$T$27,$T$26,IF(S38&lt;=$T$28,$T$27,IF(S38&lt;=$T$29,$T$28,$T$29))))))))))))))))))))))))</f>
        <v>20</v>
      </c>
      <c r="U37" s="419"/>
      <c r="V37" s="419">
        <f>IF(S38&lt;=$T$6,$U$5,IF(S38&lt;=$T$7,$U$6,IF(S38&lt;=$T$8,$U$7,IF(S38&lt;=$T$9,$U$8,IF(S38&lt;=$T$10,$U$9,IF(S38&lt;=$T$11,$U$10,IF(S38&lt;=$T$12,$U$11,IF(S38&lt;=$T$13,$U$12,IF(S38&lt;=$T$14,$U$13,IF(S38&lt;=$T$15,$U$14,IF(S38&lt;=$T$16,$U$15,IF(S38&lt;=$T$17,$U$16,IF(S38&lt;=$T$18,$U$17,IF(S38&lt;=$T$19,$U$18,IF(S38&lt;=$T$20,$U$19,IF(S38&lt;=$T$21,$U$20,IF(S38&lt;=$T$22,$U$21,IF(S38&lt;=$T$23,$U$22,IF(S38&lt;=$T$24,$U$23,IF(S38&lt;=$T$25,$U$24,IF(S38&lt;=$T$26,$U$25,IF(S38&lt;=$T$27,$U$26,IF(S38&lt;=$T$28,$U$27,IF(S38&lt;=$T$29,$U$28,$T$29))))))))))))))))))))))))</f>
        <v>20.000005999999999</v>
      </c>
      <c r="W37" s="419"/>
      <c r="X37" s="419">
        <f>IF(S38&lt;=$T$6,$X$5,IF(S38&lt;=$T$7,$X$6,IF(S38&lt;=$T$8,$X$7,IF(S38&lt;=$T$9,$X$8,IF(S38&lt;=$T$10,$X$9,IF(S38&lt;=$T$11,$X$10,IF(S38&lt;=$T$12,$X$11,IF(S38&lt;=$T$13,$X$12,IF(S38&lt;=$T$14,$X$13,IF(S38&lt;=$T$15,$X$14,IF(S38&lt;=$T$16,$X$15,IF(S38&lt;=$T$17,$X$16,IF(S38&lt;=$T$18,$X$17,IF(S38&lt;=$T$19,$X$18,IF(S38&lt;=$T$20,$X$19,IF(S38&lt;=$T$21,$X$20,IF(S38&lt;=$T$22,$X$21,IF(S38&lt;=$T$23,$X$22,IF(S38&lt;=$T$24,$X$23,IF(S38&lt;=$T$25,$X$24,IF(S38&lt;=$T$26,$X$25,IF(S38&lt;=$T$27,$X$26,IF(S38&lt;=$T$28,$X$27,IF(S38&lt;=$T$29,$X$28,$T$29))))))))))))))))))))))))</f>
        <v>1.0000000000000002E-6</v>
      </c>
      <c r="Y37" s="419">
        <f>IF(S38&lt;=$T$6,$Y$5,IF(S38&lt;=$T$7,$Y$6,IF(S38&lt;=$T$8,$Y$7,IF(S38&lt;=$T$9,$Y$8,IF(S38&lt;=$T$10,$Y$9,IF(S38&lt;=$T$11,$Y$10,IF(S38&lt;=$T$12,$Y$11,IF(S38&lt;=$T$13,$Y$12,IF(S38&lt;=$T$14,$Y$13,IF(S38&lt;=$T$15,$Y$14,IF(S38&lt;=$T$16,$Y$15,IF(S38&lt;=$T$17,$Y$16,IF(S38&lt;=$T$18,$Y$17,IF(S38&lt;=$T$19,$Y$18,IF(S38&lt;=$T$20,$Y$19,IF(S38&lt;=$T$21,$Y$20,IF(S38&lt;=$T$22,$Y$21,IF(S38&lt;=$T$23,$Y$22,IF(S38&lt;=$T$24,$Y$23,IF(S38&lt;=$T$25,$Y$24,IF(S38&lt;=$T$26,$Y$25,IF(S38&lt;=$T$27,$Y$26,IF(S38&lt;=$T$28,$Y$27,IF(S38&lt;=$T$29,$Y$28,$T$29))))))))))))))))))))))))</f>
        <v>7.9999999999999996E-6</v>
      </c>
      <c r="AA37" s="6">
        <f>AA36+AA32</f>
        <v>6</v>
      </c>
      <c r="AB37" s="6">
        <f>AB36+AB32</f>
        <v>6.0000129999999992</v>
      </c>
      <c r="AC37" s="6">
        <f t="shared" ref="AC37:AF37" si="67">AC36+AC32</f>
        <v>1.3000000000000001E-5</v>
      </c>
      <c r="AD37" s="6">
        <f t="shared" si="67"/>
        <v>0</v>
      </c>
      <c r="AE37" s="6">
        <f t="shared" si="67"/>
        <v>1.2640000000000001E-5</v>
      </c>
      <c r="AF37" s="6">
        <f t="shared" si="67"/>
        <v>1.5000000000000002E-5</v>
      </c>
      <c r="AH37" s="631"/>
      <c r="AI37" s="451">
        <v>6</v>
      </c>
      <c r="AJ37" s="451">
        <f t="shared" si="62"/>
        <v>0.02</v>
      </c>
      <c r="AK37" s="451"/>
      <c r="AL37" s="451"/>
      <c r="AM37" s="451"/>
      <c r="AN37" s="451"/>
      <c r="AO37" s="451"/>
      <c r="AP37" s="67"/>
      <c r="AQ37" s="631"/>
      <c r="AR37" s="451">
        <v>6</v>
      </c>
      <c r="AS37" s="451">
        <f t="shared" si="64"/>
        <v>0.05</v>
      </c>
      <c r="AT37" s="451"/>
      <c r="AU37" s="451"/>
      <c r="AV37" s="451"/>
      <c r="AW37" s="451"/>
      <c r="AX37" s="439"/>
    </row>
    <row r="38" spans="1:50" x14ac:dyDescent="0.3">
      <c r="A38" s="405"/>
      <c r="B38" s="405"/>
      <c r="C38" s="405"/>
      <c r="D38" s="405"/>
      <c r="E38" s="405"/>
      <c r="F38" s="405"/>
      <c r="G38" s="405"/>
      <c r="H38" s="417"/>
      <c r="I38" s="405"/>
      <c r="J38" s="408">
        <v>2</v>
      </c>
      <c r="K38" s="409">
        <v>0.1</v>
      </c>
      <c r="L38" s="449">
        <f t="shared" si="60"/>
        <v>0.10000110000000001</v>
      </c>
      <c r="M38" s="403">
        <v>1.1000000000000001E-6</v>
      </c>
      <c r="N38" s="403"/>
      <c r="O38" s="403">
        <f>0.5*(0.08*MPE!B26)</f>
        <v>2.0000000000000002E-7</v>
      </c>
      <c r="P38" s="403">
        <v>1.5999999999999999E-6</v>
      </c>
      <c r="S38" s="424">
        <f>ID!B43</f>
        <v>40</v>
      </c>
      <c r="T38" s="419"/>
      <c r="U38" s="420">
        <f>((S38-T37)/(T39-T37)*(V39-V37)+V37)</f>
        <v>40.000014666666665</v>
      </c>
      <c r="V38" s="419"/>
      <c r="W38" s="419"/>
      <c r="X38" s="420">
        <f>((S38-T37)/(T39-T37)*(X39-X37)+X37)</f>
        <v>1.1333333333333334E-6</v>
      </c>
      <c r="Y38" s="420">
        <f>((S38-T37)/(T39-T37)*(Y39-Y37)+Y37)</f>
        <v>9.3333333333333343E-6</v>
      </c>
      <c r="AA38" s="6">
        <f>AA36+AA33</f>
        <v>7</v>
      </c>
      <c r="AB38" s="6">
        <f>AB36+AB33</f>
        <v>7.0000109999999998</v>
      </c>
      <c r="AC38" s="6">
        <f t="shared" ref="AC38:AF38" si="68">AC36+AC33</f>
        <v>1.1000000000000001E-5</v>
      </c>
      <c r="AD38" s="6">
        <f t="shared" si="68"/>
        <v>0</v>
      </c>
      <c r="AE38" s="6">
        <f t="shared" si="68"/>
        <v>1.1200000000000001E-6</v>
      </c>
      <c r="AF38" s="6">
        <f t="shared" si="68"/>
        <v>9.0000000000000002E-6</v>
      </c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</row>
    <row r="39" spans="1:50" x14ac:dyDescent="0.3">
      <c r="A39" s="646"/>
      <c r="B39" s="405"/>
      <c r="C39" s="405"/>
      <c r="D39" s="405"/>
      <c r="E39" s="405"/>
      <c r="F39" s="405"/>
      <c r="G39" s="405"/>
      <c r="H39" s="417"/>
      <c r="I39" s="405"/>
      <c r="J39" s="408">
        <v>2</v>
      </c>
      <c r="K39" s="409">
        <v>0.2</v>
      </c>
      <c r="L39" s="448">
        <f t="shared" si="60"/>
        <v>0.2000006</v>
      </c>
      <c r="M39" s="403">
        <v>5.9999999999999997E-7</v>
      </c>
      <c r="N39" s="403"/>
      <c r="O39" s="403">
        <f>0.5*(0.08*MPE!B25)</f>
        <v>2.4000000000000003E-7</v>
      </c>
      <c r="P39" s="403">
        <v>1.9999999999999999E-6</v>
      </c>
      <c r="S39" s="419"/>
      <c r="T39" s="419">
        <f>IF(S38&lt;=$T$6,$T$6,IF(S38&lt;=$T$7,$T$7,IF(S38&lt;=$T$8,$T$8,IF(S38&lt;=$T$9,$T$9,IF(S38&lt;=$T$10,$T$10,IF(S38&lt;=$T$11,$T$11,IF(S38&lt;=$T$12,$T$12,IF(S38&lt;=$T$13,$T$13,IF(S38&lt;=$T$14,$T$14,IF(S38&lt;=$T$15,$T$15,IF(S38&lt;=$T$16,$T$16,IF(S38&lt;=$T$17,$T$17,IF(S38&lt;=$T$18,$T$18,IF(S38&lt;=$T$19,$T$19,IF(S38&lt;=$T$20,$T$20,IF(S38&lt;=$T$21,$T$21,IF(S38&lt;=$T$22,$T$22,IF(S38&lt;=$T$23,$T$23,IF(S38&lt;=$T$24,$T$24,IF(S38&lt;=$T$25,$T$25,IF(S38&lt;=$T$26,$T$26,IF(S38&lt;=$T$27,$T$27,IF(S38&lt;=$T$28,$T$28,IF(S38&lt;=$T$29,$T$29))))))))))))))))))))))))</f>
        <v>50</v>
      </c>
      <c r="U39" s="419"/>
      <c r="V39" s="419">
        <f>IF(S38&lt;=$T$6,$U$6,IF(S38&lt;=$T$7,$U$7,IF(S38&lt;=$T$8,$U$8,IF(S38&lt;=$T$9,$U$9,IF(S38&lt;=$T$10,$U$10,IF(S38&lt;=$T$11,$U$11,IF(S38&lt;=$T$12,$U$12,IF(S38&lt;=$T$13,$U$13,IF(S38&lt;=$T$14,$U$14,IF(S38&lt;=$T$15,$U$15,IF(S38&lt;=$T$16,$U$16,IF(S38&lt;=$T$17,$U$17,IF(S38&lt;=$T$18,$U$18,IF(S38&lt;=$T$19,$U$19,IF(S38&lt;=$T$20,$U$20,IF(S38&lt;=$T$21,$U$21,IF(S38&lt;=$T$22,$U$22,IF(S38&lt;=$T$23,$U$23,IF(S38&lt;=$T$24,$U$24,IF(S38&lt;=$T$25,$U$25,IF(S38&lt;=$T$26,$U$26,IF(S38&lt;=$T$27,$U$27,IF(S38&lt;=$T$28,$U$28,IF(S38&lt;=$T$29,$U$29))))))))))))))))))))))))</f>
        <v>50.000019000000002</v>
      </c>
      <c r="W39" s="419"/>
      <c r="X39" s="419">
        <f>IF(S38&lt;=$T$6,$X$6,IF(S38&lt;=$T$7,$X$7,IF(S38&lt;=$T$8,$X$8,IF(S38&lt;=$T$9,$X$9,IF(S38&lt;=$T$10,$X$10,IF(S38&lt;=$T$11,$X$11,IF(S38&lt;=$T$12,$X$12,IF(S38&lt;=$T$13,$X$13,IF(S38&lt;=$T$14,$X$14,IF(S38&lt;=$T$15,$X$15,IF(S38&lt;=$T$16,$X$16,IF(S38&lt;=$T$17,$X$17,IF(S38&lt;=$T$18,$X$18,IF(S38&lt;=$T$19,$X$19,IF(S38&lt;=$T$20,$X$20,IF(S38&lt;=$T$21,$X$21,IF(S38&lt;=$T$22,$X$22,IF(S38&lt;=$T$23,$X$23,IF(S38&lt;=$T$24,$X$24,IF(S38&lt;=$T$25,$X$25,IF(S38&lt;=$T$26,$X$26,IF(S38&lt;=$T$27,$X$27,IF(S38&lt;=$T$28,$X$28,IF(S38&lt;=$T$29,$X$29))))))))))))))))))))))))</f>
        <v>1.2000000000000002E-6</v>
      </c>
      <c r="Y39" s="419">
        <f>IF(S38&lt;=$T$6,$Y$6,IF(S38&lt;=$T$7,$Y$7,IF(S38&lt;=$T$8,$Y$8,IF(S38&lt;=$T$9,$Y$9,IF(S38&lt;=$T$10,$Y$10,IF(S38&lt;=$T$11,$Y$11,IF(S38&lt;=$T$12,$Y$12,IF(S38&lt;=$T$13,$Y$13,IF(S38&lt;=$T$14,$Y$14,IF(S38&lt;=$T$15,$Y$15,IF(S38&lt;=$T$16,$Y$16,IF(S38&lt;=$T$17,$Y$17,IF(S38&lt;=$T$18,$Y$18,IF(S38&lt;=$T$19,$Y$19,IF(S38&lt;=$T$20,$Y$20,IF(S38&lt;=$T$21,$Y$21,IF(S38&lt;=$T$22,$Y$22,IF(S38&lt;=$T$23,$Y$23,IF(S38&lt;=$T$24,$Y$24,IF(S38&lt;=$T$25,$Y$25,IF(S38&lt;=$T$26,$Y$26,IF(S38&lt;=$T$27,$Y$27,IF(S38&lt;=$T$28,$Y$28,IF(S38&lt;=$T$29,$Y$29))))))))))))))))))))))))</f>
        <v>1.0000000000000001E-5</v>
      </c>
      <c r="AA39" s="6">
        <f>AA36+AA34</f>
        <v>8</v>
      </c>
      <c r="AB39" s="6">
        <f>AB36+AB34</f>
        <v>8.0000140000000002</v>
      </c>
      <c r="AC39" s="6">
        <f t="shared" ref="AC39:AF39" si="69">AC36+AC34</f>
        <v>1.4000000000000001E-5</v>
      </c>
      <c r="AD39" s="6">
        <f t="shared" si="69"/>
        <v>0</v>
      </c>
      <c r="AE39" s="6">
        <f t="shared" si="69"/>
        <v>1.3120000000000001E-5</v>
      </c>
      <c r="AF39" s="6">
        <f t="shared" si="69"/>
        <v>1.9000000000000001E-5</v>
      </c>
      <c r="AH39" s="629">
        <v>0.1</v>
      </c>
      <c r="AI39" s="625"/>
      <c r="AJ39" s="625"/>
      <c r="AK39" s="627"/>
      <c r="AL39" s="628" t="s">
        <v>220</v>
      </c>
      <c r="AM39" s="625"/>
      <c r="AN39" s="625"/>
      <c r="AO39" s="625"/>
      <c r="AP39" s="67"/>
      <c r="AQ39" s="629" t="s">
        <v>437</v>
      </c>
      <c r="AR39" s="625"/>
      <c r="AS39" s="625"/>
      <c r="AT39" s="627"/>
      <c r="AU39" s="628" t="s">
        <v>220</v>
      </c>
      <c r="AV39" s="625"/>
      <c r="AW39" s="625"/>
      <c r="AX39" s="632"/>
    </row>
    <row r="40" spans="1:50" x14ac:dyDescent="0.3">
      <c r="A40" s="646"/>
      <c r="B40" s="405"/>
      <c r="C40" s="405"/>
      <c r="D40" s="405"/>
      <c r="E40" s="405"/>
      <c r="F40" s="405"/>
      <c r="G40" s="405"/>
      <c r="H40" s="417"/>
      <c r="I40" s="405"/>
      <c r="J40" s="408">
        <v>2</v>
      </c>
      <c r="K40" s="409">
        <v>0.2</v>
      </c>
      <c r="L40" s="449">
        <f t="shared" si="60"/>
        <v>0.2000006</v>
      </c>
      <c r="M40" s="403">
        <v>5.9999999999999997E-7</v>
      </c>
      <c r="N40" s="403"/>
      <c r="O40" s="403">
        <f>0.5*(0.08*MPE!B25)</f>
        <v>2.4000000000000003E-7</v>
      </c>
      <c r="P40" s="403">
        <v>1.9999999999999999E-6</v>
      </c>
      <c r="S40" s="422"/>
      <c r="T40" s="422">
        <f>IF(S41&lt;=$T$6,$T$5,IF(S41&lt;=$T$7,$T$6,IF(S41&lt;=$T$8,$T$7,IF(S41&lt;=$T$9,$T$8,IF(S41&lt;=$T$10,$T$9,IF(S41&lt;=$T$11,$T$10,IF(S41&lt;=$T$12,$T$11,IF(S41&lt;=$T$13,$T$12,IF(S41&lt;=$T$14,$T$13,IF(S41&lt;=$T$15,$T$14,IF(S41&lt;=$T$16,$T$15,IF(S41&lt;=$T$17,$T$16,IF(S41&lt;=$T$18,$T$17,IF(S41&lt;=$T$19,$T$18,IF(S41&lt;=$T$20,$T$19,IF(S41&lt;=$T$21,$T$20,IF(S41&lt;=$T$22,$T$21,IF(S41&lt;=$T$23,$T$22,IF(S41&lt;=$T$24,$T$23,IF(S41&lt;=$T$25,$T$24,IF(S41&lt;=$T$26,$T$25,IF(S41&lt;=$T$27,$T$26,IF(S41&lt;=$T$28,$T$27,IF(S41&lt;=$T$29,$T$28,$T$29))))))))))))))))))))))))</f>
        <v>50</v>
      </c>
      <c r="U40" s="422"/>
      <c r="V40" s="422">
        <f>IF(S41&lt;=$T$6,$U$5,IF(S41&lt;=$T$7,$U$6,IF(S41&lt;=$T$8,$U$7,IF(S41&lt;=$T$9,$U$8,IF(S41&lt;=$T$10,$U$9,IF(S41&lt;=$T$11,$U$10,IF(S41&lt;=$T$12,$U$11,IF(S41&lt;=$T$13,$U$12,IF(S41&lt;=$T$14,$U$13,IF(S41&lt;=$T$15,$U$14,IF(S41&lt;=$T$16,$U$15,IF(S41&lt;=$T$17,$U$16,IF(S41&lt;=$T$18,$U$17,IF(S41&lt;=$T$19,$U$18,IF(S41&lt;=$T$20,$U$19,IF(S41&lt;=$T$21,$U$20,IF(S41&lt;=$T$22,$U$21,IF(S41&lt;=$T$23,$U$22,IF(S41&lt;=$T$24,$U$23,IF(S41&lt;=$T$25,$U$24,IF(S41&lt;=$T$26,$U$25,IF(S41&lt;=$T$27,$U$26,IF(S41&lt;=$T$28,$U$27,IF(S41&lt;=$T$29,$U$28,$T$29))))))))))))))))))))))))</f>
        <v>50.000019000000002</v>
      </c>
      <c r="W40" s="422"/>
      <c r="X40" s="422">
        <f>IF(S41&lt;=$T$6,$X$5,IF(S41&lt;=$T$7,$X$6,IF(S41&lt;=$T$8,$X$7,IF(S41&lt;=$T$9,$X$8,IF(S41&lt;=$T$10,$X$9,IF(S41&lt;=$T$11,$X$10,IF(S41&lt;=$T$12,$X$11,IF(S41&lt;=$T$13,$X$12,IF(S41&lt;=$T$14,$X$13,IF(S41&lt;=$T$15,$X$14,IF(S41&lt;=$T$16,$X$15,IF(S41&lt;=$T$17,$X$16,IF(S41&lt;=$T$18,$X$17,IF(S41&lt;=$T$19,$X$18,IF(S41&lt;=$T$20,$X$19,IF(S41&lt;=$T$21,$X$20,IF(S41&lt;=$T$22,$X$21,IF(S41&lt;=$T$23,$X$22,IF(S41&lt;=$T$24,$X$23,IF(S41&lt;=$T$25,$X$24,IF(S41&lt;=$T$26,$X$25,IF(S41&lt;=$T$27,$X$26,IF(S41&lt;=$T$28,$X$27,IF(S41&lt;=$T$29,$X$28,$T$29))))))))))))))))))))))))</f>
        <v>1.2000000000000002E-6</v>
      </c>
      <c r="Y40" s="422">
        <f>IF(S41&lt;=$T$6,$Y$5,IF(S41&lt;=$T$7,$Y$6,IF(S41&lt;=$T$8,$Y$7,IF(S41&lt;=$T$9,$Y$8,IF(S41&lt;=$T$10,$Y$9,IF(S41&lt;=$T$11,$Y$10,IF(S41&lt;=$T$12,$Y$11,IF(S41&lt;=$T$13,$Y$12,IF(S41&lt;=$T$14,$Y$13,IF(S41&lt;=$T$15,$Y$14,IF(S41&lt;=$T$16,$Y$15,IF(S41&lt;=$T$17,$Y$16,IF(S41&lt;=$T$18,$Y$17,IF(S41&lt;=$T$19,$Y$18,IF(S41&lt;=$T$20,$Y$19,IF(S41&lt;=$T$21,$Y$20,IF(S41&lt;=$T$22,$Y$21,IF(S41&lt;=$T$23,$Y$22,IF(S41&lt;=$T$24,$Y$23,IF(S41&lt;=$T$25,$Y$24,IF(S41&lt;=$T$26,$Y$25,IF(S41&lt;=$T$27,$Y$26,IF(S41&lt;=$T$28,$Y$27,IF(S41&lt;=$T$29,$Y$28,$T$29))))))))))))))))))))))))</f>
        <v>1.0000000000000001E-5</v>
      </c>
      <c r="AA40" s="6">
        <f>AA36+AA35</f>
        <v>9</v>
      </c>
      <c r="AB40" s="6">
        <f>AB36+AB35</f>
        <v>9.0000140000000002</v>
      </c>
      <c r="AC40" s="6">
        <f t="shared" ref="AC40:AF40" si="70">AC36+AC35</f>
        <v>1.4000000000000001E-5</v>
      </c>
      <c r="AD40" s="6">
        <f t="shared" si="70"/>
        <v>0</v>
      </c>
      <c r="AE40" s="6">
        <f t="shared" si="70"/>
        <v>1.6000000000000001E-6</v>
      </c>
      <c r="AF40" s="6">
        <f t="shared" si="70"/>
        <v>1.3000000000000001E-5</v>
      </c>
      <c r="AH40" s="630"/>
      <c r="AI40" s="626" t="s">
        <v>434</v>
      </c>
      <c r="AJ40" s="626" t="s">
        <v>433</v>
      </c>
      <c r="AK40" s="453" t="s">
        <v>319</v>
      </c>
      <c r="AL40" s="453">
        <v>2022</v>
      </c>
      <c r="AM40" s="626">
        <v>2018</v>
      </c>
      <c r="AN40" s="626" t="s">
        <v>320</v>
      </c>
      <c r="AO40" s="626" t="s">
        <v>218</v>
      </c>
      <c r="AP40" s="67"/>
      <c r="AQ40" s="630"/>
      <c r="AR40" s="626" t="s">
        <v>434</v>
      </c>
      <c r="AS40" s="626" t="s">
        <v>433</v>
      </c>
      <c r="AT40" s="453" t="s">
        <v>319</v>
      </c>
      <c r="AU40" s="453">
        <v>2022</v>
      </c>
      <c r="AV40" s="626">
        <v>2018</v>
      </c>
      <c r="AW40" s="626" t="s">
        <v>320</v>
      </c>
      <c r="AX40" s="633" t="s">
        <v>218</v>
      </c>
    </row>
    <row r="41" spans="1:50" x14ac:dyDescent="0.3">
      <c r="A41" s="646"/>
      <c r="B41" s="405"/>
      <c r="C41" s="405"/>
      <c r="D41" s="405"/>
      <c r="E41" s="405"/>
      <c r="F41" s="405"/>
      <c r="G41" s="405"/>
      <c r="H41" s="417"/>
      <c r="I41" s="405"/>
      <c r="J41" s="408">
        <v>2</v>
      </c>
      <c r="K41" s="409">
        <v>0.5</v>
      </c>
      <c r="L41" s="448">
        <f t="shared" si="60"/>
        <v>0.50000180000000005</v>
      </c>
      <c r="M41" s="403">
        <v>1.7999999999999999E-6</v>
      </c>
      <c r="N41" s="403"/>
      <c r="O41" s="403">
        <f>0.5*(0.08*MPE!B24)</f>
        <v>3.2000000000000001E-7</v>
      </c>
      <c r="P41" s="403">
        <v>2.5000000000000002E-6</v>
      </c>
      <c r="S41" s="424">
        <f>ID!B44</f>
        <v>60</v>
      </c>
      <c r="T41" s="422"/>
      <c r="U41" s="420">
        <f>((S41-T40)/(T42-T40)*(V42-V40)+V40)</f>
        <v>60.000018799999999</v>
      </c>
      <c r="V41" s="422"/>
      <c r="W41" s="422"/>
      <c r="X41" s="420">
        <f>((S41-T40)/(T42-T40)*(X42-X40)+X40)</f>
        <v>1.3600000000000001E-6</v>
      </c>
      <c r="Y41" s="420">
        <f>((S41-T40)/(T42-T40)*(Y42-Y40)+Y40)</f>
        <v>1.1200000000000001E-5</v>
      </c>
      <c r="AA41" s="6">
        <f>T21</f>
        <v>10</v>
      </c>
      <c r="AB41" s="6">
        <f>U21</f>
        <v>10.00001</v>
      </c>
      <c r="AC41" s="6">
        <f t="shared" ref="AC41:AF41" si="71">V21</f>
        <v>9.9999999996214228E-6</v>
      </c>
      <c r="AD41" s="6">
        <f t="shared" si="71"/>
        <v>0</v>
      </c>
      <c r="AE41" s="6">
        <f t="shared" si="71"/>
        <v>8.0000000000000007E-7</v>
      </c>
      <c r="AF41" s="6">
        <f t="shared" si="71"/>
        <v>6.0000000000000002E-6</v>
      </c>
      <c r="AH41" s="630">
        <v>0.1</v>
      </c>
      <c r="AI41" s="451">
        <v>1</v>
      </c>
      <c r="AJ41" s="451">
        <v>0.1</v>
      </c>
      <c r="AK41" s="451">
        <f>L13</f>
        <v>0.1000091</v>
      </c>
      <c r="AL41" s="451">
        <f t="shared" ref="AL41:AO41" si="72">M13</f>
        <v>9.0999999999979986E-6</v>
      </c>
      <c r="AM41" s="451">
        <f t="shared" si="72"/>
        <v>6.9999999999931228E-6</v>
      </c>
      <c r="AN41" s="451">
        <f t="shared" si="72"/>
        <v>1.0500000000024379E-6</v>
      </c>
      <c r="AO41" s="451">
        <f t="shared" si="72"/>
        <v>1.9999999999999999E-6</v>
      </c>
      <c r="AP41" s="67"/>
      <c r="AQ41" s="630" t="s">
        <v>437</v>
      </c>
      <c r="AR41" s="451">
        <v>1</v>
      </c>
      <c r="AS41" s="451">
        <v>0.2</v>
      </c>
      <c r="AT41" s="451">
        <f>L14</f>
        <v>0.2000062</v>
      </c>
      <c r="AU41" s="451">
        <f t="shared" ref="AU41:AX41" si="73">M14</f>
        <v>6.1999999999839961E-6</v>
      </c>
      <c r="AV41" s="451">
        <f t="shared" si="73"/>
        <v>3.9999999999762448E-6</v>
      </c>
      <c r="AW41" s="451">
        <f t="shared" si="73"/>
        <v>1.1000000000038757E-6</v>
      </c>
      <c r="AX41" s="451">
        <f t="shared" si="73"/>
        <v>1.9999999999999999E-6</v>
      </c>
    </row>
    <row r="42" spans="1:50" x14ac:dyDescent="0.3">
      <c r="A42" s="646"/>
      <c r="B42" s="405"/>
      <c r="C42" s="405"/>
      <c r="D42" s="405"/>
      <c r="E42" s="405"/>
      <c r="F42" s="405"/>
      <c r="G42" s="405"/>
      <c r="H42" s="417"/>
      <c r="I42" s="405"/>
      <c r="J42" s="408">
        <v>2</v>
      </c>
      <c r="K42" s="409">
        <v>1</v>
      </c>
      <c r="L42" s="449">
        <f t="shared" si="60"/>
        <v>1.000006</v>
      </c>
      <c r="M42" s="403">
        <v>6.0000000000000002E-6</v>
      </c>
      <c r="N42" s="403"/>
      <c r="O42" s="403">
        <f>0.5*(0.08*MPE!B23)</f>
        <v>4.0000000000000003E-7</v>
      </c>
      <c r="P42" s="403">
        <v>3.0000000000000001E-6</v>
      </c>
      <c r="S42" s="423"/>
      <c r="T42" s="422">
        <f>IF(S41&lt;=$T$6,$T$6,IF(S41&lt;=$T$7,$T$7,IF(S41&lt;=$T$8,$T$8,IF(S41&lt;=$T$9,$T$9,IF(S41&lt;=$T$10,$T$10,IF(S41&lt;=$T$11,$T$11,IF(S41&lt;=$T$12,$T$12,IF(S41&lt;=$T$13,$T$13,IF(S41&lt;=$T$14,$T$14,IF(S41&lt;=$T$15,$T$15,IF(S41&lt;=$T$16,$T$16,IF(S41&lt;=$T$17,$T$17,IF(S41&lt;=$T$18,$T$18,IF(S41&lt;=$T$19,$T$19,IF(S41&lt;=$T$20,$T$20,IF(S41&lt;=$T$21,$T$21,IF(S41&lt;=$T$22,$T$22,IF(S41&lt;=$T$23,$T$23,IF(S41&lt;=$T$24,$T$24,IF(S41&lt;=$T$25,$T$25,IF(S41&lt;=$T$26,$T$26,IF(S41&lt;=$T$27,$T$27,IF(S41&lt;=$T$28,$T$28,IF(S41&lt;=$T$29,$T$29))))))))))))))))))))))))</f>
        <v>100</v>
      </c>
      <c r="U42" s="422"/>
      <c r="V42" s="422">
        <f>IF(S41&lt;=$T$6,$U$6,IF(S41&lt;=$T$7,$U$7,IF(S41&lt;=$T$8,$U$8,IF(S41&lt;=$T$9,$U$9,IF(S41&lt;=$T$10,$U$10,IF(S41&lt;=$T$11,$U$11,IF(S41&lt;=$T$12,$U$12,IF(S41&lt;=$T$13,$U$13,IF(S41&lt;=$T$14,$U$14,IF(S41&lt;=$T$15,$U$15,IF(S41&lt;=$T$16,$U$16,IF(S41&lt;=$T$17,$U$17,IF(S41&lt;=$T$18,$U$18,IF(S41&lt;=$T$19,$U$19,IF(S41&lt;=$T$20,$U$20,IF(S41&lt;=$T$21,$U$21,IF(S41&lt;=$T$22,$U$22,IF(S41&lt;=$T$23,$U$23,IF(S41&lt;=$T$24,$U$24,IF(S41&lt;=$T$25,$U$25,IF(S41&lt;=$T$26,$U$26,IF(S41&lt;=$T$27,$U$27,IF(S41&lt;=$T$28,$U$28,IF(S41&lt;=$T$29,$U$29))))))))))))))))))))))))</f>
        <v>100.000018</v>
      </c>
      <c r="W42" s="422"/>
      <c r="X42" s="422">
        <f>IF(S41&lt;=$T$6,$X$6,IF(S41&lt;=$T$7,$X$7,IF(S41&lt;=$T$8,$X$8,IF(S41&lt;=$T$9,$X$9,IF(S41&lt;=$T$10,$X$10,IF(S41&lt;=$T$11,$X$11,IF(S41&lt;=$T$12,$X$12,IF(S41&lt;=$T$13,$X$13,IF(S41&lt;=$T$14,$X$14,IF(S41&lt;=$T$15,$X$15,IF(S41&lt;=$T$16,$X$16,IF(S41&lt;=$T$17,$X$17,IF(S41&lt;=$T$18,$X$18,IF(S41&lt;=$T$19,$X$19,IF(S41&lt;=$T$20,$X$20,IF(S41&lt;=$T$21,$X$21,IF(S41&lt;=$T$22,$X$22,IF(S41&lt;=$T$23,$X$23,IF(S41&lt;=$T$24,$X$24,IF(S41&lt;=$T$25,$X$25,IF(S41&lt;=$T$26,$X$26,IF(S41&lt;=$T$27,$X$27,IF(S41&lt;=$T$28,$X$28,IF(S41&lt;=$T$29,$X$29))))))))))))))))))))))))</f>
        <v>2.0000000000000003E-6</v>
      </c>
      <c r="Y42" s="422">
        <f>IF(S41&lt;=$T$6,$Y$6,IF(S41&lt;=$T$7,$Y$7,IF(S41&lt;=$T$8,$Y$8,IF(S41&lt;=$T$9,$Y$9,IF(S41&lt;=$T$10,$Y$10,IF(S41&lt;=$T$11,$Y$11,IF(S41&lt;=$T$12,$Y$12,IF(S41&lt;=$T$13,$Y$13,IF(S41&lt;=$T$14,$Y$14,IF(S41&lt;=$T$15,$Y$15,IF(S41&lt;=$T$16,$Y$16,IF(S41&lt;=$T$17,$Y$17,IF(S41&lt;=$T$18,$Y$18,IF(S41&lt;=$T$19,$Y$19,IF(S41&lt;=$T$20,$Y$20,IF(S41&lt;=$T$21,$Y$21,IF(S41&lt;=$T$22,$Y$22,IF(S41&lt;=$T$23,$Y$23,IF(S41&lt;=$T$24,$Y$24,IF(S41&lt;=$T$25,$Y$25,IF(S41&lt;=$T$26,$Y$26,IF(S41&lt;=$T$27,$Y$27,IF(S41&lt;=$T$28,$Y$28,IF(S41&lt;=$T$29,$Y$29))))))))))))))))))))))))</f>
        <v>1.5999999999999999E-5</v>
      </c>
      <c r="AA42" s="6">
        <v>11</v>
      </c>
      <c r="AB42" s="6">
        <f>$AB$41+AB32</f>
        <v>11.000012999999999</v>
      </c>
      <c r="AC42" s="6">
        <f>$AC$41+AC32</f>
        <v>1.2999999999621423E-5</v>
      </c>
      <c r="AD42" s="6">
        <f>$AD$41+AD32</f>
        <v>0</v>
      </c>
      <c r="AE42" s="6">
        <f>$AE$41+AE32</f>
        <v>1.2800000000000001E-5</v>
      </c>
      <c r="AF42" s="6">
        <f>$AF$41+AF32</f>
        <v>1.6000000000000003E-5</v>
      </c>
      <c r="AH42" s="630"/>
      <c r="AI42" s="451">
        <v>2</v>
      </c>
      <c r="AJ42" s="451">
        <f>AJ41</f>
        <v>0.1</v>
      </c>
      <c r="AK42" s="451">
        <f>L38</f>
        <v>0.10000110000000001</v>
      </c>
      <c r="AL42" s="451">
        <f t="shared" ref="AL42:AO42" si="74">M38</f>
        <v>1.1000000000000001E-6</v>
      </c>
      <c r="AM42" s="451">
        <f t="shared" si="74"/>
        <v>0</v>
      </c>
      <c r="AN42" s="451">
        <f t="shared" si="74"/>
        <v>2.0000000000000002E-7</v>
      </c>
      <c r="AO42" s="451">
        <f t="shared" si="74"/>
        <v>1.5999999999999999E-6</v>
      </c>
      <c r="AP42" s="67"/>
      <c r="AQ42" s="630"/>
      <c r="AR42" s="451">
        <v>2</v>
      </c>
      <c r="AS42" s="451">
        <f>AS41</f>
        <v>0.2</v>
      </c>
      <c r="AT42" s="451">
        <f>L39</f>
        <v>0.2000006</v>
      </c>
      <c r="AU42" s="451">
        <f t="shared" ref="AU42:AX42" si="75">M39</f>
        <v>5.9999999999999997E-7</v>
      </c>
      <c r="AV42" s="451">
        <f t="shared" si="75"/>
        <v>0</v>
      </c>
      <c r="AW42" s="451">
        <f t="shared" si="75"/>
        <v>2.4000000000000003E-7</v>
      </c>
      <c r="AX42" s="451">
        <f t="shared" si="75"/>
        <v>1.9999999999999999E-6</v>
      </c>
    </row>
    <row r="43" spans="1:50" x14ac:dyDescent="0.3">
      <c r="A43" s="646"/>
      <c r="B43" s="405"/>
      <c r="C43" s="405"/>
      <c r="D43" s="405"/>
      <c r="E43" s="405"/>
      <c r="F43" s="405"/>
      <c r="G43" s="405"/>
      <c r="H43" s="417"/>
      <c r="I43" s="405"/>
      <c r="J43" s="408">
        <v>2</v>
      </c>
      <c r="K43" s="409">
        <v>2</v>
      </c>
      <c r="L43" s="448">
        <f t="shared" si="60"/>
        <v>2.0000010000000001</v>
      </c>
      <c r="M43" s="403">
        <v>9.9999999999999995E-7</v>
      </c>
      <c r="N43" s="403"/>
      <c r="O43" s="403">
        <f>0.5*(0.08*MPE!B22)</f>
        <v>4.8000000000000006E-7</v>
      </c>
      <c r="P43" s="403">
        <v>3.9999999999999998E-6</v>
      </c>
      <c r="S43" s="425"/>
      <c r="T43" s="419">
        <f>IF(S44&lt;=$T$6,$T$5,IF(S44&lt;=$T$7,$T$6,IF(S44&lt;=$T$8,$T$7,IF(S44&lt;=$T$9,$T$8,IF(S44&lt;=$T$10,$T$9,IF(S44&lt;=$T$11,$T$10,IF(S44&lt;=$T$12,$T$11,IF(S44&lt;=$T$13,$T$12,IF(S44&lt;=$T$14,$T$13,IF(S44&lt;=$T$15,$T$14,IF(S44&lt;=$T$16,$T$15,IF(S44&lt;=$T$17,$T$16,IF(S44&lt;=$T$18,$T$17,IF(S44&lt;=$T$19,$T$18,IF(S44&lt;=$T$20,$T$19,IF(S44&lt;=$T$21,$T$20,IF(S44&lt;=$T$22,$T$21,IF(S44&lt;=$T$23,$T$22,IF(S44&lt;=$T$24,$T$23,IF(S44&lt;=$T$25,$T$24,IF(S44&lt;=$T$26,$T$25,IF(S44&lt;=$T$27,$T$26,IF(S44&lt;=$T$28,$T$27,IF(S44&lt;=$T$29,$T$28,$T$29))))))))))))))))))))))))</f>
        <v>50</v>
      </c>
      <c r="U43" s="419"/>
      <c r="V43" s="419">
        <f>IF(S44&lt;=$T$6,$U$5,IF(S44&lt;=$T$7,$U$6,IF(S44&lt;=$T$8,$U$7,IF(S44&lt;=$T$9,$U$8,IF(S44&lt;=$T$10,$U$9,IF(S44&lt;=$T$11,$U$10,IF(S44&lt;=$T$12,$U$11,IF(S44&lt;=$T$13,$U$12,IF(S44&lt;=$T$14,$U$13,IF(S44&lt;=$T$15,$U$14,IF(S44&lt;=$T$16,$U$15,IF(S44&lt;=$T$17,$U$16,IF(S44&lt;=$T$18,$U$17,IF(S44&lt;=$T$19,$U$18,IF(S44&lt;=$T$20,$U$19,IF(S44&lt;=$T$21,$U$20,IF(S44&lt;=$T$22,$U$21,IF(S44&lt;=$T$23,$U$22,IF(S44&lt;=$T$24,$U$23,IF(S44&lt;=$T$25,$U$24,IF(S44&lt;=$T$26,$U$25,IF(S44&lt;=$T$27,$U$26,IF(S44&lt;=$T$28,$U$27,IF(S44&lt;=$T$29,$U$28,$T$29))))))))))))))))))))))))</f>
        <v>50.000019000000002</v>
      </c>
      <c r="W43" s="419"/>
      <c r="X43" s="419">
        <f>IF(S44&lt;=$T$6,$X$5,IF(S44&lt;=$T$7,$X$6,IF(S44&lt;=$T$8,$X$7,IF(S44&lt;=$T$9,$X$8,IF(S44&lt;=$T$10,$X$9,IF(S44&lt;=$T$11,$X$10,IF(S44&lt;=$T$12,$X$11,IF(S44&lt;=$T$13,$X$12,IF(S44&lt;=$T$14,$X$13,IF(S44&lt;=$T$15,$X$14,IF(S44&lt;=$T$16,$X$15,IF(S44&lt;=$T$17,$X$16,IF(S44&lt;=$T$18,$X$17,IF(S44&lt;=$T$19,$X$18,IF(S44&lt;=$T$20,$X$19,IF(S44&lt;=$T$21,$X$20,IF(S44&lt;=$T$22,$X$21,IF(S44&lt;=$T$23,$X$22,IF(S44&lt;=$T$24,$X$23,IF(S44&lt;=$T$25,$X$24,IF(S44&lt;=$T$26,$X$25,IF(S44&lt;=$T$27,$X$26,IF(S44&lt;=$T$28,$X$27,IF(S44&lt;=$T$29,$X$28,$T$29))))))))))))))))))))))))</f>
        <v>1.2000000000000002E-6</v>
      </c>
      <c r="Y43" s="419">
        <f>IF(S44&lt;=$T$6,$Y$5,IF(S44&lt;=$T$7,$Y$6,IF(S44&lt;=$T$8,$Y$7,IF(S44&lt;=$T$9,$Y$8,IF(S44&lt;=$T$10,$Y$9,IF(S44&lt;=$T$11,$Y$10,IF(S44&lt;=$T$12,$Y$11,IF(S44&lt;=$T$13,$Y$12,IF(S44&lt;=$T$14,$Y$13,IF(S44&lt;=$T$15,$Y$14,IF(S44&lt;=$T$16,$Y$15,IF(S44&lt;=$T$17,$Y$16,IF(S44&lt;=$T$18,$Y$17,IF(S44&lt;=$T$19,$Y$18,IF(S44&lt;=$T$20,$Y$19,IF(S44&lt;=$T$21,$Y$20,IF(S44&lt;=$T$22,$Y$21,IF(S44&lt;=$T$23,$Y$22,IF(S44&lt;=$T$24,$Y$23,IF(S44&lt;=$T$25,$Y$24,IF(S44&lt;=$T$26,$Y$25,IF(S44&lt;=$T$27,$Y$26,IF(S44&lt;=$T$28,$Y$27,IF(S44&lt;=$T$29,$Y$28,$T$29))))))))))))))))))))))))</f>
        <v>1.0000000000000001E-5</v>
      </c>
      <c r="AA43" s="6">
        <v>12</v>
      </c>
      <c r="AB43" s="6">
        <f t="shared" ref="AB43:AB50" si="76">$AB$41+AB33</f>
        <v>12.000011000000001</v>
      </c>
      <c r="AC43" s="6">
        <f t="shared" ref="AC43:AC50" si="77">$AC$41+AC33</f>
        <v>1.0999999999621423E-5</v>
      </c>
      <c r="AD43" s="6">
        <f t="shared" ref="AD43:AD50" si="78">$AD$41+AD33</f>
        <v>0</v>
      </c>
      <c r="AE43" s="6">
        <f t="shared" ref="AE43:AE50" si="79">$AE$41+AE33</f>
        <v>1.28E-6</v>
      </c>
      <c r="AF43" s="6">
        <f t="shared" ref="AF43:AF50" si="80">$AF$41+AF33</f>
        <v>9.9999999999999991E-6</v>
      </c>
      <c r="AH43" s="630"/>
      <c r="AI43" s="451">
        <v>3</v>
      </c>
      <c r="AJ43" s="451">
        <f t="shared" ref="AJ43:AJ46" si="81">AJ42</f>
        <v>0.1</v>
      </c>
      <c r="AK43" s="451">
        <f>L63</f>
        <v>0.10000100000000001</v>
      </c>
      <c r="AL43" s="451">
        <f t="shared" ref="AL43:AO43" si="82">M63</f>
        <v>9.9999999999999995E-7</v>
      </c>
      <c r="AM43" s="451">
        <f t="shared" si="82"/>
        <v>0</v>
      </c>
      <c r="AN43" s="451">
        <f t="shared" si="82"/>
        <v>6.3999999999999997E-6</v>
      </c>
      <c r="AO43" s="451">
        <f t="shared" si="82"/>
        <v>5.0000000000000004E-6</v>
      </c>
      <c r="AP43" s="67"/>
      <c r="AQ43" s="630"/>
      <c r="AR43" s="451">
        <v>3</v>
      </c>
      <c r="AS43" s="451">
        <f t="shared" ref="AS43:AS46" si="83">AS42</f>
        <v>0.2</v>
      </c>
      <c r="AT43" s="451">
        <f>L64</f>
        <v>0.19999800000000001</v>
      </c>
      <c r="AU43" s="451">
        <f t="shared" ref="AU43:AX43" si="84">M64</f>
        <v>-1.9999999999999999E-6</v>
      </c>
      <c r="AV43" s="451">
        <f t="shared" si="84"/>
        <v>0</v>
      </c>
      <c r="AW43" s="451">
        <f t="shared" si="84"/>
        <v>8.0000000000000013E-6</v>
      </c>
      <c r="AX43" s="451">
        <f t="shared" si="84"/>
        <v>6.0000000000000002E-6</v>
      </c>
    </row>
    <row r="44" spans="1:50" x14ac:dyDescent="0.3">
      <c r="A44" s="646"/>
      <c r="B44" s="405"/>
      <c r="C44" s="405"/>
      <c r="D44" s="405"/>
      <c r="E44" s="405"/>
      <c r="F44" s="405"/>
      <c r="G44" s="405"/>
      <c r="H44" s="417"/>
      <c r="I44" s="405"/>
      <c r="J44" s="408">
        <v>2</v>
      </c>
      <c r="K44" s="409">
        <v>2</v>
      </c>
      <c r="L44" s="449">
        <f t="shared" si="60"/>
        <v>2.000003</v>
      </c>
      <c r="M44" s="403">
        <v>3.0000000000000001E-6</v>
      </c>
      <c r="N44" s="403"/>
      <c r="O44" s="403">
        <f>0.5*(0.08*MPE!B22)</f>
        <v>4.8000000000000006E-7</v>
      </c>
      <c r="P44" s="403">
        <v>3.9999999999999998E-6</v>
      </c>
      <c r="S44" s="424">
        <f>ID!B45</f>
        <v>80</v>
      </c>
      <c r="T44" s="419"/>
      <c r="U44" s="420">
        <f>((S44-T43)/(T45-T43)*(V45-V43)+V43)</f>
        <v>80.000018400000002</v>
      </c>
      <c r="V44" s="419"/>
      <c r="W44" s="419"/>
      <c r="X44" s="420">
        <f>((S44-T43)/(T45-T43)*(X45-X43)+X43)</f>
        <v>1.6800000000000002E-6</v>
      </c>
      <c r="Y44" s="420">
        <f>((S44-T43)/(T45-T43)*(Y45-Y43)+Y43)</f>
        <v>1.36E-5</v>
      </c>
      <c r="AA44" s="6">
        <v>13</v>
      </c>
      <c r="AB44" s="6">
        <f t="shared" si="76"/>
        <v>13.000014</v>
      </c>
      <c r="AC44" s="6">
        <f t="shared" si="77"/>
        <v>1.3999999999621422E-5</v>
      </c>
      <c r="AD44" s="6">
        <f t="shared" si="78"/>
        <v>0</v>
      </c>
      <c r="AE44" s="6">
        <f t="shared" si="79"/>
        <v>1.3280000000000002E-5</v>
      </c>
      <c r="AF44" s="6">
        <f t="shared" si="80"/>
        <v>2.0000000000000002E-5</v>
      </c>
      <c r="AH44" s="630"/>
      <c r="AI44" s="451">
        <v>4</v>
      </c>
      <c r="AJ44" s="451">
        <f t="shared" si="81"/>
        <v>0.1</v>
      </c>
      <c r="AK44" s="451"/>
      <c r="AL44" s="451"/>
      <c r="AM44" s="451"/>
      <c r="AN44" s="451"/>
      <c r="AO44" s="451"/>
      <c r="AP44" s="67"/>
      <c r="AQ44" s="630"/>
      <c r="AR44" s="451">
        <v>4</v>
      </c>
      <c r="AS44" s="451">
        <f t="shared" si="83"/>
        <v>0.2</v>
      </c>
      <c r="AT44" s="451"/>
      <c r="AU44" s="451"/>
      <c r="AV44" s="451"/>
      <c r="AW44" s="451"/>
      <c r="AX44" s="439"/>
    </row>
    <row r="45" spans="1:50" x14ac:dyDescent="0.3">
      <c r="A45" s="646"/>
      <c r="B45" s="405"/>
      <c r="C45" s="405"/>
      <c r="D45" s="405"/>
      <c r="E45" s="405"/>
      <c r="F45" s="646"/>
      <c r="G45" s="646"/>
      <c r="H45" s="417"/>
      <c r="I45" s="405"/>
      <c r="J45" s="408">
        <v>2</v>
      </c>
      <c r="K45" s="409">
        <v>5</v>
      </c>
      <c r="L45" s="448">
        <f t="shared" si="60"/>
        <v>5.0000099999999996</v>
      </c>
      <c r="M45" s="403">
        <v>1.0000000000000001E-5</v>
      </c>
      <c r="N45" s="403"/>
      <c r="O45" s="403">
        <f>0.5*(0.08*MPE!B21)</f>
        <v>6.4000000000000001E-7</v>
      </c>
      <c r="P45" s="403">
        <v>5.0000000000000004E-6</v>
      </c>
      <c r="S45" s="419"/>
      <c r="T45" s="419">
        <f>IF(S44&lt;=$T$6,$T$6,IF(S44&lt;=$T$7,$T$7,IF(S44&lt;=$T$8,$T$8,IF(S44&lt;=$T$9,$T$9,IF(S44&lt;=$T$10,$T$10,IF(S44&lt;=$T$11,$T$11,IF(S44&lt;=$T$12,$T$12,IF(S44&lt;=$T$13,$T$13,IF(S44&lt;=$T$14,$T$14,IF(S44&lt;=$T$15,$T$15,IF(S44&lt;=$T$16,$T$16,IF(S44&lt;=$T$17,$T$17,IF(S44&lt;=$T$18,$T$18,IF(S44&lt;=$T$19,$T$19,IF(S44&lt;=$T$20,$T$20,IF(S44&lt;=$T$21,$T$21,IF(S44&lt;=$T$22,$T$22,IF(S44&lt;=$T$23,$T$23,IF(S44&lt;=$T$24,$T$24,IF(S44&lt;=$T$25,$T$25,IF(S44&lt;=$T$26,$T$26,IF(S44&lt;=$T$27,$T$27,IF(S44&lt;=$T$28,$T$28,IF(S44&lt;=$T$29,$T$29))))))))))))))))))))))))</f>
        <v>100</v>
      </c>
      <c r="U45" s="419"/>
      <c r="V45" s="419">
        <f>IF(S44&lt;=$T$6,$U$6,IF(S44&lt;=$T$7,$U$7,IF(S44&lt;=$T$8,$U$8,IF(S44&lt;=$T$9,$U$9,IF(S44&lt;=$T$10,$U$10,IF(S44&lt;=$T$11,$U$11,IF(S44&lt;=$T$12,$U$12,IF(S44&lt;=$T$13,$U$13,IF(S44&lt;=$T$14,$U$14,IF(S44&lt;=$T$15,$U$15,IF(S44&lt;=$T$16,$U$16,IF(S44&lt;=$T$17,$U$17,IF(S44&lt;=$T$18,$U$18,IF(S44&lt;=$T$19,$U$19,IF(S44&lt;=$T$20,$U$20,IF(S44&lt;=$T$21,$U$21,IF(S44&lt;=$T$22,$U$22,IF(S44&lt;=$T$23,$U$23,IF(S44&lt;=$T$24,$U$24,IF(S44&lt;=$T$25,$U$25,IF(S44&lt;=$T$26,$U$26,IF(S44&lt;=$T$27,$U$27,IF(S44&lt;=$T$28,$U$28,IF(S44&lt;=$T$29,$U$29))))))))))))))))))))))))</f>
        <v>100.000018</v>
      </c>
      <c r="W45" s="419"/>
      <c r="X45" s="419">
        <f>IF(S44&lt;=$T$6,$X$6,IF(S44&lt;=$T$7,$X$7,IF(S44&lt;=$T$8,$X$8,IF(S44&lt;=$T$9,$X$9,IF(S44&lt;=$T$10,$X$10,IF(S44&lt;=$T$11,$X$11,IF(S44&lt;=$T$12,$X$12,IF(S44&lt;=$T$13,$X$13,IF(S44&lt;=$T$14,$X$14,IF(S44&lt;=$T$15,$X$15,IF(S44&lt;=$T$16,$X$16,IF(S44&lt;=$T$17,$X$17,IF(S44&lt;=$T$18,$X$18,IF(S44&lt;=$T$19,$X$19,IF(S44&lt;=$T$20,$X$20,IF(S44&lt;=$T$21,$X$21,IF(S44&lt;=$T$22,$X$22,IF(S44&lt;=$T$23,$X$23,IF(S44&lt;=$T$24,$X$24,IF(S44&lt;=$T$25,$X$25,IF(S44&lt;=$T$26,$X$26,IF(S44&lt;=$T$27,$X$27,IF(S44&lt;=$T$28,$X$28,IF(S44&lt;=$T$29,$X$29))))))))))))))))))))))))</f>
        <v>2.0000000000000003E-6</v>
      </c>
      <c r="Y45" s="419">
        <f>IF(S44&lt;=$T$6,$Y$6,IF(S44&lt;=$T$7,$Y$7,IF(S44&lt;=$T$8,$Y$8,IF(S44&lt;=$T$9,$Y$9,IF(S44&lt;=$T$10,$Y$10,IF(S44&lt;=$T$11,$Y$11,IF(S44&lt;=$T$12,$Y$12,IF(S44&lt;=$T$13,$Y$13,IF(S44&lt;=$T$14,$Y$14,IF(S44&lt;=$T$15,$Y$15,IF(S44&lt;=$T$16,$Y$16,IF(S44&lt;=$T$17,$Y$17,IF(S44&lt;=$T$18,$Y$18,IF(S44&lt;=$T$19,$Y$19,IF(S44&lt;=$T$20,$Y$20,IF(S44&lt;=$T$21,$Y$21,IF(S44&lt;=$T$22,$Y$22,IF(S44&lt;=$T$23,$Y$23,IF(S44&lt;=$T$24,$Y$24,IF(S44&lt;=$T$25,$Y$25,IF(S44&lt;=$T$26,$Y$26,IF(S44&lt;=$T$27,$Y$27,IF(S44&lt;=$T$28,$Y$28,IF(S44&lt;=$T$29,$Y$29))))))))))))))))))))))))</f>
        <v>1.5999999999999999E-5</v>
      </c>
      <c r="AA45" s="6">
        <v>14</v>
      </c>
      <c r="AB45" s="6">
        <f t="shared" si="76"/>
        <v>14.000014</v>
      </c>
      <c r="AC45" s="6">
        <f t="shared" si="77"/>
        <v>1.3999999999621422E-5</v>
      </c>
      <c r="AD45" s="6">
        <f t="shared" si="78"/>
        <v>0</v>
      </c>
      <c r="AE45" s="6">
        <f t="shared" si="79"/>
        <v>1.7600000000000001E-6</v>
      </c>
      <c r="AF45" s="6">
        <f t="shared" si="80"/>
        <v>1.4E-5</v>
      </c>
      <c r="AH45" s="630"/>
      <c r="AI45" s="451">
        <v>5</v>
      </c>
      <c r="AJ45" s="451">
        <f t="shared" si="81"/>
        <v>0.1</v>
      </c>
      <c r="AK45" s="451"/>
      <c r="AL45" s="451"/>
      <c r="AM45" s="451"/>
      <c r="AN45" s="451"/>
      <c r="AO45" s="451"/>
      <c r="AP45" s="67"/>
      <c r="AQ45" s="630"/>
      <c r="AR45" s="451">
        <v>5</v>
      </c>
      <c r="AS45" s="451">
        <f t="shared" si="83"/>
        <v>0.2</v>
      </c>
      <c r="AT45" s="451"/>
      <c r="AU45" s="451"/>
      <c r="AV45" s="451"/>
      <c r="AW45" s="451"/>
      <c r="AX45" s="439"/>
    </row>
    <row r="46" spans="1:50" x14ac:dyDescent="0.3">
      <c r="A46" s="646"/>
      <c r="B46" s="405"/>
      <c r="C46" s="405"/>
      <c r="D46" s="405"/>
      <c r="E46" s="405"/>
      <c r="F46" s="646"/>
      <c r="G46" s="646"/>
      <c r="H46" s="417"/>
      <c r="I46" s="405"/>
      <c r="J46" s="408">
        <v>2</v>
      </c>
      <c r="K46" s="410">
        <v>10</v>
      </c>
      <c r="L46" s="449">
        <v>10.00001</v>
      </c>
      <c r="M46" s="403">
        <f t="shared" ref="M46:M54" si="85">L46-K46</f>
        <v>9.9999999996214228E-6</v>
      </c>
      <c r="N46" s="403"/>
      <c r="O46" s="403">
        <f>0.5*(0.08*MPE!B20)</f>
        <v>8.0000000000000007E-7</v>
      </c>
      <c r="P46" s="403">
        <v>6.0000000000000002E-6</v>
      </c>
      <c r="S46" s="422"/>
      <c r="T46" s="422">
        <f>IF(S47&lt;=$T$6,$T$5,IF(S47&lt;=$T$7,$T$6,IF(S47&lt;=$T$8,$T$7,IF(S47&lt;=$T$9,$T$8,IF(S47&lt;=$T$10,$T$9,IF(S47&lt;=$T$11,$T$10,IF(S47&lt;=$T$12,$T$11,IF(S47&lt;=$T$13,$T$12,IF(S47&lt;=$T$14,$T$13,IF(S47&lt;=$T$15,$T$14,IF(S47&lt;=$T$16,$T$15,IF(S47&lt;=$T$17,$T$16,IF(S47&lt;=$T$18,$T$17,IF(S47&lt;=$T$19,$T$18,IF(S47&lt;=$T$20,$T$19,IF(S47&lt;=$T$21,$T$20,IF(S47&lt;=$T$22,$T$21,IF(S47&lt;=$T$23,$T$22,IF(S47&lt;=$T$24,$T$23,IF(S47&lt;=$T$25,$T$24,IF(S47&lt;=$T$26,$T$25,IF(S47&lt;=$T$27,$T$26,IF(S47&lt;=$T$28,$T$27,IF(S47&lt;=$T$29,$T$28,$T$29))))))))))))))))))))))))</f>
        <v>50</v>
      </c>
      <c r="U46" s="422"/>
      <c r="V46" s="422">
        <f>IF(S47&lt;=$T$6,$U$5,IF(S47&lt;=$T$7,$U$6,IF(S47&lt;=$T$8,$U$7,IF(S47&lt;=$T$9,$U$8,IF(S47&lt;=$T$10,$U$9,IF(S47&lt;=$T$11,$U$10,IF(S47&lt;=$T$12,$U$11,IF(S47&lt;=$T$13,$U$12,IF(S47&lt;=$T$14,$U$13,IF(S47&lt;=$T$15,$U$14,IF(S47&lt;=$T$16,$U$15,IF(S47&lt;=$T$17,$U$16,IF(S47&lt;=$T$18,$U$17,IF(S47&lt;=$T$19,$U$18,IF(S47&lt;=$T$20,$U$19,IF(S47&lt;=$T$21,$U$20,IF(S47&lt;=$T$22,$U$21,IF(S47&lt;=$T$23,$U$22,IF(S47&lt;=$T$24,$U$23,IF(S47&lt;=$T$25,$U$24,IF(S47&lt;=$T$26,$U$25,IF(S47&lt;=$T$27,$U$26,IF(S47&lt;=$T$28,$U$27,IF(S47&lt;=$T$29,$U$28,$T$29))))))))))))))))))))))))</f>
        <v>50.000019000000002</v>
      </c>
      <c r="W46" s="422"/>
      <c r="X46" s="422">
        <f>IF(S47&lt;=$T$6,$X$5,IF(S47&lt;=$T$7,$X$6,IF(S47&lt;=$T$8,$X$7,IF(S47&lt;=$T$9,$X$8,IF(S47&lt;=$T$10,$X$9,IF(S47&lt;=$T$11,$X$10,IF(S47&lt;=$T$12,$X$11,IF(S47&lt;=$T$13,$X$12,IF(S47&lt;=$T$14,$X$13,IF(S47&lt;=$T$15,$X$14,IF(S47&lt;=$T$16,$X$15,IF(S47&lt;=$T$17,$X$16,IF(S47&lt;=$T$18,$X$17,IF(S47&lt;=$T$19,$X$18,IF(S47&lt;=$T$20,$X$19,IF(S47&lt;=$T$21,$X$20,IF(S47&lt;=$T$22,$X$21,IF(S47&lt;=$T$23,$X$22,IF(S47&lt;=$T$24,$X$23,IF(S47&lt;=$T$25,$X$24,IF(S47&lt;=$T$26,$X$25,IF(S47&lt;=$T$27,$X$26,IF(S47&lt;=$T$28,$X$27,IF(S47&lt;=$T$29,$X$28,$T$29))))))))))))))))))))))))</f>
        <v>1.2000000000000002E-6</v>
      </c>
      <c r="Y46" s="422">
        <f>IF(S47&lt;=$T$6,$Y$5,IF(S47&lt;=$T$7,$Y$6,IF(S47&lt;=$T$8,$Y$7,IF(S47&lt;=$T$9,$Y$8,IF(S47&lt;=$T$10,$Y$9,IF(S47&lt;=$T$11,$Y$10,IF(S47&lt;=$T$12,$Y$11,IF(S47&lt;=$T$13,$Y$12,IF(S47&lt;=$T$14,$Y$13,IF(S47&lt;=$T$15,$Y$14,IF(S47&lt;=$T$16,$Y$15,IF(S47&lt;=$T$17,$Y$16,IF(S47&lt;=$T$18,$Y$17,IF(S47&lt;=$T$19,$Y$18,IF(S47&lt;=$T$20,$Y$19,IF(S47&lt;=$T$21,$Y$20,IF(S47&lt;=$T$22,$Y$21,IF(S47&lt;=$T$23,$Y$22,IF(S47&lt;=$T$24,$Y$23,IF(S47&lt;=$T$25,$Y$24,IF(S47&lt;=$T$26,$Y$25,IF(S47&lt;=$T$27,$Y$26,IF(S47&lt;=$T$28,$Y$27,IF(S47&lt;=$T$29,$Y$28,$T$29))))))))))))))))))))))))</f>
        <v>1.0000000000000001E-5</v>
      </c>
      <c r="AA46" s="6">
        <v>15</v>
      </c>
      <c r="AB46" s="6">
        <f t="shared" si="76"/>
        <v>15.000019999999999</v>
      </c>
      <c r="AC46" s="6">
        <f t="shared" si="77"/>
        <v>1.9999999999621422E-5</v>
      </c>
      <c r="AD46" s="6">
        <f t="shared" si="78"/>
        <v>0</v>
      </c>
      <c r="AE46" s="6">
        <f t="shared" si="79"/>
        <v>1.4400000000000002E-6</v>
      </c>
      <c r="AF46" s="6">
        <f t="shared" si="80"/>
        <v>1.1E-5</v>
      </c>
      <c r="AH46" s="631"/>
      <c r="AI46" s="451">
        <v>6</v>
      </c>
      <c r="AJ46" s="451">
        <f t="shared" si="81"/>
        <v>0.1</v>
      </c>
      <c r="AK46" s="451"/>
      <c r="AL46" s="451"/>
      <c r="AM46" s="451"/>
      <c r="AN46" s="451"/>
      <c r="AO46" s="451"/>
      <c r="AP46" s="67"/>
      <c r="AQ46" s="631"/>
      <c r="AR46" s="451">
        <v>6</v>
      </c>
      <c r="AS46" s="451">
        <f t="shared" si="83"/>
        <v>0.2</v>
      </c>
      <c r="AT46" s="451"/>
      <c r="AU46" s="451"/>
      <c r="AV46" s="451"/>
      <c r="AW46" s="451"/>
      <c r="AX46" s="439"/>
    </row>
    <row r="47" spans="1:50" x14ac:dyDescent="0.3">
      <c r="A47" s="405"/>
      <c r="B47" s="405"/>
      <c r="C47" s="405"/>
      <c r="D47" s="405"/>
      <c r="E47" s="405"/>
      <c r="F47" s="405"/>
      <c r="G47" s="405"/>
      <c r="H47" s="417"/>
      <c r="I47" s="405"/>
      <c r="J47" s="408">
        <v>2</v>
      </c>
      <c r="K47" s="410">
        <v>20</v>
      </c>
      <c r="L47" s="448">
        <v>20.000005999999999</v>
      </c>
      <c r="M47" s="403">
        <f t="shared" si="85"/>
        <v>5.999999999062311E-6</v>
      </c>
      <c r="N47" s="403"/>
      <c r="O47" s="403">
        <f>0.5*(0.08*MPE!B19)</f>
        <v>1.0000000000000002E-6</v>
      </c>
      <c r="P47" s="403">
        <v>7.9999999999999996E-6</v>
      </c>
      <c r="S47" s="424">
        <f>ID!B46</f>
        <v>100</v>
      </c>
      <c r="T47" s="422"/>
      <c r="U47" s="420">
        <f>((S47-T46)/(T48-T46)*(V48-V46)+V46)</f>
        <v>100.000018</v>
      </c>
      <c r="V47" s="422"/>
      <c r="W47" s="422"/>
      <c r="X47" s="420">
        <f>((S47-T46)/(T48-T46)*(X48-X46)+X46)</f>
        <v>2.0000000000000003E-6</v>
      </c>
      <c r="Y47" s="420">
        <f>((S47-T46)/(T48-T46)*(Y48-Y46)+Y46)</f>
        <v>1.5999999999999999E-5</v>
      </c>
      <c r="AA47" s="6">
        <v>16</v>
      </c>
      <c r="AB47" s="6">
        <f t="shared" si="76"/>
        <v>16.000022999999999</v>
      </c>
      <c r="AC47" s="6">
        <f t="shared" si="77"/>
        <v>2.2999999999621424E-5</v>
      </c>
      <c r="AD47" s="6">
        <f t="shared" si="78"/>
        <v>0</v>
      </c>
      <c r="AE47" s="6">
        <f t="shared" si="79"/>
        <v>1.3440000000000002E-5</v>
      </c>
      <c r="AF47" s="6">
        <f t="shared" si="80"/>
        <v>2.1000000000000002E-5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</row>
    <row r="48" spans="1:50" x14ac:dyDescent="0.3">
      <c r="A48" s="646"/>
      <c r="B48" s="405"/>
      <c r="C48" s="405"/>
      <c r="D48" s="405"/>
      <c r="E48" s="405"/>
      <c r="F48" s="405"/>
      <c r="G48" s="405"/>
      <c r="H48" s="417"/>
      <c r="I48" s="405"/>
      <c r="J48" s="408">
        <v>2</v>
      </c>
      <c r="K48" s="410">
        <v>20</v>
      </c>
      <c r="L48" s="449">
        <v>20.000008999999999</v>
      </c>
      <c r="M48" s="403">
        <f t="shared" si="85"/>
        <v>8.9999999985934664E-6</v>
      </c>
      <c r="N48" s="403"/>
      <c r="O48" s="403">
        <f>0.5*(0.08*MPE!B19)</f>
        <v>1.0000000000000002E-6</v>
      </c>
      <c r="P48" s="403">
        <v>7.9999999999999996E-6</v>
      </c>
      <c r="S48" s="423"/>
      <c r="T48" s="422">
        <f>IF(S47&lt;=$T$6,$T$6,IF(S47&lt;=$T$7,$T$7,IF(S47&lt;=$T$8,$T$8,IF(S47&lt;=$T$9,$T$9,IF(S47&lt;=$T$10,$T$10,IF(S47&lt;=$T$11,$T$11,IF(S47&lt;=$T$12,$T$12,IF(S47&lt;=$T$13,$T$13,IF(S47&lt;=$T$14,$T$14,IF(S47&lt;=$T$15,$T$15,IF(S47&lt;=$T$16,$T$16,IF(S47&lt;=$T$17,$T$17,IF(S47&lt;=$T$18,$T$18,IF(S47&lt;=$T$19,$T$19,IF(S47&lt;=$T$20,$T$20,IF(S47&lt;=$T$21,$T$21,IF(S47&lt;=$T$22,$T$22,IF(S47&lt;=$T$23,$T$23,IF(S47&lt;=$T$24,$T$24,IF(S47&lt;=$T$25,$T$25,IF(S47&lt;=$T$26,$T$26,IF(S47&lt;=$T$27,$T$27,IF(S47&lt;=$T$28,$T$28,IF(S47&lt;=$T$29,$T$29))))))))))))))))))))))))</f>
        <v>100</v>
      </c>
      <c r="U48" s="422"/>
      <c r="V48" s="422">
        <f>IF(S47&lt;=$T$6,$U$6,IF(S47&lt;=$T$7,$U$7,IF(S47&lt;=$T$8,$U$8,IF(S47&lt;=$T$9,$U$9,IF(S47&lt;=$T$10,$U$10,IF(S47&lt;=$T$11,$U$11,IF(S47&lt;=$T$12,$U$12,IF(S47&lt;=$T$13,$U$13,IF(S47&lt;=$T$14,$U$14,IF(S47&lt;=$T$15,$U$15,IF(S47&lt;=$T$16,$U$16,IF(S47&lt;=$T$17,$U$17,IF(S47&lt;=$T$18,$U$18,IF(S47&lt;=$T$19,$U$19,IF(S47&lt;=$T$20,$U$20,IF(S47&lt;=$T$21,$U$21,IF(S47&lt;=$T$22,$U$22,IF(S47&lt;=$T$23,$U$23,IF(S47&lt;=$T$24,$U$24,IF(S47&lt;=$T$25,$U$25,IF(S47&lt;=$T$26,$U$26,IF(S47&lt;=$T$27,$U$27,IF(S47&lt;=$T$28,$U$28,IF(S47&lt;=$T$29,$U$29))))))))))))))))))))))))</f>
        <v>100.000018</v>
      </c>
      <c r="W48" s="422"/>
      <c r="X48" s="422">
        <f>IF(S47&lt;=$T$6,$X$6,IF(S47&lt;=$T$7,$X$7,IF(S47&lt;=$T$8,$X$8,IF(S47&lt;=$T$9,$X$9,IF(S47&lt;=$T$10,$X$10,IF(S47&lt;=$T$11,$X$11,IF(S47&lt;=$T$12,$X$12,IF(S47&lt;=$T$13,$X$13,IF(S47&lt;=$T$14,$X$14,IF(S47&lt;=$T$15,$X$15,IF(S47&lt;=$T$16,$X$16,IF(S47&lt;=$T$17,$X$17,IF(S47&lt;=$T$18,$X$18,IF(S47&lt;=$T$19,$X$19,IF(S47&lt;=$T$20,$X$20,IF(S47&lt;=$T$21,$X$21,IF(S47&lt;=$T$22,$X$22,IF(S47&lt;=$T$23,$X$23,IF(S47&lt;=$T$24,$X$24,IF(S47&lt;=$T$25,$X$25,IF(S47&lt;=$T$26,$X$26,IF(S47&lt;=$T$27,$X$27,IF(S47&lt;=$T$28,$X$28,IF(S47&lt;=$T$29,$X$29))))))))))))))))))))))))</f>
        <v>2.0000000000000003E-6</v>
      </c>
      <c r="Y48" s="422">
        <f>IF(S47&lt;=$T$6,$Y$6,IF(S47&lt;=$T$7,$Y$7,IF(S47&lt;=$T$8,$Y$8,IF(S47&lt;=$T$9,$Y$9,IF(S47&lt;=$T$10,$Y$10,IF(S47&lt;=$T$11,$Y$11,IF(S47&lt;=$T$12,$Y$12,IF(S47&lt;=$T$13,$Y$13,IF(S47&lt;=$T$14,$Y$14,IF(S47&lt;=$T$15,$Y$15,IF(S47&lt;=$T$16,$Y$16,IF(S47&lt;=$T$17,$Y$17,IF(S47&lt;=$T$18,$Y$18,IF(S47&lt;=$T$19,$Y$19,IF(S47&lt;=$T$20,$Y$20,IF(S47&lt;=$T$21,$Y$21,IF(S47&lt;=$T$22,$Y$22,IF(S47&lt;=$T$23,$Y$23,IF(S47&lt;=$T$24,$Y$24,IF(S47&lt;=$T$25,$Y$25,IF(S47&lt;=$T$26,$Y$26,IF(S47&lt;=$T$27,$Y$27,IF(S47&lt;=$T$28,$Y$28,IF(S47&lt;=$T$29,$Y$29))))))))))))))))))))))))</f>
        <v>1.5999999999999999E-5</v>
      </c>
      <c r="AA48" s="6">
        <v>17</v>
      </c>
      <c r="AB48" s="6">
        <f t="shared" si="76"/>
        <v>17.000021</v>
      </c>
      <c r="AC48" s="6">
        <f t="shared" si="77"/>
        <v>2.0999999999621426E-5</v>
      </c>
      <c r="AD48" s="6">
        <f t="shared" si="78"/>
        <v>0</v>
      </c>
      <c r="AE48" s="6">
        <f t="shared" si="79"/>
        <v>1.9200000000000003E-6</v>
      </c>
      <c r="AF48" s="6">
        <f t="shared" si="80"/>
        <v>1.5E-5</v>
      </c>
      <c r="AH48" s="629">
        <v>0.2</v>
      </c>
      <c r="AI48" s="625"/>
      <c r="AJ48" s="625"/>
      <c r="AK48" s="627"/>
      <c r="AL48" s="628" t="s">
        <v>220</v>
      </c>
      <c r="AM48" s="625"/>
      <c r="AN48" s="625"/>
      <c r="AO48" s="625"/>
      <c r="AP48" s="67"/>
      <c r="AQ48" s="629">
        <v>0.5</v>
      </c>
      <c r="AR48" s="625"/>
      <c r="AS48" s="625"/>
      <c r="AT48" s="627"/>
      <c r="AU48" s="628" t="s">
        <v>220</v>
      </c>
      <c r="AV48" s="625"/>
      <c r="AW48" s="625"/>
      <c r="AX48" s="632"/>
    </row>
    <row r="49" spans="1:50" x14ac:dyDescent="0.3">
      <c r="A49" s="646"/>
      <c r="B49" s="405"/>
      <c r="C49" s="405"/>
      <c r="D49" s="405"/>
      <c r="E49" s="405"/>
      <c r="F49" s="405"/>
      <c r="G49" s="405"/>
      <c r="H49" s="417"/>
      <c r="I49" s="405"/>
      <c r="J49" s="408">
        <v>2</v>
      </c>
      <c r="K49" s="410">
        <v>50</v>
      </c>
      <c r="L49" s="448">
        <v>50.000019000000002</v>
      </c>
      <c r="M49" s="403">
        <f t="shared" si="85"/>
        <v>1.9000000001767603E-5</v>
      </c>
      <c r="N49" s="403"/>
      <c r="O49" s="403">
        <f>0.5*(0.08*MPE!B18)</f>
        <v>1.2000000000000002E-6</v>
      </c>
      <c r="P49" s="403">
        <v>1.0000000000000001E-5</v>
      </c>
      <c r="S49" s="425"/>
      <c r="T49" s="419">
        <f>IF(S50&lt;=$T$6,$T$5,IF(S50&lt;=$T$7,$T$6,IF(S50&lt;=$T$8,$T$7,IF(S50&lt;=$T$9,$T$8,IF(S50&lt;=$T$10,$T$9,IF(S50&lt;=$T$11,$T$10,IF(S50&lt;=$T$12,$T$11,IF(S50&lt;=$T$13,$T$12,IF(S50&lt;=$T$14,$T$13,IF(S50&lt;=$T$15,$T$14,IF(S50&lt;=$T$16,$T$15,IF(S50&lt;=$T$17,$T$16,IF(S50&lt;=$T$18,$T$17,IF(S50&lt;=$T$19,$T$18,IF(S50&lt;=$T$20,$T$19,IF(S50&lt;=$T$21,$T$20,IF(S50&lt;=$T$22,$T$21,IF(S50&lt;=$T$23,$T$22,IF(S50&lt;=$T$24,$T$23,IF(S50&lt;=$T$25,$T$24,IF(S50&lt;=$T$26,$T$25,IF(S50&lt;=$T$27,$T$26,IF(S50&lt;=$T$28,$T$27,IF(S50&lt;=$T$29,$T$28,$T$29))))))))))))))))))))))))</f>
        <v>100</v>
      </c>
      <c r="U49" s="419"/>
      <c r="V49" s="419">
        <f>IF(S50&lt;=$T$6,$U$5,IF(S50&lt;=$T$7,$U$6,IF(S50&lt;=$T$8,$U$7,IF(S50&lt;=$T$9,$U$8,IF(S50&lt;=$T$10,$U$9,IF(S50&lt;=$T$11,$U$10,IF(S50&lt;=$T$12,$U$11,IF(S50&lt;=$T$13,$U$12,IF(S50&lt;=$T$14,$U$13,IF(S50&lt;=$T$15,$U$14,IF(S50&lt;=$T$16,$U$15,IF(S50&lt;=$T$17,$U$16,IF(S50&lt;=$T$18,$U$17,IF(S50&lt;=$T$19,$U$18,IF(S50&lt;=$T$20,$U$19,IF(S50&lt;=$T$21,$U$20,IF(S50&lt;=$T$22,$U$21,IF(S50&lt;=$T$23,$U$22,IF(S50&lt;=$T$24,$U$23,IF(S50&lt;=$T$25,$U$24,IF(S50&lt;=$T$26,$U$25,IF(S50&lt;=$T$27,$U$26,IF(S50&lt;=$T$28,$U$27,IF(S50&lt;=$T$29,$U$28,$T$29))))))))))))))))))))))))</f>
        <v>100.000018</v>
      </c>
      <c r="W49" s="419"/>
      <c r="X49" s="419">
        <f>IF(S50&lt;=$T$6,$X$5,IF(S50&lt;=$T$7,$X$6,IF(S50&lt;=$T$8,$X$7,IF(S50&lt;=$T$9,$X$8,IF(S50&lt;=$T$10,$X$9,IF(S50&lt;=$T$11,$X$10,IF(S50&lt;=$T$12,$X$11,IF(S50&lt;=$T$13,$X$12,IF(S50&lt;=$T$14,$X$13,IF(S50&lt;=$T$15,$X$14,IF(S50&lt;=$T$16,$X$15,IF(S50&lt;=$T$17,$X$16,IF(S50&lt;=$T$18,$X$17,IF(S50&lt;=$T$19,$X$18,IF(S50&lt;=$T$20,$X$19,IF(S50&lt;=$T$21,$X$20,IF(S50&lt;=$T$22,$X$21,IF(S50&lt;=$T$23,$X$22,IF(S50&lt;=$T$24,$X$23,IF(S50&lt;=$T$25,$X$24,IF(S50&lt;=$T$26,$X$25,IF(S50&lt;=$T$27,$X$26,IF(S50&lt;=$T$28,$X$27,IF(S50&lt;=$T$29,$X$28,$T$29))))))))))))))))))))))))</f>
        <v>2.0000000000000003E-6</v>
      </c>
      <c r="Y49" s="419">
        <f>IF(S50&lt;=$T$6,$Y$5,IF(S50&lt;=$T$7,$Y$6,IF(S50&lt;=$T$8,$Y$7,IF(S50&lt;=$T$9,$Y$8,IF(S50&lt;=$T$10,$Y$9,IF(S50&lt;=$T$11,$Y$10,IF(S50&lt;=$T$12,$Y$11,IF(S50&lt;=$T$13,$Y$12,IF(S50&lt;=$T$14,$Y$13,IF(S50&lt;=$T$15,$Y$14,IF(S50&lt;=$T$16,$Y$15,IF(S50&lt;=$T$17,$Y$16,IF(S50&lt;=$T$18,$Y$17,IF(S50&lt;=$T$19,$Y$18,IF(S50&lt;=$T$20,$Y$19,IF(S50&lt;=$T$21,$Y$20,IF(S50&lt;=$T$22,$Y$21,IF(S50&lt;=$T$23,$Y$22,IF(S50&lt;=$T$24,$Y$23,IF(S50&lt;=$T$25,$Y$24,IF(S50&lt;=$T$26,$Y$25,IF(S50&lt;=$T$27,$Y$26,IF(S50&lt;=$T$28,$Y$27,IF(S50&lt;=$T$29,$Y$28,$T$29))))))))))))))))))))))))</f>
        <v>1.5999999999999999E-5</v>
      </c>
      <c r="AA49" s="6">
        <v>18</v>
      </c>
      <c r="AB49" s="6">
        <f t="shared" si="76"/>
        <v>18.000024</v>
      </c>
      <c r="AC49" s="6">
        <f t="shared" si="77"/>
        <v>2.3999999999621424E-5</v>
      </c>
      <c r="AD49" s="6">
        <f t="shared" si="78"/>
        <v>0</v>
      </c>
      <c r="AE49" s="6">
        <f t="shared" si="79"/>
        <v>1.3920000000000002E-5</v>
      </c>
      <c r="AF49" s="6">
        <f t="shared" si="80"/>
        <v>2.5000000000000001E-5</v>
      </c>
      <c r="AH49" s="630"/>
      <c r="AI49" s="626" t="s">
        <v>434</v>
      </c>
      <c r="AJ49" s="626" t="s">
        <v>433</v>
      </c>
      <c r="AK49" s="453" t="s">
        <v>319</v>
      </c>
      <c r="AL49" s="453">
        <v>2022</v>
      </c>
      <c r="AM49" s="626">
        <v>2018</v>
      </c>
      <c r="AN49" s="626" t="s">
        <v>320</v>
      </c>
      <c r="AO49" s="626" t="s">
        <v>218</v>
      </c>
      <c r="AP49" s="67"/>
      <c r="AQ49" s="630"/>
      <c r="AR49" s="626" t="s">
        <v>434</v>
      </c>
      <c r="AS49" s="626" t="s">
        <v>433</v>
      </c>
      <c r="AT49" s="453" t="s">
        <v>319</v>
      </c>
      <c r="AU49" s="453">
        <v>2022</v>
      </c>
      <c r="AV49" s="626">
        <v>2018</v>
      </c>
      <c r="AW49" s="626" t="s">
        <v>320</v>
      </c>
      <c r="AX49" s="633" t="s">
        <v>218</v>
      </c>
    </row>
    <row r="50" spans="1:50" x14ac:dyDescent="0.3">
      <c r="A50" s="646"/>
      <c r="B50" s="405"/>
      <c r="C50" s="405"/>
      <c r="D50" s="405"/>
      <c r="E50" s="405"/>
      <c r="F50" s="405"/>
      <c r="G50" s="405"/>
      <c r="H50" s="417"/>
      <c r="I50" s="405"/>
      <c r="J50" s="408">
        <v>2</v>
      </c>
      <c r="K50" s="410">
        <v>100</v>
      </c>
      <c r="L50" s="449">
        <v>100.000018</v>
      </c>
      <c r="M50" s="403">
        <f t="shared" si="85"/>
        <v>1.7999999997186933E-5</v>
      </c>
      <c r="N50" s="403"/>
      <c r="O50" s="403">
        <f>0.5*(0.08*MPE!B17)</f>
        <v>2.0000000000000003E-6</v>
      </c>
      <c r="P50" s="403">
        <v>1.5999999999999999E-5</v>
      </c>
      <c r="S50" s="424">
        <f>ID!B47</f>
        <v>120</v>
      </c>
      <c r="T50" s="419"/>
      <c r="U50" s="420">
        <f>((S50-T49)/(T51-T49)*(V51-V49)+V49)</f>
        <v>120.00002480000001</v>
      </c>
      <c r="V50" s="419"/>
      <c r="W50" s="419"/>
      <c r="X50" s="420">
        <f>((S50-T49)/(T51-T49)*(X51-X49)+X49)</f>
        <v>2.4000000000000003E-6</v>
      </c>
      <c r="Y50" s="420">
        <f>((S50-T49)/(T51-T49)*(Y51-Y49)+Y49)</f>
        <v>1.88E-5</v>
      </c>
      <c r="AA50" s="6">
        <v>19</v>
      </c>
      <c r="AB50" s="6">
        <f t="shared" si="76"/>
        <v>19.000024</v>
      </c>
      <c r="AC50" s="6">
        <f t="shared" si="77"/>
        <v>2.3999999999621424E-5</v>
      </c>
      <c r="AD50" s="6">
        <f t="shared" si="78"/>
        <v>0</v>
      </c>
      <c r="AE50" s="6">
        <f t="shared" si="79"/>
        <v>2.4000000000000003E-6</v>
      </c>
      <c r="AF50" s="6">
        <f t="shared" si="80"/>
        <v>1.9000000000000001E-5</v>
      </c>
      <c r="AH50" s="630">
        <v>0.2</v>
      </c>
      <c r="AI50" s="451">
        <v>1</v>
      </c>
      <c r="AJ50" s="451">
        <v>0.2</v>
      </c>
      <c r="AK50" s="451">
        <f>L15</f>
        <v>0.1999976</v>
      </c>
      <c r="AL50" s="451">
        <f t="shared" ref="AL50:AO50" si="86">M15</f>
        <v>-2.4000000000135024E-6</v>
      </c>
      <c r="AM50" s="451">
        <f t="shared" si="86"/>
        <v>-1.0000000000010001E-6</v>
      </c>
      <c r="AN50" s="451">
        <f t="shared" si="86"/>
        <v>7.0000000000625118E-7</v>
      </c>
      <c r="AO50" s="451">
        <f t="shared" si="86"/>
        <v>1.9999999999999999E-6</v>
      </c>
      <c r="AP50" s="67"/>
      <c r="AQ50" s="630">
        <v>0.5</v>
      </c>
      <c r="AR50" s="451">
        <v>1</v>
      </c>
      <c r="AS50" s="451">
        <v>0.5</v>
      </c>
      <c r="AT50" s="451">
        <f>L16</f>
        <v>0.50000310000000003</v>
      </c>
      <c r="AU50" s="451">
        <f t="shared" ref="AU50:AX50" si="87">M16</f>
        <v>3.1000000000336314E-6</v>
      </c>
      <c r="AV50" s="451">
        <f t="shared" si="87"/>
        <v>6.999999999979245E-6</v>
      </c>
      <c r="AW50" s="451">
        <f t="shared" si="87"/>
        <v>1.9499999999728068E-6</v>
      </c>
      <c r="AX50" s="450">
        <f t="shared" si="87"/>
        <v>1.9999999999999999E-6</v>
      </c>
    </row>
    <row r="51" spans="1:50" x14ac:dyDescent="0.3">
      <c r="A51" s="646"/>
      <c r="B51" s="405"/>
      <c r="C51" s="405"/>
      <c r="D51" s="405"/>
      <c r="E51" s="405"/>
      <c r="F51" s="405"/>
      <c r="G51" s="405"/>
      <c r="H51" s="417"/>
      <c r="I51" s="405"/>
      <c r="J51" s="408">
        <v>2</v>
      </c>
      <c r="K51" s="410">
        <v>200</v>
      </c>
      <c r="L51" s="448">
        <v>200.00005200000001</v>
      </c>
      <c r="M51" s="403">
        <f t="shared" si="85"/>
        <v>5.2000000010821168E-5</v>
      </c>
      <c r="N51" s="403"/>
      <c r="O51" s="403">
        <f>0.5*(0.08*MPE!B16)</f>
        <v>4.0000000000000007E-6</v>
      </c>
      <c r="P51" s="403">
        <v>3.0000000000000001E-5</v>
      </c>
      <c r="S51" s="419"/>
      <c r="T51" s="419">
        <f>IF(S50&lt;=$T$6,$T$6,IF(S50&lt;=$T$7,$T$7,IF(S50&lt;=$T$8,$T$8,IF(S50&lt;=$T$9,$T$9,IF(S50&lt;=$T$10,$T$10,IF(S50&lt;=$T$11,$T$11,IF(S50&lt;=$T$12,$T$12,IF(S50&lt;=$T$13,$T$13,IF(S50&lt;=$T$14,$T$14,IF(S50&lt;=$T$15,$T$15,IF(S50&lt;=$T$16,$T$16,IF(S50&lt;=$T$17,$T$17,IF(S50&lt;=$T$18,$T$18,IF(S50&lt;=$T$19,$T$19,IF(S50&lt;=$T$20,$T$20,IF(S50&lt;=$T$21,$T$21,IF(S50&lt;=$T$22,$T$22,IF(S50&lt;=$T$23,$T$23,IF(S50&lt;=$T$24,$T$24,IF(S50&lt;=$T$25,$T$25,IF(S50&lt;=$T$26,$T$26,IF(S50&lt;=$T$27,$T$27,IF(S50&lt;=$T$28,$T$28,IF(S50&lt;=$T$29,$T$29))))))))))))))))))))))))</f>
        <v>200</v>
      </c>
      <c r="U51" s="419"/>
      <c r="V51" s="419">
        <f>IF(S50&lt;=$T$6,$U$6,IF(S50&lt;=$T$7,$U$7,IF(S50&lt;=$T$8,$U$8,IF(S50&lt;=$T$9,$U$9,IF(S50&lt;=$T$10,$U$10,IF(S50&lt;=$T$11,$U$11,IF(S50&lt;=$T$12,$U$12,IF(S50&lt;=$T$13,$U$13,IF(S50&lt;=$T$14,$U$14,IF(S50&lt;=$T$15,$U$15,IF(S50&lt;=$T$16,$U$16,IF(S50&lt;=$T$17,$U$17,IF(S50&lt;=$T$18,$U$18,IF(S50&lt;=$T$19,$U$19,IF(S50&lt;=$T$20,$U$20,IF(S50&lt;=$T$21,$U$21,IF(S50&lt;=$T$22,$U$22,IF(S50&lt;=$T$23,$U$23,IF(S50&lt;=$T$24,$U$24,IF(S50&lt;=$T$25,$U$25,IF(S50&lt;=$T$26,$U$26,IF(S50&lt;=$T$27,$U$27,IF(S50&lt;=$T$28,$U$28,IF(S50&lt;=$T$29,$U$29))))))))))))))))))))))))</f>
        <v>200.00005200000001</v>
      </c>
      <c r="W51" s="419"/>
      <c r="X51" s="419">
        <f>IF(S50&lt;=$T$6,$X$6,IF(S50&lt;=$T$7,$X$7,IF(S50&lt;=$T$8,$X$8,IF(S50&lt;=$T$9,$X$9,IF(S50&lt;=$T$10,$X$10,IF(S50&lt;=$T$11,$X$11,IF(S50&lt;=$T$12,$X$12,IF(S50&lt;=$T$13,$X$13,IF(S50&lt;=$T$14,$X$14,IF(S50&lt;=$T$15,$X$15,IF(S50&lt;=$T$16,$X$16,IF(S50&lt;=$T$17,$X$17,IF(S50&lt;=$T$18,$X$18,IF(S50&lt;=$T$19,$X$19,IF(S50&lt;=$T$20,$X$20,IF(S50&lt;=$T$21,$X$21,IF(S50&lt;=$T$22,$X$22,IF(S50&lt;=$T$23,$X$23,IF(S50&lt;=$T$24,$X$24,IF(S50&lt;=$T$25,$X$25,IF(S50&lt;=$T$26,$X$26,IF(S50&lt;=$T$27,$X$27,IF(S50&lt;=$T$28,$X$28,IF(S50&lt;=$T$29,$X$29))))))))))))))))))))))))</f>
        <v>4.0000000000000007E-6</v>
      </c>
      <c r="Y51" s="419">
        <f>IF(S50&lt;=$T$6,$Y$6,IF(S50&lt;=$T$7,$Y$7,IF(S50&lt;=$T$8,$Y$8,IF(S50&lt;=$T$9,$Y$9,IF(S50&lt;=$T$10,$Y$10,IF(S50&lt;=$T$11,$Y$11,IF(S50&lt;=$T$12,$Y$12,IF(S50&lt;=$T$13,$Y$13,IF(S50&lt;=$T$14,$Y$14,IF(S50&lt;=$T$15,$Y$15,IF(S50&lt;=$T$16,$Y$16,IF(S50&lt;=$T$17,$Y$17,IF(S50&lt;=$T$18,$Y$18,IF(S50&lt;=$T$19,$Y$19,IF(S50&lt;=$T$20,$Y$20,IF(S50&lt;=$T$21,$Y$21,IF(S50&lt;=$T$22,$Y$22,IF(S50&lt;=$T$23,$Y$23,IF(S50&lt;=$T$24,$Y$24,IF(S50&lt;=$T$25,$Y$25,IF(S50&lt;=$T$26,$Y$26,IF(S50&lt;=$T$27,$Y$27,IF(S50&lt;=$T$28,$Y$28,IF(S50&lt;=$T$29,$Y$29))))))))))))))))))))))))</f>
        <v>3.0000000000000001E-5</v>
      </c>
      <c r="AA51" s="6">
        <f t="shared" ref="AA51:AF51" si="88">T22</f>
        <v>20</v>
      </c>
      <c r="AB51" s="6">
        <f t="shared" si="88"/>
        <v>20.000005999999999</v>
      </c>
      <c r="AC51" s="6">
        <f t="shared" si="88"/>
        <v>5.999999999062311E-6</v>
      </c>
      <c r="AD51" s="6">
        <f t="shared" si="88"/>
        <v>0</v>
      </c>
      <c r="AE51" s="6">
        <f t="shared" si="88"/>
        <v>1.0000000000000002E-6</v>
      </c>
      <c r="AF51" s="6">
        <f t="shared" si="88"/>
        <v>7.9999999999999996E-6</v>
      </c>
      <c r="AH51" s="630"/>
      <c r="AI51" s="451">
        <v>2</v>
      </c>
      <c r="AJ51" s="451">
        <f>AJ50</f>
        <v>0.2</v>
      </c>
      <c r="AK51" s="451">
        <f>L40</f>
        <v>0.2000006</v>
      </c>
      <c r="AL51" s="451">
        <f t="shared" ref="AL51:AO51" si="89">M40</f>
        <v>5.9999999999999997E-7</v>
      </c>
      <c r="AM51" s="451">
        <f t="shared" si="89"/>
        <v>0</v>
      </c>
      <c r="AN51" s="451">
        <f t="shared" si="89"/>
        <v>2.4000000000000003E-7</v>
      </c>
      <c r="AO51" s="451">
        <f t="shared" si="89"/>
        <v>1.9999999999999999E-6</v>
      </c>
      <c r="AP51" s="67"/>
      <c r="AQ51" s="630"/>
      <c r="AR51" s="451">
        <v>2</v>
      </c>
      <c r="AS51" s="451">
        <f>AS50</f>
        <v>0.5</v>
      </c>
      <c r="AT51" s="451">
        <f>L41</f>
        <v>0.50000180000000005</v>
      </c>
      <c r="AU51" s="451">
        <f t="shared" ref="AU51:AX51" si="90">M41</f>
        <v>1.7999999999999999E-6</v>
      </c>
      <c r="AV51" s="451">
        <f t="shared" si="90"/>
        <v>0</v>
      </c>
      <c r="AW51" s="451">
        <f t="shared" si="90"/>
        <v>3.2000000000000001E-7</v>
      </c>
      <c r="AX51" s="440">
        <f t="shared" si="90"/>
        <v>2.5000000000000002E-6</v>
      </c>
    </row>
    <row r="52" spans="1:50" x14ac:dyDescent="0.3">
      <c r="A52" s="646"/>
      <c r="B52" s="405"/>
      <c r="C52" s="405"/>
      <c r="D52" s="405"/>
      <c r="E52" s="405"/>
      <c r="F52" s="405"/>
      <c r="G52" s="405"/>
      <c r="H52" s="417"/>
      <c r="I52" s="405"/>
      <c r="J52" s="408">
        <v>2</v>
      </c>
      <c r="K52" s="409">
        <v>200</v>
      </c>
      <c r="L52" s="449">
        <v>200.00005200000001</v>
      </c>
      <c r="M52" s="403">
        <f t="shared" si="85"/>
        <v>5.2000000010821168E-5</v>
      </c>
      <c r="N52" s="403"/>
      <c r="O52" s="403">
        <f>0.5*(0.08*MPE!B17)</f>
        <v>2.0000000000000003E-6</v>
      </c>
      <c r="P52" s="403">
        <v>3.0000000000000001E-5</v>
      </c>
      <c r="S52" s="422"/>
      <c r="T52" s="422">
        <f>IF(S53&lt;=$T$6,$T$5,IF(S53&lt;=$T$7,$T$6,IF(S53&lt;=$T$8,$T$7,IF(S53&lt;=$T$9,$T$8,IF(S53&lt;=$T$10,$T$9,IF(S53&lt;=$T$11,$T$10,IF(S53&lt;=$T$12,$T$11,IF(S53&lt;=$T$13,$T$12,IF(S53&lt;=$T$14,$T$13,IF(S53&lt;=$T$15,$T$14,IF(S53&lt;=$T$16,$T$15,IF(S53&lt;=$T$17,$T$16,IF(S53&lt;=$T$18,$T$17,IF(S53&lt;=$T$19,$T$18,IF(S53&lt;=$T$20,$T$19,IF(S53&lt;=$T$21,$T$20,IF(S53&lt;=$T$22,$T$21,IF(S53&lt;=$T$23,$T$22,IF(S53&lt;=$T$24,$T$23,IF(S53&lt;=$T$25,$T$24,IF(S53&lt;=$T$26,$T$25,IF(S53&lt;=$T$27,$T$26,IF(S53&lt;=$T$28,$T$27,IF(S53&lt;=$T$29,$T$28,$T$29))))))))))))))))))))))))</f>
        <v>100</v>
      </c>
      <c r="U52" s="422"/>
      <c r="V52" s="422">
        <f>IF(S53&lt;=$T$6,$U$5,IF(S53&lt;=$T$7,$U$6,IF(S53&lt;=$T$8,$U$7,IF(S53&lt;=$T$9,$U$8,IF(S53&lt;=$T$10,$U$9,IF(S53&lt;=$T$11,$U$10,IF(S53&lt;=$T$12,$U$11,IF(S53&lt;=$T$13,$U$12,IF(S53&lt;=$T$14,$U$13,IF(S53&lt;=$T$15,$U$14,IF(S53&lt;=$T$16,$U$15,IF(S53&lt;=$T$17,$U$16,IF(S53&lt;=$T$18,$U$17,IF(S53&lt;=$T$19,$U$18,IF(S53&lt;=$T$20,$U$19,IF(S53&lt;=$T$21,$U$20,IF(S53&lt;=$T$22,$U$21,IF(S53&lt;=$T$23,$U$22,IF(S53&lt;=$T$24,$U$23,IF(S53&lt;=$T$25,$U$24,IF(S53&lt;=$T$26,$U$25,IF(S53&lt;=$T$27,$U$26,IF(S53&lt;=$T$28,$U$27,IF(S53&lt;=$T$29,$U$28,$T$29))))))))))))))))))))))))</f>
        <v>100.000018</v>
      </c>
      <c r="W52" s="422"/>
      <c r="X52" s="422">
        <f>IF(S53&lt;=$T$6,$X$5,IF(S53&lt;=$T$7,$X$6,IF(S53&lt;=$T$8,$X$7,IF(S53&lt;=$T$9,$X$8,IF(S53&lt;=$T$10,$X$9,IF(S53&lt;=$T$11,$X$10,IF(S53&lt;=$T$12,$X$11,IF(S53&lt;=$T$13,$X$12,IF(S53&lt;=$T$14,$X$13,IF(S53&lt;=$T$15,$X$14,IF(S53&lt;=$T$16,$X$15,IF(S53&lt;=$T$17,$X$16,IF(S53&lt;=$T$18,$X$17,IF(S53&lt;=$T$19,$X$18,IF(S53&lt;=$T$20,$X$19,IF(S53&lt;=$T$21,$X$20,IF(S53&lt;=$T$22,$X$21,IF(S53&lt;=$T$23,$X$22,IF(S53&lt;=$T$24,$X$23,IF(S53&lt;=$T$25,$X$24,IF(S53&lt;=$T$26,$X$25,IF(S53&lt;=$T$27,$X$26,IF(S53&lt;=$T$28,$X$27,IF(S53&lt;=$T$29,$X$28,$T$29))))))))))))))))))))))))</f>
        <v>2.0000000000000003E-6</v>
      </c>
      <c r="Y52" s="422">
        <f>IF(S53&lt;=$T$6,$Y$5,IF(S53&lt;=$T$7,$Y$6,IF(S53&lt;=$T$8,$Y$7,IF(S53&lt;=$T$9,$Y$8,IF(S53&lt;=$T$10,$Y$9,IF(S53&lt;=$T$11,$Y$10,IF(S53&lt;=$T$12,$Y$11,IF(S53&lt;=$T$13,$Y$12,IF(S53&lt;=$T$14,$Y$13,IF(S53&lt;=$T$15,$Y$14,IF(S53&lt;=$T$16,$Y$15,IF(S53&lt;=$T$17,$Y$16,IF(S53&lt;=$T$18,$Y$17,IF(S53&lt;=$T$19,$Y$18,IF(S53&lt;=$T$20,$Y$19,IF(S53&lt;=$T$21,$Y$20,IF(S53&lt;=$T$22,$Y$21,IF(S53&lt;=$T$23,$Y$22,IF(S53&lt;=$T$24,$Y$23,IF(S53&lt;=$T$25,$Y$24,IF(S53&lt;=$T$26,$Y$25,IF(S53&lt;=$T$27,$Y$26,IF(S53&lt;=$T$28,$Y$27,IF(S53&lt;=$T$29,$Y$28,$T$29))))))))))))))))))))))))</f>
        <v>1.5999999999999999E-5</v>
      </c>
      <c r="AA52" s="6">
        <v>21</v>
      </c>
      <c r="AB52" s="6">
        <f>$AB$51+AB32</f>
        <v>21.000008999999999</v>
      </c>
      <c r="AC52" s="6">
        <f>$AC$51+AC32</f>
        <v>8.999999999062311E-6</v>
      </c>
      <c r="AD52" s="6">
        <f>$AD$51+AD32</f>
        <v>0</v>
      </c>
      <c r="AE52" s="6">
        <f>$AE$51+AE32</f>
        <v>1.3000000000000001E-5</v>
      </c>
      <c r="AF52" s="6">
        <f>$AF$51+AF32</f>
        <v>1.8E-5</v>
      </c>
      <c r="AH52" s="630"/>
      <c r="AI52" s="451">
        <v>3</v>
      </c>
      <c r="AJ52" s="451">
        <f t="shared" ref="AJ52:AJ55" si="91">AJ51</f>
        <v>0.2</v>
      </c>
      <c r="AK52" s="451">
        <f>L65</f>
        <v>0.20000100000000001</v>
      </c>
      <c r="AL52" s="451">
        <f t="shared" ref="AL52:AO52" si="92">M65</f>
        <v>9.9999999999999995E-7</v>
      </c>
      <c r="AM52" s="451">
        <f t="shared" si="92"/>
        <v>0</v>
      </c>
      <c r="AN52" s="451">
        <f t="shared" si="92"/>
        <v>8.0000000000000013E-6</v>
      </c>
      <c r="AO52" s="451">
        <f t="shared" si="92"/>
        <v>6.0000000000000002E-6</v>
      </c>
      <c r="AP52" s="67"/>
      <c r="AQ52" s="630"/>
      <c r="AR52" s="451">
        <v>3</v>
      </c>
      <c r="AS52" s="451">
        <f t="shared" ref="AS52:AS55" si="93">AS51</f>
        <v>0.5</v>
      </c>
      <c r="AT52" s="451">
        <f>L66</f>
        <v>0.500004</v>
      </c>
      <c r="AU52" s="451">
        <f t="shared" ref="AU52:AX52" si="94">M66</f>
        <v>3.9999999999999998E-6</v>
      </c>
      <c r="AV52" s="451">
        <f t="shared" si="94"/>
        <v>0</v>
      </c>
      <c r="AW52" s="451">
        <f t="shared" si="94"/>
        <v>1.0000000000000001E-5</v>
      </c>
      <c r="AX52" s="440">
        <f t="shared" si="94"/>
        <v>7.9999999999999996E-6</v>
      </c>
    </row>
    <row r="53" spans="1:50" x14ac:dyDescent="0.3">
      <c r="A53" s="646"/>
      <c r="B53" s="405"/>
      <c r="C53" s="405"/>
      <c r="D53" s="405"/>
      <c r="E53" s="405"/>
      <c r="F53" s="405"/>
      <c r="G53" s="405"/>
      <c r="H53" s="417"/>
      <c r="I53" s="405"/>
      <c r="J53" s="408">
        <v>2</v>
      </c>
      <c r="K53" s="409">
        <v>500</v>
      </c>
      <c r="L53" s="448">
        <v>500.00006999999999</v>
      </c>
      <c r="M53" s="403">
        <f t="shared" si="85"/>
        <v>6.9999999993797246E-5</v>
      </c>
      <c r="N53" s="403"/>
      <c r="O53" s="403">
        <f>0.5*(0.08*MPE!B18)</f>
        <v>1.2000000000000002E-6</v>
      </c>
      <c r="P53" s="403">
        <v>3.0000000000000001E-5</v>
      </c>
      <c r="S53" s="424">
        <f>ID!B48</f>
        <v>140</v>
      </c>
      <c r="T53" s="422"/>
      <c r="U53" s="420">
        <f>((S53-T52)/(T54-T52)*(V54-V52)+V52)</f>
        <v>140.0000316</v>
      </c>
      <c r="V53" s="422"/>
      <c r="W53" s="422"/>
      <c r="X53" s="420">
        <f>((S53-T52)/(T54-T52)*(X54-X52)+X52)</f>
        <v>2.8000000000000003E-6</v>
      </c>
      <c r="Y53" s="420">
        <f>((S53-T52)/(T54-T52)*(Y54-Y52)+Y52)</f>
        <v>2.16E-5</v>
      </c>
      <c r="AA53" s="6">
        <v>22</v>
      </c>
      <c r="AB53" s="6">
        <f t="shared" ref="AB53:AB60" si="95">$AB$51+AB33</f>
        <v>22.000007</v>
      </c>
      <c r="AC53" s="6">
        <f t="shared" ref="AC53:AC60" si="96">$AC$51+AC33</f>
        <v>6.9999999990623107E-6</v>
      </c>
      <c r="AD53" s="6">
        <f t="shared" ref="AD53:AD60" si="97">$AD$51+AD33</f>
        <v>0</v>
      </c>
      <c r="AE53" s="6">
        <f t="shared" ref="AE53:AE60" si="98">$AE$51+AE33</f>
        <v>1.4800000000000002E-6</v>
      </c>
      <c r="AF53" s="6">
        <f t="shared" ref="AF53:AF60" si="99">$AF$51+AF33</f>
        <v>1.2E-5</v>
      </c>
      <c r="AH53" s="630"/>
      <c r="AI53" s="451">
        <v>4</v>
      </c>
      <c r="AJ53" s="451">
        <f t="shared" si="91"/>
        <v>0.2</v>
      </c>
      <c r="AK53" s="451"/>
      <c r="AL53" s="451"/>
      <c r="AM53" s="451"/>
      <c r="AN53" s="451"/>
      <c r="AO53" s="451"/>
      <c r="AP53" s="67"/>
      <c r="AQ53" s="630"/>
      <c r="AR53" s="451">
        <v>4</v>
      </c>
      <c r="AS53" s="451">
        <f t="shared" si="93"/>
        <v>0.5</v>
      </c>
      <c r="AT53" s="451"/>
      <c r="AU53" s="451"/>
      <c r="AV53" s="451"/>
      <c r="AW53" s="451"/>
      <c r="AX53" s="439"/>
    </row>
    <row r="54" spans="1:50" x14ac:dyDescent="0.3">
      <c r="A54" s="646"/>
      <c r="B54" s="405"/>
      <c r="C54" s="405"/>
      <c r="D54" s="405"/>
      <c r="E54" s="405"/>
      <c r="F54" s="405"/>
      <c r="G54" s="405"/>
      <c r="H54" s="417"/>
      <c r="I54" s="405"/>
      <c r="J54" s="408">
        <v>2</v>
      </c>
      <c r="K54" s="409">
        <v>1000</v>
      </c>
      <c r="L54" s="449">
        <v>1000.00004</v>
      </c>
      <c r="M54" s="403">
        <f t="shared" si="85"/>
        <v>4.0000000012696546E-5</v>
      </c>
      <c r="N54" s="403"/>
      <c r="O54" s="403">
        <f>0.5*(0.08*MPE!B19)</f>
        <v>1.0000000000000002E-6</v>
      </c>
      <c r="P54" s="403">
        <v>3.0000000000000001E-5</v>
      </c>
      <c r="S54" s="423"/>
      <c r="T54" s="422">
        <f>IF(S53&lt;=$T$6,$T$6,IF(S53&lt;=$T$7,$T$7,IF(S53&lt;=$T$8,$T$8,IF(S53&lt;=$T$9,$T$9,IF(S53&lt;=$T$10,$T$10,IF(S53&lt;=$T$11,$T$11,IF(S53&lt;=$T$12,$T$12,IF(S53&lt;=$T$13,$T$13,IF(S53&lt;=$T$14,$T$14,IF(S53&lt;=$T$15,$T$15,IF(S53&lt;=$T$16,$T$16,IF(S53&lt;=$T$17,$T$17,IF(S53&lt;=$T$18,$T$18,IF(S53&lt;=$T$19,$T$19,IF(S53&lt;=$T$20,$T$20,IF(S53&lt;=$T$21,$T$21,IF(S53&lt;=$T$22,$T$22,IF(S53&lt;=$T$23,$T$23,IF(S53&lt;=$T$24,$T$24,IF(S53&lt;=$T$25,$T$25,IF(S53&lt;=$T$26,$T$26,IF(S53&lt;=$T$27,$T$27,IF(S53&lt;=$T$28,$T$28,IF(S53&lt;=$T$29,$T$29))))))))))))))))))))))))</f>
        <v>200</v>
      </c>
      <c r="U54" s="422"/>
      <c r="V54" s="422">
        <f>IF(S53&lt;=$T$6,$U$6,IF(S53&lt;=$T$7,$U$7,IF(S53&lt;=$T$8,$U$8,IF(S53&lt;=$T$9,$U$9,IF(S53&lt;=$T$10,$U$10,IF(S53&lt;=$T$11,$U$11,IF(S53&lt;=$T$12,$U$12,IF(S53&lt;=$T$13,$U$13,IF(S53&lt;=$T$14,$U$14,IF(S53&lt;=$T$15,$U$15,IF(S53&lt;=$T$16,$U$16,IF(S53&lt;=$T$17,$U$17,IF(S53&lt;=$T$18,$U$18,IF(S53&lt;=$T$19,$U$19,IF(S53&lt;=$T$20,$U$20,IF(S53&lt;=$T$21,$U$21,IF(S53&lt;=$T$22,$U$22,IF(S53&lt;=$T$23,$U$23,IF(S53&lt;=$T$24,$U$24,IF(S53&lt;=$T$25,$U$25,IF(S53&lt;=$T$26,$U$26,IF(S53&lt;=$T$27,$U$27,IF(S53&lt;=$T$28,$U$28,IF(S53&lt;=$T$29,$U$29))))))))))))))))))))))))</f>
        <v>200.00005200000001</v>
      </c>
      <c r="W54" s="422"/>
      <c r="X54" s="422">
        <f>IF(S53&lt;=$T$6,$X$6,IF(S53&lt;=$T$7,$X$7,IF(S53&lt;=$T$8,$X$8,IF(S53&lt;=$T$9,$X$9,IF(S53&lt;=$T$10,$X$10,IF(S53&lt;=$T$11,$X$11,IF(S53&lt;=$T$12,$X$12,IF(S53&lt;=$T$13,$X$13,IF(S53&lt;=$T$14,$X$14,IF(S53&lt;=$T$15,$X$15,IF(S53&lt;=$T$16,$X$16,IF(S53&lt;=$T$17,$X$17,IF(S53&lt;=$T$18,$X$18,IF(S53&lt;=$T$19,$X$19,IF(S53&lt;=$T$20,$X$20,IF(S53&lt;=$T$21,$X$21,IF(S53&lt;=$T$22,$X$22,IF(S53&lt;=$T$23,$X$23,IF(S53&lt;=$T$24,$X$24,IF(S53&lt;=$T$25,$X$25,IF(S53&lt;=$T$26,$X$26,IF(S53&lt;=$T$27,$X$27,IF(S53&lt;=$T$28,$X$28,IF(S53&lt;=$T$29,$X$29))))))))))))))))))))))))</f>
        <v>4.0000000000000007E-6</v>
      </c>
      <c r="Y54" s="422">
        <f>IF(S53&lt;=$T$6,$Y$6,IF(S53&lt;=$T$7,$Y$7,IF(S53&lt;=$T$8,$Y$8,IF(S53&lt;=$T$9,$Y$9,IF(S53&lt;=$T$10,$Y$10,IF(S53&lt;=$T$11,$Y$11,IF(S53&lt;=$T$12,$Y$12,IF(S53&lt;=$T$13,$Y$13,IF(S53&lt;=$T$14,$Y$14,IF(S53&lt;=$T$15,$Y$15,IF(S53&lt;=$T$16,$Y$16,IF(S53&lt;=$T$17,$Y$17,IF(S53&lt;=$T$18,$Y$18,IF(S53&lt;=$T$19,$Y$19,IF(S53&lt;=$T$20,$Y$20,IF(S53&lt;=$T$21,$Y$21,IF(S53&lt;=$T$22,$Y$22,IF(S53&lt;=$T$23,$Y$23,IF(S53&lt;=$T$24,$Y$24,IF(S53&lt;=$T$25,$Y$25,IF(S53&lt;=$T$26,$Y$26,IF(S53&lt;=$T$27,$Y$27,IF(S53&lt;=$T$28,$Y$28,IF(S53&lt;=$T$29,$Y$29))))))))))))))))))))))))</f>
        <v>3.0000000000000001E-5</v>
      </c>
      <c r="AA54" s="6">
        <v>23</v>
      </c>
      <c r="AB54" s="6">
        <f t="shared" si="95"/>
        <v>23.00001</v>
      </c>
      <c r="AC54" s="6">
        <f t="shared" si="96"/>
        <v>9.9999999990623099E-6</v>
      </c>
      <c r="AD54" s="6">
        <f t="shared" si="97"/>
        <v>0</v>
      </c>
      <c r="AE54" s="6">
        <f t="shared" si="98"/>
        <v>1.3480000000000001E-5</v>
      </c>
      <c r="AF54" s="6">
        <f t="shared" si="99"/>
        <v>2.1999999999999999E-5</v>
      </c>
      <c r="AH54" s="630"/>
      <c r="AI54" s="451">
        <v>5</v>
      </c>
      <c r="AJ54" s="451">
        <f t="shared" si="91"/>
        <v>0.2</v>
      </c>
      <c r="AK54" s="451"/>
      <c r="AL54" s="451"/>
      <c r="AM54" s="451"/>
      <c r="AN54" s="451"/>
      <c r="AO54" s="451"/>
      <c r="AP54" s="67"/>
      <c r="AQ54" s="630"/>
      <c r="AR54" s="451">
        <v>5</v>
      </c>
      <c r="AS54" s="451">
        <f t="shared" si="93"/>
        <v>0.5</v>
      </c>
      <c r="AT54" s="451"/>
      <c r="AU54" s="451"/>
      <c r="AV54" s="451"/>
      <c r="AW54" s="451"/>
      <c r="AX54" s="439"/>
    </row>
    <row r="55" spans="1:50" ht="14.55" customHeight="1" x14ac:dyDescent="0.3">
      <c r="A55" s="646"/>
      <c r="B55" s="405"/>
      <c r="C55" s="405"/>
      <c r="D55" s="405"/>
      <c r="E55" s="405"/>
      <c r="F55" s="405"/>
      <c r="G55" s="405"/>
      <c r="H55" s="416"/>
      <c r="I55" s="405"/>
      <c r="J55" s="408">
        <v>3</v>
      </c>
      <c r="K55" s="411">
        <v>1E-3</v>
      </c>
      <c r="L55" s="412">
        <f t="shared" ref="L55:L79" si="100">K55+M55</f>
        <v>1.0020000000000001E-3</v>
      </c>
      <c r="M55" s="412">
        <v>1.9999999999999999E-6</v>
      </c>
      <c r="N55" s="412"/>
      <c r="O55" s="412">
        <f>0.5*(0.8*MPE!C32)</f>
        <v>2.4000000000000003E-6</v>
      </c>
      <c r="P55" s="412">
        <v>1.9999999999999999E-6</v>
      </c>
      <c r="S55" s="425"/>
      <c r="T55" s="419">
        <f>IF(S56&lt;=$T$6,$T$5,IF(S56&lt;=$T$7,$T$6,IF(S56&lt;=$T$8,$T$7,IF(S56&lt;=$T$9,$T$8,IF(S56&lt;=$T$10,$T$9,IF(S56&lt;=$T$11,$T$10,IF(S56&lt;=$T$12,$T$11,IF(S56&lt;=$T$13,$T$12,IF(S56&lt;=$T$14,$T$13,IF(S56&lt;=$T$15,$T$14,IF(S56&lt;=$T$16,$T$15,IF(S56&lt;=$T$17,$T$16,IF(S56&lt;=$T$18,$T$17,IF(S56&lt;=$T$19,$T$18,IF(S56&lt;=$T$20,$T$19,IF(S56&lt;=$T$21,$T$20,IF(S56&lt;=$T$22,$T$21,IF(S56&lt;=$T$23,$T$22,IF(S56&lt;=$T$24,$T$23,IF(S56&lt;=$T$25,$T$24,IF(S56&lt;=$T$26,$T$25,IF(S56&lt;=$T$27,$T$26,IF(S56&lt;=$T$28,$T$27,IF(S56&lt;=$T$29,$T$28,$T$29))))))))))))))))))))))))</f>
        <v>100</v>
      </c>
      <c r="U55" s="419"/>
      <c r="V55" s="419">
        <f>IF(S56&lt;=$T$6,$U$5,IF(S56&lt;=$T$7,$U$6,IF(S56&lt;=$T$8,$U$7,IF(S56&lt;=$T$9,$U$8,IF(S56&lt;=$T$10,$U$9,IF(S56&lt;=$T$11,$U$10,IF(S56&lt;=$T$12,$U$11,IF(S56&lt;=$T$13,$U$12,IF(S56&lt;=$T$14,$U$13,IF(S56&lt;=$T$15,$U$14,IF(S56&lt;=$T$16,$U$15,IF(S56&lt;=$T$17,$U$16,IF(S56&lt;=$T$18,$U$17,IF(S56&lt;=$T$19,$U$18,IF(S56&lt;=$T$20,$U$19,IF(S56&lt;=$T$21,$U$20,IF(S56&lt;=$T$22,$U$21,IF(S56&lt;=$T$23,$U$22,IF(S56&lt;=$T$24,$U$23,IF(S56&lt;=$T$25,$U$24,IF(S56&lt;=$T$26,$U$25,IF(S56&lt;=$T$27,$U$26,IF(S56&lt;=$T$28,$U$27,IF(S56&lt;=$T$29,$U$28,$T$29))))))))))))))))))))))))</f>
        <v>100.000018</v>
      </c>
      <c r="W55" s="419"/>
      <c r="X55" s="419">
        <f>IF(S56&lt;=$T$6,$X$5,IF(S56&lt;=$T$7,$X$6,IF(S56&lt;=$T$8,$X$7,IF(S56&lt;=$T$9,$X$8,IF(S56&lt;=$T$10,$X$9,IF(S56&lt;=$T$11,$X$10,IF(S56&lt;=$T$12,$X$11,IF(S56&lt;=$T$13,$X$12,IF(S56&lt;=$T$14,$X$13,IF(S56&lt;=$T$15,$X$14,IF(S56&lt;=$T$16,$X$15,IF(S56&lt;=$T$17,$X$16,IF(S56&lt;=$T$18,$X$17,IF(S56&lt;=$T$19,$X$18,IF(S56&lt;=$T$20,$X$19,IF(S56&lt;=$T$21,$X$20,IF(S56&lt;=$T$22,$X$21,IF(S56&lt;=$T$23,$X$22,IF(S56&lt;=$T$24,$X$23,IF(S56&lt;=$T$25,$X$24,IF(S56&lt;=$T$26,$X$25,IF(S56&lt;=$T$27,$X$26,IF(S56&lt;=$T$28,$X$27,IF(S56&lt;=$T$29,$X$28,$T$29))))))))))))))))))))))))</f>
        <v>2.0000000000000003E-6</v>
      </c>
      <c r="Y55" s="419">
        <f>IF(S56&lt;=$T$6,$Y$5,IF(S56&lt;=$T$7,$Y$6,IF(S56&lt;=$T$8,$Y$7,IF(S56&lt;=$T$9,$Y$8,IF(S56&lt;=$T$10,$Y$9,IF(S56&lt;=$T$11,$Y$10,IF(S56&lt;=$T$12,$Y$11,IF(S56&lt;=$T$13,$Y$12,IF(S56&lt;=$T$14,$Y$13,IF(S56&lt;=$T$15,$Y$14,IF(S56&lt;=$T$16,$Y$15,IF(S56&lt;=$T$17,$Y$16,IF(S56&lt;=$T$18,$Y$17,IF(S56&lt;=$T$19,$Y$18,IF(S56&lt;=$T$20,$Y$19,IF(S56&lt;=$T$21,$Y$20,IF(S56&lt;=$T$22,$Y$21,IF(S56&lt;=$T$23,$Y$22,IF(S56&lt;=$T$24,$Y$23,IF(S56&lt;=$T$25,$Y$24,IF(S56&lt;=$T$26,$Y$25,IF(S56&lt;=$T$27,$Y$26,IF(S56&lt;=$T$28,$Y$27,IF(S56&lt;=$T$29,$Y$28,$T$29))))))))))))))))))))))))</f>
        <v>1.5999999999999999E-5</v>
      </c>
      <c r="AA55" s="6">
        <v>24</v>
      </c>
      <c r="AB55" s="6">
        <f t="shared" si="95"/>
        <v>24.00001</v>
      </c>
      <c r="AC55" s="6">
        <f t="shared" si="96"/>
        <v>9.9999999990623099E-6</v>
      </c>
      <c r="AD55" s="6">
        <f t="shared" si="97"/>
        <v>0</v>
      </c>
      <c r="AE55" s="6">
        <f t="shared" si="98"/>
        <v>1.9600000000000003E-6</v>
      </c>
      <c r="AF55" s="6">
        <f t="shared" si="99"/>
        <v>1.5999999999999999E-5</v>
      </c>
      <c r="AH55" s="631"/>
      <c r="AI55" s="451">
        <v>6</v>
      </c>
      <c r="AJ55" s="451">
        <f t="shared" si="91"/>
        <v>0.2</v>
      </c>
      <c r="AK55" s="451"/>
      <c r="AL55" s="451"/>
      <c r="AM55" s="451"/>
      <c r="AN55" s="451"/>
      <c r="AO55" s="451"/>
      <c r="AP55" s="67"/>
      <c r="AQ55" s="631"/>
      <c r="AR55" s="451">
        <v>6</v>
      </c>
      <c r="AS55" s="451">
        <f t="shared" si="93"/>
        <v>0.5</v>
      </c>
      <c r="AT55" s="451"/>
      <c r="AU55" s="451"/>
      <c r="AV55" s="451"/>
      <c r="AW55" s="451"/>
      <c r="AX55" s="439"/>
    </row>
    <row r="56" spans="1:50" x14ac:dyDescent="0.3">
      <c r="A56" s="405"/>
      <c r="B56" s="405"/>
      <c r="C56" s="405"/>
      <c r="D56" s="405"/>
      <c r="E56" s="405"/>
      <c r="F56" s="405"/>
      <c r="G56" s="405"/>
      <c r="H56" s="417"/>
      <c r="I56" s="405"/>
      <c r="J56" s="408">
        <v>3</v>
      </c>
      <c r="K56" s="409">
        <v>2E-3</v>
      </c>
      <c r="L56" s="449">
        <f t="shared" si="100"/>
        <v>2.0019999999999999E-3</v>
      </c>
      <c r="M56" s="415">
        <v>1.9999999999999999E-6</v>
      </c>
      <c r="N56" s="403"/>
      <c r="O56" s="415">
        <f>0.5*(0.8*MPE!C31)</f>
        <v>2.4000000000000003E-6</v>
      </c>
      <c r="P56" s="403">
        <v>1.9999999999999999E-6</v>
      </c>
      <c r="S56" s="424">
        <f>ID!B49</f>
        <v>160</v>
      </c>
      <c r="T56" s="419"/>
      <c r="U56" s="420">
        <f>((S56-T55)/(T57-T55)*(V57-V55)+V55)</f>
        <v>160.00003839999999</v>
      </c>
      <c r="V56" s="419"/>
      <c r="W56" s="419"/>
      <c r="X56" s="420">
        <f>((S56-T55)/(T57-T55)*(X57-X55)+X55)</f>
        <v>3.2000000000000007E-6</v>
      </c>
      <c r="Y56" s="420">
        <f>((S56-T55)/(T57-T55)*(Y57-Y55)+Y55)</f>
        <v>2.44E-5</v>
      </c>
      <c r="AA56" s="6">
        <v>25</v>
      </c>
      <c r="AB56" s="6">
        <f t="shared" si="95"/>
        <v>25.000015999999999</v>
      </c>
      <c r="AC56" s="6">
        <f t="shared" si="96"/>
        <v>1.599999999906231E-5</v>
      </c>
      <c r="AD56" s="6">
        <f t="shared" si="97"/>
        <v>0</v>
      </c>
      <c r="AE56" s="6">
        <f t="shared" si="98"/>
        <v>1.6400000000000002E-6</v>
      </c>
      <c r="AF56" s="6">
        <f t="shared" si="99"/>
        <v>1.3000000000000001E-5</v>
      </c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</row>
    <row r="57" spans="1:50" x14ac:dyDescent="0.3">
      <c r="A57" s="646"/>
      <c r="B57" s="405"/>
      <c r="C57" s="405"/>
      <c r="D57" s="405"/>
      <c r="E57" s="405"/>
      <c r="F57" s="405"/>
      <c r="G57" s="405"/>
      <c r="H57" s="417"/>
      <c r="I57" s="405"/>
      <c r="J57" s="408">
        <v>3</v>
      </c>
      <c r="K57" s="409">
        <v>2E-3</v>
      </c>
      <c r="L57" s="448">
        <f t="shared" si="100"/>
        <v>2.0019999999999999E-3</v>
      </c>
      <c r="M57" s="415">
        <v>1.9999999999999999E-6</v>
      </c>
      <c r="N57" s="403"/>
      <c r="O57" s="415">
        <f>0.5*(0.8*MPE!C31)</f>
        <v>2.4000000000000003E-6</v>
      </c>
      <c r="P57" s="403">
        <v>1.9999999999999999E-6</v>
      </c>
      <c r="S57" s="419"/>
      <c r="T57" s="419">
        <f>IF(S56&lt;=$T$6,$T$6,IF(S56&lt;=$T$7,$T$7,IF(S56&lt;=$T$8,$T$8,IF(S56&lt;=$T$9,$T$9,IF(S56&lt;=$T$10,$T$10,IF(S56&lt;=$T$11,$T$11,IF(S56&lt;=$T$12,$T$12,IF(S56&lt;=$T$13,$T$13,IF(S56&lt;=$T$14,$T$14,IF(S56&lt;=$T$15,$T$15,IF(S56&lt;=$T$16,$T$16,IF(S56&lt;=$T$17,$T$17,IF(S56&lt;=$T$18,$T$18,IF(S56&lt;=$T$19,$T$19,IF(S56&lt;=$T$20,$T$20,IF(S56&lt;=$T$21,$T$21,IF(S56&lt;=$T$22,$T$22,IF(S56&lt;=$T$23,$T$23,IF(S56&lt;=$T$24,$T$24,IF(S56&lt;=$T$25,$T$25,IF(S56&lt;=$T$26,$T$26,IF(S56&lt;=$T$27,$T$27,IF(S56&lt;=$T$28,$T$28,IF(S56&lt;=$T$29,$T$29))))))))))))))))))))))))</f>
        <v>200</v>
      </c>
      <c r="U57" s="419"/>
      <c r="V57" s="419">
        <f>IF(S56&lt;=$T$6,$U$6,IF(S56&lt;=$T$7,$U$7,IF(S56&lt;=$T$8,$U$8,IF(S56&lt;=$T$9,$U$9,IF(S56&lt;=$T$10,$U$10,IF(S56&lt;=$T$11,$U$11,IF(S56&lt;=$T$12,$U$12,IF(S56&lt;=$T$13,$U$13,IF(S56&lt;=$T$14,$U$14,IF(S56&lt;=$T$15,$U$15,IF(S56&lt;=$T$16,$U$16,IF(S56&lt;=$T$17,$U$17,IF(S56&lt;=$T$18,$U$18,IF(S56&lt;=$T$19,$U$19,IF(S56&lt;=$T$20,$U$20,IF(S56&lt;=$T$21,$U$21,IF(S56&lt;=$T$22,$U$22,IF(S56&lt;=$T$23,$U$23,IF(S56&lt;=$T$24,$U$24,IF(S56&lt;=$T$25,$U$25,IF(S56&lt;=$T$26,$U$26,IF(S56&lt;=$T$27,$U$27,IF(S56&lt;=$T$28,$U$28,IF(S56&lt;=$T$29,$U$29))))))))))))))))))))))))</f>
        <v>200.00005200000001</v>
      </c>
      <c r="W57" s="419"/>
      <c r="X57" s="419">
        <f>IF(S56&lt;=$T$6,$X$6,IF(S56&lt;=$T$7,$X$7,IF(S56&lt;=$T$8,$X$8,IF(S56&lt;=$T$9,$X$9,IF(S56&lt;=$T$10,$X$10,IF(S56&lt;=$T$11,$X$11,IF(S56&lt;=$T$12,$X$12,IF(S56&lt;=$T$13,$X$13,IF(S56&lt;=$T$14,$X$14,IF(S56&lt;=$T$15,$X$15,IF(S56&lt;=$T$16,$X$16,IF(S56&lt;=$T$17,$X$17,IF(S56&lt;=$T$18,$X$18,IF(S56&lt;=$T$19,$X$19,IF(S56&lt;=$T$20,$X$20,IF(S56&lt;=$T$21,$X$21,IF(S56&lt;=$T$22,$X$22,IF(S56&lt;=$T$23,$X$23,IF(S56&lt;=$T$24,$X$24,IF(S56&lt;=$T$25,$X$25,IF(S56&lt;=$T$26,$X$26,IF(S56&lt;=$T$27,$X$27,IF(S56&lt;=$T$28,$X$28,IF(S56&lt;=$T$29,$X$29))))))))))))))))))))))))</f>
        <v>4.0000000000000007E-6</v>
      </c>
      <c r="Y57" s="419">
        <f>IF(S56&lt;=$T$6,$Y$6,IF(S56&lt;=$T$7,$Y$7,IF(S56&lt;=$T$8,$Y$8,IF(S56&lt;=$T$9,$Y$9,IF(S56&lt;=$T$10,$Y$10,IF(S56&lt;=$T$11,$Y$11,IF(S56&lt;=$T$12,$Y$12,IF(S56&lt;=$T$13,$Y$13,IF(S56&lt;=$T$14,$Y$14,IF(S56&lt;=$T$15,$Y$15,IF(S56&lt;=$T$16,$Y$16,IF(S56&lt;=$T$17,$Y$17,IF(S56&lt;=$T$18,$Y$18,IF(S56&lt;=$T$19,$Y$19,IF(S56&lt;=$T$20,$Y$20,IF(S56&lt;=$T$21,$Y$21,IF(S56&lt;=$T$22,$Y$22,IF(S56&lt;=$T$23,$Y$23,IF(S56&lt;=$T$24,$Y$24,IF(S56&lt;=$T$25,$Y$25,IF(S56&lt;=$T$26,$Y$26,IF(S56&lt;=$T$27,$Y$27,IF(S56&lt;=$T$28,$Y$28,IF(S56&lt;=$T$29,$Y$29))))))))))))))))))))))))</f>
        <v>3.0000000000000001E-5</v>
      </c>
      <c r="AA57" s="6">
        <v>26</v>
      </c>
      <c r="AB57" s="6">
        <f t="shared" si="95"/>
        <v>26.000018999999998</v>
      </c>
      <c r="AC57" s="6">
        <f t="shared" si="96"/>
        <v>1.8999999999062312E-5</v>
      </c>
      <c r="AD57" s="6">
        <f t="shared" si="97"/>
        <v>0</v>
      </c>
      <c r="AE57" s="6">
        <f t="shared" si="98"/>
        <v>1.3640000000000002E-5</v>
      </c>
      <c r="AF57" s="6">
        <f t="shared" si="99"/>
        <v>2.3000000000000003E-5</v>
      </c>
      <c r="AH57" s="623">
        <v>1</v>
      </c>
      <c r="AI57" s="622" t="s">
        <v>242</v>
      </c>
      <c r="AJ57" s="622" t="s">
        <v>433</v>
      </c>
      <c r="AK57" s="622" t="s">
        <v>220</v>
      </c>
      <c r="AL57" s="622" t="s">
        <v>220</v>
      </c>
      <c r="AM57" s="622"/>
      <c r="AN57" s="622" t="s">
        <v>320</v>
      </c>
      <c r="AO57" s="622" t="s">
        <v>218</v>
      </c>
      <c r="AP57" s="67"/>
      <c r="AQ57" s="623" t="s">
        <v>438</v>
      </c>
      <c r="AR57" s="622"/>
      <c r="AS57" s="622"/>
      <c r="AT57" s="622"/>
      <c r="AU57" s="622" t="s">
        <v>220</v>
      </c>
      <c r="AV57" s="622"/>
      <c r="AW57" s="622"/>
      <c r="AX57" s="624"/>
    </row>
    <row r="58" spans="1:50" x14ac:dyDescent="0.3">
      <c r="A58" s="646"/>
      <c r="B58" s="405"/>
      <c r="C58" s="405"/>
      <c r="D58" s="405"/>
      <c r="E58" s="405"/>
      <c r="F58" s="405"/>
      <c r="G58" s="405"/>
      <c r="H58" s="417"/>
      <c r="I58" s="405"/>
      <c r="J58" s="408">
        <v>3</v>
      </c>
      <c r="K58" s="409">
        <v>5.0000000000000001E-3</v>
      </c>
      <c r="L58" s="449">
        <f t="shared" si="100"/>
        <v>5.0020000000000004E-3</v>
      </c>
      <c r="M58" s="415">
        <v>1.9999999999999999E-6</v>
      </c>
      <c r="N58" s="403"/>
      <c r="O58" s="415">
        <f>0.5*(0.8*MPE!C30)</f>
        <v>2.4000000000000003E-6</v>
      </c>
      <c r="P58" s="403">
        <v>1.9999999999999999E-6</v>
      </c>
      <c r="S58" s="422"/>
      <c r="T58" s="422">
        <f>IF(S59&lt;=$T$6,$T$5,IF(S59&lt;=$T$7,$T$6,IF(S59&lt;=$T$8,$T$7,IF(S59&lt;=$T$9,$T$8,IF(S59&lt;=$T$10,$T$9,IF(S59&lt;=$T$11,$T$10,IF(S59&lt;=$T$12,$T$11,IF(S59&lt;=$T$13,$T$12,IF(S59&lt;=$T$14,$T$13,IF(S59&lt;=$T$15,$T$14,IF(S59&lt;=$T$16,$T$15,IF(S59&lt;=$T$17,$T$16,IF(S59&lt;=$T$18,$T$17,IF(S59&lt;=$T$19,$T$18,IF(S59&lt;=$T$20,$T$19,IF(S59&lt;=$T$21,$T$20,IF(S59&lt;=$T$22,$T$21,IF(S59&lt;=$T$23,$T$22,IF(S59&lt;=$T$24,$T$23,IF(S59&lt;=$T$25,$T$24,IF(S59&lt;=$T$26,$T$25,IF(S59&lt;=$T$27,$T$26,IF(S59&lt;=$T$28,$T$27,IF(S59&lt;=$T$29,$T$28,$T$29))))))))))))))))))))))))</f>
        <v>100</v>
      </c>
      <c r="U58" s="422"/>
      <c r="V58" s="422">
        <f>IF(S59&lt;=$T$6,$U$5,IF(S59&lt;=$T$7,$U$6,IF(S59&lt;=$T$8,$U$7,IF(S59&lt;=$T$9,$U$8,IF(S59&lt;=$T$10,$U$9,IF(S59&lt;=$T$11,$U$10,IF(S59&lt;=$T$12,$U$11,IF(S59&lt;=$T$13,$U$12,IF(S59&lt;=$T$14,$U$13,IF(S59&lt;=$T$15,$U$14,IF(S59&lt;=$T$16,$U$15,IF(S59&lt;=$T$17,$U$16,IF(S59&lt;=$T$18,$U$17,IF(S59&lt;=$T$19,$U$18,IF(S59&lt;=$T$20,$U$19,IF(S59&lt;=$T$21,$U$20,IF(S59&lt;=$T$22,$U$21,IF(S59&lt;=$T$23,$U$22,IF(S59&lt;=$T$24,$U$23,IF(S59&lt;=$T$25,$U$24,IF(S59&lt;=$T$26,$U$25,IF(S59&lt;=$T$27,$U$26,IF(S59&lt;=$T$28,$U$27,IF(S59&lt;=$T$29,$U$28,$T$29))))))))))))))))))))))))</f>
        <v>100.000018</v>
      </c>
      <c r="W58" s="422"/>
      <c r="X58" s="422">
        <f>IF(S59&lt;=$T$6,$X$5,IF(S59&lt;=$T$7,$X$6,IF(S59&lt;=$T$8,$X$7,IF(S59&lt;=$T$9,$X$8,IF(S59&lt;=$T$10,$X$9,IF(S59&lt;=$T$11,$X$10,IF(S59&lt;=$T$12,$X$11,IF(S59&lt;=$T$13,$X$12,IF(S59&lt;=$T$14,$X$13,IF(S59&lt;=$T$15,$X$14,IF(S59&lt;=$T$16,$X$15,IF(S59&lt;=$T$17,$X$16,IF(S59&lt;=$T$18,$X$17,IF(S59&lt;=$T$19,$X$18,IF(S59&lt;=$T$20,$X$19,IF(S59&lt;=$T$21,$X$20,IF(S59&lt;=$T$22,$X$21,IF(S59&lt;=$T$23,$X$22,IF(S59&lt;=$T$24,$X$23,IF(S59&lt;=$T$25,$X$24,IF(S59&lt;=$T$26,$X$25,IF(S59&lt;=$T$27,$X$26,IF(S59&lt;=$T$28,$X$27,IF(S59&lt;=$T$29,$X$28,$T$29))))))))))))))))))))))))</f>
        <v>2.0000000000000003E-6</v>
      </c>
      <c r="Y58" s="422">
        <f>IF(S59&lt;=$T$6,$Y$5,IF(S59&lt;=$T$7,$Y$6,IF(S59&lt;=$T$8,$Y$7,IF(S59&lt;=$T$9,$Y$8,IF(S59&lt;=$T$10,$Y$9,IF(S59&lt;=$T$11,$Y$10,IF(S59&lt;=$T$12,$Y$11,IF(S59&lt;=$T$13,$Y$12,IF(S59&lt;=$T$14,$Y$13,IF(S59&lt;=$T$15,$Y$14,IF(S59&lt;=$T$16,$Y$15,IF(S59&lt;=$T$17,$Y$16,IF(S59&lt;=$T$18,$Y$17,IF(S59&lt;=$T$19,$Y$18,IF(S59&lt;=$T$20,$Y$19,IF(S59&lt;=$T$21,$Y$20,IF(S59&lt;=$T$22,$Y$21,IF(S59&lt;=$T$23,$Y$22,IF(S59&lt;=$T$24,$Y$23,IF(S59&lt;=$T$25,$Y$24,IF(S59&lt;=$T$26,$Y$25,IF(S59&lt;=$T$27,$Y$26,IF(S59&lt;=$T$28,$Y$27,IF(S59&lt;=$T$29,$Y$28,$T$29))))))))))))))))))))))))</f>
        <v>1.5999999999999999E-5</v>
      </c>
      <c r="AA58" s="6">
        <v>27</v>
      </c>
      <c r="AB58" s="6">
        <f t="shared" si="95"/>
        <v>27.000017</v>
      </c>
      <c r="AC58" s="6">
        <f t="shared" si="96"/>
        <v>1.6999999999062314E-5</v>
      </c>
      <c r="AD58" s="6">
        <f t="shared" si="97"/>
        <v>0</v>
      </c>
      <c r="AE58" s="6">
        <f t="shared" si="98"/>
        <v>2.12E-6</v>
      </c>
      <c r="AF58" s="6">
        <f t="shared" si="99"/>
        <v>1.7E-5</v>
      </c>
      <c r="AH58" s="623"/>
      <c r="AI58" s="622" t="s">
        <v>434</v>
      </c>
      <c r="AJ58" s="622" t="s">
        <v>433</v>
      </c>
      <c r="AK58" s="622" t="s">
        <v>319</v>
      </c>
      <c r="AL58" s="453">
        <v>2022</v>
      </c>
      <c r="AM58" s="455">
        <v>2018</v>
      </c>
      <c r="AN58" s="622" t="s">
        <v>320</v>
      </c>
      <c r="AO58" s="622" t="s">
        <v>218</v>
      </c>
      <c r="AP58" s="67"/>
      <c r="AQ58" s="623"/>
      <c r="AR58" s="622" t="s">
        <v>434</v>
      </c>
      <c r="AS58" s="622" t="s">
        <v>433</v>
      </c>
      <c r="AT58" s="622" t="s">
        <v>319</v>
      </c>
      <c r="AU58" s="453">
        <v>2022</v>
      </c>
      <c r="AV58" s="455">
        <v>2018</v>
      </c>
      <c r="AW58" s="622" t="s">
        <v>320</v>
      </c>
      <c r="AX58" s="624" t="s">
        <v>218</v>
      </c>
    </row>
    <row r="59" spans="1:50" x14ac:dyDescent="0.3">
      <c r="A59" s="646"/>
      <c r="B59" s="405"/>
      <c r="C59" s="405"/>
      <c r="D59" s="405"/>
      <c r="E59" s="405"/>
      <c r="F59" s="405"/>
      <c r="G59" s="405"/>
      <c r="H59" s="417"/>
      <c r="I59" s="405"/>
      <c r="J59" s="408">
        <v>3</v>
      </c>
      <c r="K59" s="409">
        <v>0.01</v>
      </c>
      <c r="L59" s="448">
        <f t="shared" si="100"/>
        <v>0.01</v>
      </c>
      <c r="M59" s="403">
        <v>0</v>
      </c>
      <c r="N59" s="403"/>
      <c r="O59" s="415">
        <f>0.5*(0.8*MPE!C29)</f>
        <v>3.1999999999999999E-6</v>
      </c>
      <c r="P59" s="403">
        <v>1.9999999999999999E-6</v>
      </c>
      <c r="S59" s="424">
        <f>ID!B50</f>
        <v>180</v>
      </c>
      <c r="T59" s="422"/>
      <c r="U59" s="420">
        <f>((S59-T58)/(T60-T58)*(V60-V58)+V58)</f>
        <v>180.00004520000002</v>
      </c>
      <c r="V59" s="422"/>
      <c r="W59" s="422"/>
      <c r="X59" s="420">
        <f>((S59-T58)/(T60-T58)*(X60-X58)+X58)</f>
        <v>3.6000000000000007E-6</v>
      </c>
      <c r="Y59" s="420">
        <f>((S59-T58)/(T60-T58)*(Y60-Y58)+Y58)</f>
        <v>2.72E-5</v>
      </c>
      <c r="AA59" s="6">
        <v>28</v>
      </c>
      <c r="AB59" s="6">
        <f t="shared" si="95"/>
        <v>28.000019999999999</v>
      </c>
      <c r="AC59" s="6">
        <f t="shared" si="96"/>
        <v>1.9999999999062312E-5</v>
      </c>
      <c r="AD59" s="6">
        <f t="shared" si="97"/>
        <v>0</v>
      </c>
      <c r="AE59" s="6">
        <f t="shared" si="98"/>
        <v>1.4120000000000002E-5</v>
      </c>
      <c r="AF59" s="6">
        <f t="shared" si="99"/>
        <v>2.6999999999999999E-5</v>
      </c>
      <c r="AH59" s="623">
        <v>1</v>
      </c>
      <c r="AI59" s="451">
        <v>1</v>
      </c>
      <c r="AJ59" s="451">
        <v>1</v>
      </c>
      <c r="AK59" s="451">
        <f>L17</f>
        <v>1.0000171</v>
      </c>
      <c r="AL59" s="451">
        <f t="shared" ref="AL59:AO59" si="101">M17</f>
        <v>1.7099999999992122E-5</v>
      </c>
      <c r="AM59" s="451">
        <f t="shared" si="101"/>
        <v>2.6999999999999247E-5</v>
      </c>
      <c r="AN59" s="451">
        <f t="shared" si="101"/>
        <v>4.9500000000035627E-6</v>
      </c>
      <c r="AO59" s="451">
        <f t="shared" si="101"/>
        <v>3.0000000000000001E-6</v>
      </c>
      <c r="AP59" s="67"/>
      <c r="AQ59" s="623" t="s">
        <v>438</v>
      </c>
      <c r="AR59" s="451">
        <v>1</v>
      </c>
      <c r="AS59" s="451">
        <v>2</v>
      </c>
      <c r="AT59" s="451">
        <f>L18</f>
        <v>2.0000197000000002</v>
      </c>
      <c r="AU59" s="451">
        <f t="shared" ref="AU59:AX59" si="102">M18</f>
        <v>1.9700000000177909E-5</v>
      </c>
      <c r="AV59" s="451">
        <f t="shared" si="102"/>
        <v>1.1999999999900979E-5</v>
      </c>
      <c r="AW59" s="451">
        <f t="shared" si="102"/>
        <v>3.8500000001384649E-6</v>
      </c>
      <c r="AX59" s="440">
        <f t="shared" si="102"/>
        <v>3.9999999999999998E-6</v>
      </c>
    </row>
    <row r="60" spans="1:50" x14ac:dyDescent="0.3">
      <c r="A60" s="646"/>
      <c r="B60" s="405"/>
      <c r="C60" s="405"/>
      <c r="D60" s="405"/>
      <c r="E60" s="405"/>
      <c r="F60" s="405"/>
      <c r="G60" s="405"/>
      <c r="H60" s="417"/>
      <c r="I60" s="405"/>
      <c r="J60" s="408">
        <v>3</v>
      </c>
      <c r="K60" s="409">
        <v>0.02</v>
      </c>
      <c r="L60" s="449">
        <f t="shared" si="100"/>
        <v>2.0001999999999999E-2</v>
      </c>
      <c r="M60" s="403">
        <v>1.9999999999999999E-6</v>
      </c>
      <c r="N60" s="403"/>
      <c r="O60" s="415">
        <f>0.5*(0.8*MPE!C29)</f>
        <v>3.1999999999999999E-6</v>
      </c>
      <c r="P60" s="403">
        <v>3.0000000000000001E-6</v>
      </c>
      <c r="S60" s="423"/>
      <c r="T60" s="422">
        <f>IF(S59&lt;=$T$6,$T$6,IF(S59&lt;=$T$7,$T$7,IF(S59&lt;=$T$8,$T$8,IF(S59&lt;=$T$9,$T$9,IF(S59&lt;=$T$10,$T$10,IF(S59&lt;=$T$11,$T$11,IF(S59&lt;=$T$12,$T$12,IF(S59&lt;=$T$13,$T$13,IF(S59&lt;=$T$14,$T$14,IF(S59&lt;=$T$15,$T$15,IF(S59&lt;=$T$16,$T$16,IF(S59&lt;=$T$17,$T$17,IF(S59&lt;=$T$18,$T$18,IF(S59&lt;=$T$19,$T$19,IF(S59&lt;=$T$20,$T$20,IF(S59&lt;=$T$21,$T$21,IF(S59&lt;=$T$22,$T$22,IF(S59&lt;=$T$23,$T$23,IF(S59&lt;=$T$24,$T$24,IF(S59&lt;=$T$25,$T$25,IF(S59&lt;=$T$26,$T$26,IF(S59&lt;=$T$27,$T$27,IF(S59&lt;=$T$28,$T$28,IF(S59&lt;=$T$29,$T$29))))))))))))))))))))))))</f>
        <v>200</v>
      </c>
      <c r="U60" s="422"/>
      <c r="V60" s="422">
        <f>IF(S59&lt;=$T$6,$U$6,IF(S59&lt;=$T$7,$U$7,IF(S59&lt;=$T$8,$U$8,IF(S59&lt;=$T$9,$U$9,IF(S59&lt;=$T$10,$U$10,IF(S59&lt;=$T$11,$U$11,IF(S59&lt;=$T$12,$U$12,IF(S59&lt;=$T$13,$U$13,IF(S59&lt;=$T$14,$U$14,IF(S59&lt;=$T$15,$U$15,IF(S59&lt;=$T$16,$U$16,IF(S59&lt;=$T$17,$U$17,IF(S59&lt;=$T$18,$U$18,IF(S59&lt;=$T$19,$U$19,IF(S59&lt;=$T$20,$U$20,IF(S59&lt;=$T$21,$U$21,IF(S59&lt;=$T$22,$U$22,IF(S59&lt;=$T$23,$U$23,IF(S59&lt;=$T$24,$U$24,IF(S59&lt;=$T$25,$U$25,IF(S59&lt;=$T$26,$U$26,IF(S59&lt;=$T$27,$U$27,IF(S59&lt;=$T$28,$U$28,IF(S59&lt;=$T$29,$U$29))))))))))))))))))))))))</f>
        <v>200.00005200000001</v>
      </c>
      <c r="W60" s="422"/>
      <c r="X60" s="422">
        <f>IF(S59&lt;=$T$6,$X$6,IF(S59&lt;=$T$7,$X$7,IF(S59&lt;=$T$8,$X$8,IF(S59&lt;=$T$9,$X$9,IF(S59&lt;=$T$10,$X$10,IF(S59&lt;=$T$11,$X$11,IF(S59&lt;=$T$12,$X$12,IF(S59&lt;=$T$13,$X$13,IF(S59&lt;=$T$14,$X$14,IF(S59&lt;=$T$15,$X$15,IF(S59&lt;=$T$16,$X$16,IF(S59&lt;=$T$17,$X$17,IF(S59&lt;=$T$18,$X$18,IF(S59&lt;=$T$19,$X$19,IF(S59&lt;=$T$20,$X$20,IF(S59&lt;=$T$21,$X$21,IF(S59&lt;=$T$22,$X$22,IF(S59&lt;=$T$23,$X$23,IF(S59&lt;=$T$24,$X$24,IF(S59&lt;=$T$25,$X$25,IF(S59&lt;=$T$26,$X$26,IF(S59&lt;=$T$27,$X$27,IF(S59&lt;=$T$28,$X$28,IF(S59&lt;=$T$29,$X$29))))))))))))))))))))))))</f>
        <v>4.0000000000000007E-6</v>
      </c>
      <c r="Y60" s="422">
        <f>IF(S59&lt;=$T$6,$Y$6,IF(S59&lt;=$T$7,$Y$7,IF(S59&lt;=$T$8,$Y$8,IF(S59&lt;=$T$9,$Y$9,IF(S59&lt;=$T$10,$Y$10,IF(S59&lt;=$T$11,$Y$11,IF(S59&lt;=$T$12,$Y$12,IF(S59&lt;=$T$13,$Y$13,IF(S59&lt;=$T$14,$Y$14,IF(S59&lt;=$T$15,$Y$15,IF(S59&lt;=$T$16,$Y$16,IF(S59&lt;=$T$17,$Y$17,IF(S59&lt;=$T$18,$Y$18,IF(S59&lt;=$T$19,$Y$19,IF(S59&lt;=$T$20,$Y$20,IF(S59&lt;=$T$21,$Y$21,IF(S59&lt;=$T$22,$Y$22,IF(S59&lt;=$T$23,$Y$23,IF(S59&lt;=$T$24,$Y$24,IF(S59&lt;=$T$25,$Y$25,IF(S59&lt;=$T$26,$Y$26,IF(S59&lt;=$T$27,$Y$27,IF(S59&lt;=$T$28,$Y$28,IF(S59&lt;=$T$29,$Y$29))))))))))))))))))))))))</f>
        <v>3.0000000000000001E-5</v>
      </c>
      <c r="AA60" s="6">
        <v>29</v>
      </c>
      <c r="AB60" s="6">
        <f t="shared" si="95"/>
        <v>29.000019999999999</v>
      </c>
      <c r="AC60" s="6">
        <f t="shared" si="96"/>
        <v>1.9999999999062312E-5</v>
      </c>
      <c r="AD60" s="6">
        <f t="shared" si="97"/>
        <v>0</v>
      </c>
      <c r="AE60" s="6">
        <f t="shared" si="98"/>
        <v>2.6000000000000005E-6</v>
      </c>
      <c r="AF60" s="6">
        <f t="shared" si="99"/>
        <v>2.1000000000000002E-5</v>
      </c>
      <c r="AH60" s="623"/>
      <c r="AI60" s="451">
        <v>2</v>
      </c>
      <c r="AJ60" s="451">
        <f>AJ59</f>
        <v>1</v>
      </c>
      <c r="AK60" s="451">
        <f>L67</f>
        <v>1.000003</v>
      </c>
      <c r="AL60" s="451">
        <f t="shared" ref="AL60:AO60" si="103">M67</f>
        <v>3.0000000000000001E-6</v>
      </c>
      <c r="AM60" s="451">
        <f t="shared" si="103"/>
        <v>0</v>
      </c>
      <c r="AN60" s="451">
        <f t="shared" si="103"/>
        <v>1.2E-5</v>
      </c>
      <c r="AO60" s="451">
        <f t="shared" si="103"/>
        <v>1.0000000000000001E-5</v>
      </c>
      <c r="AP60" s="67"/>
      <c r="AQ60" s="623"/>
      <c r="AR60" s="451">
        <v>2</v>
      </c>
      <c r="AS60" s="451">
        <f>AS59</f>
        <v>2</v>
      </c>
      <c r="AT60" s="451">
        <f>L43</f>
        <v>2.0000010000000001</v>
      </c>
      <c r="AU60" s="451">
        <f t="shared" ref="AU60:AX60" si="104">M43</f>
        <v>9.9999999999999995E-7</v>
      </c>
      <c r="AV60" s="451">
        <f t="shared" si="104"/>
        <v>0</v>
      </c>
      <c r="AW60" s="451">
        <f t="shared" si="104"/>
        <v>4.8000000000000006E-7</v>
      </c>
      <c r="AX60" s="440">
        <f t="shared" si="104"/>
        <v>3.9999999999999998E-6</v>
      </c>
    </row>
    <row r="61" spans="1:50" x14ac:dyDescent="0.3">
      <c r="A61" s="646"/>
      <c r="B61" s="405"/>
      <c r="C61" s="405"/>
      <c r="D61" s="405"/>
      <c r="E61" s="405"/>
      <c r="F61" s="405"/>
      <c r="G61" s="405"/>
      <c r="H61" s="417"/>
      <c r="I61" s="405"/>
      <c r="J61" s="408">
        <v>3</v>
      </c>
      <c r="K61" s="409">
        <v>0.02</v>
      </c>
      <c r="L61" s="448">
        <f t="shared" si="100"/>
        <v>2.0003E-2</v>
      </c>
      <c r="M61" s="403">
        <v>3.0000000000000001E-6</v>
      </c>
      <c r="N61" s="403"/>
      <c r="O61" s="415">
        <f>0.5*(0.8*MPE!C28)</f>
        <v>4.0000000000000007E-6</v>
      </c>
      <c r="P61" s="403">
        <v>3.0000000000000001E-6</v>
      </c>
      <c r="S61" s="425"/>
      <c r="T61" s="419">
        <f>IF(S62&lt;=$T$6,$T$5,IF(S62&lt;=$T$7,$T$6,IF(S62&lt;=$T$8,$T$7,IF(S62&lt;=$T$9,$T$8,IF(S62&lt;=$T$10,$T$9,IF(S62&lt;=$T$11,$T$10,IF(S62&lt;=$T$12,$T$11,IF(S62&lt;=$T$13,$T$12,IF(S62&lt;=$T$14,$T$13,IF(S62&lt;=$T$15,$T$14,IF(S62&lt;=$T$16,$T$15,IF(S62&lt;=$T$17,$T$16,IF(S62&lt;=$T$18,$T$17,IF(S62&lt;=$T$19,$T$18,IF(S62&lt;=$T$20,$T$19,IF(S62&lt;=$T$21,$T$20,IF(S62&lt;=$T$22,$T$21,IF(S62&lt;=$T$23,$T$22,IF(S62&lt;=$T$24,$T$23,IF(S62&lt;=$T$25,$T$24,IF(S62&lt;=$T$26,$T$25,IF(S62&lt;=$T$27,$T$26,IF(S62&lt;=$T$28,$T$27,IF(S62&lt;=$T$29,$T$28,$T$29))))))))))))))))))))))))</f>
        <v>100</v>
      </c>
      <c r="U61" s="419"/>
      <c r="V61" s="419">
        <f>IF(S62&lt;=$T$6,$U$5,IF(S62&lt;=$T$7,$U$6,IF(S62&lt;=$T$8,$U$7,IF(S62&lt;=$T$9,$U$8,IF(S62&lt;=$T$10,$U$9,IF(S62&lt;=$T$11,$U$10,IF(S62&lt;=$T$12,$U$11,IF(S62&lt;=$T$13,$U$12,IF(S62&lt;=$T$14,$U$13,IF(S62&lt;=$T$15,$U$14,IF(S62&lt;=$T$16,$U$15,IF(S62&lt;=$T$17,$U$16,IF(S62&lt;=$T$18,$U$17,IF(S62&lt;=$T$19,$U$18,IF(S62&lt;=$T$20,$U$19,IF(S62&lt;=$T$21,$U$20,IF(S62&lt;=$T$22,$U$21,IF(S62&lt;=$T$23,$U$22,IF(S62&lt;=$T$24,$U$23,IF(S62&lt;=$T$25,$U$24,IF(S62&lt;=$T$26,$U$25,IF(S62&lt;=$T$27,$U$26,IF(S62&lt;=$T$28,$U$27,IF(S62&lt;=$T$29,$U$28,$T$29))))))))))))))))))))))))</f>
        <v>100.000018</v>
      </c>
      <c r="W61" s="419"/>
      <c r="X61" s="419">
        <f>IF(S62&lt;=$T$6,$X$5,IF(S62&lt;=$T$7,$X$6,IF(S62&lt;=$T$8,$X$7,IF(S62&lt;=$T$9,$X$8,IF(S62&lt;=$T$10,$X$9,IF(S62&lt;=$T$11,$X$10,IF(S62&lt;=$T$12,$X$11,IF(S62&lt;=$T$13,$X$12,IF(S62&lt;=$T$14,$X$13,IF(S62&lt;=$T$15,$X$14,IF(S62&lt;=$T$16,$X$15,IF(S62&lt;=$T$17,$X$16,IF(S62&lt;=$T$18,$X$17,IF(S62&lt;=$T$19,$X$18,IF(S62&lt;=$T$20,$X$19,IF(S62&lt;=$T$21,$X$20,IF(S62&lt;=$T$22,$X$21,IF(S62&lt;=$T$23,$X$22,IF(S62&lt;=$T$24,$X$23,IF(S62&lt;=$T$25,$X$24,IF(S62&lt;=$T$26,$X$25,IF(S62&lt;=$T$27,$X$26,IF(S62&lt;=$T$28,$X$27,IF(S62&lt;=$T$29,$X$28,$T$29))))))))))))))))))))))))</f>
        <v>2.0000000000000003E-6</v>
      </c>
      <c r="Y61" s="419">
        <f>IF(S62&lt;=$T$6,$Y$5,IF(S62&lt;=$T$7,$Y$6,IF(S62&lt;=$T$8,$Y$7,IF(S62&lt;=$T$9,$Y$8,IF(S62&lt;=$T$10,$Y$9,IF(S62&lt;=$T$11,$Y$10,IF(S62&lt;=$T$12,$Y$11,IF(S62&lt;=$T$13,$Y$12,IF(S62&lt;=$T$14,$Y$13,IF(S62&lt;=$T$15,$Y$14,IF(S62&lt;=$T$16,$Y$15,IF(S62&lt;=$T$17,$Y$16,IF(S62&lt;=$T$18,$Y$17,IF(S62&lt;=$T$19,$Y$18,IF(S62&lt;=$T$20,$Y$19,IF(S62&lt;=$T$21,$Y$20,IF(S62&lt;=$T$22,$Y$21,IF(S62&lt;=$T$23,$Y$22,IF(S62&lt;=$T$24,$Y$23,IF(S62&lt;=$T$25,$Y$24,IF(S62&lt;=$T$26,$Y$25,IF(S62&lt;=$T$27,$Y$26,IF(S62&lt;=$T$28,$Y$27,IF(S62&lt;=$T$29,$Y$28,$T$29))))))))))))))))))))))))</f>
        <v>1.5999999999999999E-5</v>
      </c>
      <c r="AA61" s="6">
        <f t="shared" ref="AA61:AF61" si="105">AA51+AA41</f>
        <v>30</v>
      </c>
      <c r="AB61" s="6">
        <f t="shared" si="105"/>
        <v>30.000015999999999</v>
      </c>
      <c r="AC61" s="6">
        <f t="shared" si="105"/>
        <v>1.5999999998683734E-5</v>
      </c>
      <c r="AD61" s="6">
        <f t="shared" si="105"/>
        <v>0</v>
      </c>
      <c r="AE61" s="6">
        <f t="shared" si="105"/>
        <v>1.8000000000000001E-6</v>
      </c>
      <c r="AF61" s="6">
        <f t="shared" si="105"/>
        <v>1.4E-5</v>
      </c>
      <c r="AH61" s="623"/>
      <c r="AI61" s="451">
        <v>3</v>
      </c>
      <c r="AJ61" s="451">
        <f t="shared" ref="AJ61:AJ64" si="106">AJ60</f>
        <v>1</v>
      </c>
      <c r="AK61" s="451">
        <f>L67</f>
        <v>1.000003</v>
      </c>
      <c r="AL61" s="451">
        <f t="shared" ref="AL61:AO61" si="107">M67</f>
        <v>3.0000000000000001E-6</v>
      </c>
      <c r="AM61" s="451">
        <f t="shared" si="107"/>
        <v>0</v>
      </c>
      <c r="AN61" s="451">
        <f t="shared" si="107"/>
        <v>1.2E-5</v>
      </c>
      <c r="AO61" s="451">
        <f t="shared" si="107"/>
        <v>1.0000000000000001E-5</v>
      </c>
      <c r="AP61" s="67"/>
      <c r="AQ61" s="623"/>
      <c r="AR61" s="451">
        <v>3</v>
      </c>
      <c r="AS61" s="451">
        <f t="shared" ref="AS61:AS64" si="108">AS60</f>
        <v>2</v>
      </c>
      <c r="AT61" s="451">
        <f>L68</f>
        <v>2.0000179999999999</v>
      </c>
      <c r="AU61" s="451">
        <f t="shared" ref="AU61:AX61" si="109">M68</f>
        <v>1.8E-5</v>
      </c>
      <c r="AV61" s="451">
        <f t="shared" si="109"/>
        <v>0</v>
      </c>
      <c r="AW61" s="451">
        <f t="shared" si="109"/>
        <v>1.6000000000000003E-5</v>
      </c>
      <c r="AX61" s="440">
        <f t="shared" si="109"/>
        <v>1.2E-5</v>
      </c>
    </row>
    <row r="62" spans="1:50" x14ac:dyDescent="0.3">
      <c r="A62" s="646"/>
      <c r="B62" s="405"/>
      <c r="C62" s="405"/>
      <c r="D62" s="405"/>
      <c r="E62" s="405"/>
      <c r="F62" s="405"/>
      <c r="G62" s="405"/>
      <c r="H62" s="417"/>
      <c r="I62" s="405"/>
      <c r="J62" s="408">
        <v>3</v>
      </c>
      <c r="K62" s="409">
        <v>0.05</v>
      </c>
      <c r="L62" s="449">
        <f t="shared" si="100"/>
        <v>0.05</v>
      </c>
      <c r="M62" s="403">
        <v>0</v>
      </c>
      <c r="N62" s="403"/>
      <c r="O62" s="415">
        <f>0.5*(0.8*MPE!C27)</f>
        <v>4.8000000000000006E-6</v>
      </c>
      <c r="P62" s="403">
        <v>3.9999999999999998E-6</v>
      </c>
      <c r="S62" s="424">
        <f>ID!B51</f>
        <v>200</v>
      </c>
      <c r="T62" s="419"/>
      <c r="U62" s="420">
        <f>((S62-T61)/(T63-T61)*(V63-V61)+V61)</f>
        <v>200.00005200000001</v>
      </c>
      <c r="V62" s="419"/>
      <c r="W62" s="419"/>
      <c r="X62" s="420">
        <f>((S62-T61)/(T63-T61)*(X63-X61)+X61)</f>
        <v>4.0000000000000007E-6</v>
      </c>
      <c r="Y62" s="420">
        <f>((S62-T61)/(T63-T61)*(Y63-Y61)+Y61)</f>
        <v>3.0000000000000001E-5</v>
      </c>
      <c r="AA62" s="6">
        <v>31</v>
      </c>
      <c r="AB62" s="6">
        <f>$AB$61+AB32</f>
        <v>31.000018999999998</v>
      </c>
      <c r="AC62" s="6">
        <f>$AC$61+AC32</f>
        <v>1.8999999998683732E-5</v>
      </c>
      <c r="AD62" s="6">
        <f>$AD$61+AD32</f>
        <v>0</v>
      </c>
      <c r="AE62" s="6">
        <f>$AE$61+AE32</f>
        <v>1.38E-5</v>
      </c>
      <c r="AF62" s="6">
        <f>$AF$61+AF32</f>
        <v>2.4000000000000001E-5</v>
      </c>
      <c r="AH62" s="623"/>
      <c r="AI62" s="451">
        <v>4</v>
      </c>
      <c r="AJ62" s="451">
        <f t="shared" si="106"/>
        <v>1</v>
      </c>
      <c r="AK62" s="451"/>
      <c r="AL62" s="451"/>
      <c r="AM62" s="451"/>
      <c r="AN62" s="451"/>
      <c r="AO62" s="451"/>
      <c r="AP62" s="67"/>
      <c r="AQ62" s="623"/>
      <c r="AR62" s="451">
        <v>4</v>
      </c>
      <c r="AS62" s="451">
        <f t="shared" si="108"/>
        <v>2</v>
      </c>
      <c r="AT62" s="451"/>
      <c r="AU62" s="451"/>
      <c r="AV62" s="451"/>
      <c r="AW62" s="451"/>
      <c r="AX62" s="439"/>
    </row>
    <row r="63" spans="1:50" x14ac:dyDescent="0.3">
      <c r="A63" s="646"/>
      <c r="B63" s="405"/>
      <c r="C63" s="405"/>
      <c r="D63" s="405"/>
      <c r="E63" s="405"/>
      <c r="F63" s="405"/>
      <c r="G63" s="405"/>
      <c r="H63" s="417"/>
      <c r="I63" s="405"/>
      <c r="J63" s="408">
        <v>3</v>
      </c>
      <c r="K63" s="409">
        <v>0.1</v>
      </c>
      <c r="L63" s="448">
        <f t="shared" si="100"/>
        <v>0.10000100000000001</v>
      </c>
      <c r="M63" s="403">
        <v>9.9999999999999995E-7</v>
      </c>
      <c r="N63" s="403"/>
      <c r="O63" s="415">
        <f>0.5*(0.8*MPE!C26)</f>
        <v>6.3999999999999997E-6</v>
      </c>
      <c r="P63" s="403">
        <v>5.0000000000000004E-6</v>
      </c>
      <c r="S63" s="419"/>
      <c r="T63" s="419">
        <f>IF(S62&lt;=$T$6,$T$6,IF(S62&lt;=$T$7,$T$7,IF(S62&lt;=$T$8,$T$8,IF(S62&lt;=$T$9,$T$9,IF(S62&lt;=$T$10,$T$10,IF(S62&lt;=$T$11,$T$11,IF(S62&lt;=$T$12,$T$12,IF(S62&lt;=$T$13,$T$13,IF(S62&lt;=$T$14,$T$14,IF(S62&lt;=$T$15,$T$15,IF(S62&lt;=$T$16,$T$16,IF(S62&lt;=$T$17,$T$17,IF(S62&lt;=$T$18,$T$18,IF(S62&lt;=$T$19,$T$19,IF(S62&lt;=$T$20,$T$20,IF(S62&lt;=$T$21,$T$21,IF(S62&lt;=$T$22,$T$22,IF(S62&lt;=$T$23,$T$23,IF(S62&lt;=$T$24,$T$24,IF(S62&lt;=$T$25,$T$25,IF(S62&lt;=$T$26,$T$26,IF(S62&lt;=$T$27,$T$27,IF(S62&lt;=$T$28,$T$28,IF(S62&lt;=$T$29,$T$29))))))))))))))))))))))))</f>
        <v>200</v>
      </c>
      <c r="U63" s="419"/>
      <c r="V63" s="419">
        <f>IF(S62&lt;=$T$6,$U$6,IF(S62&lt;=$T$7,$U$7,IF(S62&lt;=$T$8,$U$8,IF(S62&lt;=$T$9,$U$9,IF(S62&lt;=$T$10,$U$10,IF(S62&lt;=$T$11,$U$11,IF(S62&lt;=$T$12,$U$12,IF(S62&lt;=$T$13,$U$13,IF(S62&lt;=$T$14,$U$14,IF(S62&lt;=$T$15,$U$15,IF(S62&lt;=$T$16,$U$16,IF(S62&lt;=$T$17,$U$17,IF(S62&lt;=$T$18,$U$18,IF(S62&lt;=$T$19,$U$19,IF(S62&lt;=$T$20,$U$20,IF(S62&lt;=$T$21,$U$21,IF(S62&lt;=$T$22,$U$22,IF(S62&lt;=$T$23,$U$23,IF(S62&lt;=$T$24,$U$24,IF(S62&lt;=$T$25,$U$25,IF(S62&lt;=$T$26,$U$26,IF(S62&lt;=$T$27,$U$27,IF(S62&lt;=$T$28,$U$28,IF(S62&lt;=$T$29,$U$29))))))))))))))))))))))))</f>
        <v>200.00005200000001</v>
      </c>
      <c r="W63" s="419"/>
      <c r="X63" s="419">
        <f>IF(S62&lt;=$T$6,$X$6,IF(S62&lt;=$T$7,$X$7,IF(S62&lt;=$T$8,$X$8,IF(S62&lt;=$T$9,$X$9,IF(S62&lt;=$T$10,$X$10,IF(S62&lt;=$T$11,$X$11,IF(S62&lt;=$T$12,$X$12,IF(S62&lt;=$T$13,$X$13,IF(S62&lt;=$T$14,$X$14,IF(S62&lt;=$T$15,$X$15,IF(S62&lt;=$T$16,$X$16,IF(S62&lt;=$T$17,$X$17,IF(S62&lt;=$T$18,$X$18,IF(S62&lt;=$T$19,$X$19,IF(S62&lt;=$T$20,$X$20,IF(S62&lt;=$T$21,$X$21,IF(S62&lt;=$T$22,$X$22,IF(S62&lt;=$T$23,$X$23,IF(S62&lt;=$T$24,$X$24,IF(S62&lt;=$T$25,$X$25,IF(S62&lt;=$T$26,$X$26,IF(S62&lt;=$T$27,$X$27,IF(S62&lt;=$T$28,$X$28,IF(S62&lt;=$T$29,$X$29))))))))))))))))))))))))</f>
        <v>4.0000000000000007E-6</v>
      </c>
      <c r="Y63" s="419">
        <f>IF(S62&lt;=$T$6,$Y$6,IF(S62&lt;=$T$7,$Y$7,IF(S62&lt;=$T$8,$Y$8,IF(S62&lt;=$T$9,$Y$9,IF(S62&lt;=$T$10,$Y$10,IF(S62&lt;=$T$11,$Y$11,IF(S62&lt;=$T$12,$Y$12,IF(S62&lt;=$T$13,$Y$13,IF(S62&lt;=$T$14,$Y$14,IF(S62&lt;=$T$15,$Y$15,IF(S62&lt;=$T$16,$Y$16,IF(S62&lt;=$T$17,$Y$17,IF(S62&lt;=$T$18,$Y$18,IF(S62&lt;=$T$19,$Y$19,IF(S62&lt;=$T$20,$Y$20,IF(S62&lt;=$T$21,$Y$21,IF(S62&lt;=$T$22,$Y$22,IF(S62&lt;=$T$23,$Y$23,IF(S62&lt;=$T$24,$Y$24,IF(S62&lt;=$T$25,$Y$25,IF(S62&lt;=$T$26,$Y$26,IF(S62&lt;=$T$27,$Y$27,IF(S62&lt;=$T$28,$Y$28,IF(S62&lt;=$T$29,$Y$29))))))))))))))))))))))))</f>
        <v>3.0000000000000001E-5</v>
      </c>
      <c r="AA63" s="6">
        <v>32</v>
      </c>
      <c r="AB63" s="6">
        <f t="shared" ref="AB63:AB70" si="110">$AB$61+AB33</f>
        <v>32.000017</v>
      </c>
      <c r="AC63" s="6">
        <f t="shared" ref="AC63:AC70" si="111">$AC$61+AC33</f>
        <v>1.6999999998683734E-5</v>
      </c>
      <c r="AD63" s="6">
        <f t="shared" ref="AD63:AD70" si="112">$AD$61+AD33</f>
        <v>0</v>
      </c>
      <c r="AE63" s="6">
        <f t="shared" ref="AE63:AE70" si="113">$AE$61+AE33</f>
        <v>2.2800000000000002E-6</v>
      </c>
      <c r="AF63" s="6">
        <f t="shared" ref="AF63:AF70" si="114">$AF$61+AF33</f>
        <v>1.8E-5</v>
      </c>
      <c r="AH63" s="623"/>
      <c r="AI63" s="451">
        <v>5</v>
      </c>
      <c r="AJ63" s="451">
        <f t="shared" si="106"/>
        <v>1</v>
      </c>
      <c r="AK63" s="451"/>
      <c r="AL63" s="451"/>
      <c r="AM63" s="451"/>
      <c r="AN63" s="451"/>
      <c r="AO63" s="451"/>
      <c r="AP63" s="67"/>
      <c r="AQ63" s="623"/>
      <c r="AR63" s="451">
        <v>5</v>
      </c>
      <c r="AS63" s="451">
        <f t="shared" si="108"/>
        <v>2</v>
      </c>
      <c r="AT63" s="451"/>
      <c r="AU63" s="451"/>
      <c r="AV63" s="451"/>
      <c r="AW63" s="451"/>
      <c r="AX63" s="439"/>
    </row>
    <row r="64" spans="1:50" x14ac:dyDescent="0.3">
      <c r="A64" s="646"/>
      <c r="B64" s="405"/>
      <c r="C64" s="405"/>
      <c r="D64" s="405"/>
      <c r="E64" s="405"/>
      <c r="F64" s="405"/>
      <c r="G64" s="405"/>
      <c r="H64" s="417"/>
      <c r="I64" s="405"/>
      <c r="J64" s="408">
        <v>3</v>
      </c>
      <c r="K64" s="409">
        <v>0.2</v>
      </c>
      <c r="L64" s="449">
        <f t="shared" si="100"/>
        <v>0.19999800000000001</v>
      </c>
      <c r="M64" s="403">
        <v>-1.9999999999999999E-6</v>
      </c>
      <c r="N64" s="403"/>
      <c r="O64" s="415">
        <f>0.5*(0.8*MPE!C25)</f>
        <v>8.0000000000000013E-6</v>
      </c>
      <c r="P64" s="403">
        <v>6.0000000000000002E-6</v>
      </c>
      <c r="AA64" s="6">
        <v>33</v>
      </c>
      <c r="AB64" s="6">
        <f t="shared" si="110"/>
        <v>33.000019999999999</v>
      </c>
      <c r="AC64" s="6">
        <f t="shared" si="111"/>
        <v>1.9999999998683733E-5</v>
      </c>
      <c r="AD64" s="6">
        <f t="shared" si="112"/>
        <v>0</v>
      </c>
      <c r="AE64" s="6">
        <f t="shared" si="113"/>
        <v>1.428E-5</v>
      </c>
      <c r="AF64" s="6">
        <f t="shared" si="114"/>
        <v>2.8000000000000003E-5</v>
      </c>
      <c r="AH64" s="623"/>
      <c r="AI64" s="451">
        <v>6</v>
      </c>
      <c r="AJ64" s="451">
        <f t="shared" si="106"/>
        <v>1</v>
      </c>
      <c r="AK64" s="451"/>
      <c r="AL64" s="451"/>
      <c r="AM64" s="451"/>
      <c r="AN64" s="451"/>
      <c r="AO64" s="451"/>
      <c r="AP64" s="67"/>
      <c r="AQ64" s="623"/>
      <c r="AR64" s="451">
        <v>6</v>
      </c>
      <c r="AS64" s="451">
        <f t="shared" si="108"/>
        <v>2</v>
      </c>
      <c r="AT64" s="451"/>
      <c r="AU64" s="451"/>
      <c r="AV64" s="451"/>
      <c r="AW64" s="451"/>
      <c r="AX64" s="439"/>
    </row>
    <row r="65" spans="1:50" x14ac:dyDescent="0.3">
      <c r="A65" s="405"/>
      <c r="B65" s="405"/>
      <c r="C65" s="405"/>
      <c r="D65" s="405"/>
      <c r="E65" s="405"/>
      <c r="F65" s="405"/>
      <c r="G65" s="405"/>
      <c r="H65" s="417"/>
      <c r="I65" s="405"/>
      <c r="J65" s="408">
        <v>3</v>
      </c>
      <c r="K65" s="409">
        <v>0.2</v>
      </c>
      <c r="L65" s="448">
        <f t="shared" si="100"/>
        <v>0.20000100000000001</v>
      </c>
      <c r="M65" s="403">
        <v>9.9999999999999995E-7</v>
      </c>
      <c r="N65" s="403"/>
      <c r="O65" s="415">
        <f>0.5*(0.8*MPE!C25)</f>
        <v>8.0000000000000013E-6</v>
      </c>
      <c r="P65" s="403">
        <v>6.0000000000000002E-6</v>
      </c>
      <c r="U65" s="67">
        <f>U35</f>
        <v>20.000005999999999</v>
      </c>
      <c r="V65" s="418">
        <f>X35</f>
        <v>1.0000000000000002E-6</v>
      </c>
      <c r="W65" s="67">
        <f>Y35</f>
        <v>7.9999999999999996E-6</v>
      </c>
      <c r="AA65" s="6">
        <v>34</v>
      </c>
      <c r="AB65" s="6">
        <f t="shared" si="110"/>
        <v>34.000019999999999</v>
      </c>
      <c r="AC65" s="6">
        <f t="shared" si="111"/>
        <v>1.9999999998683733E-5</v>
      </c>
      <c r="AD65" s="6">
        <f t="shared" si="112"/>
        <v>0</v>
      </c>
      <c r="AE65" s="6">
        <f t="shared" si="113"/>
        <v>2.7600000000000003E-6</v>
      </c>
      <c r="AF65" s="6">
        <f t="shared" si="114"/>
        <v>2.1999999999999999E-5</v>
      </c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</row>
    <row r="66" spans="1:50" x14ac:dyDescent="0.3">
      <c r="A66" s="646"/>
      <c r="B66" s="405"/>
      <c r="C66" s="405"/>
      <c r="D66" s="405"/>
      <c r="E66" s="405"/>
      <c r="F66" s="405"/>
      <c r="G66" s="405"/>
      <c r="H66" s="417"/>
      <c r="I66" s="405"/>
      <c r="J66" s="408">
        <v>3</v>
      </c>
      <c r="K66" s="409">
        <v>0.5</v>
      </c>
      <c r="L66" s="449">
        <f t="shared" si="100"/>
        <v>0.500004</v>
      </c>
      <c r="M66" s="403">
        <v>3.9999999999999998E-6</v>
      </c>
      <c r="N66" s="403"/>
      <c r="O66" s="415">
        <f>0.5*(0.8*MPE!C24)</f>
        <v>1.0000000000000001E-5</v>
      </c>
      <c r="P66" s="403">
        <v>7.9999999999999996E-6</v>
      </c>
      <c r="U66" s="67">
        <f>U38</f>
        <v>40.000014666666665</v>
      </c>
      <c r="V66" s="418">
        <f>X38</f>
        <v>1.1333333333333334E-6</v>
      </c>
      <c r="W66" s="67">
        <f>Y38</f>
        <v>9.3333333333333343E-6</v>
      </c>
      <c r="AA66" s="6">
        <v>35</v>
      </c>
      <c r="AB66" s="6">
        <f t="shared" si="110"/>
        <v>35.000025999999998</v>
      </c>
      <c r="AC66" s="6">
        <f t="shared" si="111"/>
        <v>2.5999999998683733E-5</v>
      </c>
      <c r="AD66" s="6">
        <f t="shared" si="112"/>
        <v>0</v>
      </c>
      <c r="AE66" s="6">
        <f t="shared" si="113"/>
        <v>2.4400000000000004E-6</v>
      </c>
      <c r="AF66" s="6">
        <f t="shared" si="114"/>
        <v>1.9000000000000001E-5</v>
      </c>
      <c r="AH66" s="623">
        <v>2</v>
      </c>
      <c r="AI66" s="622" t="s">
        <v>242</v>
      </c>
      <c r="AJ66" s="622" t="s">
        <v>433</v>
      </c>
      <c r="AK66" s="622" t="s">
        <v>220</v>
      </c>
      <c r="AL66" s="622" t="s">
        <v>220</v>
      </c>
      <c r="AM66" s="622"/>
      <c r="AN66" s="622" t="s">
        <v>320</v>
      </c>
      <c r="AO66" s="622" t="s">
        <v>218</v>
      </c>
      <c r="AP66" s="67"/>
      <c r="AQ66" s="623">
        <v>5</v>
      </c>
      <c r="AR66" s="622" t="s">
        <v>242</v>
      </c>
      <c r="AS66" s="622" t="s">
        <v>433</v>
      </c>
      <c r="AT66" s="622" t="s">
        <v>220</v>
      </c>
      <c r="AU66" s="622" t="s">
        <v>220</v>
      </c>
      <c r="AV66" s="622"/>
      <c r="AW66" s="622" t="s">
        <v>320</v>
      </c>
      <c r="AX66" s="624" t="s">
        <v>218</v>
      </c>
    </row>
    <row r="67" spans="1:50" x14ac:dyDescent="0.3">
      <c r="A67" s="646"/>
      <c r="B67" s="405"/>
      <c r="C67" s="405"/>
      <c r="D67" s="405"/>
      <c r="E67" s="405"/>
      <c r="F67" s="405"/>
      <c r="G67" s="405"/>
      <c r="H67" s="417"/>
      <c r="I67" s="405"/>
      <c r="J67" s="408">
        <v>3</v>
      </c>
      <c r="K67" s="409">
        <v>1</v>
      </c>
      <c r="L67" s="448">
        <f t="shared" si="100"/>
        <v>1.000003</v>
      </c>
      <c r="M67" s="403">
        <v>3.0000000000000001E-6</v>
      </c>
      <c r="N67" s="403"/>
      <c r="O67" s="415">
        <f>0.5*(0.8*MPE!C23)</f>
        <v>1.2E-5</v>
      </c>
      <c r="P67" s="403">
        <v>1.0000000000000001E-5</v>
      </c>
      <c r="U67" s="67">
        <f>U41</f>
        <v>60.000018799999999</v>
      </c>
      <c r="V67" s="418">
        <f>X41</f>
        <v>1.3600000000000001E-6</v>
      </c>
      <c r="W67" s="67">
        <f>Y41</f>
        <v>1.1200000000000001E-5</v>
      </c>
      <c r="AA67" s="6">
        <v>36</v>
      </c>
      <c r="AB67" s="6">
        <f t="shared" si="110"/>
        <v>36.000028999999998</v>
      </c>
      <c r="AC67" s="6">
        <f t="shared" si="111"/>
        <v>2.8999999998683735E-5</v>
      </c>
      <c r="AD67" s="6">
        <f t="shared" si="112"/>
        <v>0</v>
      </c>
      <c r="AE67" s="6">
        <f t="shared" si="113"/>
        <v>1.4440000000000001E-5</v>
      </c>
      <c r="AF67" s="6">
        <f t="shared" si="114"/>
        <v>2.9E-5</v>
      </c>
      <c r="AH67" s="623"/>
      <c r="AI67" s="622" t="s">
        <v>434</v>
      </c>
      <c r="AJ67" s="622" t="s">
        <v>433</v>
      </c>
      <c r="AK67" s="622" t="s">
        <v>319</v>
      </c>
      <c r="AL67" s="453">
        <v>2022</v>
      </c>
      <c r="AM67" s="455">
        <v>2018</v>
      </c>
      <c r="AN67" s="622" t="s">
        <v>320</v>
      </c>
      <c r="AO67" s="622" t="s">
        <v>218</v>
      </c>
      <c r="AP67" s="67"/>
      <c r="AQ67" s="623"/>
      <c r="AR67" s="622" t="s">
        <v>434</v>
      </c>
      <c r="AS67" s="622" t="s">
        <v>433</v>
      </c>
      <c r="AT67" s="622" t="s">
        <v>319</v>
      </c>
      <c r="AU67" s="453">
        <v>2022</v>
      </c>
      <c r="AV67" s="455">
        <v>2018</v>
      </c>
      <c r="AW67" s="622" t="s">
        <v>320</v>
      </c>
      <c r="AX67" s="624" t="s">
        <v>218</v>
      </c>
    </row>
    <row r="68" spans="1:50" x14ac:dyDescent="0.3">
      <c r="A68" s="646"/>
      <c r="B68" s="405"/>
      <c r="C68" s="405"/>
      <c r="D68" s="405"/>
      <c r="E68" s="405"/>
      <c r="F68" s="405"/>
      <c r="G68" s="405"/>
      <c r="H68" s="417"/>
      <c r="I68" s="405"/>
      <c r="J68" s="408">
        <v>3</v>
      </c>
      <c r="K68" s="409">
        <v>2</v>
      </c>
      <c r="L68" s="449">
        <f t="shared" si="100"/>
        <v>2.0000179999999999</v>
      </c>
      <c r="M68" s="403">
        <v>1.8E-5</v>
      </c>
      <c r="N68" s="403"/>
      <c r="O68" s="415">
        <f>0.5*(0.8*MPE!C22)</f>
        <v>1.6000000000000003E-5</v>
      </c>
      <c r="P68" s="403">
        <v>1.2E-5</v>
      </c>
      <c r="U68" s="67">
        <f>U44</f>
        <v>80.000018400000002</v>
      </c>
      <c r="V68" s="418">
        <f>X44</f>
        <v>1.6800000000000002E-6</v>
      </c>
      <c r="W68" s="67">
        <f>Y44</f>
        <v>1.36E-5</v>
      </c>
      <c r="AA68" s="6">
        <v>37</v>
      </c>
      <c r="AB68" s="6">
        <f t="shared" si="110"/>
        <v>37.000026999999996</v>
      </c>
      <c r="AC68" s="6">
        <f t="shared" si="111"/>
        <v>2.6999999998683737E-5</v>
      </c>
      <c r="AD68" s="6">
        <f t="shared" si="112"/>
        <v>0</v>
      </c>
      <c r="AE68" s="6">
        <f t="shared" si="113"/>
        <v>2.92E-6</v>
      </c>
      <c r="AF68" s="6">
        <f t="shared" si="114"/>
        <v>2.3E-5</v>
      </c>
      <c r="AH68" s="623">
        <v>1</v>
      </c>
      <c r="AI68" s="451">
        <v>1</v>
      </c>
      <c r="AJ68" s="451">
        <v>2</v>
      </c>
      <c r="AK68" s="451">
        <f>L19</f>
        <v>2.0000209999999998</v>
      </c>
      <c r="AL68" s="451">
        <f t="shared" ref="AL68:AO68" si="115">M19</f>
        <v>2.0999999999826713E-5</v>
      </c>
      <c r="AM68" s="451">
        <f t="shared" si="115"/>
        <v>1.4999999999876223E-5</v>
      </c>
      <c r="AN68" s="451">
        <f t="shared" si="115"/>
        <v>2.9999999999752447E-6</v>
      </c>
      <c r="AO68" s="451">
        <f t="shared" si="115"/>
        <v>3.9999999999999998E-6</v>
      </c>
      <c r="AP68" s="67"/>
      <c r="AQ68" s="623">
        <v>1</v>
      </c>
      <c r="AR68" s="451">
        <v>1</v>
      </c>
      <c r="AS68" s="451">
        <v>5</v>
      </c>
      <c r="AT68" s="451">
        <f>L20</f>
        <v>5.0000308999999996</v>
      </c>
      <c r="AU68" s="451">
        <f t="shared" ref="AU68:AX68" si="116">M20</f>
        <v>3.0899999999611794E-5</v>
      </c>
      <c r="AV68" s="451">
        <f t="shared" si="116"/>
        <v>1.7999999999851468E-5</v>
      </c>
      <c r="AW68" s="451">
        <f t="shared" si="116"/>
        <v>6.4499999998801627E-6</v>
      </c>
      <c r="AX68" s="440">
        <f t="shared" si="116"/>
        <v>3.9999999999999998E-6</v>
      </c>
    </row>
    <row r="69" spans="1:50" x14ac:dyDescent="0.3">
      <c r="A69" s="646"/>
      <c r="B69" s="405"/>
      <c r="C69" s="405"/>
      <c r="D69" s="405"/>
      <c r="E69" s="405"/>
      <c r="F69" s="405"/>
      <c r="G69" s="405"/>
      <c r="H69" s="417"/>
      <c r="I69" s="405"/>
      <c r="J69" s="408">
        <v>3</v>
      </c>
      <c r="K69" s="409">
        <v>2</v>
      </c>
      <c r="L69" s="448">
        <f t="shared" si="100"/>
        <v>2.0000119999999999</v>
      </c>
      <c r="M69" s="403">
        <v>1.2E-5</v>
      </c>
      <c r="N69" s="403"/>
      <c r="O69" s="415">
        <f>0.5*(0.8*MPE!C22)</f>
        <v>1.6000000000000003E-5</v>
      </c>
      <c r="P69" s="403">
        <v>1.2E-5</v>
      </c>
      <c r="U69" s="67">
        <f>U47</f>
        <v>100.000018</v>
      </c>
      <c r="V69" s="418">
        <f>X47</f>
        <v>2.0000000000000003E-6</v>
      </c>
      <c r="W69" s="67">
        <f>Y47</f>
        <v>1.5999999999999999E-5</v>
      </c>
      <c r="AA69" s="6">
        <v>38</v>
      </c>
      <c r="AB69" s="6">
        <f t="shared" si="110"/>
        <v>38.000029999999995</v>
      </c>
      <c r="AC69" s="6">
        <f t="shared" si="111"/>
        <v>2.9999999998683735E-5</v>
      </c>
      <c r="AD69" s="6">
        <f t="shared" si="112"/>
        <v>0</v>
      </c>
      <c r="AE69" s="6">
        <f t="shared" si="113"/>
        <v>1.4920000000000001E-5</v>
      </c>
      <c r="AF69" s="6">
        <f t="shared" si="114"/>
        <v>3.3000000000000003E-5</v>
      </c>
      <c r="AH69" s="623"/>
      <c r="AI69" s="451">
        <v>2</v>
      </c>
      <c r="AJ69" s="451">
        <f>AJ68</f>
        <v>2</v>
      </c>
      <c r="AK69" s="451">
        <f>L44</f>
        <v>2.000003</v>
      </c>
      <c r="AL69" s="451">
        <f t="shared" ref="AL69:AO69" si="117">M44</f>
        <v>3.0000000000000001E-6</v>
      </c>
      <c r="AM69" s="451">
        <f t="shared" si="117"/>
        <v>0</v>
      </c>
      <c r="AN69" s="451">
        <f t="shared" si="117"/>
        <v>4.8000000000000006E-7</v>
      </c>
      <c r="AO69" s="451">
        <f t="shared" si="117"/>
        <v>3.9999999999999998E-6</v>
      </c>
      <c r="AP69" s="67"/>
      <c r="AQ69" s="623"/>
      <c r="AR69" s="451">
        <v>2</v>
      </c>
      <c r="AS69" s="451">
        <f>AS68</f>
        <v>5</v>
      </c>
      <c r="AT69" s="451">
        <f>L45</f>
        <v>5.0000099999999996</v>
      </c>
      <c r="AU69" s="451">
        <f t="shared" ref="AU69:AX69" si="118">M45</f>
        <v>1.0000000000000001E-5</v>
      </c>
      <c r="AV69" s="451">
        <f t="shared" si="118"/>
        <v>0</v>
      </c>
      <c r="AW69" s="451">
        <f t="shared" si="118"/>
        <v>6.4000000000000001E-7</v>
      </c>
      <c r="AX69" s="440">
        <f t="shared" si="118"/>
        <v>5.0000000000000004E-6</v>
      </c>
    </row>
    <row r="70" spans="1:50" x14ac:dyDescent="0.3">
      <c r="A70" s="646"/>
      <c r="B70" s="405"/>
      <c r="C70" s="405"/>
      <c r="D70" s="405"/>
      <c r="E70" s="405"/>
      <c r="F70" s="405"/>
      <c r="G70" s="405"/>
      <c r="H70" s="417"/>
      <c r="I70" s="405"/>
      <c r="J70" s="408">
        <v>3</v>
      </c>
      <c r="K70" s="409">
        <v>5</v>
      </c>
      <c r="L70" s="449">
        <f t="shared" si="100"/>
        <v>5.0000140000000002</v>
      </c>
      <c r="M70" s="403">
        <v>1.4E-5</v>
      </c>
      <c r="N70" s="403"/>
      <c r="O70" s="415">
        <f>0.5*(0.8*MPE!C21)</f>
        <v>2.0000000000000002E-5</v>
      </c>
      <c r="P70" s="403">
        <v>1.5999999999999999E-5</v>
      </c>
      <c r="U70" s="67">
        <f>U50</f>
        <v>120.00002480000001</v>
      </c>
      <c r="V70" s="418">
        <f>X50</f>
        <v>2.4000000000000003E-6</v>
      </c>
      <c r="W70" s="67">
        <f>Y50</f>
        <v>1.88E-5</v>
      </c>
      <c r="AA70" s="6">
        <v>39</v>
      </c>
      <c r="AB70" s="6">
        <f t="shared" si="110"/>
        <v>39.000029999999995</v>
      </c>
      <c r="AC70" s="6">
        <f t="shared" si="111"/>
        <v>2.9999999998683735E-5</v>
      </c>
      <c r="AD70" s="6">
        <f t="shared" si="112"/>
        <v>0</v>
      </c>
      <c r="AE70" s="6">
        <f t="shared" si="113"/>
        <v>3.4000000000000005E-6</v>
      </c>
      <c r="AF70" s="6">
        <f t="shared" si="114"/>
        <v>2.6999999999999999E-5</v>
      </c>
      <c r="AH70" s="623"/>
      <c r="AI70" s="451">
        <v>3</v>
      </c>
      <c r="AJ70" s="451">
        <f t="shared" ref="AJ70:AJ73" si="119">AJ69</f>
        <v>2</v>
      </c>
      <c r="AK70" s="451">
        <f>L69</f>
        <v>2.0000119999999999</v>
      </c>
      <c r="AL70" s="451">
        <f t="shared" ref="AL70:AO70" si="120">M69</f>
        <v>1.2E-5</v>
      </c>
      <c r="AM70" s="451">
        <f t="shared" si="120"/>
        <v>0</v>
      </c>
      <c r="AN70" s="451">
        <f t="shared" si="120"/>
        <v>1.6000000000000003E-5</v>
      </c>
      <c r="AO70" s="451">
        <f t="shared" si="120"/>
        <v>1.2E-5</v>
      </c>
      <c r="AP70" s="67"/>
      <c r="AQ70" s="623"/>
      <c r="AR70" s="451">
        <v>3</v>
      </c>
      <c r="AS70" s="451">
        <f>AS69</f>
        <v>5</v>
      </c>
      <c r="AT70" s="451">
        <f>L70</f>
        <v>5.0000140000000002</v>
      </c>
      <c r="AU70" s="451">
        <f t="shared" ref="AU70:AX70" si="121">M70</f>
        <v>1.4E-5</v>
      </c>
      <c r="AV70" s="451">
        <f t="shared" si="121"/>
        <v>0</v>
      </c>
      <c r="AW70" s="451">
        <f t="shared" si="121"/>
        <v>2.0000000000000002E-5</v>
      </c>
      <c r="AX70" s="440">
        <f t="shared" si="121"/>
        <v>1.5999999999999999E-5</v>
      </c>
    </row>
    <row r="71" spans="1:50" x14ac:dyDescent="0.3">
      <c r="A71" s="646"/>
      <c r="B71" s="405"/>
      <c r="C71" s="405"/>
      <c r="D71" s="405"/>
      <c r="E71" s="405"/>
      <c r="F71" s="405"/>
      <c r="G71" s="405"/>
      <c r="H71" s="417"/>
      <c r="I71" s="405"/>
      <c r="J71" s="408">
        <v>3</v>
      </c>
      <c r="K71" s="409">
        <v>10</v>
      </c>
      <c r="L71" s="448">
        <f t="shared" si="100"/>
        <v>10.000016</v>
      </c>
      <c r="M71" s="403">
        <v>1.5999999999999999E-5</v>
      </c>
      <c r="N71" s="403"/>
      <c r="O71" s="415">
        <f>0.5*(0.8*MPE!C20)</f>
        <v>2.4000000000000001E-5</v>
      </c>
      <c r="P71" s="403">
        <v>2.0000000000000002E-5</v>
      </c>
      <c r="U71" s="67">
        <f>U53</f>
        <v>140.0000316</v>
      </c>
      <c r="V71" s="418">
        <f>X53</f>
        <v>2.8000000000000003E-6</v>
      </c>
      <c r="W71" s="67">
        <f>Y53</f>
        <v>2.16E-5</v>
      </c>
      <c r="AA71" s="6">
        <f t="shared" ref="AA71:AF71" si="122">AA51+T23</f>
        <v>40</v>
      </c>
      <c r="AB71" s="6">
        <f t="shared" si="122"/>
        <v>40.000011999999998</v>
      </c>
      <c r="AC71" s="6">
        <f t="shared" si="122"/>
        <v>1.1999999998124622E-5</v>
      </c>
      <c r="AD71" s="6">
        <f t="shared" si="122"/>
        <v>0</v>
      </c>
      <c r="AE71" s="6">
        <f t="shared" si="122"/>
        <v>2.0000000000000003E-6</v>
      </c>
      <c r="AF71" s="6">
        <f t="shared" si="122"/>
        <v>1.5999999999999999E-5</v>
      </c>
      <c r="AH71" s="623"/>
      <c r="AI71" s="451">
        <v>4</v>
      </c>
      <c r="AJ71" s="451">
        <f t="shared" si="119"/>
        <v>2</v>
      </c>
      <c r="AK71" s="451"/>
      <c r="AL71" s="451"/>
      <c r="AM71" s="451"/>
      <c r="AN71" s="451"/>
      <c r="AO71" s="451"/>
      <c r="AP71" s="67"/>
      <c r="AQ71" s="623"/>
      <c r="AR71" s="451">
        <v>4</v>
      </c>
      <c r="AS71" s="451">
        <f t="shared" ref="AS71:AS73" si="123">AS70</f>
        <v>5</v>
      </c>
      <c r="AT71" s="451"/>
      <c r="AU71" s="451"/>
      <c r="AV71" s="451"/>
      <c r="AW71" s="451"/>
      <c r="AX71" s="439"/>
    </row>
    <row r="72" spans="1:50" x14ac:dyDescent="0.3">
      <c r="A72" s="646"/>
      <c r="B72" s="405"/>
      <c r="C72" s="405"/>
      <c r="D72" s="405"/>
      <c r="E72" s="405"/>
      <c r="F72" s="405"/>
      <c r="G72" s="405"/>
      <c r="H72" s="417"/>
      <c r="I72" s="405"/>
      <c r="J72" s="408">
        <v>3</v>
      </c>
      <c r="K72" s="409">
        <v>20</v>
      </c>
      <c r="L72" s="449">
        <f t="shared" si="100"/>
        <v>20.000008000000001</v>
      </c>
      <c r="M72" s="403">
        <v>7.9999999999999996E-6</v>
      </c>
      <c r="N72" s="403"/>
      <c r="O72" s="415">
        <f>0.5*(0.8*MPE!C19)</f>
        <v>3.2000000000000005E-5</v>
      </c>
      <c r="P72" s="403">
        <v>2.5000000000000001E-5</v>
      </c>
      <c r="U72" s="67">
        <f>U56</f>
        <v>160.00003839999999</v>
      </c>
      <c r="V72" s="418">
        <f>X56</f>
        <v>3.2000000000000007E-6</v>
      </c>
      <c r="W72" s="67">
        <f>Y56</f>
        <v>2.44E-5</v>
      </c>
      <c r="AA72" s="6">
        <f t="shared" ref="AA72:AF72" si="124">T24</f>
        <v>50</v>
      </c>
      <c r="AB72" s="6">
        <f t="shared" si="124"/>
        <v>50.000019000000002</v>
      </c>
      <c r="AC72" s="6">
        <f t="shared" si="124"/>
        <v>1.9000000001767603E-5</v>
      </c>
      <c r="AD72" s="6">
        <f t="shared" si="124"/>
        <v>0</v>
      </c>
      <c r="AE72" s="6">
        <f t="shared" si="124"/>
        <v>1.2000000000000002E-6</v>
      </c>
      <c r="AF72" s="6">
        <f t="shared" si="124"/>
        <v>1.0000000000000001E-5</v>
      </c>
      <c r="AH72" s="623"/>
      <c r="AI72" s="451">
        <v>5</v>
      </c>
      <c r="AJ72" s="451">
        <f t="shared" si="119"/>
        <v>2</v>
      </c>
      <c r="AK72" s="451"/>
      <c r="AL72" s="451"/>
      <c r="AM72" s="451"/>
      <c r="AN72" s="451"/>
      <c r="AO72" s="451"/>
      <c r="AP72" s="67"/>
      <c r="AQ72" s="623"/>
      <c r="AR72" s="451">
        <v>5</v>
      </c>
      <c r="AS72" s="451">
        <f t="shared" si="123"/>
        <v>5</v>
      </c>
      <c r="AT72" s="451"/>
      <c r="AU72" s="451"/>
      <c r="AV72" s="451"/>
      <c r="AW72" s="451"/>
      <c r="AX72" s="439"/>
    </row>
    <row r="73" spans="1:50" x14ac:dyDescent="0.3">
      <c r="A73" s="646"/>
      <c r="B73" s="405"/>
      <c r="C73" s="405"/>
      <c r="D73" s="405"/>
      <c r="E73" s="405"/>
      <c r="F73" s="405"/>
      <c r="G73" s="405"/>
      <c r="H73" s="417"/>
      <c r="I73" s="405"/>
      <c r="J73" s="408">
        <v>3</v>
      </c>
      <c r="K73" s="409">
        <v>20</v>
      </c>
      <c r="L73" s="448">
        <f t="shared" si="100"/>
        <v>20.000007</v>
      </c>
      <c r="M73" s="403">
        <v>6.9999999999999999E-6</v>
      </c>
      <c r="N73" s="403"/>
      <c r="O73" s="415">
        <f>0.5*(0.8*MPE!C19)</f>
        <v>3.2000000000000005E-5</v>
      </c>
      <c r="P73" s="403">
        <v>2.5000000000000001E-5</v>
      </c>
      <c r="U73" s="67">
        <f>U59</f>
        <v>180.00004520000002</v>
      </c>
      <c r="V73" s="418">
        <f>X59</f>
        <v>3.6000000000000007E-6</v>
      </c>
      <c r="W73" s="67">
        <f>Y59</f>
        <v>2.72E-5</v>
      </c>
      <c r="AA73" s="6">
        <f t="shared" ref="AA73:AF73" si="125">AA72+AA41</f>
        <v>60</v>
      </c>
      <c r="AB73" s="6">
        <f t="shared" si="125"/>
        <v>60.000028999999998</v>
      </c>
      <c r="AC73" s="6">
        <f t="shared" si="125"/>
        <v>2.9000000001389026E-5</v>
      </c>
      <c r="AD73" s="6">
        <f t="shared" si="125"/>
        <v>0</v>
      </c>
      <c r="AE73" s="6">
        <f t="shared" si="125"/>
        <v>2.0000000000000003E-6</v>
      </c>
      <c r="AF73" s="6">
        <f t="shared" si="125"/>
        <v>1.6000000000000003E-5</v>
      </c>
      <c r="AH73" s="623"/>
      <c r="AI73" s="451">
        <v>6</v>
      </c>
      <c r="AJ73" s="451">
        <f t="shared" si="119"/>
        <v>2</v>
      </c>
      <c r="AK73" s="451"/>
      <c r="AL73" s="451"/>
      <c r="AM73" s="451"/>
      <c r="AN73" s="451"/>
      <c r="AO73" s="451"/>
      <c r="AP73" s="67"/>
      <c r="AQ73" s="623"/>
      <c r="AR73" s="451">
        <v>6</v>
      </c>
      <c r="AS73" s="451">
        <f t="shared" si="123"/>
        <v>5</v>
      </c>
      <c r="AT73" s="451"/>
      <c r="AU73" s="451"/>
      <c r="AV73" s="451"/>
      <c r="AW73" s="451"/>
      <c r="AX73" s="439"/>
    </row>
    <row r="74" spans="1:50" x14ac:dyDescent="0.3">
      <c r="A74" s="405"/>
      <c r="B74" s="405"/>
      <c r="C74" s="405"/>
      <c r="D74" s="405"/>
      <c r="E74" s="405"/>
      <c r="F74" s="405"/>
      <c r="G74" s="405"/>
      <c r="H74" s="417"/>
      <c r="I74" s="405"/>
      <c r="J74" s="408">
        <v>3</v>
      </c>
      <c r="K74" s="409">
        <v>50</v>
      </c>
      <c r="L74" s="449">
        <f t="shared" si="100"/>
        <v>50.000013000000003</v>
      </c>
      <c r="M74" s="403">
        <v>1.2999999999999999E-5</v>
      </c>
      <c r="N74" s="403"/>
      <c r="O74" s="415">
        <f>0.5*(0.8*MPE!C18)</f>
        <v>4.0000000000000003E-5</v>
      </c>
      <c r="P74" s="403">
        <v>3.0000000000000001E-5</v>
      </c>
      <c r="U74" s="67">
        <f>U62</f>
        <v>200.00005200000001</v>
      </c>
      <c r="V74" s="418">
        <f>X62</f>
        <v>4.0000000000000007E-6</v>
      </c>
      <c r="W74" s="67">
        <f>Y62</f>
        <v>3.0000000000000001E-5</v>
      </c>
      <c r="AA74" s="6">
        <f t="shared" ref="AA74:AF74" si="126">AA72+AA51</f>
        <v>70</v>
      </c>
      <c r="AB74" s="6">
        <f t="shared" si="126"/>
        <v>70.000024999999994</v>
      </c>
      <c r="AC74" s="6">
        <f t="shared" si="126"/>
        <v>2.5000000000829914E-5</v>
      </c>
      <c r="AD74" s="6">
        <f t="shared" si="126"/>
        <v>0</v>
      </c>
      <c r="AE74" s="6">
        <f t="shared" si="126"/>
        <v>2.2000000000000001E-6</v>
      </c>
      <c r="AF74" s="6">
        <f t="shared" si="126"/>
        <v>1.8E-5</v>
      </c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</row>
    <row r="75" spans="1:50" x14ac:dyDescent="0.3">
      <c r="A75" s="646"/>
      <c r="B75" s="405"/>
      <c r="C75" s="405"/>
      <c r="D75" s="405"/>
      <c r="E75" s="405"/>
      <c r="F75" s="405"/>
      <c r="G75" s="405"/>
      <c r="H75" s="417"/>
      <c r="I75" s="405"/>
      <c r="J75" s="408">
        <v>3</v>
      </c>
      <c r="K75" s="409">
        <v>100</v>
      </c>
      <c r="L75" s="448">
        <f t="shared" si="100"/>
        <v>100.00001</v>
      </c>
      <c r="M75" s="403">
        <v>1.0000000000000001E-5</v>
      </c>
      <c r="N75" s="403"/>
      <c r="O75" s="415">
        <f>0.5*(0.8*MPE!C17)</f>
        <v>6.4000000000000011E-5</v>
      </c>
      <c r="P75" s="403">
        <v>5.0000000000000002E-5</v>
      </c>
      <c r="AA75" s="6">
        <f t="shared" ref="AA75:AF75" si="127">AA72+AA61</f>
        <v>80</v>
      </c>
      <c r="AB75" s="6">
        <f t="shared" si="127"/>
        <v>80.000034999999997</v>
      </c>
      <c r="AC75" s="6">
        <f t="shared" si="127"/>
        <v>3.5000000000451337E-5</v>
      </c>
      <c r="AD75" s="6">
        <f t="shared" si="127"/>
        <v>0</v>
      </c>
      <c r="AE75" s="6">
        <f t="shared" si="127"/>
        <v>3.0000000000000001E-6</v>
      </c>
      <c r="AF75" s="6">
        <f t="shared" si="127"/>
        <v>2.4000000000000001E-5</v>
      </c>
      <c r="AH75" s="623">
        <v>10</v>
      </c>
      <c r="AI75" s="622" t="s">
        <v>242</v>
      </c>
      <c r="AJ75" s="622" t="s">
        <v>433</v>
      </c>
      <c r="AK75" s="622" t="s">
        <v>319</v>
      </c>
      <c r="AL75" s="622" t="s">
        <v>220</v>
      </c>
      <c r="AM75" s="622"/>
      <c r="AN75" s="622" t="s">
        <v>320</v>
      </c>
      <c r="AO75" s="622" t="s">
        <v>218</v>
      </c>
      <c r="AP75" s="67"/>
      <c r="AQ75" s="623" t="s">
        <v>439</v>
      </c>
      <c r="AR75" s="622" t="s">
        <v>242</v>
      </c>
      <c r="AS75" s="622" t="s">
        <v>433</v>
      </c>
      <c r="AT75" s="622" t="s">
        <v>319</v>
      </c>
      <c r="AU75" s="622" t="s">
        <v>220</v>
      </c>
      <c r="AV75" s="622"/>
      <c r="AW75" s="622" t="s">
        <v>320</v>
      </c>
      <c r="AX75" s="624" t="s">
        <v>218</v>
      </c>
    </row>
    <row r="76" spans="1:50" x14ac:dyDescent="0.3">
      <c r="A76" s="646"/>
      <c r="B76" s="405"/>
      <c r="C76" s="405"/>
      <c r="D76" s="405"/>
      <c r="E76" s="405"/>
      <c r="F76" s="405"/>
      <c r="G76" s="405"/>
      <c r="H76" s="417"/>
      <c r="I76" s="405"/>
      <c r="J76" s="408">
        <v>3</v>
      </c>
      <c r="K76" s="409">
        <v>200</v>
      </c>
      <c r="L76" s="449">
        <f t="shared" si="100"/>
        <v>200.00004999999999</v>
      </c>
      <c r="M76" s="403">
        <v>5.0000000000000002E-5</v>
      </c>
      <c r="N76" s="403"/>
      <c r="O76" s="415">
        <f>0.5*(0.8*MPE!C16)</f>
        <v>1.1999999999999999E-4</v>
      </c>
      <c r="P76" s="403">
        <v>1E-4</v>
      </c>
      <c r="S76" s="427" t="s">
        <v>429</v>
      </c>
      <c r="T76" s="427" t="s">
        <v>430</v>
      </c>
      <c r="U76" s="427"/>
      <c r="AA76" s="6">
        <f>AA72+AA71</f>
        <v>90</v>
      </c>
      <c r="AB76" s="6">
        <f>AB72+AB71</f>
        <v>90.000031000000007</v>
      </c>
      <c r="AC76" s="6">
        <f t="shared" ref="AC76:AF76" si="128">AC72+AC71</f>
        <v>3.0999999999892225E-5</v>
      </c>
      <c r="AD76" s="6">
        <f t="shared" si="128"/>
        <v>0</v>
      </c>
      <c r="AE76" s="6">
        <f t="shared" si="128"/>
        <v>3.2000000000000007E-6</v>
      </c>
      <c r="AF76" s="6">
        <f t="shared" si="128"/>
        <v>2.6000000000000002E-5</v>
      </c>
      <c r="AH76" s="623"/>
      <c r="AI76" s="622" t="s">
        <v>434</v>
      </c>
      <c r="AJ76" s="622" t="s">
        <v>433</v>
      </c>
      <c r="AK76" s="622" t="s">
        <v>319</v>
      </c>
      <c r="AL76" s="453">
        <v>2022</v>
      </c>
      <c r="AM76" s="455">
        <v>2018</v>
      </c>
      <c r="AN76" s="622" t="s">
        <v>320</v>
      </c>
      <c r="AO76" s="622" t="s">
        <v>218</v>
      </c>
      <c r="AP76" s="67"/>
      <c r="AQ76" s="623"/>
      <c r="AR76" s="622" t="s">
        <v>434</v>
      </c>
      <c r="AS76" s="622" t="s">
        <v>433</v>
      </c>
      <c r="AT76" s="622" t="s">
        <v>319</v>
      </c>
      <c r="AU76" s="453">
        <v>2022</v>
      </c>
      <c r="AV76" s="455">
        <v>2018</v>
      </c>
      <c r="AW76" s="622" t="s">
        <v>320</v>
      </c>
      <c r="AX76" s="624" t="s">
        <v>218</v>
      </c>
    </row>
    <row r="77" spans="1:50" x14ac:dyDescent="0.3">
      <c r="A77" s="646"/>
      <c r="B77" s="405"/>
      <c r="C77" s="405"/>
      <c r="D77" s="405"/>
      <c r="E77" s="405"/>
      <c r="F77" s="405"/>
      <c r="G77" s="405"/>
      <c r="H77" s="417"/>
      <c r="I77" s="405"/>
      <c r="J77" s="408">
        <v>3</v>
      </c>
      <c r="K77" s="409">
        <v>200</v>
      </c>
      <c r="L77" s="448">
        <f t="shared" si="100"/>
        <v>200.00011000000001</v>
      </c>
      <c r="M77" s="403">
        <v>1.1E-4</v>
      </c>
      <c r="N77" s="403"/>
      <c r="O77" s="415">
        <f>0.5*(0.8*MPE!C16)</f>
        <v>1.1999999999999999E-4</v>
      </c>
      <c r="P77" s="403">
        <v>1E-4</v>
      </c>
      <c r="S77" s="428">
        <f t="shared" ref="S77:S86" si="129">A8</f>
        <v>20</v>
      </c>
      <c r="T77">
        <f>_xlfn.FORECAST.LINEAR(S77,$U$5:$U$29,$T$5:$T$29)</f>
        <v>20.000007628893087</v>
      </c>
      <c r="U77" s="418">
        <f>_xlfn.FORECAST.LINEAR(S77,$X$5:$X$29,$T$5:$T$29)</f>
        <v>1.1368765688352016E-6</v>
      </c>
      <c r="V77" s="418">
        <f>_xlfn.FORECAST.LINEAR(S77,$Y$5:$Y$29,$T$5:$T$29)</f>
        <v>5.7798427529710455E-6</v>
      </c>
      <c r="AA77" s="6">
        <f t="shared" ref="AA77:AF77" si="130">T25</f>
        <v>100</v>
      </c>
      <c r="AB77" s="6">
        <f t="shared" si="130"/>
        <v>100.000018</v>
      </c>
      <c r="AC77" s="6">
        <f t="shared" si="130"/>
        <v>1.7999999997186933E-5</v>
      </c>
      <c r="AD77" s="6">
        <f t="shared" si="130"/>
        <v>0</v>
      </c>
      <c r="AE77" s="6">
        <f t="shared" si="130"/>
        <v>2.0000000000000003E-6</v>
      </c>
      <c r="AF77" s="6">
        <f t="shared" si="130"/>
        <v>1.5999999999999999E-5</v>
      </c>
      <c r="AH77" s="623">
        <v>1</v>
      </c>
      <c r="AI77" s="451">
        <v>1</v>
      </c>
      <c r="AJ77" s="451">
        <v>10</v>
      </c>
      <c r="AK77" s="451">
        <f>L21</f>
        <v>10.000028800000001</v>
      </c>
      <c r="AL77" s="451">
        <f t="shared" ref="AL77:AO77" si="131">M21</f>
        <v>2.8800000000828163E-5</v>
      </c>
      <c r="AM77" s="451">
        <f t="shared" si="131"/>
        <v>2.5000000000829914E-5</v>
      </c>
      <c r="AN77" s="451">
        <f t="shared" si="131"/>
        <v>1.8999999999991246E-6</v>
      </c>
      <c r="AO77" s="451">
        <f t="shared" si="131"/>
        <v>6.0000000000000002E-6</v>
      </c>
      <c r="AP77" s="67"/>
      <c r="AQ77" s="623" t="s">
        <v>432</v>
      </c>
      <c r="AR77" s="451">
        <v>1</v>
      </c>
      <c r="AS77" s="451">
        <v>20</v>
      </c>
      <c r="AT77" s="451">
        <f>L22</f>
        <v>20.000033500000001</v>
      </c>
      <c r="AU77" s="451">
        <f>M22</f>
        <v>3.3500000000685759E-5</v>
      </c>
      <c r="AV77" s="451">
        <f>N22</f>
        <v>2.9000000001389026E-5</v>
      </c>
      <c r="AW77" s="451">
        <f>O22</f>
        <v>2.2499999996483666E-6</v>
      </c>
      <c r="AX77" s="440">
        <f>P22</f>
        <v>6.9999999999999999E-6</v>
      </c>
    </row>
    <row r="78" spans="1:50" x14ac:dyDescent="0.3">
      <c r="A78" s="646"/>
      <c r="B78" s="405"/>
      <c r="C78" s="405"/>
      <c r="D78" s="405"/>
      <c r="E78" s="405"/>
      <c r="F78" s="405"/>
      <c r="G78" s="405"/>
      <c r="H78" s="417"/>
      <c r="I78" s="405"/>
      <c r="J78" s="408">
        <v>3</v>
      </c>
      <c r="K78" s="409">
        <v>500</v>
      </c>
      <c r="L78" s="449">
        <f t="shared" si="100"/>
        <v>500.00031000000001</v>
      </c>
      <c r="M78" s="403">
        <v>3.1E-4</v>
      </c>
      <c r="N78" s="403"/>
      <c r="O78" s="415">
        <f>0.5*(0.8*MPE!C15)</f>
        <v>3.2000000000000003E-4</v>
      </c>
      <c r="P78" s="403">
        <v>2.5000000000000001E-4</v>
      </c>
      <c r="S78" s="428">
        <f t="shared" si="129"/>
        <v>40</v>
      </c>
      <c r="T78">
        <f t="shared" ref="T78:T86" si="132">_xlfn.FORECAST.LINEAR(S78,$U$5:$U$29,$T$5:$T$29)</f>
        <v>40.000008902271972</v>
      </c>
      <c r="U78" s="418">
        <f t="shared" ref="U78:U86" si="133">_xlfn.FORECAST.LINEAR(S78,$X$5:$X$29,$T$5:$T$29)</f>
        <v>1.1480252275750763E-6</v>
      </c>
      <c r="V78" s="418">
        <f t="shared" ref="V78:V86" si="134">_xlfn.FORECAST.LINEAR(S78,$Y$5:$Y$29,$T$5:$T$29)</f>
        <v>6.5073403313576709E-6</v>
      </c>
      <c r="AA78" s="6">
        <f t="shared" ref="AA78:AF78" si="135">AA77+AA41</f>
        <v>110</v>
      </c>
      <c r="AB78" s="6">
        <f t="shared" si="135"/>
        <v>110.000028</v>
      </c>
      <c r="AC78" s="6">
        <f t="shared" si="135"/>
        <v>2.7999999996808356E-5</v>
      </c>
      <c r="AD78" s="6">
        <f t="shared" si="135"/>
        <v>0</v>
      </c>
      <c r="AE78" s="6">
        <f t="shared" si="135"/>
        <v>2.8000000000000003E-6</v>
      </c>
      <c r="AF78" s="6">
        <f t="shared" si="135"/>
        <v>2.1999999999999999E-5</v>
      </c>
      <c r="AH78" s="623"/>
      <c r="AI78" s="451">
        <v>2</v>
      </c>
      <c r="AJ78" s="451">
        <f>AJ77</f>
        <v>10</v>
      </c>
      <c r="AK78" s="451">
        <f>L46</f>
        <v>10.00001</v>
      </c>
      <c r="AL78" s="451">
        <f t="shared" ref="AL78:AO78" si="136">M46</f>
        <v>9.9999999996214228E-6</v>
      </c>
      <c r="AM78" s="451">
        <f t="shared" si="136"/>
        <v>0</v>
      </c>
      <c r="AN78" s="451">
        <f t="shared" si="136"/>
        <v>8.0000000000000007E-7</v>
      </c>
      <c r="AO78" s="451">
        <f t="shared" si="136"/>
        <v>6.0000000000000002E-6</v>
      </c>
      <c r="AP78" s="67"/>
      <c r="AQ78" s="623"/>
      <c r="AR78" s="451">
        <v>2</v>
      </c>
      <c r="AS78" s="451">
        <v>20</v>
      </c>
      <c r="AT78" s="451">
        <f>L47</f>
        <v>20.000005999999999</v>
      </c>
      <c r="AU78" s="451">
        <f>M47</f>
        <v>5.999999999062311E-6</v>
      </c>
      <c r="AV78" s="451">
        <f>N47</f>
        <v>0</v>
      </c>
      <c r="AW78" s="451">
        <f>O47</f>
        <v>1.0000000000000002E-6</v>
      </c>
      <c r="AX78" s="440">
        <f>P47</f>
        <v>7.9999999999999996E-6</v>
      </c>
    </row>
    <row r="79" spans="1:50" x14ac:dyDescent="0.3">
      <c r="A79" s="646"/>
      <c r="B79" s="405"/>
      <c r="C79" s="405"/>
      <c r="D79" s="405"/>
      <c r="E79" s="405"/>
      <c r="F79" s="405"/>
      <c r="G79" s="405"/>
      <c r="H79" s="417"/>
      <c r="I79" s="405"/>
      <c r="J79" s="408">
        <v>3</v>
      </c>
      <c r="K79" s="409">
        <v>1000</v>
      </c>
      <c r="L79" s="448">
        <f t="shared" si="100"/>
        <v>1000.0006</v>
      </c>
      <c r="M79" s="403">
        <v>5.9999999999999995E-4</v>
      </c>
      <c r="N79" s="403"/>
      <c r="O79" s="415">
        <f>0.5*(0.8*MPE!C14)</f>
        <v>6.4000000000000005E-4</v>
      </c>
      <c r="P79" s="403">
        <v>5.0000000000000001E-4</v>
      </c>
      <c r="S79" s="428">
        <f t="shared" si="129"/>
        <v>60</v>
      </c>
      <c r="T79">
        <f t="shared" si="132"/>
        <v>60.000010175650864</v>
      </c>
      <c r="U79" s="418">
        <f t="shared" si="133"/>
        <v>1.1591738863149508E-6</v>
      </c>
      <c r="V79" s="418">
        <f t="shared" si="134"/>
        <v>7.2348379097442971E-6</v>
      </c>
      <c r="AA79" s="6">
        <v>111</v>
      </c>
      <c r="AB79" s="6">
        <f>$AB$78+AB32</f>
        <v>111.00003100000001</v>
      </c>
      <c r="AC79" s="6">
        <f>$AC$78+AC32</f>
        <v>3.0999999996808354E-5</v>
      </c>
      <c r="AD79" s="6">
        <f>$AD$78+AD32</f>
        <v>0</v>
      </c>
      <c r="AE79" s="6">
        <f>$AE$78+AE32</f>
        <v>1.4800000000000001E-5</v>
      </c>
      <c r="AF79" s="6">
        <f>$AF$78+AF32</f>
        <v>3.1999999999999999E-5</v>
      </c>
      <c r="AH79" s="623"/>
      <c r="AI79" s="451">
        <v>3</v>
      </c>
      <c r="AJ79" s="451">
        <f t="shared" ref="AJ79:AJ82" si="137">AJ78</f>
        <v>10</v>
      </c>
      <c r="AK79" s="451">
        <f>L71</f>
        <v>10.000016</v>
      </c>
      <c r="AL79" s="451">
        <f t="shared" ref="AL79:AO79" si="138">M71</f>
        <v>1.5999999999999999E-5</v>
      </c>
      <c r="AM79" s="451">
        <f t="shared" si="138"/>
        <v>0</v>
      </c>
      <c r="AN79" s="451">
        <f t="shared" si="138"/>
        <v>2.4000000000000001E-5</v>
      </c>
      <c r="AO79" s="451">
        <f t="shared" si="138"/>
        <v>2.0000000000000002E-5</v>
      </c>
      <c r="AP79" s="67"/>
      <c r="AQ79" s="623"/>
      <c r="AR79" s="451">
        <v>3</v>
      </c>
      <c r="AS79" s="451">
        <v>20</v>
      </c>
      <c r="AT79" s="451">
        <f>'Sertifikat Anak'!L72</f>
        <v>20.000008000000001</v>
      </c>
      <c r="AU79" s="451">
        <f>'Sertifikat Anak'!M72</f>
        <v>7.9999999999999996E-6</v>
      </c>
      <c r="AV79" s="451">
        <f>'Sertifikat Anak'!N72</f>
        <v>0</v>
      </c>
      <c r="AW79" s="451">
        <f>'Sertifikat Anak'!O72</f>
        <v>3.2000000000000005E-5</v>
      </c>
      <c r="AX79" s="440">
        <f>'Sertifikat Anak'!P72</f>
        <v>2.5000000000000001E-5</v>
      </c>
    </row>
    <row r="80" spans="1:50" ht="14.55" customHeight="1" x14ac:dyDescent="0.3">
      <c r="A80" s="646"/>
      <c r="B80" s="405"/>
      <c r="C80" s="405"/>
      <c r="D80" s="405"/>
      <c r="E80" s="405"/>
      <c r="F80" s="405"/>
      <c r="G80" s="405"/>
      <c r="H80" s="416"/>
      <c r="I80" s="405"/>
      <c r="J80" s="408">
        <v>4</v>
      </c>
      <c r="K80" s="411">
        <v>1E-3</v>
      </c>
      <c r="L80" s="449"/>
      <c r="M80" s="412"/>
      <c r="N80" s="412"/>
      <c r="O80" s="412"/>
      <c r="P80" s="412"/>
      <c r="S80" s="428">
        <f t="shared" si="129"/>
        <v>80</v>
      </c>
      <c r="T80">
        <f t="shared" si="132"/>
        <v>80.000011449029742</v>
      </c>
      <c r="U80" s="418">
        <f t="shared" si="133"/>
        <v>1.1703225450548252E-6</v>
      </c>
      <c r="V80" s="418">
        <f t="shared" si="134"/>
        <v>7.9623354881309225E-6</v>
      </c>
      <c r="AA80" s="6">
        <v>112</v>
      </c>
      <c r="AB80" s="6">
        <f t="shared" ref="AB80:AB87" si="139">$AB$78+AB33</f>
        <v>112.000029</v>
      </c>
      <c r="AC80" s="6">
        <f t="shared" ref="AC80:AC87" si="140">$AC$78+AC33</f>
        <v>2.8999999996808356E-5</v>
      </c>
      <c r="AD80" s="6">
        <f t="shared" ref="AD80:AD87" si="141">$AD$78+AD33</f>
        <v>0</v>
      </c>
      <c r="AE80" s="6">
        <f t="shared" ref="AE80:AE87" si="142">$AE$78+AE33</f>
        <v>3.2800000000000004E-6</v>
      </c>
      <c r="AF80" s="6">
        <f t="shared" ref="AF80:AF87" si="143">$AF$78+AF33</f>
        <v>2.5999999999999998E-5</v>
      </c>
      <c r="AH80" s="623"/>
      <c r="AI80" s="451">
        <v>4</v>
      </c>
      <c r="AJ80" s="451">
        <f t="shared" si="137"/>
        <v>10</v>
      </c>
      <c r="AK80" s="451"/>
      <c r="AL80" s="451"/>
      <c r="AM80" s="451"/>
      <c r="AN80" s="451"/>
      <c r="AO80" s="451"/>
      <c r="AP80" s="67"/>
      <c r="AQ80" s="623"/>
      <c r="AR80" s="451">
        <v>4</v>
      </c>
      <c r="AS80" s="451">
        <v>20</v>
      </c>
      <c r="AT80" s="451"/>
      <c r="AU80" s="451"/>
      <c r="AV80" s="451"/>
      <c r="AW80" s="451"/>
      <c r="AX80" s="439"/>
    </row>
    <row r="81" spans="1:50" x14ac:dyDescent="0.3">
      <c r="A81" s="646"/>
      <c r="B81" s="405"/>
      <c r="C81" s="405"/>
      <c r="D81" s="405"/>
      <c r="E81" s="405"/>
      <c r="F81" s="405"/>
      <c r="G81" s="405"/>
      <c r="H81" s="417"/>
      <c r="I81" s="405"/>
      <c r="J81" s="408">
        <v>4</v>
      </c>
      <c r="K81" s="409">
        <v>2E-3</v>
      </c>
      <c r="L81" s="448"/>
      <c r="M81" s="403"/>
      <c r="N81" s="403"/>
      <c r="O81" s="403"/>
      <c r="P81" s="403"/>
      <c r="S81" s="428">
        <f t="shared" si="129"/>
        <v>100</v>
      </c>
      <c r="T81">
        <f t="shared" si="132"/>
        <v>100.00001272240864</v>
      </c>
      <c r="U81" s="418">
        <f t="shared" si="133"/>
        <v>1.1814712037946999E-6</v>
      </c>
      <c r="V81" s="418">
        <f t="shared" si="134"/>
        <v>8.6898330665175478E-6</v>
      </c>
      <c r="AA81" s="6">
        <v>113</v>
      </c>
      <c r="AB81" s="6">
        <f t="shared" si="139"/>
        <v>113.000032</v>
      </c>
      <c r="AC81" s="6">
        <f t="shared" si="140"/>
        <v>3.1999999996808358E-5</v>
      </c>
      <c r="AD81" s="6">
        <f t="shared" si="141"/>
        <v>0</v>
      </c>
      <c r="AE81" s="6">
        <f t="shared" si="142"/>
        <v>1.5280000000000003E-5</v>
      </c>
      <c r="AF81" s="6">
        <f t="shared" si="143"/>
        <v>3.6000000000000001E-5</v>
      </c>
      <c r="AH81" s="623"/>
      <c r="AI81" s="451">
        <v>5</v>
      </c>
      <c r="AJ81" s="451">
        <f t="shared" si="137"/>
        <v>10</v>
      </c>
      <c r="AK81" s="451"/>
      <c r="AL81" s="451"/>
      <c r="AM81" s="451"/>
      <c r="AN81" s="451"/>
      <c r="AO81" s="451"/>
      <c r="AP81" s="67"/>
      <c r="AQ81" s="623"/>
      <c r="AR81" s="451">
        <v>5</v>
      </c>
      <c r="AS81" s="451">
        <v>20</v>
      </c>
      <c r="AT81" s="451"/>
      <c r="AU81" s="451"/>
      <c r="AV81" s="451"/>
      <c r="AW81" s="451"/>
      <c r="AX81" s="439"/>
    </row>
    <row r="82" spans="1:50" x14ac:dyDescent="0.3">
      <c r="A82" s="646"/>
      <c r="B82" s="405"/>
      <c r="C82" s="405"/>
      <c r="D82" s="405"/>
      <c r="E82" s="405"/>
      <c r="F82" s="405"/>
      <c r="G82" s="405"/>
      <c r="H82" s="417"/>
      <c r="I82" s="405"/>
      <c r="J82" s="408">
        <v>4</v>
      </c>
      <c r="K82" s="409">
        <v>2E-3</v>
      </c>
      <c r="L82" s="449"/>
      <c r="M82" s="403"/>
      <c r="N82" s="403"/>
      <c r="O82" s="403"/>
      <c r="P82" s="403"/>
      <c r="S82" s="428">
        <f t="shared" si="129"/>
        <v>120</v>
      </c>
      <c r="T82">
        <f t="shared" si="132"/>
        <v>120.00001399578753</v>
      </c>
      <c r="U82" s="418">
        <f t="shared" si="133"/>
        <v>1.1926198625345744E-6</v>
      </c>
      <c r="V82" s="418">
        <f t="shared" si="134"/>
        <v>9.4173306449041749E-6</v>
      </c>
      <c r="AA82" s="6">
        <v>114</v>
      </c>
      <c r="AB82" s="6">
        <f t="shared" si="139"/>
        <v>114.000032</v>
      </c>
      <c r="AC82" s="6">
        <f t="shared" si="140"/>
        <v>3.1999999996808358E-5</v>
      </c>
      <c r="AD82" s="6">
        <f t="shared" si="141"/>
        <v>0</v>
      </c>
      <c r="AE82" s="6">
        <f t="shared" si="142"/>
        <v>3.7600000000000004E-6</v>
      </c>
      <c r="AF82" s="6">
        <f t="shared" si="143"/>
        <v>2.9999999999999997E-5</v>
      </c>
      <c r="AH82" s="623"/>
      <c r="AI82" s="451">
        <v>6</v>
      </c>
      <c r="AJ82" s="451">
        <f t="shared" si="137"/>
        <v>10</v>
      </c>
      <c r="AK82" s="451"/>
      <c r="AL82" s="451"/>
      <c r="AM82" s="451"/>
      <c r="AN82" s="451"/>
      <c r="AO82" s="451"/>
      <c r="AP82" s="67"/>
      <c r="AQ82" s="623"/>
      <c r="AR82" s="451">
        <v>6</v>
      </c>
      <c r="AS82" s="451">
        <v>20</v>
      </c>
      <c r="AT82" s="451"/>
      <c r="AU82" s="451"/>
      <c r="AV82" s="451"/>
      <c r="AW82" s="451"/>
      <c r="AX82" s="439"/>
    </row>
    <row r="83" spans="1:50" x14ac:dyDescent="0.3">
      <c r="A83" s="405"/>
      <c r="B83" s="405"/>
      <c r="C83" s="405"/>
      <c r="D83" s="405"/>
      <c r="E83" s="405"/>
      <c r="F83" s="405"/>
      <c r="G83" s="405"/>
      <c r="H83" s="417"/>
      <c r="I83" s="405"/>
      <c r="J83" s="408">
        <v>4</v>
      </c>
      <c r="K83" s="409">
        <v>5.0000000000000001E-3</v>
      </c>
      <c r="L83" s="448"/>
      <c r="M83" s="403"/>
      <c r="N83" s="403"/>
      <c r="O83" s="403"/>
      <c r="P83" s="403"/>
      <c r="S83" s="428">
        <f t="shared" si="129"/>
        <v>140</v>
      </c>
      <c r="T83">
        <f t="shared" si="132"/>
        <v>140.0000152691664</v>
      </c>
      <c r="U83" s="418">
        <f t="shared" si="133"/>
        <v>1.2037685212744489E-6</v>
      </c>
      <c r="V83" s="418">
        <f t="shared" si="134"/>
        <v>1.01448282232908E-5</v>
      </c>
      <c r="AA83" s="6">
        <v>115</v>
      </c>
      <c r="AB83" s="6">
        <f t="shared" si="139"/>
        <v>115.000038</v>
      </c>
      <c r="AC83" s="6">
        <f t="shared" si="140"/>
        <v>3.7999999996808355E-5</v>
      </c>
      <c r="AD83" s="6">
        <f t="shared" si="141"/>
        <v>0</v>
      </c>
      <c r="AE83" s="6">
        <f t="shared" si="142"/>
        <v>3.4400000000000001E-6</v>
      </c>
      <c r="AF83" s="6">
        <f t="shared" si="143"/>
        <v>2.6999999999999999E-5</v>
      </c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</row>
    <row r="84" spans="1:50" x14ac:dyDescent="0.3">
      <c r="A84" s="646"/>
      <c r="B84" s="405"/>
      <c r="C84" s="405"/>
      <c r="D84" s="405"/>
      <c r="E84" s="405"/>
      <c r="F84" s="405"/>
      <c r="G84" s="405"/>
      <c r="H84" s="417"/>
      <c r="I84" s="405"/>
      <c r="J84" s="408">
        <v>4</v>
      </c>
      <c r="K84" s="409">
        <v>0.01</v>
      </c>
      <c r="L84" s="449"/>
      <c r="M84" s="403"/>
      <c r="N84" s="403"/>
      <c r="O84" s="403"/>
      <c r="P84" s="403"/>
      <c r="S84" s="428">
        <f t="shared" si="129"/>
        <v>160</v>
      </c>
      <c r="T84">
        <f t="shared" si="132"/>
        <v>160.00001654254527</v>
      </c>
      <c r="U84" s="418">
        <f t="shared" si="133"/>
        <v>1.2149171800143234E-6</v>
      </c>
      <c r="V84" s="418">
        <f t="shared" si="134"/>
        <v>1.0872325801677426E-5</v>
      </c>
      <c r="AA84" s="6">
        <v>116</v>
      </c>
      <c r="AB84" s="6">
        <f t="shared" si="139"/>
        <v>116.000041</v>
      </c>
      <c r="AC84" s="6">
        <f t="shared" si="140"/>
        <v>4.099999999680836E-5</v>
      </c>
      <c r="AD84" s="6">
        <f t="shared" si="141"/>
        <v>0</v>
      </c>
      <c r="AE84" s="6">
        <f t="shared" si="142"/>
        <v>1.5440000000000001E-5</v>
      </c>
      <c r="AF84" s="6">
        <f t="shared" si="143"/>
        <v>3.7000000000000005E-5</v>
      </c>
      <c r="AH84" s="623">
        <v>20</v>
      </c>
      <c r="AI84" s="622" t="s">
        <v>242</v>
      </c>
      <c r="AJ84" s="622" t="s">
        <v>322</v>
      </c>
      <c r="AK84" s="622" t="s">
        <v>319</v>
      </c>
      <c r="AL84" s="622" t="s">
        <v>220</v>
      </c>
      <c r="AM84" s="622"/>
      <c r="AN84" s="622" t="s">
        <v>320</v>
      </c>
      <c r="AO84" s="622" t="s">
        <v>218</v>
      </c>
      <c r="AP84" s="67"/>
      <c r="AQ84" s="623">
        <v>50</v>
      </c>
      <c r="AR84" s="622" t="s">
        <v>242</v>
      </c>
      <c r="AS84" s="622" t="s">
        <v>322</v>
      </c>
      <c r="AT84" s="622" t="s">
        <v>319</v>
      </c>
      <c r="AU84" s="622" t="s">
        <v>220</v>
      </c>
      <c r="AV84" s="622"/>
      <c r="AW84" s="622" t="s">
        <v>320</v>
      </c>
      <c r="AX84" s="624" t="s">
        <v>218</v>
      </c>
    </row>
    <row r="85" spans="1:50" x14ac:dyDescent="0.3">
      <c r="A85" s="646"/>
      <c r="B85" s="405"/>
      <c r="C85" s="405"/>
      <c r="D85" s="405"/>
      <c r="E85" s="405"/>
      <c r="F85" s="405"/>
      <c r="G85" s="405"/>
      <c r="H85" s="417"/>
      <c r="I85" s="405"/>
      <c r="J85" s="408">
        <v>4</v>
      </c>
      <c r="K85" s="409">
        <v>0.02</v>
      </c>
      <c r="L85" s="448"/>
      <c r="M85" s="403"/>
      <c r="N85" s="403"/>
      <c r="O85" s="403"/>
      <c r="P85" s="403"/>
      <c r="S85" s="428">
        <f t="shared" si="129"/>
        <v>180</v>
      </c>
      <c r="T85">
        <f t="shared" si="132"/>
        <v>180.0000178159242</v>
      </c>
      <c r="U85" s="418">
        <f t="shared" si="133"/>
        <v>1.2260658387541981E-6</v>
      </c>
      <c r="V85" s="418">
        <f t="shared" si="134"/>
        <v>1.1599823380064053E-5</v>
      </c>
      <c r="AA85" s="6">
        <v>117</v>
      </c>
      <c r="AB85" s="6">
        <f t="shared" si="139"/>
        <v>117.000039</v>
      </c>
      <c r="AC85" s="6">
        <f t="shared" si="140"/>
        <v>3.8999999996808359E-5</v>
      </c>
      <c r="AD85" s="6">
        <f t="shared" si="141"/>
        <v>0</v>
      </c>
      <c r="AE85" s="6">
        <f t="shared" si="142"/>
        <v>3.9200000000000006E-6</v>
      </c>
      <c r="AF85" s="6">
        <f t="shared" si="143"/>
        <v>3.1000000000000001E-5</v>
      </c>
      <c r="AH85" s="623"/>
      <c r="AI85" s="622" t="s">
        <v>434</v>
      </c>
      <c r="AJ85" s="622" t="s">
        <v>433</v>
      </c>
      <c r="AK85" s="622" t="s">
        <v>319</v>
      </c>
      <c r="AL85" s="453">
        <v>2022</v>
      </c>
      <c r="AM85" s="455">
        <v>2018</v>
      </c>
      <c r="AN85" s="622" t="s">
        <v>320</v>
      </c>
      <c r="AO85" s="622" t="s">
        <v>218</v>
      </c>
      <c r="AP85" s="67"/>
      <c r="AQ85" s="623"/>
      <c r="AR85" s="622" t="s">
        <v>434</v>
      </c>
      <c r="AS85" s="622" t="s">
        <v>433</v>
      </c>
      <c r="AT85" s="622" t="s">
        <v>319</v>
      </c>
      <c r="AU85" s="453">
        <v>2022</v>
      </c>
      <c r="AV85" s="455">
        <v>2018</v>
      </c>
      <c r="AW85" s="622" t="s">
        <v>320</v>
      </c>
      <c r="AX85" s="624" t="s">
        <v>218</v>
      </c>
    </row>
    <row r="86" spans="1:50" x14ac:dyDescent="0.3">
      <c r="A86" s="646"/>
      <c r="B86" s="405"/>
      <c r="C86" s="405"/>
      <c r="D86" s="405"/>
      <c r="E86" s="405"/>
      <c r="F86" s="405"/>
      <c r="G86" s="405"/>
      <c r="H86" s="417"/>
      <c r="I86" s="405"/>
      <c r="J86" s="408">
        <v>4</v>
      </c>
      <c r="K86" s="409">
        <v>0.02</v>
      </c>
      <c r="L86" s="449"/>
      <c r="M86" s="403"/>
      <c r="N86" s="403"/>
      <c r="O86" s="403"/>
      <c r="P86" s="403"/>
      <c r="S86" s="428">
        <f t="shared" si="129"/>
        <v>200</v>
      </c>
      <c r="T86">
        <f t="shared" si="132"/>
        <v>200.00001908930307</v>
      </c>
      <c r="U86" s="418">
        <f t="shared" si="133"/>
        <v>1.2372144974940726E-6</v>
      </c>
      <c r="V86" s="418">
        <f t="shared" si="134"/>
        <v>1.2327320958450678E-5</v>
      </c>
      <c r="AA86" s="6">
        <v>118</v>
      </c>
      <c r="AB86" s="6">
        <f t="shared" si="139"/>
        <v>118.00004200000001</v>
      </c>
      <c r="AC86" s="6">
        <f t="shared" si="140"/>
        <v>4.1999999996808357E-5</v>
      </c>
      <c r="AD86" s="6">
        <f t="shared" si="141"/>
        <v>0</v>
      </c>
      <c r="AE86" s="6">
        <f t="shared" si="142"/>
        <v>1.5920000000000003E-5</v>
      </c>
      <c r="AF86" s="6">
        <f t="shared" si="143"/>
        <v>4.1E-5</v>
      </c>
      <c r="AH86" s="623" t="s">
        <v>432</v>
      </c>
      <c r="AI86" s="451">
        <v>1</v>
      </c>
      <c r="AJ86" s="451">
        <v>20</v>
      </c>
      <c r="AK86" s="451">
        <f>L23</f>
        <v>20.000021</v>
      </c>
      <c r="AL86" s="451">
        <f>M23</f>
        <v>2.1000000000270802E-5</v>
      </c>
      <c r="AM86" s="451">
        <f>N23</f>
        <v>2.9000000001389026E-5</v>
      </c>
      <c r="AN86" s="451">
        <f>O23</f>
        <v>4.0000000005591119E-6</v>
      </c>
      <c r="AO86" s="451">
        <f>P23</f>
        <v>6.9999999999999999E-6</v>
      </c>
      <c r="AP86" s="67"/>
      <c r="AQ86" s="623" t="s">
        <v>432</v>
      </c>
      <c r="AR86" s="451">
        <v>1</v>
      </c>
      <c r="AS86" s="451">
        <v>50</v>
      </c>
      <c r="AT86" s="451">
        <f>L24</f>
        <v>50.000045</v>
      </c>
      <c r="AU86" s="451">
        <f t="shared" ref="AU86:AX86" si="144">M24</f>
        <v>4.500000000007276E-5</v>
      </c>
      <c r="AV86" s="451">
        <f t="shared" si="144"/>
        <v>1.0000000000331966E-4</v>
      </c>
      <c r="AW86" s="451">
        <f t="shared" si="144"/>
        <v>2.7500000001623448E-5</v>
      </c>
      <c r="AX86" s="440">
        <f t="shared" si="144"/>
        <v>2.0000000000000002E-5</v>
      </c>
    </row>
    <row r="87" spans="1:50" x14ac:dyDescent="0.3">
      <c r="A87" s="646"/>
      <c r="B87" s="405"/>
      <c r="C87" s="405"/>
      <c r="D87" s="405"/>
      <c r="E87" s="405"/>
      <c r="F87" s="405"/>
      <c r="G87" s="405"/>
      <c r="H87" s="417"/>
      <c r="I87" s="405"/>
      <c r="J87" s="408">
        <v>4</v>
      </c>
      <c r="K87" s="409">
        <v>0.05</v>
      </c>
      <c r="L87" s="448"/>
      <c r="M87" s="403"/>
      <c r="N87" s="403"/>
      <c r="O87" s="403"/>
      <c r="P87" s="403"/>
      <c r="AA87" s="6">
        <v>119</v>
      </c>
      <c r="AB87" s="6">
        <f t="shared" si="139"/>
        <v>119.00004200000001</v>
      </c>
      <c r="AC87" s="6">
        <f t="shared" si="140"/>
        <v>4.1999999996808357E-5</v>
      </c>
      <c r="AD87" s="6">
        <f t="shared" si="141"/>
        <v>0</v>
      </c>
      <c r="AE87" s="6">
        <f t="shared" si="142"/>
        <v>4.4000000000000002E-6</v>
      </c>
      <c r="AF87" s="6">
        <f t="shared" si="143"/>
        <v>3.4999999999999997E-5</v>
      </c>
      <c r="AH87" s="623"/>
      <c r="AI87" s="451">
        <v>2</v>
      </c>
      <c r="AJ87" s="451">
        <v>20</v>
      </c>
      <c r="AK87" s="451">
        <f>L48</f>
        <v>20.000008999999999</v>
      </c>
      <c r="AL87" s="451">
        <f>M48</f>
        <v>8.9999999985934664E-6</v>
      </c>
      <c r="AM87" s="451">
        <f>N48</f>
        <v>0</v>
      </c>
      <c r="AN87" s="451">
        <f>O48</f>
        <v>1.0000000000000002E-6</v>
      </c>
      <c r="AO87" s="451">
        <f>P48</f>
        <v>7.9999999999999996E-6</v>
      </c>
      <c r="AP87" s="67"/>
      <c r="AQ87" s="623"/>
      <c r="AR87" s="451">
        <v>2</v>
      </c>
      <c r="AS87" s="451">
        <f>AS86</f>
        <v>50</v>
      </c>
      <c r="AT87" s="451">
        <f>L49</f>
        <v>50.000019000000002</v>
      </c>
      <c r="AU87" s="451">
        <f t="shared" ref="AU87:AX87" si="145">M49</f>
        <v>1.9000000001767603E-5</v>
      </c>
      <c r="AV87" s="451">
        <f t="shared" si="145"/>
        <v>0</v>
      </c>
      <c r="AW87" s="451">
        <f t="shared" si="145"/>
        <v>1.2000000000000002E-6</v>
      </c>
      <c r="AX87" s="440">
        <f t="shared" si="145"/>
        <v>1.0000000000000001E-5</v>
      </c>
    </row>
    <row r="88" spans="1:50" x14ac:dyDescent="0.3">
      <c r="A88" s="646"/>
      <c r="B88" s="405"/>
      <c r="C88" s="405"/>
      <c r="D88" s="405"/>
      <c r="E88" s="405"/>
      <c r="F88" s="405"/>
      <c r="G88" s="405"/>
      <c r="H88" s="417"/>
      <c r="I88" s="405"/>
      <c r="J88" s="408">
        <v>4</v>
      </c>
      <c r="K88" s="409">
        <v>0.1</v>
      </c>
      <c r="L88" s="449"/>
      <c r="M88" s="403"/>
      <c r="N88" s="403"/>
      <c r="O88" s="403"/>
      <c r="P88" s="403"/>
      <c r="S88" s="134" t="s">
        <v>431</v>
      </c>
      <c r="T88" s="134"/>
      <c r="U88" s="134"/>
      <c r="AA88" s="6">
        <f t="shared" ref="AA88:AF88" si="146">AA77+AA51</f>
        <v>120</v>
      </c>
      <c r="AB88" s="6">
        <f t="shared" si="146"/>
        <v>120.000024</v>
      </c>
      <c r="AC88" s="6">
        <f t="shared" si="146"/>
        <v>2.3999999996249244E-5</v>
      </c>
      <c r="AD88" s="6">
        <f t="shared" si="146"/>
        <v>0</v>
      </c>
      <c r="AE88" s="6">
        <f t="shared" si="146"/>
        <v>3.0000000000000005E-6</v>
      </c>
      <c r="AF88" s="6">
        <f t="shared" si="146"/>
        <v>2.4000000000000001E-5</v>
      </c>
      <c r="AH88" s="623"/>
      <c r="AI88" s="451">
        <v>3</v>
      </c>
      <c r="AJ88" s="451">
        <v>20</v>
      </c>
      <c r="AK88" s="451">
        <f>L73</f>
        <v>20.000007</v>
      </c>
      <c r="AL88" s="451">
        <f>M73</f>
        <v>6.9999999999999999E-6</v>
      </c>
      <c r="AM88" s="451">
        <f>N73</f>
        <v>0</v>
      </c>
      <c r="AN88" s="451">
        <f>O73</f>
        <v>3.2000000000000005E-5</v>
      </c>
      <c r="AO88" s="451">
        <f>P73</f>
        <v>2.5000000000000001E-5</v>
      </c>
      <c r="AP88" s="67"/>
      <c r="AQ88" s="623"/>
      <c r="AR88" s="451">
        <v>3</v>
      </c>
      <c r="AS88" s="451">
        <f>AS87</f>
        <v>50</v>
      </c>
      <c r="AT88" s="451">
        <f>L74</f>
        <v>50.000013000000003</v>
      </c>
      <c r="AU88" s="451">
        <f t="shared" ref="AU88:AX88" si="147">M74</f>
        <v>1.2999999999999999E-5</v>
      </c>
      <c r="AV88" s="451">
        <f t="shared" si="147"/>
        <v>0</v>
      </c>
      <c r="AW88" s="451">
        <f t="shared" si="147"/>
        <v>4.0000000000000003E-5</v>
      </c>
      <c r="AX88" s="440">
        <f t="shared" si="147"/>
        <v>3.0000000000000001E-5</v>
      </c>
    </row>
    <row r="89" spans="1:50" x14ac:dyDescent="0.3">
      <c r="A89" s="646"/>
      <c r="B89" s="405"/>
      <c r="C89" s="405"/>
      <c r="D89" s="405"/>
      <c r="E89" s="405"/>
      <c r="F89" s="405"/>
      <c r="G89" s="405"/>
      <c r="H89" s="417"/>
      <c r="I89" s="405"/>
      <c r="J89" s="408">
        <v>4</v>
      </c>
      <c r="K89" s="409">
        <v>0.2</v>
      </c>
      <c r="L89" s="448"/>
      <c r="M89" s="403"/>
      <c r="N89" s="403"/>
      <c r="O89" s="403"/>
      <c r="P89" s="403"/>
      <c r="S89" s="428">
        <f>S77</f>
        <v>20</v>
      </c>
      <c r="T89">
        <f ca="1">FORECAST(S89,OFFSET($U$5:$U$29,MATCH(S89,$T$5:$T$29,1)-1,0,2),OFFSET($T$5:$T$29,MATCH(S89,$T$5:$T$29,1)-1,0,2))</f>
        <v>20.000005999999996</v>
      </c>
      <c r="U89" s="418">
        <f ca="1">FORECAST(S89,OFFSET($X$5:$X$29,MATCH(S89,$T$5:$T$29,1)-1,0,2),OFFSET($T$5:$T$29,MATCH(S89,$T$5:$T$29,1)-1,0,2))</f>
        <v>9.9999999999999995E-7</v>
      </c>
      <c r="V89" s="67">
        <f ca="1">FORECAST(S89,OFFSET($Y$5:$Y$29,MATCH(S89,$T$5:$T$29,1)-1,0,2),OFFSET($T$5:$T$29,MATCH(S89,$T$5:$T$29,1)-1,0,2))</f>
        <v>7.9999999999999996E-6</v>
      </c>
      <c r="AA89" s="6">
        <f t="shared" ref="AA89:AF89" si="148">AA77+AA61</f>
        <v>130</v>
      </c>
      <c r="AB89" s="6">
        <f t="shared" si="148"/>
        <v>130.000034</v>
      </c>
      <c r="AC89" s="6">
        <f t="shared" si="148"/>
        <v>3.3999999995870667E-5</v>
      </c>
      <c r="AD89" s="6">
        <f t="shared" si="148"/>
        <v>0</v>
      </c>
      <c r="AE89" s="6">
        <f t="shared" si="148"/>
        <v>3.8000000000000005E-6</v>
      </c>
      <c r="AF89" s="6">
        <f t="shared" si="148"/>
        <v>2.9999999999999997E-5</v>
      </c>
      <c r="AH89" s="623"/>
      <c r="AI89" s="451">
        <v>4</v>
      </c>
      <c r="AJ89" s="451">
        <v>20</v>
      </c>
      <c r="AK89" s="451"/>
      <c r="AL89" s="451"/>
      <c r="AM89" s="451"/>
      <c r="AN89" s="451"/>
      <c r="AO89" s="451"/>
      <c r="AP89" s="67"/>
      <c r="AQ89" s="623"/>
      <c r="AR89" s="451">
        <v>4</v>
      </c>
      <c r="AS89" s="451">
        <f>AS88</f>
        <v>50</v>
      </c>
      <c r="AT89" s="451"/>
      <c r="AU89" s="451"/>
      <c r="AV89" s="451"/>
      <c r="AW89" s="451"/>
      <c r="AX89" s="439"/>
    </row>
    <row r="90" spans="1:50" x14ac:dyDescent="0.3">
      <c r="A90" s="646"/>
      <c r="B90" s="405"/>
      <c r="C90" s="405"/>
      <c r="D90" s="405"/>
      <c r="E90" s="405"/>
      <c r="F90" s="405"/>
      <c r="G90" s="405"/>
      <c r="H90" s="417"/>
      <c r="I90" s="405"/>
      <c r="J90" s="408">
        <v>4</v>
      </c>
      <c r="K90" s="409">
        <v>0.2</v>
      </c>
      <c r="L90" s="449"/>
      <c r="M90" s="403"/>
      <c r="N90" s="403"/>
      <c r="O90" s="403"/>
      <c r="P90" s="403"/>
      <c r="S90" s="428">
        <f t="shared" ref="S90:S97" si="149">S78</f>
        <v>40</v>
      </c>
      <c r="T90" s="67">
        <f t="shared" ref="T90:T98" ca="1" si="150">FORECAST(S90,OFFSET($U$5:$U$29,MATCH(S90,$T$5:$T$29,1)-1,0,2),OFFSET($T$5:$T$29,MATCH(S90,$T$5:$T$29,1)-1,0,2))</f>
        <v>40.000014666666665</v>
      </c>
      <c r="U90" s="418">
        <f t="shared" ref="U90:U98" ca="1" si="151">FORECAST(S90,OFFSET($X$5:$X$29,MATCH(S90,$T$5:$T$29,1)-1,0,2),OFFSET($T$5:$T$29,MATCH(S90,$T$5:$T$29,1)-1,0,2))</f>
        <v>1.1333333333333334E-6</v>
      </c>
      <c r="V90" s="67">
        <f t="shared" ref="V90:V97" ca="1" si="152">FORECAST(S90,OFFSET($Y$5:$Y$29,MATCH(S90,$T$5:$T$29,1)-1,0,2),OFFSET($T$5:$T$29,MATCH(S90,$T$5:$T$29,1)-1,0,2))</f>
        <v>9.3333333333333343E-6</v>
      </c>
      <c r="AA90" s="6">
        <f t="shared" ref="AA90:AF90" si="153">AA77+AA71</f>
        <v>140</v>
      </c>
      <c r="AB90" s="6">
        <f t="shared" si="153"/>
        <v>140.00002999999998</v>
      </c>
      <c r="AC90" s="6">
        <f t="shared" si="153"/>
        <v>2.9999999995311555E-5</v>
      </c>
      <c r="AD90" s="6">
        <f t="shared" si="153"/>
        <v>0</v>
      </c>
      <c r="AE90" s="6">
        <f t="shared" si="153"/>
        <v>4.0000000000000007E-6</v>
      </c>
      <c r="AF90" s="6">
        <f t="shared" si="153"/>
        <v>3.1999999999999999E-5</v>
      </c>
      <c r="AH90" s="623"/>
      <c r="AI90" s="451">
        <v>5</v>
      </c>
      <c r="AJ90" s="451">
        <v>20</v>
      </c>
      <c r="AK90" s="451"/>
      <c r="AL90" s="451"/>
      <c r="AM90" s="451"/>
      <c r="AN90" s="451"/>
      <c r="AO90" s="451"/>
      <c r="AP90" s="67"/>
      <c r="AQ90" s="623"/>
      <c r="AR90" s="451">
        <v>5</v>
      </c>
      <c r="AS90" s="451">
        <f>AS89</f>
        <v>50</v>
      </c>
      <c r="AT90" s="451"/>
      <c r="AU90" s="451"/>
      <c r="AV90" s="451"/>
      <c r="AW90" s="451"/>
      <c r="AX90" s="439"/>
    </row>
    <row r="91" spans="1:50" x14ac:dyDescent="0.3">
      <c r="A91" s="646"/>
      <c r="B91" s="405"/>
      <c r="C91" s="405"/>
      <c r="D91" s="405"/>
      <c r="E91" s="405"/>
      <c r="F91" s="405"/>
      <c r="G91" s="405"/>
      <c r="H91" s="417"/>
      <c r="I91" s="405"/>
      <c r="J91" s="408">
        <v>4</v>
      </c>
      <c r="K91" s="409">
        <v>0.5</v>
      </c>
      <c r="L91" s="448"/>
      <c r="M91" s="403"/>
      <c r="N91" s="403"/>
      <c r="O91" s="403"/>
      <c r="P91" s="403"/>
      <c r="S91" s="428">
        <f t="shared" si="149"/>
        <v>60</v>
      </c>
      <c r="T91">
        <f t="shared" ca="1" si="150"/>
        <v>60.000018799999992</v>
      </c>
      <c r="U91" s="418">
        <f t="shared" ca="1" si="151"/>
        <v>1.3600000000000003E-6</v>
      </c>
      <c r="V91" s="67">
        <f t="shared" ca="1" si="152"/>
        <v>1.1200000000000001E-5</v>
      </c>
      <c r="AA91" s="6">
        <f t="shared" ref="AA91:AF91" si="154">AA77+AA72</f>
        <v>150</v>
      </c>
      <c r="AB91" s="6">
        <f t="shared" si="154"/>
        <v>150.00003699999999</v>
      </c>
      <c r="AC91" s="6">
        <f t="shared" si="154"/>
        <v>3.6999999998954536E-5</v>
      </c>
      <c r="AD91" s="6">
        <f t="shared" si="154"/>
        <v>0</v>
      </c>
      <c r="AE91" s="6">
        <f t="shared" si="154"/>
        <v>3.2000000000000007E-6</v>
      </c>
      <c r="AF91" s="6">
        <f t="shared" si="154"/>
        <v>2.6000000000000002E-5</v>
      </c>
      <c r="AH91" s="623"/>
      <c r="AI91" s="451">
        <v>6</v>
      </c>
      <c r="AJ91" s="451">
        <v>20</v>
      </c>
      <c r="AK91" s="451"/>
      <c r="AL91" s="451"/>
      <c r="AM91" s="451"/>
      <c r="AN91" s="451"/>
      <c r="AO91" s="451"/>
      <c r="AP91" s="67"/>
      <c r="AQ91" s="623"/>
      <c r="AR91" s="451">
        <v>6</v>
      </c>
      <c r="AS91" s="451">
        <f>AS90</f>
        <v>50</v>
      </c>
      <c r="AT91" s="451"/>
      <c r="AU91" s="451"/>
      <c r="AV91" s="451"/>
      <c r="AW91" s="451"/>
      <c r="AX91" s="439"/>
    </row>
    <row r="92" spans="1:50" x14ac:dyDescent="0.3">
      <c r="A92" s="405"/>
      <c r="B92" s="405"/>
      <c r="C92" s="405"/>
      <c r="D92" s="405"/>
      <c r="E92" s="405"/>
      <c r="F92" s="405"/>
      <c r="G92" s="405"/>
      <c r="H92" s="417"/>
      <c r="I92" s="405"/>
      <c r="J92" s="408">
        <v>4</v>
      </c>
      <c r="K92" s="409">
        <v>1</v>
      </c>
      <c r="L92" s="449"/>
      <c r="M92" s="403"/>
      <c r="N92" s="403"/>
      <c r="O92" s="403"/>
      <c r="P92" s="403"/>
      <c r="S92" s="428">
        <f t="shared" si="149"/>
        <v>80</v>
      </c>
      <c r="T92">
        <f t="shared" ca="1" si="150"/>
        <v>80.000018399999988</v>
      </c>
      <c r="U92" s="418">
        <f t="shared" ca="1" si="151"/>
        <v>1.6800000000000004E-6</v>
      </c>
      <c r="V92" s="67">
        <f t="shared" ca="1" si="152"/>
        <v>1.36E-5</v>
      </c>
      <c r="AA92" s="6">
        <f t="shared" ref="AA92:AF92" si="155">AA77+AA73</f>
        <v>160</v>
      </c>
      <c r="AB92" s="6">
        <f t="shared" si="155"/>
        <v>160.000047</v>
      </c>
      <c r="AC92" s="6">
        <f t="shared" si="155"/>
        <v>4.6999999998575959E-5</v>
      </c>
      <c r="AD92" s="6">
        <f t="shared" si="155"/>
        <v>0</v>
      </c>
      <c r="AE92" s="6">
        <f t="shared" si="155"/>
        <v>4.0000000000000007E-6</v>
      </c>
      <c r="AF92" s="6">
        <f t="shared" si="155"/>
        <v>3.2000000000000005E-5</v>
      </c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</row>
    <row r="93" spans="1:50" x14ac:dyDescent="0.3">
      <c r="A93" s="646"/>
      <c r="B93" s="405"/>
      <c r="C93" s="405"/>
      <c r="D93" s="405"/>
      <c r="E93" s="405"/>
      <c r="F93" s="405"/>
      <c r="G93" s="405"/>
      <c r="H93" s="417"/>
      <c r="I93" s="405"/>
      <c r="J93" s="408">
        <v>4</v>
      </c>
      <c r="K93" s="409">
        <v>2</v>
      </c>
      <c r="L93" s="448"/>
      <c r="M93" s="403"/>
      <c r="N93" s="403"/>
      <c r="O93" s="403"/>
      <c r="P93" s="403"/>
      <c r="S93" s="428">
        <f t="shared" si="149"/>
        <v>100</v>
      </c>
      <c r="T93">
        <f t="shared" ca="1" si="150"/>
        <v>100.000018</v>
      </c>
      <c r="U93" s="418">
        <f t="shared" ca="1" si="151"/>
        <v>2.0000000000000003E-6</v>
      </c>
      <c r="V93" s="67">
        <f t="shared" ca="1" si="152"/>
        <v>1.5999999999999999E-5</v>
      </c>
      <c r="AA93" s="6">
        <f t="shared" ref="AA93:AF93" si="156">AA77+AA74</f>
        <v>170</v>
      </c>
      <c r="AB93" s="6">
        <f t="shared" si="156"/>
        <v>170.00004300000001</v>
      </c>
      <c r="AC93" s="6">
        <f t="shared" si="156"/>
        <v>4.2999999998016847E-5</v>
      </c>
      <c r="AD93" s="6">
        <f t="shared" si="156"/>
        <v>0</v>
      </c>
      <c r="AE93" s="6">
        <f t="shared" si="156"/>
        <v>4.2000000000000004E-6</v>
      </c>
      <c r="AF93" s="6">
        <f t="shared" si="156"/>
        <v>3.4E-5</v>
      </c>
      <c r="AH93" s="623">
        <v>100</v>
      </c>
      <c r="AI93" s="622" t="s">
        <v>242</v>
      </c>
      <c r="AJ93" s="622" t="s">
        <v>322</v>
      </c>
      <c r="AK93" s="622" t="s">
        <v>319</v>
      </c>
      <c r="AL93" s="622" t="s">
        <v>220</v>
      </c>
      <c r="AM93" s="622"/>
      <c r="AN93" s="622" t="s">
        <v>320</v>
      </c>
      <c r="AO93" s="622" t="s">
        <v>218</v>
      </c>
      <c r="AP93" s="67"/>
      <c r="AQ93" s="623" t="s">
        <v>440</v>
      </c>
      <c r="AR93" s="622" t="s">
        <v>242</v>
      </c>
      <c r="AS93" s="622" t="s">
        <v>322</v>
      </c>
      <c r="AT93" s="622" t="s">
        <v>319</v>
      </c>
      <c r="AU93" s="622" t="s">
        <v>220</v>
      </c>
      <c r="AV93" s="622"/>
      <c r="AW93" s="622" t="s">
        <v>320</v>
      </c>
      <c r="AX93" s="624" t="s">
        <v>218</v>
      </c>
    </row>
    <row r="94" spans="1:50" x14ac:dyDescent="0.3">
      <c r="A94" s="646"/>
      <c r="B94" s="405"/>
      <c r="C94" s="405"/>
      <c r="D94" s="405"/>
      <c r="E94" s="405"/>
      <c r="F94" s="405"/>
      <c r="G94" s="405"/>
      <c r="H94" s="417"/>
      <c r="I94" s="405"/>
      <c r="J94" s="408">
        <v>4</v>
      </c>
      <c r="K94" s="409">
        <v>2</v>
      </c>
      <c r="L94" s="449"/>
      <c r="M94" s="403"/>
      <c r="N94" s="403"/>
      <c r="O94" s="403"/>
      <c r="P94" s="403"/>
      <c r="S94" s="428">
        <f t="shared" si="149"/>
        <v>120</v>
      </c>
      <c r="T94">
        <f t="shared" ca="1" si="150"/>
        <v>120.00002480000001</v>
      </c>
      <c r="U94" s="418">
        <f t="shared" ca="1" si="151"/>
        <v>2.4000000000000003E-6</v>
      </c>
      <c r="V94" s="67">
        <f t="shared" ca="1" si="152"/>
        <v>1.88E-5</v>
      </c>
      <c r="AA94" s="6">
        <f t="shared" ref="AA94:AF94" si="157">AA77+AA75</f>
        <v>180</v>
      </c>
      <c r="AB94" s="6">
        <f t="shared" si="157"/>
        <v>180.00005299999998</v>
      </c>
      <c r="AC94" s="6">
        <f t="shared" si="157"/>
        <v>5.299999999763827E-5</v>
      </c>
      <c r="AD94" s="6">
        <f t="shared" si="157"/>
        <v>0</v>
      </c>
      <c r="AE94" s="6">
        <f t="shared" si="157"/>
        <v>5.0000000000000004E-6</v>
      </c>
      <c r="AF94" s="6">
        <f t="shared" si="157"/>
        <v>3.9999999999999996E-5</v>
      </c>
      <c r="AH94" s="623"/>
      <c r="AI94" s="622" t="s">
        <v>434</v>
      </c>
      <c r="AJ94" s="622" t="s">
        <v>433</v>
      </c>
      <c r="AK94" s="622" t="s">
        <v>319</v>
      </c>
      <c r="AL94" s="453">
        <v>2022</v>
      </c>
      <c r="AM94" s="455">
        <v>2018</v>
      </c>
      <c r="AN94" s="622" t="s">
        <v>320</v>
      </c>
      <c r="AO94" s="622" t="s">
        <v>218</v>
      </c>
      <c r="AP94" s="67"/>
      <c r="AQ94" s="623"/>
      <c r="AR94" s="622" t="s">
        <v>434</v>
      </c>
      <c r="AS94" s="622" t="s">
        <v>433</v>
      </c>
      <c r="AT94" s="622" t="s">
        <v>319</v>
      </c>
      <c r="AU94" s="453">
        <v>2022</v>
      </c>
      <c r="AV94" s="455">
        <v>2018</v>
      </c>
      <c r="AW94" s="622" t="s">
        <v>320</v>
      </c>
      <c r="AX94" s="624" t="s">
        <v>218</v>
      </c>
    </row>
    <row r="95" spans="1:50" x14ac:dyDescent="0.3">
      <c r="A95" s="646"/>
      <c r="B95" s="405"/>
      <c r="C95" s="405"/>
      <c r="D95" s="405"/>
      <c r="E95" s="405"/>
      <c r="F95" s="405"/>
      <c r="G95" s="405"/>
      <c r="H95" s="417"/>
      <c r="I95" s="405"/>
      <c r="J95" s="408">
        <v>4</v>
      </c>
      <c r="K95" s="409">
        <v>5</v>
      </c>
      <c r="L95" s="448"/>
      <c r="M95" s="403"/>
      <c r="N95" s="403"/>
      <c r="O95" s="403"/>
      <c r="P95" s="403"/>
      <c r="S95" s="428">
        <f t="shared" si="149"/>
        <v>140</v>
      </c>
      <c r="T95">
        <f t="shared" ca="1" si="150"/>
        <v>140.0000316</v>
      </c>
      <c r="U95" s="418">
        <f t="shared" ca="1" si="151"/>
        <v>2.8000000000000007E-6</v>
      </c>
      <c r="V95" s="67">
        <f t="shared" ca="1" si="152"/>
        <v>2.16E-5</v>
      </c>
      <c r="AA95" s="6">
        <f t="shared" ref="AA95:AF95" si="158">AA77+AA76</f>
        <v>190</v>
      </c>
      <c r="AB95" s="6">
        <f t="shared" si="158"/>
        <v>190.00004899999999</v>
      </c>
      <c r="AC95" s="6">
        <f t="shared" si="158"/>
        <v>4.8999999997079158E-5</v>
      </c>
      <c r="AD95" s="6">
        <f t="shared" si="158"/>
        <v>0</v>
      </c>
      <c r="AE95" s="6">
        <f t="shared" si="158"/>
        <v>5.200000000000001E-6</v>
      </c>
      <c r="AF95" s="6">
        <f t="shared" si="158"/>
        <v>4.2000000000000004E-5</v>
      </c>
      <c r="AH95" s="623" t="s">
        <v>432</v>
      </c>
      <c r="AI95" s="451">
        <v>1</v>
      </c>
      <c r="AJ95" s="451">
        <v>100</v>
      </c>
      <c r="AK95" s="451">
        <f>L25</f>
        <v>99.999945999999994</v>
      </c>
      <c r="AL95" s="451">
        <f t="shared" ref="AL95:AO95" si="159">M25</f>
        <v>-5.4000000005771653E-5</v>
      </c>
      <c r="AM95" s="451">
        <f t="shared" si="159"/>
        <v>7.9999999996971383E-5</v>
      </c>
      <c r="AN95" s="451">
        <f t="shared" si="159"/>
        <v>6.7000000001371518E-5</v>
      </c>
      <c r="AO95" s="451">
        <f t="shared" si="159"/>
        <v>2.0000000000000002E-5</v>
      </c>
      <c r="AP95" s="67"/>
      <c r="AQ95" s="623" t="s">
        <v>432</v>
      </c>
      <c r="AR95" s="451">
        <v>1</v>
      </c>
      <c r="AS95" s="451">
        <v>200</v>
      </c>
      <c r="AT95" s="451">
        <f>L26</f>
        <v>200.000215</v>
      </c>
      <c r="AU95" s="451">
        <f t="shared" ref="AU95:AX95" si="160">M26</f>
        <v>2.1499999999718966E-4</v>
      </c>
      <c r="AV95" s="451">
        <f t="shared" si="160"/>
        <v>2.1000000000981345E-4</v>
      </c>
      <c r="AW95" s="451">
        <f t="shared" si="160"/>
        <v>2.4999999936881068E-6</v>
      </c>
      <c r="AX95" s="440">
        <f t="shared" si="160"/>
        <v>3.0000000000000001E-5</v>
      </c>
    </row>
    <row r="96" spans="1:50" x14ac:dyDescent="0.3">
      <c r="A96" s="646"/>
      <c r="B96" s="405"/>
      <c r="C96" s="405"/>
      <c r="D96" s="405"/>
      <c r="E96" s="405"/>
      <c r="F96" s="405"/>
      <c r="G96" s="405"/>
      <c r="H96" s="417"/>
      <c r="I96" s="405"/>
      <c r="J96" s="408">
        <v>4</v>
      </c>
      <c r="K96" s="409">
        <v>10</v>
      </c>
      <c r="L96" s="449"/>
      <c r="M96" s="403"/>
      <c r="N96" s="403"/>
      <c r="O96" s="403"/>
      <c r="P96" s="403"/>
      <c r="S96" s="428">
        <f t="shared" si="149"/>
        <v>160</v>
      </c>
      <c r="T96">
        <f t="shared" ca="1" si="150"/>
        <v>160.00003839999999</v>
      </c>
      <c r="U96" s="418">
        <f t="shared" ca="1" si="151"/>
        <v>3.2000000000000007E-6</v>
      </c>
      <c r="V96" s="67">
        <f t="shared" ca="1" si="152"/>
        <v>2.44E-5</v>
      </c>
      <c r="AA96" s="6">
        <f t="shared" ref="AA96:AF96" si="161">T26</f>
        <v>200</v>
      </c>
      <c r="AB96" s="6">
        <f t="shared" si="161"/>
        <v>200.00005200000001</v>
      </c>
      <c r="AC96" s="6">
        <f t="shared" si="161"/>
        <v>5.2000000010821168E-5</v>
      </c>
      <c r="AD96" s="6">
        <f t="shared" si="161"/>
        <v>0</v>
      </c>
      <c r="AE96" s="6">
        <f t="shared" si="161"/>
        <v>4.0000000000000007E-6</v>
      </c>
      <c r="AF96" s="6">
        <f t="shared" si="161"/>
        <v>3.0000000000000001E-5</v>
      </c>
      <c r="AH96" s="623"/>
      <c r="AI96" s="451">
        <v>2</v>
      </c>
      <c r="AJ96" s="451">
        <f>AJ95</f>
        <v>100</v>
      </c>
      <c r="AK96" s="451">
        <f>L50</f>
        <v>100.000018</v>
      </c>
      <c r="AL96" s="451">
        <f t="shared" ref="AL96:AO96" si="162">M50</f>
        <v>1.7999999997186933E-5</v>
      </c>
      <c r="AM96" s="451">
        <f t="shared" si="162"/>
        <v>0</v>
      </c>
      <c r="AN96" s="451">
        <f t="shared" si="162"/>
        <v>2.0000000000000003E-6</v>
      </c>
      <c r="AO96" s="451">
        <f t="shared" si="162"/>
        <v>1.5999999999999999E-5</v>
      </c>
      <c r="AP96" s="67"/>
      <c r="AQ96" s="623"/>
      <c r="AR96" s="451">
        <v>2</v>
      </c>
      <c r="AS96" s="451">
        <f>AS95</f>
        <v>200</v>
      </c>
      <c r="AT96" s="451">
        <f>L51</f>
        <v>200.00005200000001</v>
      </c>
      <c r="AU96" s="451">
        <f t="shared" ref="AU96:AX96" si="163">M51</f>
        <v>5.2000000010821168E-5</v>
      </c>
      <c r="AV96" s="451">
        <f t="shared" si="163"/>
        <v>0</v>
      </c>
      <c r="AW96" s="451">
        <f t="shared" si="163"/>
        <v>4.0000000000000007E-6</v>
      </c>
      <c r="AX96" s="440">
        <f t="shared" si="163"/>
        <v>3.0000000000000001E-5</v>
      </c>
    </row>
    <row r="97" spans="1:50" x14ac:dyDescent="0.3">
      <c r="A97" s="646"/>
      <c r="B97" s="405"/>
      <c r="C97" s="405"/>
      <c r="D97" s="405"/>
      <c r="E97" s="405"/>
      <c r="F97" s="405"/>
      <c r="G97" s="405"/>
      <c r="H97" s="417"/>
      <c r="I97" s="405"/>
      <c r="J97" s="408">
        <v>4</v>
      </c>
      <c r="K97" s="409">
        <v>20</v>
      </c>
      <c r="L97" s="448"/>
      <c r="M97" s="403"/>
      <c r="N97" s="403"/>
      <c r="O97" s="403"/>
      <c r="P97" s="403"/>
      <c r="S97" s="428">
        <f t="shared" si="149"/>
        <v>180</v>
      </c>
      <c r="T97">
        <f t="shared" ca="1" si="150"/>
        <v>180.00004520000002</v>
      </c>
      <c r="U97" s="418">
        <f t="shared" ca="1" si="151"/>
        <v>3.6000000000000007E-6</v>
      </c>
      <c r="V97" s="67">
        <f t="shared" ca="1" si="152"/>
        <v>2.72E-5</v>
      </c>
      <c r="AA97" s="6">
        <v>210</v>
      </c>
      <c r="AB97" s="6">
        <f>AB96+AB41</f>
        <v>210.00006200000001</v>
      </c>
      <c r="AC97" s="6">
        <f t="shared" ref="AC97:AF97" si="164">AC96+AC41</f>
        <v>6.2000000010442591E-5</v>
      </c>
      <c r="AD97" s="6">
        <f t="shared" si="164"/>
        <v>0</v>
      </c>
      <c r="AE97" s="6">
        <f t="shared" si="164"/>
        <v>4.8000000000000006E-6</v>
      </c>
      <c r="AF97" s="6">
        <f t="shared" si="164"/>
        <v>3.6000000000000001E-5</v>
      </c>
      <c r="AH97" s="623"/>
      <c r="AI97" s="451">
        <v>3</v>
      </c>
      <c r="AJ97" s="451">
        <f>AJ96</f>
        <v>100</v>
      </c>
      <c r="AK97" s="451">
        <f>L75</f>
        <v>100.00001</v>
      </c>
      <c r="AL97" s="451">
        <f t="shared" ref="AL97:AO97" si="165">M75</f>
        <v>1.0000000000000001E-5</v>
      </c>
      <c r="AM97" s="451">
        <f t="shared" si="165"/>
        <v>0</v>
      </c>
      <c r="AN97" s="451">
        <f t="shared" si="165"/>
        <v>6.4000000000000011E-5</v>
      </c>
      <c r="AO97" s="451">
        <f t="shared" si="165"/>
        <v>5.0000000000000002E-5</v>
      </c>
      <c r="AP97" s="67"/>
      <c r="AQ97" s="623"/>
      <c r="AR97" s="451">
        <v>3</v>
      </c>
      <c r="AS97" s="451">
        <f>AS96</f>
        <v>200</v>
      </c>
      <c r="AT97" s="451">
        <f>L76</f>
        <v>200.00004999999999</v>
      </c>
      <c r="AU97" s="451">
        <f t="shared" ref="AU97:AX97" si="166">M76</f>
        <v>5.0000000000000002E-5</v>
      </c>
      <c r="AV97" s="451">
        <f t="shared" si="166"/>
        <v>0</v>
      </c>
      <c r="AW97" s="451">
        <f t="shared" si="166"/>
        <v>1.1999999999999999E-4</v>
      </c>
      <c r="AX97" s="440">
        <f t="shared" si="166"/>
        <v>1E-4</v>
      </c>
    </row>
    <row r="98" spans="1:50" x14ac:dyDescent="0.3">
      <c r="A98" s="646"/>
      <c r="B98" s="405"/>
      <c r="C98" s="405"/>
      <c r="D98" s="405"/>
      <c r="E98" s="405"/>
      <c r="F98" s="405"/>
      <c r="G98" s="405"/>
      <c r="H98" s="417"/>
      <c r="I98" s="405"/>
      <c r="J98" s="408">
        <v>4</v>
      </c>
      <c r="K98" s="409">
        <v>20</v>
      </c>
      <c r="L98" s="449"/>
      <c r="M98" s="403"/>
      <c r="N98" s="403"/>
      <c r="O98" s="403"/>
      <c r="P98" s="403"/>
      <c r="S98" s="428">
        <f>S86</f>
        <v>200</v>
      </c>
      <c r="T98">
        <f t="shared" ca="1" si="150"/>
        <v>200.00005200000004</v>
      </c>
      <c r="U98" s="418">
        <f t="shared" ca="1" si="151"/>
        <v>2.0000000000000003E-6</v>
      </c>
      <c r="V98" s="67"/>
      <c r="AA98" s="6">
        <v>220</v>
      </c>
      <c r="AB98" s="6">
        <f>AB96+AB51</f>
        <v>220.00005800000002</v>
      </c>
      <c r="AC98" s="6">
        <f t="shared" ref="AC98:AF98" si="167">AC96+AC51</f>
        <v>5.8000000009883479E-5</v>
      </c>
      <c r="AD98" s="6">
        <f t="shared" si="167"/>
        <v>0</v>
      </c>
      <c r="AE98" s="6">
        <f t="shared" si="167"/>
        <v>5.0000000000000013E-6</v>
      </c>
      <c r="AF98" s="6">
        <f t="shared" si="167"/>
        <v>3.8000000000000002E-5</v>
      </c>
      <c r="AH98" s="623"/>
      <c r="AI98" s="451">
        <v>4</v>
      </c>
      <c r="AJ98" s="451">
        <f>AJ97</f>
        <v>100</v>
      </c>
      <c r="AK98" s="451"/>
      <c r="AL98" s="451"/>
      <c r="AM98" s="451"/>
      <c r="AN98" s="451"/>
      <c r="AO98" s="451"/>
      <c r="AP98" s="67"/>
      <c r="AQ98" s="623"/>
      <c r="AR98" s="451">
        <v>4</v>
      </c>
      <c r="AS98" s="451">
        <f>AS97</f>
        <v>200</v>
      </c>
      <c r="AT98" s="451"/>
      <c r="AU98" s="451"/>
      <c r="AV98" s="451"/>
      <c r="AW98" s="451"/>
      <c r="AX98" s="439"/>
    </row>
    <row r="99" spans="1:50" x14ac:dyDescent="0.3">
      <c r="A99" s="646"/>
      <c r="B99" s="405"/>
      <c r="C99" s="405"/>
      <c r="D99" s="405"/>
      <c r="E99" s="405"/>
      <c r="F99" s="405"/>
      <c r="G99" s="405"/>
      <c r="H99" s="417"/>
      <c r="I99" s="405"/>
      <c r="J99" s="408">
        <v>4</v>
      </c>
      <c r="K99" s="409">
        <v>50</v>
      </c>
      <c r="L99" s="448"/>
      <c r="M99" s="403"/>
      <c r="N99" s="403"/>
      <c r="O99" s="403"/>
      <c r="P99" s="403"/>
      <c r="AA99" s="6">
        <v>230</v>
      </c>
      <c r="AB99" s="6">
        <f>AB96+AB61</f>
        <v>230.000068</v>
      </c>
      <c r="AC99" s="6">
        <f t="shared" ref="AC99:AF99" si="168">AC96+AC61</f>
        <v>6.8000000009504902E-5</v>
      </c>
      <c r="AD99" s="6">
        <f t="shared" si="168"/>
        <v>0</v>
      </c>
      <c r="AE99" s="6">
        <f t="shared" si="168"/>
        <v>5.8000000000000004E-6</v>
      </c>
      <c r="AF99" s="6">
        <f t="shared" si="168"/>
        <v>4.3999999999999999E-5</v>
      </c>
      <c r="AH99" s="623"/>
      <c r="AI99" s="451">
        <v>5</v>
      </c>
      <c r="AJ99" s="451">
        <f>AJ98</f>
        <v>100</v>
      </c>
      <c r="AK99" s="451"/>
      <c r="AL99" s="451"/>
      <c r="AM99" s="451"/>
      <c r="AN99" s="451"/>
      <c r="AO99" s="451"/>
      <c r="AP99" s="67"/>
      <c r="AQ99" s="623"/>
      <c r="AR99" s="451">
        <v>5</v>
      </c>
      <c r="AS99" s="451">
        <f>AS98</f>
        <v>200</v>
      </c>
      <c r="AT99" s="451"/>
      <c r="AU99" s="451"/>
      <c r="AV99" s="451"/>
      <c r="AW99" s="451"/>
      <c r="AX99" s="439"/>
    </row>
    <row r="100" spans="1:50" x14ac:dyDescent="0.3">
      <c r="A100" s="646"/>
      <c r="B100" s="405"/>
      <c r="C100" s="405"/>
      <c r="D100" s="405"/>
      <c r="E100" s="405"/>
      <c r="F100" s="405"/>
      <c r="G100" s="405"/>
      <c r="H100" s="417"/>
      <c r="I100" s="405"/>
      <c r="J100" s="408">
        <v>4</v>
      </c>
      <c r="K100" s="409">
        <v>100</v>
      </c>
      <c r="L100" s="449"/>
      <c r="M100" s="403"/>
      <c r="N100" s="403"/>
      <c r="O100" s="403"/>
      <c r="P100" s="403"/>
      <c r="AA100" s="6">
        <v>240</v>
      </c>
      <c r="AB100" s="6">
        <f>AB96+AB71</f>
        <v>240.00006400000001</v>
      </c>
      <c r="AC100" s="6">
        <f t="shared" ref="AC100:AF100" si="169">AC96+AC71</f>
        <v>6.400000000894579E-5</v>
      </c>
      <c r="AD100" s="6">
        <f t="shared" si="169"/>
        <v>0</v>
      </c>
      <c r="AE100" s="6">
        <f t="shared" si="169"/>
        <v>6.000000000000001E-6</v>
      </c>
      <c r="AF100" s="6">
        <f t="shared" si="169"/>
        <v>4.6E-5</v>
      </c>
      <c r="AH100" s="623"/>
      <c r="AI100" s="451">
        <v>6</v>
      </c>
      <c r="AJ100" s="451">
        <f>AJ99</f>
        <v>100</v>
      </c>
      <c r="AK100" s="451"/>
      <c r="AL100" s="451"/>
      <c r="AM100" s="451"/>
      <c r="AN100" s="451"/>
      <c r="AO100" s="451"/>
      <c r="AP100" s="67"/>
      <c r="AQ100" s="623"/>
      <c r="AR100" s="451">
        <v>6</v>
      </c>
      <c r="AS100" s="451">
        <f>AS99</f>
        <v>200</v>
      </c>
      <c r="AT100" s="451"/>
      <c r="AU100" s="451"/>
      <c r="AV100" s="451"/>
      <c r="AW100" s="451"/>
      <c r="AX100" s="439"/>
    </row>
    <row r="101" spans="1:50" x14ac:dyDescent="0.3">
      <c r="A101" s="405"/>
      <c r="B101" s="405"/>
      <c r="C101" s="405"/>
      <c r="D101" s="405"/>
      <c r="E101" s="405"/>
      <c r="F101" s="405"/>
      <c r="G101" s="405"/>
      <c r="H101" s="417"/>
      <c r="I101" s="405"/>
      <c r="J101" s="408">
        <v>4</v>
      </c>
      <c r="K101" s="409">
        <v>200</v>
      </c>
      <c r="L101" s="448"/>
      <c r="M101" s="403"/>
      <c r="N101" s="403"/>
      <c r="O101" s="403"/>
      <c r="P101" s="403"/>
      <c r="AA101" s="6">
        <v>250</v>
      </c>
      <c r="AB101" s="6">
        <f>AB96+AB72</f>
        <v>250.00007100000002</v>
      </c>
      <c r="AC101" s="6">
        <f>AC96+AC72</f>
        <v>7.1000000012588771E-5</v>
      </c>
      <c r="AD101" s="6">
        <f>AD96+AD72</f>
        <v>0</v>
      </c>
      <c r="AE101" s="6">
        <f>AE96+AE72</f>
        <v>5.200000000000001E-6</v>
      </c>
      <c r="AF101" s="6">
        <f>AF96+AF72</f>
        <v>4.0000000000000003E-5</v>
      </c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</row>
    <row r="102" spans="1:50" x14ac:dyDescent="0.3">
      <c r="A102" s="646"/>
      <c r="B102" s="405"/>
      <c r="C102" s="405"/>
      <c r="D102" s="405"/>
      <c r="E102" s="405"/>
      <c r="F102" s="405"/>
      <c r="G102" s="405"/>
      <c r="H102" s="417"/>
      <c r="I102" s="405"/>
      <c r="J102" s="408">
        <v>4</v>
      </c>
      <c r="K102" s="409">
        <v>200</v>
      </c>
      <c r="L102" s="449"/>
      <c r="M102" s="403"/>
      <c r="N102" s="403"/>
      <c r="O102" s="403"/>
      <c r="P102" s="403"/>
      <c r="AA102" s="6">
        <v>260</v>
      </c>
      <c r="AB102" s="6">
        <f>AB101+AB41</f>
        <v>260.00008100000002</v>
      </c>
      <c r="AC102" s="6">
        <f>AC101+AC41</f>
        <v>8.1000000012210194E-5</v>
      </c>
      <c r="AD102" s="6">
        <f>AD101+AD41</f>
        <v>0</v>
      </c>
      <c r="AE102" s="6">
        <f>AE101+AE41</f>
        <v>6.000000000000001E-6</v>
      </c>
      <c r="AF102" s="6">
        <f>AF101+AF41</f>
        <v>4.6000000000000007E-5</v>
      </c>
      <c r="AH102" s="623">
        <v>200</v>
      </c>
      <c r="AI102" s="622" t="s">
        <v>242</v>
      </c>
      <c r="AJ102" s="622" t="s">
        <v>322</v>
      </c>
      <c r="AK102" s="622" t="s">
        <v>319</v>
      </c>
      <c r="AL102" s="622" t="s">
        <v>220</v>
      </c>
      <c r="AM102" s="622"/>
      <c r="AN102" s="622" t="s">
        <v>320</v>
      </c>
      <c r="AO102" s="622" t="s">
        <v>218</v>
      </c>
      <c r="AP102" s="67"/>
      <c r="AQ102" s="623">
        <v>500</v>
      </c>
      <c r="AR102" s="622" t="s">
        <v>242</v>
      </c>
      <c r="AS102" s="622" t="s">
        <v>322</v>
      </c>
      <c r="AT102" s="622" t="s">
        <v>319</v>
      </c>
      <c r="AU102" s="622" t="s">
        <v>220</v>
      </c>
      <c r="AV102" s="622"/>
      <c r="AW102" s="622" t="s">
        <v>320</v>
      </c>
      <c r="AX102" s="624" t="s">
        <v>218</v>
      </c>
    </row>
    <row r="103" spans="1:50" x14ac:dyDescent="0.3">
      <c r="A103" s="646"/>
      <c r="B103" s="405"/>
      <c r="C103" s="405"/>
      <c r="D103" s="405"/>
      <c r="E103" s="405"/>
      <c r="F103" s="405"/>
      <c r="G103" s="405"/>
      <c r="H103" s="417"/>
      <c r="I103" s="405"/>
      <c r="J103" s="408">
        <v>4</v>
      </c>
      <c r="K103" s="409">
        <v>500</v>
      </c>
      <c r="L103" s="448"/>
      <c r="M103" s="403"/>
      <c r="N103" s="403"/>
      <c r="O103" s="403"/>
      <c r="P103" s="403"/>
      <c r="AA103" s="6">
        <v>270</v>
      </c>
      <c r="AB103" s="6">
        <f>AB96+AB74</f>
        <v>270.00007700000003</v>
      </c>
      <c r="AC103" s="6">
        <f t="shared" ref="AC103:AF105" si="170">AC$96+AC74</f>
        <v>7.7000000011651082E-5</v>
      </c>
      <c r="AD103" s="6">
        <f t="shared" si="170"/>
        <v>0</v>
      </c>
      <c r="AE103" s="6">
        <f t="shared" si="170"/>
        <v>6.2000000000000008E-6</v>
      </c>
      <c r="AF103" s="6">
        <f t="shared" si="170"/>
        <v>4.8000000000000001E-5</v>
      </c>
      <c r="AH103" s="623"/>
      <c r="AI103" s="622" t="s">
        <v>434</v>
      </c>
      <c r="AJ103" s="622" t="s">
        <v>433</v>
      </c>
      <c r="AK103" s="622" t="s">
        <v>319</v>
      </c>
      <c r="AL103" s="453">
        <v>2022</v>
      </c>
      <c r="AM103" s="455">
        <v>2018</v>
      </c>
      <c r="AN103" s="622" t="s">
        <v>320</v>
      </c>
      <c r="AO103" s="622" t="s">
        <v>218</v>
      </c>
      <c r="AP103" s="67"/>
      <c r="AQ103" s="623"/>
      <c r="AR103" s="622" t="s">
        <v>434</v>
      </c>
      <c r="AS103" s="622" t="s">
        <v>433</v>
      </c>
      <c r="AT103" s="622" t="s">
        <v>319</v>
      </c>
      <c r="AU103" s="453">
        <v>2022</v>
      </c>
      <c r="AV103" s="455">
        <v>2018</v>
      </c>
      <c r="AW103" s="622" t="s">
        <v>320</v>
      </c>
      <c r="AX103" s="624" t="s">
        <v>218</v>
      </c>
    </row>
    <row r="104" spans="1:50" x14ac:dyDescent="0.3">
      <c r="A104" s="646"/>
      <c r="B104" s="405"/>
      <c r="C104" s="405"/>
      <c r="D104" s="405"/>
      <c r="E104" s="405"/>
      <c r="F104" s="405"/>
      <c r="G104" s="405"/>
      <c r="H104" s="417"/>
      <c r="I104" s="405"/>
      <c r="J104" s="408">
        <v>4</v>
      </c>
      <c r="K104" s="409">
        <v>1000</v>
      </c>
      <c r="L104" s="449"/>
      <c r="M104" s="403"/>
      <c r="N104" s="403"/>
      <c r="O104" s="403"/>
      <c r="P104" s="403"/>
      <c r="AA104" s="6">
        <v>280</v>
      </c>
      <c r="AB104" s="6">
        <f>AB96+AB75</f>
        <v>280.00008700000001</v>
      </c>
      <c r="AC104" s="6">
        <f t="shared" si="170"/>
        <v>8.7000000011272505E-5</v>
      </c>
      <c r="AD104" s="6">
        <f t="shared" si="170"/>
        <v>0</v>
      </c>
      <c r="AE104" s="6">
        <f t="shared" si="170"/>
        <v>7.0000000000000007E-6</v>
      </c>
      <c r="AF104" s="6">
        <f t="shared" si="170"/>
        <v>5.3999999999999998E-5</v>
      </c>
      <c r="AH104" s="623" t="s">
        <v>432</v>
      </c>
      <c r="AI104" s="451">
        <v>1</v>
      </c>
      <c r="AJ104" s="451">
        <v>200</v>
      </c>
      <c r="AK104" s="451">
        <f>L27</f>
        <v>200.00026099999999</v>
      </c>
      <c r="AL104" s="451">
        <f t="shared" ref="AL104:AO104" si="171">M27</f>
        <v>2.6099999999473766E-4</v>
      </c>
      <c r="AM104" s="451">
        <f t="shared" si="171"/>
        <v>2.1000000000981345E-4</v>
      </c>
      <c r="AN104" s="451">
        <f t="shared" si="171"/>
        <v>2.5499999992462108E-5</v>
      </c>
      <c r="AO104" s="451">
        <f t="shared" si="171"/>
        <v>3.0000000000000001E-5</v>
      </c>
      <c r="AP104" s="67"/>
      <c r="AQ104" s="623" t="s">
        <v>432</v>
      </c>
      <c r="AR104" s="451">
        <v>1</v>
      </c>
      <c r="AS104" s="451">
        <v>500</v>
      </c>
      <c r="AT104" s="451">
        <f>L53</f>
        <v>500.00006999999999</v>
      </c>
      <c r="AU104" s="451">
        <f t="shared" ref="AU104:AX104" si="172">M53</f>
        <v>6.9999999993797246E-5</v>
      </c>
      <c r="AV104" s="451">
        <f t="shared" si="172"/>
        <v>0</v>
      </c>
      <c r="AW104" s="451">
        <f t="shared" si="172"/>
        <v>1.2000000000000002E-6</v>
      </c>
      <c r="AX104" s="440">
        <f t="shared" si="172"/>
        <v>3.0000000000000001E-5</v>
      </c>
    </row>
    <row r="105" spans="1:50" ht="14.55" customHeight="1" x14ac:dyDescent="0.3">
      <c r="A105" s="646"/>
      <c r="B105" s="405"/>
      <c r="C105" s="405"/>
      <c r="D105" s="405"/>
      <c r="E105" s="405"/>
      <c r="F105" s="405"/>
      <c r="G105" s="405"/>
      <c r="H105" s="416"/>
      <c r="I105" s="405"/>
      <c r="J105" s="408">
        <v>5</v>
      </c>
      <c r="K105" s="411">
        <v>1E-3</v>
      </c>
      <c r="L105" s="412"/>
      <c r="M105" s="412"/>
      <c r="N105" s="412"/>
      <c r="O105" s="412"/>
      <c r="P105" s="412"/>
      <c r="AA105" s="6">
        <v>290</v>
      </c>
      <c r="AB105" s="6">
        <f>AB96+AB76</f>
        <v>290.00008300000002</v>
      </c>
      <c r="AC105" s="6">
        <f t="shared" si="170"/>
        <v>8.3000000010713393E-5</v>
      </c>
      <c r="AD105" s="6">
        <f t="shared" si="170"/>
        <v>0</v>
      </c>
      <c r="AE105" s="6">
        <f t="shared" si="170"/>
        <v>7.2000000000000014E-6</v>
      </c>
      <c r="AF105" s="6">
        <f t="shared" si="170"/>
        <v>5.6000000000000006E-5</v>
      </c>
      <c r="AH105" s="623"/>
      <c r="AI105" s="451">
        <v>2</v>
      </c>
      <c r="AJ105" s="451">
        <f>AJ104</f>
        <v>200</v>
      </c>
      <c r="AK105" s="451">
        <f>L52</f>
        <v>200.00005200000001</v>
      </c>
      <c r="AL105" s="451">
        <f t="shared" ref="AL105:AO105" si="173">M52</f>
        <v>5.2000000010821168E-5</v>
      </c>
      <c r="AM105" s="451">
        <f t="shared" si="173"/>
        <v>0</v>
      </c>
      <c r="AN105" s="451">
        <f t="shared" si="173"/>
        <v>2.0000000000000003E-6</v>
      </c>
      <c r="AO105" s="451">
        <f t="shared" si="173"/>
        <v>3.0000000000000001E-5</v>
      </c>
      <c r="AP105" s="67"/>
      <c r="AQ105" s="623"/>
      <c r="AR105" s="451">
        <v>2</v>
      </c>
      <c r="AS105" s="451">
        <f>AS104</f>
        <v>500</v>
      </c>
      <c r="AT105" s="451">
        <f>L53</f>
        <v>500.00006999999999</v>
      </c>
      <c r="AU105" s="451">
        <f t="shared" ref="AU105:AX105" si="174">M53</f>
        <v>6.9999999993797246E-5</v>
      </c>
      <c r="AV105" s="451">
        <f t="shared" si="174"/>
        <v>0</v>
      </c>
      <c r="AW105" s="451">
        <f t="shared" si="174"/>
        <v>1.2000000000000002E-6</v>
      </c>
      <c r="AX105" s="440">
        <f t="shared" si="174"/>
        <v>3.0000000000000001E-5</v>
      </c>
    </row>
    <row r="106" spans="1:50" x14ac:dyDescent="0.3">
      <c r="A106" s="646"/>
      <c r="B106" s="405"/>
      <c r="C106" s="405"/>
      <c r="D106" s="405"/>
      <c r="E106" s="405"/>
      <c r="F106" s="405"/>
      <c r="G106" s="405"/>
      <c r="H106" s="417"/>
      <c r="I106" s="405"/>
      <c r="J106" s="408">
        <v>5</v>
      </c>
      <c r="K106" s="409">
        <v>2E-3</v>
      </c>
      <c r="L106" s="403"/>
      <c r="M106" s="403"/>
      <c r="N106" s="403"/>
      <c r="O106" s="403"/>
      <c r="P106" s="403"/>
      <c r="AA106" s="6">
        <v>300</v>
      </c>
      <c r="AB106" s="6">
        <f>AB96+AB77</f>
        <v>300.00006999999999</v>
      </c>
      <c r="AC106" s="6">
        <f>AC96+AC77</f>
        <v>7.0000000008008101E-5</v>
      </c>
      <c r="AD106" s="6">
        <f>AD96+AD77</f>
        <v>0</v>
      </c>
      <c r="AE106" s="6">
        <f>AE96+AE77</f>
        <v>6.000000000000001E-6</v>
      </c>
      <c r="AF106" s="6">
        <f>AF96+AF77</f>
        <v>4.6E-5</v>
      </c>
      <c r="AH106" s="623"/>
      <c r="AI106" s="451">
        <v>3</v>
      </c>
      <c r="AJ106" s="451">
        <f>AJ105</f>
        <v>200</v>
      </c>
      <c r="AK106" s="451">
        <f>L77</f>
        <v>200.00011000000001</v>
      </c>
      <c r="AL106" s="451">
        <f t="shared" ref="AL106:AO106" si="175">M77</f>
        <v>1.1E-4</v>
      </c>
      <c r="AM106" s="451">
        <f t="shared" si="175"/>
        <v>0</v>
      </c>
      <c r="AN106" s="451">
        <f t="shared" si="175"/>
        <v>1.1999999999999999E-4</v>
      </c>
      <c r="AO106" s="451">
        <f t="shared" si="175"/>
        <v>1E-4</v>
      </c>
      <c r="AP106" s="67"/>
      <c r="AQ106" s="623"/>
      <c r="AR106" s="451">
        <v>3</v>
      </c>
      <c r="AS106" s="451">
        <f>AS105</f>
        <v>500</v>
      </c>
      <c r="AT106" s="451">
        <f>L78</f>
        <v>500.00031000000001</v>
      </c>
      <c r="AU106" s="451">
        <f t="shared" ref="AU106:AX106" si="176">M78</f>
        <v>3.1E-4</v>
      </c>
      <c r="AV106" s="451">
        <f t="shared" si="176"/>
        <v>0</v>
      </c>
      <c r="AW106" s="451">
        <f t="shared" si="176"/>
        <v>3.2000000000000003E-4</v>
      </c>
      <c r="AX106" s="440">
        <f t="shared" si="176"/>
        <v>2.5000000000000001E-4</v>
      </c>
    </row>
    <row r="107" spans="1:50" x14ac:dyDescent="0.3">
      <c r="A107" s="646"/>
      <c r="B107" s="405"/>
      <c r="C107" s="405"/>
      <c r="D107" s="405"/>
      <c r="E107" s="405"/>
      <c r="F107" s="405"/>
      <c r="G107" s="405"/>
      <c r="H107" s="417"/>
      <c r="I107" s="405"/>
      <c r="J107" s="408">
        <v>5</v>
      </c>
      <c r="K107" s="409">
        <v>2E-3</v>
      </c>
      <c r="L107" s="403"/>
      <c r="M107" s="403"/>
      <c r="N107" s="403"/>
      <c r="O107" s="403"/>
      <c r="P107" s="403"/>
      <c r="AA107" s="6">
        <v>310</v>
      </c>
      <c r="AB107" s="6">
        <f>AB106+AB41</f>
        <v>310.00007999999997</v>
      </c>
      <c r="AC107" s="6">
        <f t="shared" ref="AC107:AF107" si="177">AC106+AC41</f>
        <v>8.0000000007629524E-5</v>
      </c>
      <c r="AD107" s="6">
        <f t="shared" si="177"/>
        <v>0</v>
      </c>
      <c r="AE107" s="6">
        <f t="shared" si="177"/>
        <v>6.800000000000001E-6</v>
      </c>
      <c r="AF107" s="6">
        <f t="shared" si="177"/>
        <v>5.2000000000000004E-5</v>
      </c>
      <c r="AH107" s="623"/>
      <c r="AI107" s="451">
        <v>4</v>
      </c>
      <c r="AJ107" s="451">
        <f>AJ106</f>
        <v>200</v>
      </c>
      <c r="AK107" s="451"/>
      <c r="AL107" s="451"/>
      <c r="AM107" s="451"/>
      <c r="AN107" s="451"/>
      <c r="AO107" s="451"/>
      <c r="AP107" s="67"/>
      <c r="AQ107" s="623"/>
      <c r="AR107" s="451">
        <v>4</v>
      </c>
      <c r="AS107" s="451">
        <f>AS106</f>
        <v>500</v>
      </c>
      <c r="AT107" s="451"/>
      <c r="AU107" s="451"/>
      <c r="AV107" s="451"/>
      <c r="AW107" s="451"/>
      <c r="AX107" s="439"/>
    </row>
    <row r="108" spans="1:50" x14ac:dyDescent="0.3">
      <c r="A108" s="646"/>
      <c r="B108" s="405"/>
      <c r="C108" s="405"/>
      <c r="D108" s="405"/>
      <c r="E108" s="405"/>
      <c r="F108" s="405"/>
      <c r="G108" s="405"/>
      <c r="H108" s="417"/>
      <c r="I108" s="405"/>
      <c r="J108" s="408">
        <v>5</v>
      </c>
      <c r="K108" s="409">
        <v>5.0000000000000001E-3</v>
      </c>
      <c r="L108" s="403"/>
      <c r="M108" s="403"/>
      <c r="N108" s="403"/>
      <c r="O108" s="403"/>
      <c r="P108" s="403"/>
      <c r="AA108" s="6">
        <v>320</v>
      </c>
      <c r="AB108" s="6">
        <f>AB106+AB51</f>
        <v>320.00007599999998</v>
      </c>
      <c r="AC108" s="6">
        <f t="shared" ref="AC108:AF108" si="178">AC106+AC51</f>
        <v>7.6000000007070412E-5</v>
      </c>
      <c r="AD108" s="6">
        <f t="shared" si="178"/>
        <v>0</v>
      </c>
      <c r="AE108" s="6">
        <f t="shared" si="178"/>
        <v>7.0000000000000007E-6</v>
      </c>
      <c r="AF108" s="6">
        <f t="shared" si="178"/>
        <v>5.3999999999999998E-5</v>
      </c>
      <c r="AH108" s="623"/>
      <c r="AI108" s="451">
        <v>5</v>
      </c>
      <c r="AJ108" s="451">
        <f>AJ107</f>
        <v>200</v>
      </c>
      <c r="AK108" s="451"/>
      <c r="AL108" s="451"/>
      <c r="AM108" s="451"/>
      <c r="AN108" s="451"/>
      <c r="AO108" s="451"/>
      <c r="AP108" s="67"/>
      <c r="AQ108" s="623"/>
      <c r="AR108" s="451">
        <v>5</v>
      </c>
      <c r="AS108" s="451">
        <f>AS107</f>
        <v>500</v>
      </c>
      <c r="AT108" s="451"/>
      <c r="AU108" s="451"/>
      <c r="AV108" s="451"/>
      <c r="AW108" s="451"/>
      <c r="AX108" s="439"/>
    </row>
    <row r="109" spans="1:50" x14ac:dyDescent="0.3">
      <c r="A109" s="646"/>
      <c r="B109" s="405"/>
      <c r="C109" s="405"/>
      <c r="D109" s="405"/>
      <c r="E109" s="405"/>
      <c r="F109" s="405"/>
      <c r="G109" s="405"/>
      <c r="H109" s="417"/>
      <c r="I109" s="405"/>
      <c r="J109" s="408">
        <v>5</v>
      </c>
      <c r="K109" s="409">
        <v>0.01</v>
      </c>
      <c r="L109" s="403"/>
      <c r="M109" s="403"/>
      <c r="N109" s="403"/>
      <c r="O109" s="403"/>
      <c r="P109" s="403"/>
      <c r="AA109" s="6">
        <v>330</v>
      </c>
      <c r="AB109" s="6">
        <f>AB106+AB61</f>
        <v>330.00008600000001</v>
      </c>
      <c r="AC109" s="6">
        <f t="shared" ref="AC109:AF109" si="179">AC106+AC61</f>
        <v>8.6000000006691835E-5</v>
      </c>
      <c r="AD109" s="6">
        <f t="shared" si="179"/>
        <v>0</v>
      </c>
      <c r="AE109" s="6">
        <f t="shared" si="179"/>
        <v>7.8000000000000016E-6</v>
      </c>
      <c r="AF109" s="6">
        <f t="shared" si="179"/>
        <v>6.0000000000000002E-5</v>
      </c>
      <c r="AH109" s="623"/>
      <c r="AI109" s="451">
        <v>6</v>
      </c>
      <c r="AJ109" s="451">
        <f>AJ108</f>
        <v>200</v>
      </c>
      <c r="AK109" s="451"/>
      <c r="AL109" s="451"/>
      <c r="AM109" s="451"/>
      <c r="AN109" s="451"/>
      <c r="AO109" s="451"/>
      <c r="AP109" s="67"/>
      <c r="AQ109" s="623"/>
      <c r="AR109" s="451">
        <v>6</v>
      </c>
      <c r="AS109" s="451">
        <f>AS108</f>
        <v>500</v>
      </c>
      <c r="AT109" s="451"/>
      <c r="AU109" s="451"/>
      <c r="AV109" s="451"/>
      <c r="AW109" s="451"/>
      <c r="AX109" s="439"/>
    </row>
    <row r="110" spans="1:50" x14ac:dyDescent="0.3">
      <c r="A110" s="405"/>
      <c r="B110" s="405"/>
      <c r="C110" s="405"/>
      <c r="D110" s="405"/>
      <c r="E110" s="405"/>
      <c r="F110" s="405"/>
      <c r="G110" s="405"/>
      <c r="H110" s="417"/>
      <c r="I110" s="405"/>
      <c r="J110" s="408">
        <v>5</v>
      </c>
      <c r="K110" s="409">
        <v>0.02</v>
      </c>
      <c r="L110" s="403"/>
      <c r="M110" s="403"/>
      <c r="N110" s="403"/>
      <c r="O110" s="403"/>
      <c r="P110" s="403"/>
      <c r="AA110" s="6">
        <v>340</v>
      </c>
      <c r="AB110" s="6">
        <f>AB106+AB71</f>
        <v>340.00008200000002</v>
      </c>
      <c r="AC110" s="6">
        <f t="shared" ref="AC110:AF110" si="180">AC106+AC71</f>
        <v>8.2000000006132723E-5</v>
      </c>
      <c r="AD110" s="6">
        <f t="shared" si="180"/>
        <v>0</v>
      </c>
      <c r="AE110" s="6">
        <f t="shared" si="180"/>
        <v>8.0000000000000013E-6</v>
      </c>
      <c r="AF110" s="6">
        <f t="shared" si="180"/>
        <v>6.2000000000000003E-5</v>
      </c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</row>
    <row r="111" spans="1:50" x14ac:dyDescent="0.3">
      <c r="A111" s="646"/>
      <c r="B111" s="405"/>
      <c r="C111" s="405"/>
      <c r="D111" s="405"/>
      <c r="E111" s="405"/>
      <c r="F111" s="405"/>
      <c r="G111" s="405"/>
      <c r="H111" s="417"/>
      <c r="I111" s="405"/>
      <c r="J111" s="408">
        <v>5</v>
      </c>
      <c r="K111" s="409">
        <v>0.02</v>
      </c>
      <c r="L111" s="403"/>
      <c r="M111" s="403"/>
      <c r="N111" s="403"/>
      <c r="O111" s="403"/>
      <c r="P111" s="403"/>
      <c r="AA111" s="6">
        <v>350</v>
      </c>
      <c r="AB111" s="6">
        <f>AB106+AB72</f>
        <v>350.000089</v>
      </c>
      <c r="AC111" s="6">
        <f>AC106+AC72</f>
        <v>8.9000000009775704E-5</v>
      </c>
      <c r="AD111" s="6">
        <f>AD106+AD72</f>
        <v>0</v>
      </c>
      <c r="AE111" s="6">
        <f>AE106+AE72</f>
        <v>7.2000000000000014E-6</v>
      </c>
      <c r="AF111" s="6">
        <f>AF106+AF72</f>
        <v>5.5999999999999999E-5</v>
      </c>
      <c r="AH111" s="623">
        <v>1000</v>
      </c>
      <c r="AI111" s="622" t="s">
        <v>242</v>
      </c>
      <c r="AJ111" s="622" t="s">
        <v>322</v>
      </c>
      <c r="AK111" s="622" t="s">
        <v>319</v>
      </c>
      <c r="AL111" s="622" t="s">
        <v>220</v>
      </c>
      <c r="AM111" s="622"/>
      <c r="AN111" s="622" t="s">
        <v>320</v>
      </c>
      <c r="AO111" s="622" t="s">
        <v>218</v>
      </c>
      <c r="AP111" s="67"/>
      <c r="AQ111" s="67"/>
      <c r="AR111" s="67"/>
      <c r="AS111" s="67"/>
      <c r="AT111" s="67"/>
      <c r="AU111" s="67"/>
      <c r="AV111" s="67"/>
      <c r="AW111" s="67"/>
    </row>
    <row r="112" spans="1:50" x14ac:dyDescent="0.3">
      <c r="A112" s="646"/>
      <c r="B112" s="405"/>
      <c r="C112" s="405"/>
      <c r="D112" s="405"/>
      <c r="E112" s="405"/>
      <c r="F112" s="405"/>
      <c r="G112" s="405"/>
      <c r="H112" s="417"/>
      <c r="I112" s="405"/>
      <c r="J112" s="408">
        <v>5</v>
      </c>
      <c r="K112" s="409">
        <v>0.05</v>
      </c>
      <c r="L112" s="403"/>
      <c r="M112" s="403"/>
      <c r="N112" s="403"/>
      <c r="O112" s="403"/>
      <c r="P112" s="403"/>
      <c r="AA112" s="6">
        <v>360</v>
      </c>
      <c r="AB112" s="6">
        <f>AB106+AB73</f>
        <v>360.00009899999998</v>
      </c>
      <c r="AC112" s="6">
        <f t="shared" ref="AC112:AF112" si="181">AC106+AC73</f>
        <v>9.9000000009397127E-5</v>
      </c>
      <c r="AD112" s="6">
        <f t="shared" si="181"/>
        <v>0</v>
      </c>
      <c r="AE112" s="6">
        <f t="shared" si="181"/>
        <v>8.0000000000000013E-6</v>
      </c>
      <c r="AF112" s="6">
        <f t="shared" si="181"/>
        <v>6.2000000000000003E-5</v>
      </c>
      <c r="AH112" s="623"/>
      <c r="AI112" s="622" t="s">
        <v>434</v>
      </c>
      <c r="AJ112" s="622" t="s">
        <v>433</v>
      </c>
      <c r="AK112" s="622" t="s">
        <v>319</v>
      </c>
      <c r="AL112" s="453">
        <v>2022</v>
      </c>
      <c r="AM112" s="455">
        <v>2018</v>
      </c>
      <c r="AN112" s="622" t="s">
        <v>320</v>
      </c>
      <c r="AO112" s="622" t="s">
        <v>218</v>
      </c>
      <c r="AP112" s="67"/>
      <c r="AQ112" s="67"/>
      <c r="AR112" s="67"/>
      <c r="AS112" s="67"/>
      <c r="AT112" s="67"/>
      <c r="AU112" s="67"/>
      <c r="AV112" s="67"/>
      <c r="AW112" s="67"/>
    </row>
    <row r="113" spans="1:49" x14ac:dyDescent="0.3">
      <c r="A113" s="646"/>
      <c r="B113" s="405"/>
      <c r="C113" s="405"/>
      <c r="D113" s="405"/>
      <c r="E113" s="405"/>
      <c r="F113" s="405"/>
      <c r="G113" s="405"/>
      <c r="H113" s="417"/>
      <c r="I113" s="405"/>
      <c r="J113" s="408">
        <v>5</v>
      </c>
      <c r="K113" s="409">
        <v>0.1</v>
      </c>
      <c r="L113" s="403"/>
      <c r="M113" s="403"/>
      <c r="N113" s="403"/>
      <c r="O113" s="403"/>
      <c r="P113" s="403"/>
      <c r="AA113" s="6">
        <v>370</v>
      </c>
      <c r="AB113" s="6">
        <f>AB106+AB74</f>
        <v>370.00009499999999</v>
      </c>
      <c r="AC113" s="6">
        <f t="shared" ref="AC113:AF113" si="182">AC106+AC74</f>
        <v>9.5000000008838015E-5</v>
      </c>
      <c r="AD113" s="6">
        <f t="shared" si="182"/>
        <v>0</v>
      </c>
      <c r="AE113" s="6">
        <f t="shared" si="182"/>
        <v>8.2000000000000011E-6</v>
      </c>
      <c r="AF113" s="6">
        <f t="shared" si="182"/>
        <v>6.3999999999999997E-5</v>
      </c>
      <c r="AH113" s="623" t="s">
        <v>432</v>
      </c>
      <c r="AI113" s="451">
        <v>1</v>
      </c>
      <c r="AJ113" s="451">
        <v>1000</v>
      </c>
      <c r="AK113" s="451">
        <f>L29</f>
        <v>1000.00102</v>
      </c>
      <c r="AL113" s="451">
        <f t="shared" ref="AL113:AO113" si="183">M29</f>
        <v>1.0200000000395448E-3</v>
      </c>
      <c r="AM113" s="451">
        <f t="shared" si="183"/>
        <v>6.3000000000101863E-4</v>
      </c>
      <c r="AN113" s="451">
        <f t="shared" si="183"/>
        <v>1.950000000192631E-4</v>
      </c>
      <c r="AO113" s="451">
        <f t="shared" si="183"/>
        <v>1.1E-4</v>
      </c>
      <c r="AP113" s="67"/>
      <c r="AQ113" s="67"/>
      <c r="AR113" s="67"/>
      <c r="AS113" s="67"/>
      <c r="AT113" s="67"/>
      <c r="AU113" s="67"/>
      <c r="AV113" s="67"/>
      <c r="AW113" s="67"/>
    </row>
    <row r="114" spans="1:49" x14ac:dyDescent="0.3">
      <c r="A114" s="646"/>
      <c r="B114" s="405"/>
      <c r="C114" s="405"/>
      <c r="D114" s="405"/>
      <c r="E114" s="405"/>
      <c r="F114" s="405"/>
      <c r="G114" s="405"/>
      <c r="H114" s="417"/>
      <c r="I114" s="405"/>
      <c r="J114" s="408">
        <v>5</v>
      </c>
      <c r="K114" s="409">
        <v>0.2</v>
      </c>
      <c r="L114" s="403"/>
      <c r="M114" s="403"/>
      <c r="N114" s="403"/>
      <c r="O114" s="403"/>
      <c r="P114" s="403"/>
      <c r="AA114" s="6">
        <v>380</v>
      </c>
      <c r="AB114" s="6">
        <f>AB106+AB75</f>
        <v>380.00010499999996</v>
      </c>
      <c r="AC114" s="6">
        <f t="shared" ref="AC114:AF114" si="184">AC106+AC75</f>
        <v>1.0500000000845944E-4</v>
      </c>
      <c r="AD114" s="6">
        <f t="shared" si="184"/>
        <v>0</v>
      </c>
      <c r="AE114" s="6">
        <f t="shared" si="184"/>
        <v>9.0000000000000019E-6</v>
      </c>
      <c r="AF114" s="6">
        <f t="shared" si="184"/>
        <v>6.9999999999999994E-5</v>
      </c>
      <c r="AH114" s="623"/>
      <c r="AI114" s="451">
        <v>2</v>
      </c>
      <c r="AJ114" s="451">
        <f>AJ113</f>
        <v>1000</v>
      </c>
      <c r="AK114" s="451">
        <f>L54</f>
        <v>1000.00004</v>
      </c>
      <c r="AL114" s="451">
        <f t="shared" ref="AL114:AO114" si="185">M54</f>
        <v>4.0000000012696546E-5</v>
      </c>
      <c r="AM114" s="451">
        <f t="shared" si="185"/>
        <v>0</v>
      </c>
      <c r="AN114" s="451">
        <f t="shared" si="185"/>
        <v>1.0000000000000002E-6</v>
      </c>
      <c r="AO114" s="451">
        <f t="shared" si="185"/>
        <v>3.0000000000000001E-5</v>
      </c>
      <c r="AP114" s="67"/>
      <c r="AQ114" s="67"/>
      <c r="AR114" s="67"/>
      <c r="AS114" s="67"/>
      <c r="AT114" s="67"/>
      <c r="AU114" s="67"/>
      <c r="AV114" s="67"/>
      <c r="AW114" s="67"/>
    </row>
    <row r="115" spans="1:49" x14ac:dyDescent="0.3">
      <c r="A115" s="646"/>
      <c r="B115" s="405"/>
      <c r="C115" s="405"/>
      <c r="D115" s="405"/>
      <c r="E115" s="405"/>
      <c r="F115" s="405"/>
      <c r="G115" s="405"/>
      <c r="H115" s="417"/>
      <c r="I115" s="405"/>
      <c r="J115" s="408">
        <v>5</v>
      </c>
      <c r="K115" s="409">
        <v>0.2</v>
      </c>
      <c r="L115" s="403"/>
      <c r="M115" s="403"/>
      <c r="N115" s="403"/>
      <c r="O115" s="403"/>
      <c r="P115" s="403"/>
      <c r="AA115" s="6">
        <v>390</v>
      </c>
      <c r="AB115" s="6">
        <f>AB106+AB76</f>
        <v>390.00010099999997</v>
      </c>
      <c r="AC115" s="6">
        <f t="shared" ref="AC115:AF115" si="186">AC106+AC76</f>
        <v>1.0100000000790033E-4</v>
      </c>
      <c r="AD115" s="6">
        <f t="shared" si="186"/>
        <v>0</v>
      </c>
      <c r="AE115" s="6">
        <f t="shared" si="186"/>
        <v>9.2000000000000017E-6</v>
      </c>
      <c r="AF115" s="6">
        <f t="shared" si="186"/>
        <v>7.2000000000000002E-5</v>
      </c>
      <c r="AH115" s="623"/>
      <c r="AI115" s="451">
        <v>3</v>
      </c>
      <c r="AJ115" s="451">
        <f>AJ114</f>
        <v>1000</v>
      </c>
      <c r="AK115" s="451">
        <f>L79</f>
        <v>1000.0006</v>
      </c>
      <c r="AL115" s="451">
        <f t="shared" ref="AL115:AO115" si="187">M79</f>
        <v>5.9999999999999995E-4</v>
      </c>
      <c r="AM115" s="451">
        <f t="shared" si="187"/>
        <v>0</v>
      </c>
      <c r="AN115" s="451">
        <f t="shared" si="187"/>
        <v>6.4000000000000005E-4</v>
      </c>
      <c r="AO115" s="451">
        <f t="shared" si="187"/>
        <v>5.0000000000000001E-4</v>
      </c>
      <c r="AP115" s="67"/>
      <c r="AQ115" s="67"/>
      <c r="AR115" s="67"/>
      <c r="AS115" s="67"/>
      <c r="AT115" s="67"/>
      <c r="AU115" s="67"/>
      <c r="AV115" s="67"/>
      <c r="AW115" s="67"/>
    </row>
    <row r="116" spans="1:49" x14ac:dyDescent="0.3">
      <c r="A116" s="646"/>
      <c r="B116" s="405"/>
      <c r="C116" s="405"/>
      <c r="D116" s="405"/>
      <c r="E116" s="405"/>
      <c r="F116" s="405"/>
      <c r="G116" s="405"/>
      <c r="H116" s="417"/>
      <c r="I116" s="405"/>
      <c r="J116" s="408">
        <v>5</v>
      </c>
      <c r="K116" s="409">
        <v>0.5</v>
      </c>
      <c r="L116" s="403"/>
      <c r="M116" s="403"/>
      <c r="N116" s="403"/>
      <c r="O116" s="403"/>
      <c r="P116" s="403"/>
      <c r="AA116" s="6">
        <v>400</v>
      </c>
      <c r="AB116" s="6">
        <f>AB96+U27</f>
        <v>400.00010400000002</v>
      </c>
      <c r="AC116" s="6">
        <f>AC96+V27</f>
        <v>1.0400000002164234E-4</v>
      </c>
      <c r="AD116" s="6">
        <f>AD96+W27</f>
        <v>0</v>
      </c>
      <c r="AE116" s="6">
        <f>AE96+X27</f>
        <v>6.000000000000001E-6</v>
      </c>
      <c r="AF116" s="6">
        <f>AF96+Y27</f>
        <v>6.0000000000000002E-5</v>
      </c>
      <c r="AH116" s="623"/>
      <c r="AI116" s="451">
        <v>4</v>
      </c>
      <c r="AJ116" s="451">
        <f>AJ115</f>
        <v>1000</v>
      </c>
      <c r="AK116" s="451"/>
      <c r="AL116" s="451"/>
      <c r="AM116" s="451"/>
      <c r="AN116" s="451"/>
      <c r="AO116" s="451"/>
      <c r="AP116" s="67"/>
      <c r="AQ116" s="67"/>
      <c r="AR116" s="67"/>
      <c r="AS116" s="67"/>
      <c r="AT116" s="67"/>
      <c r="AU116" s="67"/>
      <c r="AV116" s="67"/>
      <c r="AW116" s="67"/>
    </row>
    <row r="117" spans="1:49" x14ac:dyDescent="0.3">
      <c r="A117" s="646"/>
      <c r="B117" s="405"/>
      <c r="C117" s="405"/>
      <c r="D117" s="405"/>
      <c r="E117" s="405"/>
      <c r="F117" s="405"/>
      <c r="G117" s="405"/>
      <c r="H117" s="417"/>
      <c r="I117" s="405"/>
      <c r="J117" s="408">
        <v>5</v>
      </c>
      <c r="K117" s="409">
        <v>1</v>
      </c>
      <c r="L117" s="403"/>
      <c r="M117" s="403"/>
      <c r="N117" s="403"/>
      <c r="O117" s="403"/>
      <c r="P117" s="403"/>
      <c r="AA117" s="6">
        <v>410</v>
      </c>
      <c r="AB117" s="6">
        <f>AB116+AB41</f>
        <v>410.000114</v>
      </c>
      <c r="AC117" s="6">
        <f t="shared" ref="AC117:AF117" si="188">AC116+AC41</f>
        <v>1.1400000002126376E-4</v>
      </c>
      <c r="AD117" s="6">
        <f t="shared" si="188"/>
        <v>0</v>
      </c>
      <c r="AE117" s="6">
        <f t="shared" si="188"/>
        <v>6.800000000000001E-6</v>
      </c>
      <c r="AF117" s="6">
        <f t="shared" si="188"/>
        <v>6.6000000000000005E-5</v>
      </c>
      <c r="AH117" s="623"/>
      <c r="AI117" s="451">
        <v>5</v>
      </c>
      <c r="AJ117" s="451">
        <f>AJ116</f>
        <v>1000</v>
      </c>
      <c r="AK117" s="451"/>
      <c r="AL117" s="451"/>
      <c r="AM117" s="451"/>
      <c r="AN117" s="451"/>
      <c r="AO117" s="451"/>
      <c r="AP117" s="67"/>
      <c r="AQ117" s="67"/>
      <c r="AR117" s="67"/>
      <c r="AS117" s="67"/>
      <c r="AT117" s="67"/>
      <c r="AU117" s="67"/>
      <c r="AV117" s="67"/>
      <c r="AW117" s="67"/>
    </row>
    <row r="118" spans="1:49" x14ac:dyDescent="0.3">
      <c r="A118" s="646"/>
      <c r="B118" s="405"/>
      <c r="C118" s="405"/>
      <c r="D118" s="405"/>
      <c r="E118" s="405"/>
      <c r="F118" s="405"/>
      <c r="G118" s="405"/>
      <c r="H118" s="417"/>
      <c r="I118" s="405"/>
      <c r="J118" s="408">
        <v>5</v>
      </c>
      <c r="K118" s="409">
        <v>2</v>
      </c>
      <c r="L118" s="403"/>
      <c r="M118" s="403"/>
      <c r="N118" s="403"/>
      <c r="O118" s="403"/>
      <c r="P118" s="403"/>
      <c r="AA118" s="6">
        <v>420</v>
      </c>
      <c r="AB118" s="6">
        <f>AB116+AB51</f>
        <v>420.00011000000001</v>
      </c>
      <c r="AC118" s="6">
        <f t="shared" ref="AC118:AF118" si="189">AC116+AC51</f>
        <v>1.1000000002070465E-4</v>
      </c>
      <c r="AD118" s="6">
        <f t="shared" si="189"/>
        <v>0</v>
      </c>
      <c r="AE118" s="6">
        <f t="shared" si="189"/>
        <v>7.0000000000000007E-6</v>
      </c>
      <c r="AF118" s="6">
        <f t="shared" si="189"/>
        <v>6.7999999999999999E-5</v>
      </c>
      <c r="AH118" s="623"/>
      <c r="AI118" s="451">
        <v>6</v>
      </c>
      <c r="AJ118" s="451">
        <f>AJ117</f>
        <v>1000</v>
      </c>
      <c r="AK118" s="451"/>
      <c r="AL118" s="451"/>
      <c r="AM118" s="451"/>
      <c r="AN118" s="451"/>
      <c r="AO118" s="451"/>
      <c r="AP118" s="67"/>
      <c r="AQ118" s="67"/>
      <c r="AR118" s="67"/>
      <c r="AS118" s="67"/>
      <c r="AT118" s="67"/>
      <c r="AU118" s="67"/>
      <c r="AV118" s="67"/>
      <c r="AW118" s="67"/>
    </row>
    <row r="119" spans="1:49" x14ac:dyDescent="0.3">
      <c r="A119" s="405"/>
      <c r="B119" s="405"/>
      <c r="C119" s="405"/>
      <c r="D119" s="405"/>
      <c r="E119" s="405"/>
      <c r="F119" s="405"/>
      <c r="G119" s="405"/>
      <c r="H119" s="417"/>
      <c r="I119" s="405"/>
      <c r="J119" s="408">
        <v>5</v>
      </c>
      <c r="K119" s="409">
        <v>2</v>
      </c>
      <c r="L119" s="403"/>
      <c r="M119" s="403"/>
      <c r="N119" s="403"/>
      <c r="O119" s="403"/>
      <c r="P119" s="403"/>
      <c r="AA119" s="6">
        <v>430</v>
      </c>
      <c r="AB119" s="6">
        <f>AB116+AB61</f>
        <v>430.00012000000004</v>
      </c>
      <c r="AC119" s="6">
        <f t="shared" ref="AC119:AF119" si="190">AC116+AC61</f>
        <v>1.2000000002032607E-4</v>
      </c>
      <c r="AD119" s="6">
        <f t="shared" si="190"/>
        <v>0</v>
      </c>
      <c r="AE119" s="6">
        <f t="shared" si="190"/>
        <v>7.8000000000000016E-6</v>
      </c>
      <c r="AF119" s="6">
        <f t="shared" si="190"/>
        <v>7.3999999999999996E-5</v>
      </c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</row>
    <row r="120" spans="1:49" x14ac:dyDescent="0.3">
      <c r="A120" s="646"/>
      <c r="B120" s="405"/>
      <c r="C120" s="405"/>
      <c r="D120" s="405"/>
      <c r="E120" s="405"/>
      <c r="F120" s="405"/>
      <c r="G120" s="405"/>
      <c r="H120" s="417"/>
      <c r="I120" s="405"/>
      <c r="J120" s="408">
        <v>5</v>
      </c>
      <c r="K120" s="409">
        <v>5</v>
      </c>
      <c r="L120" s="403"/>
      <c r="M120" s="403"/>
      <c r="N120" s="403"/>
      <c r="O120" s="403"/>
      <c r="P120" s="403"/>
      <c r="AA120" s="6">
        <v>440</v>
      </c>
      <c r="AB120" s="6">
        <f>AB116+AB71</f>
        <v>440.00011600000005</v>
      </c>
      <c r="AC120" s="6">
        <f t="shared" ref="AC120:AF120" si="191">AC116+AC71</f>
        <v>1.1600000001976696E-4</v>
      </c>
      <c r="AD120" s="6">
        <f t="shared" si="191"/>
        <v>0</v>
      </c>
      <c r="AE120" s="6">
        <f t="shared" si="191"/>
        <v>8.0000000000000013E-6</v>
      </c>
      <c r="AF120" s="6">
        <f t="shared" si="191"/>
        <v>7.6000000000000004E-5</v>
      </c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</row>
    <row r="121" spans="1:49" x14ac:dyDescent="0.3">
      <c r="A121" s="646"/>
      <c r="B121" s="405"/>
      <c r="C121" s="405"/>
      <c r="D121" s="405"/>
      <c r="E121" s="405"/>
      <c r="F121" s="405"/>
      <c r="G121" s="405"/>
      <c r="H121" s="417"/>
      <c r="I121" s="405"/>
      <c r="J121" s="408">
        <v>5</v>
      </c>
      <c r="K121" s="409">
        <v>10</v>
      </c>
      <c r="L121" s="403"/>
      <c r="M121" s="403"/>
      <c r="N121" s="403"/>
      <c r="O121" s="403"/>
      <c r="P121" s="403"/>
      <c r="AA121" s="6">
        <v>450</v>
      </c>
      <c r="AB121" s="6">
        <f>AB116+AB72</f>
        <v>450.00012300000003</v>
      </c>
      <c r="AC121" s="6">
        <f>AC116+AC72</f>
        <v>1.2300000002340994E-4</v>
      </c>
      <c r="AD121" s="6">
        <f>AD116+AD72</f>
        <v>0</v>
      </c>
      <c r="AE121" s="6">
        <f>AE116+AE72</f>
        <v>7.2000000000000014E-6</v>
      </c>
      <c r="AF121" s="6">
        <f>AF116+AF72</f>
        <v>7.0000000000000007E-5</v>
      </c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</row>
    <row r="122" spans="1:49" x14ac:dyDescent="0.3">
      <c r="A122" s="646"/>
      <c r="B122" s="405"/>
      <c r="C122" s="405"/>
      <c r="D122" s="405"/>
      <c r="E122" s="405"/>
      <c r="F122" s="405"/>
      <c r="G122" s="405"/>
      <c r="H122" s="417"/>
      <c r="I122" s="405"/>
      <c r="J122" s="408">
        <v>5</v>
      </c>
      <c r="K122" s="409">
        <v>20</v>
      </c>
      <c r="L122" s="403"/>
      <c r="M122" s="403"/>
      <c r="N122" s="403"/>
      <c r="O122" s="403"/>
      <c r="P122" s="403"/>
      <c r="AA122" s="6">
        <v>460</v>
      </c>
      <c r="AB122" s="6">
        <f>AB116+AB73</f>
        <v>460.00013300000001</v>
      </c>
      <c r="AC122" s="6">
        <f>AC116+AC73</f>
        <v>1.3300000002303136E-4</v>
      </c>
      <c r="AD122" s="6">
        <f>AD116+AD73</f>
        <v>0</v>
      </c>
      <c r="AE122" s="6">
        <f>AE116+AE73</f>
        <v>8.0000000000000013E-6</v>
      </c>
      <c r="AF122" s="6">
        <f>AF116+AF73</f>
        <v>7.6000000000000004E-5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</row>
    <row r="123" spans="1:49" x14ac:dyDescent="0.3">
      <c r="A123" s="646"/>
      <c r="B123" s="405"/>
      <c r="C123" s="405"/>
      <c r="D123" s="405"/>
      <c r="E123" s="405"/>
      <c r="F123" s="405"/>
      <c r="G123" s="405"/>
      <c r="H123" s="417"/>
      <c r="I123" s="405"/>
      <c r="J123" s="408">
        <v>5</v>
      </c>
      <c r="K123" s="409">
        <v>20</v>
      </c>
      <c r="L123" s="403"/>
      <c r="M123" s="403"/>
      <c r="N123" s="403"/>
      <c r="O123" s="403"/>
      <c r="P123" s="403"/>
      <c r="AA123" s="6">
        <v>470</v>
      </c>
      <c r="AB123" s="6">
        <f>AB116+AB74</f>
        <v>470.00012900000002</v>
      </c>
      <c r="AC123" s="6">
        <f>AC116+AC74</f>
        <v>1.2900000002247225E-4</v>
      </c>
      <c r="AD123" s="6">
        <f>AD116+AD74</f>
        <v>0</v>
      </c>
      <c r="AE123" s="6">
        <f>AE116+AE74</f>
        <v>8.2000000000000011E-6</v>
      </c>
      <c r="AF123" s="6">
        <f>AF116+AF74</f>
        <v>7.7999999999999999E-5</v>
      </c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</row>
    <row r="124" spans="1:49" x14ac:dyDescent="0.3">
      <c r="A124" s="646"/>
      <c r="B124" s="405"/>
      <c r="C124" s="405"/>
      <c r="D124" s="405"/>
      <c r="E124" s="405"/>
      <c r="F124" s="405"/>
      <c r="G124" s="405"/>
      <c r="H124" s="417"/>
      <c r="I124" s="405"/>
      <c r="J124" s="408">
        <v>5</v>
      </c>
      <c r="K124" s="409">
        <v>50</v>
      </c>
      <c r="L124" s="403"/>
      <c r="M124" s="403"/>
      <c r="N124" s="403"/>
      <c r="O124" s="403"/>
      <c r="P124" s="403"/>
      <c r="AA124" s="6">
        <v>480</v>
      </c>
      <c r="AB124" s="6">
        <f>AB116+AB75</f>
        <v>480.00013899999999</v>
      </c>
      <c r="AC124" s="6">
        <f>AC116+AC75</f>
        <v>1.3900000002209367E-4</v>
      </c>
      <c r="AD124" s="6">
        <f>AD116+AD75</f>
        <v>0</v>
      </c>
      <c r="AE124" s="6">
        <f>AE116+AE75</f>
        <v>9.0000000000000019E-6</v>
      </c>
      <c r="AF124" s="6">
        <f>AF116+AF75</f>
        <v>8.4000000000000009E-5</v>
      </c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</row>
    <row r="125" spans="1:49" x14ac:dyDescent="0.3">
      <c r="A125" s="646"/>
      <c r="B125" s="405"/>
      <c r="C125" s="405"/>
      <c r="D125" s="405"/>
      <c r="E125" s="405"/>
      <c r="F125" s="405"/>
      <c r="G125" s="405"/>
      <c r="H125" s="417"/>
      <c r="I125" s="405"/>
      <c r="J125" s="408">
        <v>5</v>
      </c>
      <c r="K125" s="409">
        <v>100</v>
      </c>
      <c r="L125" s="403"/>
      <c r="M125" s="403"/>
      <c r="N125" s="403"/>
      <c r="O125" s="403"/>
      <c r="P125" s="403"/>
      <c r="AA125" s="6">
        <v>490</v>
      </c>
      <c r="AB125" s="6">
        <f>AB116+AB76</f>
        <v>490.000135</v>
      </c>
      <c r="AC125" s="6">
        <f>AC116+AC76</f>
        <v>1.3500000002153456E-4</v>
      </c>
      <c r="AD125" s="6">
        <f>AD116+AD76</f>
        <v>0</v>
      </c>
      <c r="AE125" s="6">
        <f>AE116+AE76</f>
        <v>9.2000000000000017E-6</v>
      </c>
      <c r="AF125" s="6">
        <f>AF116+AF76</f>
        <v>8.6000000000000003E-5</v>
      </c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</row>
    <row r="126" spans="1:49" x14ac:dyDescent="0.3">
      <c r="A126" s="646"/>
      <c r="B126" s="405"/>
      <c r="C126" s="405"/>
      <c r="D126" s="405"/>
      <c r="E126" s="405"/>
      <c r="F126" s="405"/>
      <c r="G126" s="405"/>
      <c r="H126" s="417"/>
      <c r="I126" s="405"/>
      <c r="J126" s="408">
        <v>5</v>
      </c>
      <c r="K126" s="409">
        <v>200</v>
      </c>
      <c r="L126" s="403"/>
      <c r="M126" s="403"/>
      <c r="N126" s="403"/>
      <c r="O126" s="403"/>
      <c r="P126" s="403"/>
      <c r="AA126" s="6">
        <v>500</v>
      </c>
      <c r="AB126" s="6">
        <f>U28</f>
        <v>500.00006999999999</v>
      </c>
      <c r="AC126" s="6">
        <f>V28</f>
        <v>6.9999999993797246E-5</v>
      </c>
      <c r="AD126" s="6">
        <f>W28</f>
        <v>0</v>
      </c>
      <c r="AE126" s="6">
        <f>X28</f>
        <v>1.2000000000000002E-6</v>
      </c>
      <c r="AF126" s="6">
        <f>Y28</f>
        <v>3.0000000000000001E-5</v>
      </c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</row>
    <row r="127" spans="1:49" x14ac:dyDescent="0.3">
      <c r="A127" s="646"/>
      <c r="B127" s="405"/>
      <c r="C127" s="405"/>
      <c r="D127" s="405"/>
      <c r="E127" s="405"/>
      <c r="F127" s="405"/>
      <c r="G127" s="405"/>
      <c r="H127" s="417"/>
      <c r="I127" s="405"/>
      <c r="J127" s="408">
        <v>5</v>
      </c>
      <c r="K127" s="409">
        <v>200</v>
      </c>
      <c r="L127" s="403"/>
      <c r="M127" s="403"/>
      <c r="N127" s="403"/>
      <c r="O127" s="403"/>
      <c r="P127" s="403"/>
      <c r="AA127" s="6">
        <v>510</v>
      </c>
      <c r="AB127" s="6">
        <f>AB126+AB41</f>
        <v>510.00007999999997</v>
      </c>
      <c r="AC127" s="6">
        <f t="shared" ref="AC127:AF127" si="192">AC126+AC41</f>
        <v>7.9999999993418669E-5</v>
      </c>
      <c r="AD127" s="6">
        <f t="shared" si="192"/>
        <v>0</v>
      </c>
      <c r="AE127" s="6">
        <f t="shared" si="192"/>
        <v>2.0000000000000003E-6</v>
      </c>
      <c r="AF127" s="6">
        <f t="shared" si="192"/>
        <v>3.6000000000000001E-5</v>
      </c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</row>
    <row r="128" spans="1:49" x14ac:dyDescent="0.3">
      <c r="A128" s="405"/>
      <c r="B128" s="405"/>
      <c r="C128" s="405"/>
      <c r="D128" s="405"/>
      <c r="E128" s="405"/>
      <c r="F128" s="405"/>
      <c r="G128" s="405"/>
      <c r="H128" s="417"/>
      <c r="I128" s="405"/>
      <c r="J128" s="408">
        <v>5</v>
      </c>
      <c r="K128" s="409">
        <v>500</v>
      </c>
      <c r="L128" s="403"/>
      <c r="M128" s="403"/>
      <c r="N128" s="403"/>
      <c r="O128" s="403"/>
      <c r="P128" s="403"/>
      <c r="AA128" s="6">
        <v>520</v>
      </c>
      <c r="AB128" s="6">
        <f>AB126+AB51</f>
        <v>520.00007600000004</v>
      </c>
      <c r="AC128" s="6">
        <f t="shared" ref="AC128:AF128" si="193">AC126+AC51</f>
        <v>7.5999999992859557E-5</v>
      </c>
      <c r="AD128" s="6">
        <f t="shared" si="193"/>
        <v>0</v>
      </c>
      <c r="AE128" s="6">
        <f t="shared" si="193"/>
        <v>2.2000000000000001E-6</v>
      </c>
      <c r="AF128" s="6">
        <f t="shared" si="193"/>
        <v>3.8000000000000002E-5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</row>
    <row r="129" spans="1:49" x14ac:dyDescent="0.3">
      <c r="A129" s="405"/>
      <c r="B129" s="405"/>
      <c r="C129" s="405"/>
      <c r="D129" s="405"/>
      <c r="E129" s="405"/>
      <c r="F129" s="405"/>
      <c r="G129" s="405"/>
      <c r="H129" s="417"/>
      <c r="I129" s="405"/>
      <c r="J129" s="408">
        <v>5</v>
      </c>
      <c r="K129" s="409">
        <v>1000</v>
      </c>
      <c r="L129" s="403"/>
      <c r="M129" s="403"/>
      <c r="N129" s="403"/>
      <c r="O129" s="403"/>
      <c r="P129" s="403"/>
      <c r="AA129" s="6">
        <v>530</v>
      </c>
      <c r="AB129" s="6">
        <f>AB126+AB61</f>
        <v>530.00008600000001</v>
      </c>
      <c r="AC129" s="6">
        <f t="shared" ref="AC129:AF129" si="194">AC126+AC61</f>
        <v>8.599999999248098E-5</v>
      </c>
      <c r="AD129" s="6">
        <f t="shared" si="194"/>
        <v>0</v>
      </c>
      <c r="AE129" s="6">
        <f t="shared" si="194"/>
        <v>3.0000000000000001E-6</v>
      </c>
      <c r="AF129" s="6">
        <f t="shared" si="194"/>
        <v>4.3999999999999999E-5</v>
      </c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</row>
    <row r="130" spans="1:49" ht="14.55" customHeight="1" x14ac:dyDescent="0.3">
      <c r="A130" s="405"/>
      <c r="B130" s="405"/>
      <c r="C130" s="405"/>
      <c r="D130" s="405"/>
      <c r="E130" s="405"/>
      <c r="F130" s="405"/>
      <c r="G130" s="405"/>
      <c r="H130" s="416"/>
      <c r="I130" s="405"/>
      <c r="J130" s="408">
        <v>6</v>
      </c>
      <c r="K130" s="411">
        <v>1E-3</v>
      </c>
      <c r="L130" s="412"/>
      <c r="M130" s="412"/>
      <c r="N130" s="412"/>
      <c r="O130" s="412"/>
      <c r="P130" s="412"/>
      <c r="AA130" s="6">
        <v>540</v>
      </c>
      <c r="AB130" s="6">
        <f>AB126+AB71</f>
        <v>540.00008200000002</v>
      </c>
      <c r="AC130" s="6">
        <f t="shared" ref="AC130:AF130" si="195">AC126+AC71</f>
        <v>8.1999999991921868E-5</v>
      </c>
      <c r="AD130" s="6">
        <f t="shared" si="195"/>
        <v>0</v>
      </c>
      <c r="AE130" s="6">
        <f t="shared" si="195"/>
        <v>3.2000000000000007E-6</v>
      </c>
      <c r="AF130" s="6">
        <f t="shared" si="195"/>
        <v>4.6E-5</v>
      </c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</row>
    <row r="131" spans="1:49" x14ac:dyDescent="0.3">
      <c r="A131" s="405"/>
      <c r="B131" s="405"/>
      <c r="C131" s="405"/>
      <c r="D131" s="405"/>
      <c r="E131" s="405"/>
      <c r="F131" s="405"/>
      <c r="G131" s="405"/>
      <c r="H131" s="417"/>
      <c r="I131" s="405"/>
      <c r="J131" s="408">
        <v>6</v>
      </c>
      <c r="K131" s="409">
        <v>2E-3</v>
      </c>
      <c r="L131" s="403"/>
      <c r="M131" s="403"/>
      <c r="N131" s="403"/>
      <c r="O131" s="403"/>
      <c r="P131" s="403"/>
      <c r="AA131" s="6">
        <v>550</v>
      </c>
      <c r="AB131" s="6">
        <f>AB126+AB72</f>
        <v>550.000089</v>
      </c>
      <c r="AC131" s="6">
        <f t="shared" ref="AC131:AF131" si="196">AC126+AC72</f>
        <v>8.8999999995564849E-5</v>
      </c>
      <c r="AD131" s="6">
        <f t="shared" si="196"/>
        <v>0</v>
      </c>
      <c r="AE131" s="6">
        <f t="shared" si="196"/>
        <v>2.4000000000000003E-6</v>
      </c>
      <c r="AF131" s="6">
        <f t="shared" si="196"/>
        <v>4.0000000000000003E-5</v>
      </c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</row>
    <row r="132" spans="1:49" x14ac:dyDescent="0.3">
      <c r="A132" s="405"/>
      <c r="B132" s="405"/>
      <c r="C132" s="405"/>
      <c r="D132" s="405"/>
      <c r="E132" s="405"/>
      <c r="F132" s="405"/>
      <c r="G132" s="405"/>
      <c r="H132" s="417"/>
      <c r="I132" s="405"/>
      <c r="J132" s="408">
        <v>6</v>
      </c>
      <c r="K132" s="409">
        <v>2E-3</v>
      </c>
      <c r="L132" s="403"/>
      <c r="M132" s="403"/>
      <c r="N132" s="403"/>
      <c r="O132" s="403"/>
      <c r="P132" s="403"/>
      <c r="AA132" s="6">
        <v>560</v>
      </c>
      <c r="AB132" s="6">
        <f>AB126+AB73</f>
        <v>560.00009899999998</v>
      </c>
      <c r="AC132" s="6">
        <f t="shared" ref="AC132:AF132" si="197">AC126+AC73</f>
        <v>9.8999999995186272E-5</v>
      </c>
      <c r="AD132" s="6">
        <f t="shared" si="197"/>
        <v>0</v>
      </c>
      <c r="AE132" s="6">
        <f t="shared" si="197"/>
        <v>3.2000000000000007E-6</v>
      </c>
      <c r="AF132" s="6">
        <f t="shared" si="197"/>
        <v>4.6000000000000007E-5</v>
      </c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</row>
    <row r="133" spans="1:49" x14ac:dyDescent="0.3">
      <c r="A133" s="405"/>
      <c r="B133" s="405"/>
      <c r="C133" s="405"/>
      <c r="D133" s="405"/>
      <c r="E133" s="405"/>
      <c r="F133" s="405"/>
      <c r="G133" s="405"/>
      <c r="H133" s="417"/>
      <c r="I133" s="405"/>
      <c r="J133" s="408">
        <v>6</v>
      </c>
      <c r="K133" s="409">
        <v>5.0000000000000001E-3</v>
      </c>
      <c r="L133" s="403"/>
      <c r="M133" s="403"/>
      <c r="N133" s="403"/>
      <c r="O133" s="403"/>
      <c r="P133" s="403"/>
      <c r="AA133" s="6">
        <v>570</v>
      </c>
      <c r="AB133" s="6">
        <f>AB126+AB74</f>
        <v>570.00009499999999</v>
      </c>
      <c r="AC133" s="6">
        <f t="shared" ref="AC133:AF133" si="198">AC126+AC74</f>
        <v>9.499999999462716E-5</v>
      </c>
      <c r="AD133" s="6">
        <f t="shared" si="198"/>
        <v>0</v>
      </c>
      <c r="AE133" s="6">
        <f t="shared" si="198"/>
        <v>3.4000000000000005E-6</v>
      </c>
      <c r="AF133" s="6">
        <f t="shared" si="198"/>
        <v>4.8000000000000001E-5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</row>
    <row r="134" spans="1:49" x14ac:dyDescent="0.3">
      <c r="A134" s="405"/>
      <c r="B134" s="405"/>
      <c r="C134" s="405"/>
      <c r="D134" s="405"/>
      <c r="E134" s="405"/>
      <c r="F134" s="405"/>
      <c r="G134" s="405"/>
      <c r="H134" s="417"/>
      <c r="I134" s="405"/>
      <c r="J134" s="408">
        <v>6</v>
      </c>
      <c r="K134" s="409">
        <v>0.01</v>
      </c>
      <c r="L134" s="403"/>
      <c r="M134" s="403"/>
      <c r="N134" s="403"/>
      <c r="O134" s="403"/>
      <c r="P134" s="403"/>
      <c r="AA134" s="6">
        <v>580</v>
      </c>
      <c r="AB134" s="6">
        <f>AB126+AB75</f>
        <v>580.00010499999996</v>
      </c>
      <c r="AC134" s="6">
        <f t="shared" ref="AC134:AF134" si="199">AC126+AC75</f>
        <v>1.0499999999424858E-4</v>
      </c>
      <c r="AD134" s="6">
        <f t="shared" si="199"/>
        <v>0</v>
      </c>
      <c r="AE134" s="6">
        <f t="shared" si="199"/>
        <v>4.2000000000000004E-6</v>
      </c>
      <c r="AF134" s="6">
        <f t="shared" si="199"/>
        <v>5.3999999999999998E-5</v>
      </c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</row>
    <row r="135" spans="1:49" x14ac:dyDescent="0.3">
      <c r="A135" s="405"/>
      <c r="B135" s="405"/>
      <c r="C135" s="405"/>
      <c r="D135" s="405"/>
      <c r="E135" s="405"/>
      <c r="F135" s="405"/>
      <c r="G135" s="405"/>
      <c r="H135" s="417"/>
      <c r="I135" s="405"/>
      <c r="J135" s="408">
        <v>6</v>
      </c>
      <c r="K135" s="409">
        <v>0.02</v>
      </c>
      <c r="L135" s="403"/>
      <c r="M135" s="403"/>
      <c r="N135" s="403"/>
      <c r="O135" s="403"/>
      <c r="P135" s="403"/>
      <c r="AA135" s="6">
        <v>590</v>
      </c>
      <c r="AB135" s="6">
        <f>AB126+AB76</f>
        <v>590.00010099999997</v>
      </c>
      <c r="AC135" s="6">
        <f t="shared" ref="AC135:AF135" si="200">AC126+AC76</f>
        <v>1.0099999999368947E-4</v>
      </c>
      <c r="AD135" s="6">
        <f t="shared" si="200"/>
        <v>0</v>
      </c>
      <c r="AE135" s="6">
        <f t="shared" si="200"/>
        <v>4.4000000000000011E-6</v>
      </c>
      <c r="AF135" s="6">
        <f t="shared" si="200"/>
        <v>5.6000000000000006E-5</v>
      </c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</row>
    <row r="136" spans="1:49" x14ac:dyDescent="0.3">
      <c r="A136" s="405"/>
      <c r="B136" s="405"/>
      <c r="C136" s="405"/>
      <c r="D136" s="405"/>
      <c r="E136" s="405"/>
      <c r="F136" s="405"/>
      <c r="G136" s="405"/>
      <c r="H136" s="417"/>
      <c r="I136" s="405"/>
      <c r="J136" s="408">
        <v>6</v>
      </c>
      <c r="K136" s="409">
        <v>0.02</v>
      </c>
      <c r="L136" s="403"/>
      <c r="M136" s="403"/>
      <c r="N136" s="403"/>
      <c r="O136" s="403"/>
      <c r="P136" s="403"/>
      <c r="AA136" s="6">
        <v>600</v>
      </c>
      <c r="AB136" s="6">
        <f>AB126+AB77</f>
        <v>600.00008800000001</v>
      </c>
      <c r="AC136" s="6">
        <f>AC126+AC77</f>
        <v>8.7999999990984179E-5</v>
      </c>
      <c r="AD136" s="6">
        <f>AD126+AD77</f>
        <v>0</v>
      </c>
      <c r="AE136" s="6">
        <f>AE126+AE77</f>
        <v>3.2000000000000007E-6</v>
      </c>
      <c r="AF136" s="6">
        <f>AF126+AF77</f>
        <v>4.6E-5</v>
      </c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</row>
    <row r="137" spans="1:49" x14ac:dyDescent="0.3">
      <c r="A137" s="460"/>
      <c r="B137" s="405"/>
      <c r="C137" s="405"/>
      <c r="D137" s="405"/>
      <c r="E137" s="405"/>
      <c r="F137" s="463"/>
      <c r="G137" s="463"/>
      <c r="H137" s="417"/>
      <c r="I137" s="405"/>
      <c r="J137" s="408">
        <v>6</v>
      </c>
      <c r="K137" s="409">
        <v>0.05</v>
      </c>
      <c r="L137" s="403"/>
      <c r="M137" s="403"/>
      <c r="N137" s="403"/>
      <c r="O137" s="403"/>
      <c r="P137" s="403"/>
      <c r="AA137" s="6">
        <v>700</v>
      </c>
      <c r="AB137" s="6">
        <f>AB126+AB96</f>
        <v>700.00012200000003</v>
      </c>
      <c r="AC137" s="6">
        <f>AC126+AC96</f>
        <v>1.2200000000461841E-4</v>
      </c>
      <c r="AD137" s="6">
        <f>AD126+AD96</f>
        <v>0</v>
      </c>
      <c r="AE137" s="6">
        <f>AE126+AE96</f>
        <v>5.200000000000001E-6</v>
      </c>
      <c r="AF137" s="6">
        <f>AF126+AF96</f>
        <v>6.0000000000000002E-5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</row>
    <row r="138" spans="1:49" x14ac:dyDescent="0.3">
      <c r="A138" s="460"/>
      <c r="B138" s="405"/>
      <c r="C138" s="405"/>
      <c r="D138" s="405"/>
      <c r="E138" s="405"/>
      <c r="F138" s="403"/>
      <c r="G138" s="403"/>
      <c r="H138" s="417"/>
      <c r="I138" s="405"/>
      <c r="J138" s="408">
        <v>6</v>
      </c>
      <c r="K138" s="409">
        <v>0.1</v>
      </c>
      <c r="L138" s="403"/>
      <c r="M138" s="403"/>
      <c r="N138" s="403"/>
      <c r="O138" s="403"/>
      <c r="P138" s="403"/>
      <c r="AA138" s="6">
        <v>800</v>
      </c>
      <c r="AB138" s="6">
        <f>AB126+AB106</f>
        <v>800.00013999999999</v>
      </c>
      <c r="AC138" s="6">
        <f>AC126+AC106</f>
        <v>1.4000000000180535E-4</v>
      </c>
      <c r="AD138" s="6">
        <f>AD126+AD106</f>
        <v>0</v>
      </c>
      <c r="AE138" s="6">
        <f>AE126+AE106</f>
        <v>7.2000000000000014E-6</v>
      </c>
      <c r="AF138" s="6">
        <f>AF126+AF106</f>
        <v>7.6000000000000004E-5</v>
      </c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</row>
    <row r="139" spans="1:49" x14ac:dyDescent="0.3">
      <c r="A139" s="460"/>
      <c r="B139" s="405"/>
      <c r="C139" s="405"/>
      <c r="D139" s="405"/>
      <c r="E139" s="405"/>
      <c r="F139" s="403"/>
      <c r="G139" s="403"/>
      <c r="H139" s="417"/>
      <c r="I139" s="405"/>
      <c r="J139" s="408">
        <v>6</v>
      </c>
      <c r="K139" s="409">
        <v>0.2</v>
      </c>
      <c r="L139" s="403"/>
      <c r="M139" s="403"/>
      <c r="N139" s="403"/>
      <c r="O139" s="403"/>
      <c r="P139" s="403"/>
      <c r="AA139" s="6">
        <v>900</v>
      </c>
      <c r="AB139" s="6">
        <f>AB126+AB116</f>
        <v>900.00017400000002</v>
      </c>
      <c r="AC139" s="6">
        <f>AC126+AC116</f>
        <v>1.7400000001543958E-4</v>
      </c>
      <c r="AD139" s="6">
        <f>AD126+AD116</f>
        <v>0</v>
      </c>
      <c r="AE139" s="6">
        <f>AE126+AE116</f>
        <v>7.2000000000000014E-6</v>
      </c>
      <c r="AF139" s="6">
        <f>AF126+AF116</f>
        <v>9.0000000000000006E-5</v>
      </c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</row>
    <row r="140" spans="1:49" ht="14.55" customHeight="1" x14ac:dyDescent="0.3">
      <c r="A140" s="460"/>
      <c r="B140" s="405"/>
      <c r="C140" s="405"/>
      <c r="D140" s="405"/>
      <c r="E140" s="405"/>
      <c r="F140" s="403"/>
      <c r="G140" s="403"/>
      <c r="H140" s="417"/>
      <c r="I140" s="405"/>
      <c r="J140" s="408">
        <v>6</v>
      </c>
      <c r="K140" s="409">
        <v>0.2</v>
      </c>
      <c r="L140" s="403"/>
      <c r="M140" s="403"/>
      <c r="N140" s="403"/>
      <c r="O140" s="403"/>
      <c r="P140" s="403"/>
      <c r="AA140" s="6">
        <v>1000</v>
      </c>
      <c r="AB140" s="6">
        <f>U29</f>
        <v>1000.00004</v>
      </c>
      <c r="AC140" s="6">
        <f>V29</f>
        <v>4.0000000012696546E-5</v>
      </c>
      <c r="AD140" s="6">
        <f>W29</f>
        <v>0</v>
      </c>
      <c r="AE140" s="6">
        <f>X29</f>
        <v>1.0000000000000002E-6</v>
      </c>
      <c r="AF140" s="6">
        <f>Y29</f>
        <v>3.0000000000000001E-5</v>
      </c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</row>
    <row r="141" spans="1:49" x14ac:dyDescent="0.3">
      <c r="A141" s="460"/>
      <c r="B141" s="405"/>
      <c r="C141" s="405"/>
      <c r="D141" s="405"/>
      <c r="E141" s="405"/>
      <c r="F141" s="403"/>
      <c r="G141" s="403"/>
      <c r="H141" s="417"/>
      <c r="I141" s="405"/>
      <c r="J141" s="408">
        <v>6</v>
      </c>
      <c r="K141" s="409">
        <v>0.5</v>
      </c>
      <c r="L141" s="403"/>
      <c r="M141" s="403"/>
      <c r="N141" s="403"/>
      <c r="O141" s="403"/>
      <c r="P141" s="403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</row>
    <row r="142" spans="1:49" x14ac:dyDescent="0.3">
      <c r="A142" s="460"/>
      <c r="B142" s="405"/>
      <c r="C142" s="405"/>
      <c r="D142" s="405"/>
      <c r="E142" s="405"/>
      <c r="F142" s="403"/>
      <c r="G142" s="403"/>
      <c r="H142" s="417"/>
      <c r="I142" s="405"/>
      <c r="J142" s="408">
        <v>6</v>
      </c>
      <c r="K142" s="409">
        <v>1</v>
      </c>
      <c r="L142" s="403"/>
      <c r="M142" s="403"/>
      <c r="N142" s="403"/>
      <c r="O142" s="403"/>
      <c r="P142" s="403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</row>
    <row r="143" spans="1:49" x14ac:dyDescent="0.3">
      <c r="A143" s="460"/>
      <c r="B143" s="405"/>
      <c r="C143" s="405"/>
      <c r="D143" s="405"/>
      <c r="E143" s="405"/>
      <c r="F143" s="403"/>
      <c r="G143" s="403"/>
      <c r="H143" s="417"/>
      <c r="I143" s="405"/>
      <c r="J143" s="408">
        <v>6</v>
      </c>
      <c r="K143" s="409">
        <v>2</v>
      </c>
      <c r="L143" s="403"/>
      <c r="M143" s="403"/>
      <c r="N143" s="403"/>
      <c r="O143" s="403"/>
      <c r="P143" s="403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</row>
    <row r="144" spans="1:49" x14ac:dyDescent="0.3">
      <c r="A144" s="460"/>
      <c r="B144" s="405"/>
      <c r="C144" s="405"/>
      <c r="D144" s="405"/>
      <c r="E144" s="405"/>
      <c r="F144" s="403"/>
      <c r="G144" s="403"/>
      <c r="H144" s="417"/>
      <c r="I144" s="405"/>
      <c r="J144" s="408">
        <v>6</v>
      </c>
      <c r="K144" s="409">
        <v>2</v>
      </c>
      <c r="L144" s="403"/>
      <c r="M144" s="403"/>
      <c r="N144" s="403"/>
      <c r="O144" s="403"/>
      <c r="P144" s="403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</row>
    <row r="145" spans="1:49" ht="14.55" customHeight="1" x14ac:dyDescent="0.3">
      <c r="A145" s="460"/>
      <c r="B145" s="405"/>
      <c r="C145" s="405"/>
      <c r="D145" s="405"/>
      <c r="E145" s="405"/>
      <c r="F145" s="405"/>
      <c r="G145" s="405"/>
      <c r="H145" s="417"/>
      <c r="I145" s="405"/>
      <c r="J145" s="408">
        <v>6</v>
      </c>
      <c r="K145" s="409">
        <v>5</v>
      </c>
      <c r="L145" s="403"/>
      <c r="M145" s="403"/>
      <c r="N145" s="403"/>
      <c r="O145" s="403"/>
      <c r="P145" s="403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</row>
    <row r="146" spans="1:49" x14ac:dyDescent="0.3">
      <c r="A146" s="460"/>
      <c r="B146" s="405"/>
      <c r="C146" s="405"/>
      <c r="D146" s="405"/>
      <c r="E146" s="405"/>
      <c r="F146" s="403"/>
      <c r="G146" s="403"/>
      <c r="H146" s="417"/>
      <c r="I146" s="405"/>
      <c r="J146" s="408">
        <v>6</v>
      </c>
      <c r="K146" s="409">
        <v>10</v>
      </c>
      <c r="L146" s="403"/>
      <c r="M146" s="403"/>
      <c r="N146" s="403"/>
      <c r="O146" s="403"/>
      <c r="P146" s="403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</row>
    <row r="147" spans="1:49" x14ac:dyDescent="0.3">
      <c r="A147" s="460"/>
      <c r="B147" s="405"/>
      <c r="C147" s="405"/>
      <c r="D147" s="405"/>
      <c r="E147" s="405"/>
      <c r="F147" s="403"/>
      <c r="G147" s="403"/>
      <c r="H147" s="417"/>
      <c r="I147" s="405"/>
      <c r="J147" s="408">
        <v>6</v>
      </c>
      <c r="K147" s="409">
        <v>20</v>
      </c>
      <c r="L147" s="403"/>
      <c r="M147" s="403"/>
      <c r="N147" s="403"/>
      <c r="O147" s="403"/>
      <c r="P147" s="403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</row>
    <row r="148" spans="1:49" x14ac:dyDescent="0.3">
      <c r="A148" s="460"/>
      <c r="B148" s="405"/>
      <c r="C148" s="405"/>
      <c r="D148" s="405"/>
      <c r="E148" s="405"/>
      <c r="F148" s="403"/>
      <c r="G148" s="403"/>
      <c r="H148" s="417"/>
      <c r="I148" s="405"/>
      <c r="J148" s="408">
        <v>6</v>
      </c>
      <c r="K148" s="409">
        <v>20</v>
      </c>
      <c r="L148" s="403"/>
      <c r="M148" s="403"/>
      <c r="N148" s="403"/>
      <c r="O148" s="403"/>
      <c r="P148" s="403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</row>
    <row r="149" spans="1:49" x14ac:dyDescent="0.3">
      <c r="A149" s="460"/>
      <c r="B149" s="405"/>
      <c r="C149" s="405"/>
      <c r="D149" s="405"/>
      <c r="E149" s="405"/>
      <c r="F149" s="403"/>
      <c r="G149" s="403"/>
      <c r="H149" s="417"/>
      <c r="I149" s="405"/>
      <c r="J149" s="408">
        <v>6</v>
      </c>
      <c r="K149" s="409">
        <v>50</v>
      </c>
      <c r="L149" s="403"/>
      <c r="M149" s="403"/>
      <c r="N149" s="403"/>
      <c r="O149" s="403"/>
      <c r="P149" s="403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</row>
    <row r="150" spans="1:49" x14ac:dyDescent="0.3">
      <c r="A150" s="460"/>
      <c r="B150" s="405"/>
      <c r="C150" s="405"/>
      <c r="D150" s="405"/>
      <c r="E150" s="405"/>
      <c r="F150" s="403"/>
      <c r="G150" s="403"/>
      <c r="H150" s="417"/>
      <c r="I150" s="405"/>
      <c r="J150" s="408">
        <v>6</v>
      </c>
      <c r="K150" s="409">
        <v>100</v>
      </c>
      <c r="L150" s="403"/>
      <c r="M150" s="403"/>
      <c r="N150" s="403"/>
      <c r="O150" s="403"/>
      <c r="P150" s="403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</row>
    <row r="151" spans="1:49" x14ac:dyDescent="0.3">
      <c r="A151" s="460"/>
      <c r="B151" s="405"/>
      <c r="C151" s="405"/>
      <c r="D151" s="405"/>
      <c r="E151" s="405"/>
      <c r="F151" s="403"/>
      <c r="G151" s="403"/>
      <c r="H151" s="417"/>
      <c r="I151" s="405"/>
      <c r="J151" s="408">
        <v>6</v>
      </c>
      <c r="K151" s="409">
        <v>200</v>
      </c>
      <c r="L151" s="403"/>
      <c r="M151" s="403"/>
      <c r="N151" s="403"/>
      <c r="O151" s="403"/>
      <c r="P151" s="403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</row>
    <row r="152" spans="1:49" x14ac:dyDescent="0.3">
      <c r="A152" s="460"/>
      <c r="B152" s="405"/>
      <c r="C152" s="405"/>
      <c r="D152" s="405"/>
      <c r="E152" s="405"/>
      <c r="F152" s="403"/>
      <c r="G152" s="403"/>
      <c r="H152" s="417"/>
      <c r="I152" s="405"/>
      <c r="J152" s="408">
        <v>6</v>
      </c>
      <c r="K152" s="409">
        <v>200</v>
      </c>
      <c r="L152" s="403"/>
      <c r="M152" s="403"/>
      <c r="N152" s="403"/>
      <c r="O152" s="403"/>
      <c r="P152" s="403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</row>
    <row r="153" spans="1:49" x14ac:dyDescent="0.3">
      <c r="A153" s="460"/>
      <c r="B153" s="405"/>
      <c r="C153" s="405"/>
      <c r="D153" s="405"/>
      <c r="E153" s="405"/>
      <c r="F153" s="403"/>
      <c r="G153" s="403"/>
      <c r="H153" s="417"/>
      <c r="I153" s="405"/>
      <c r="J153" s="408">
        <v>6</v>
      </c>
      <c r="K153" s="409">
        <v>500</v>
      </c>
      <c r="L153" s="403"/>
      <c r="M153" s="403"/>
      <c r="N153" s="403"/>
      <c r="O153" s="403"/>
      <c r="P153" s="403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</row>
    <row r="154" spans="1:49" x14ac:dyDescent="0.3">
      <c r="A154" s="461"/>
      <c r="F154" s="405"/>
      <c r="G154" s="405"/>
      <c r="H154" s="417"/>
      <c r="I154" s="405"/>
      <c r="J154" s="408">
        <v>6</v>
      </c>
      <c r="K154" s="409">
        <v>1000</v>
      </c>
      <c r="L154" s="403"/>
      <c r="M154" s="403"/>
      <c r="N154" s="403"/>
      <c r="O154" s="403"/>
      <c r="P154" s="403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</row>
    <row r="155" spans="1:49" ht="14.55" customHeight="1" x14ac:dyDescent="0.3">
      <c r="A155" s="461"/>
      <c r="F155" s="405"/>
      <c r="G155" s="405"/>
      <c r="H155" s="416"/>
      <c r="I155" s="405"/>
      <c r="J155" s="408">
        <v>7</v>
      </c>
      <c r="K155" s="411">
        <v>1E-3</v>
      </c>
      <c r="L155" s="412"/>
      <c r="M155" s="412"/>
      <c r="N155" s="412"/>
      <c r="O155" s="412"/>
      <c r="P155" s="412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</row>
    <row r="156" spans="1:49" x14ac:dyDescent="0.3">
      <c r="A156" s="461"/>
      <c r="F156" s="405"/>
      <c r="G156" s="405"/>
      <c r="H156" s="417"/>
      <c r="I156" s="405"/>
      <c r="J156" s="408">
        <v>7</v>
      </c>
      <c r="K156" s="409">
        <v>2E-3</v>
      </c>
      <c r="L156" s="403"/>
      <c r="M156" s="403"/>
      <c r="N156" s="403"/>
      <c r="O156" s="403"/>
      <c r="P156" s="403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</row>
    <row r="157" spans="1:49" x14ac:dyDescent="0.3">
      <c r="A157" s="461"/>
      <c r="F157" s="405"/>
      <c r="G157" s="405"/>
      <c r="H157" s="417"/>
      <c r="I157" s="405"/>
      <c r="J157" s="408">
        <v>7</v>
      </c>
      <c r="K157" s="409">
        <v>2E-3</v>
      </c>
      <c r="L157" s="403"/>
      <c r="M157" s="403"/>
      <c r="N157" s="403"/>
      <c r="O157" s="403"/>
      <c r="P157" s="403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</row>
    <row r="158" spans="1:49" x14ac:dyDescent="0.3">
      <c r="A158" s="461"/>
      <c r="F158" s="405"/>
      <c r="G158" s="405"/>
      <c r="H158" s="417"/>
      <c r="I158" s="405"/>
      <c r="J158" s="408">
        <v>7</v>
      </c>
      <c r="K158" s="409">
        <v>5.0000000000000001E-3</v>
      </c>
      <c r="L158" s="403"/>
      <c r="M158" s="403"/>
      <c r="N158" s="403"/>
      <c r="O158" s="403"/>
      <c r="P158" s="403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</row>
    <row r="159" spans="1:49" x14ac:dyDescent="0.3">
      <c r="A159" s="461"/>
      <c r="F159" s="405"/>
      <c r="G159" s="405"/>
      <c r="H159" s="417"/>
      <c r="I159" s="405"/>
      <c r="J159" s="408">
        <v>7</v>
      </c>
      <c r="K159" s="409">
        <v>0.01</v>
      </c>
      <c r="L159" s="403"/>
      <c r="M159" s="403"/>
      <c r="N159" s="403"/>
      <c r="O159" s="403"/>
      <c r="P159" s="403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</row>
    <row r="160" spans="1:49" x14ac:dyDescent="0.3">
      <c r="A160" s="461"/>
      <c r="F160" s="405"/>
      <c r="G160" s="405"/>
      <c r="H160" s="417"/>
      <c r="I160" s="405"/>
      <c r="J160" s="408">
        <v>7</v>
      </c>
      <c r="K160" s="409">
        <v>0.02</v>
      </c>
      <c r="L160" s="403"/>
      <c r="M160" s="403"/>
      <c r="N160" s="403"/>
      <c r="O160" s="403"/>
      <c r="P160" s="403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</row>
    <row r="161" spans="1:49" x14ac:dyDescent="0.3">
      <c r="A161" s="461"/>
      <c r="F161" s="405"/>
      <c r="G161" s="405"/>
      <c r="H161" s="417"/>
      <c r="I161" s="405"/>
      <c r="J161" s="408">
        <v>7</v>
      </c>
      <c r="K161" s="409">
        <v>0.02</v>
      </c>
      <c r="L161" s="403"/>
      <c r="M161" s="403"/>
      <c r="N161" s="403"/>
      <c r="O161" s="403"/>
      <c r="P161" s="403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</row>
    <row r="162" spans="1:49" x14ac:dyDescent="0.3">
      <c r="A162" s="461"/>
      <c r="F162" s="405"/>
      <c r="G162" s="405"/>
      <c r="H162" s="417"/>
      <c r="I162" s="405"/>
      <c r="J162" s="408">
        <v>7</v>
      </c>
      <c r="K162" s="409">
        <v>0.05</v>
      </c>
      <c r="L162" s="403"/>
      <c r="M162" s="403"/>
      <c r="N162" s="403"/>
      <c r="O162" s="403"/>
      <c r="P162" s="403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</row>
    <row r="163" spans="1:49" x14ac:dyDescent="0.3">
      <c r="A163" s="461"/>
      <c r="F163" s="405"/>
      <c r="G163" s="405"/>
      <c r="H163" s="417"/>
      <c r="I163" s="405"/>
      <c r="J163" s="408">
        <v>7</v>
      </c>
      <c r="K163" s="409">
        <v>0.1</v>
      </c>
      <c r="L163" s="403"/>
      <c r="M163" s="403"/>
      <c r="N163" s="403"/>
      <c r="O163" s="403"/>
      <c r="P163" s="403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</row>
    <row r="164" spans="1:49" x14ac:dyDescent="0.3">
      <c r="A164" s="461"/>
      <c r="F164" s="405"/>
      <c r="G164" s="405"/>
      <c r="H164" s="417"/>
      <c r="I164" s="405"/>
      <c r="J164" s="408">
        <v>7</v>
      </c>
      <c r="K164" s="409">
        <v>0.2</v>
      </c>
      <c r="L164" s="403"/>
      <c r="M164" s="403"/>
      <c r="N164" s="403"/>
      <c r="O164" s="403"/>
      <c r="P164" s="403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</row>
    <row r="165" spans="1:49" x14ac:dyDescent="0.3">
      <c r="A165" s="461"/>
      <c r="F165" s="405"/>
      <c r="G165" s="405"/>
      <c r="H165" s="417"/>
      <c r="I165" s="405"/>
      <c r="J165" s="408">
        <v>7</v>
      </c>
      <c r="K165" s="409">
        <v>0.2</v>
      </c>
      <c r="L165" s="403"/>
      <c r="M165" s="403"/>
      <c r="N165" s="403"/>
      <c r="O165" s="403"/>
      <c r="P165" s="403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</row>
    <row r="166" spans="1:49" x14ac:dyDescent="0.3">
      <c r="F166" s="405"/>
      <c r="G166" s="405"/>
      <c r="H166" s="417"/>
      <c r="I166" s="405"/>
      <c r="J166" s="408">
        <v>7</v>
      </c>
      <c r="K166" s="409">
        <v>0.5</v>
      </c>
      <c r="L166" s="403"/>
      <c r="M166" s="403"/>
      <c r="N166" s="403"/>
      <c r="O166" s="403"/>
      <c r="P166" s="403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</row>
    <row r="167" spans="1:49" x14ac:dyDescent="0.3">
      <c r="F167" s="405"/>
      <c r="G167" s="405"/>
      <c r="H167" s="417"/>
      <c r="I167" s="405"/>
      <c r="J167" s="408">
        <v>7</v>
      </c>
      <c r="K167" s="409">
        <v>1</v>
      </c>
      <c r="L167" s="403"/>
      <c r="M167" s="403"/>
      <c r="N167" s="403"/>
      <c r="O167" s="403"/>
      <c r="P167" s="403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</row>
    <row r="168" spans="1:49" x14ac:dyDescent="0.3">
      <c r="F168" s="405"/>
      <c r="G168" s="405"/>
      <c r="H168" s="417"/>
      <c r="I168" s="405"/>
      <c r="J168" s="408">
        <v>7</v>
      </c>
      <c r="K168" s="409">
        <v>2</v>
      </c>
      <c r="L168" s="403"/>
      <c r="M168" s="403"/>
      <c r="N168" s="403"/>
      <c r="O168" s="403"/>
      <c r="P168" s="403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</row>
    <row r="169" spans="1:49" x14ac:dyDescent="0.3">
      <c r="F169" s="405"/>
      <c r="G169" s="405"/>
      <c r="H169" s="417"/>
      <c r="I169" s="405"/>
      <c r="J169" s="408">
        <v>7</v>
      </c>
      <c r="K169" s="409">
        <v>2</v>
      </c>
      <c r="L169" s="403"/>
      <c r="M169" s="403"/>
      <c r="N169" s="403"/>
      <c r="O169" s="403"/>
      <c r="P169" s="403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</row>
    <row r="170" spans="1:49" x14ac:dyDescent="0.3">
      <c r="F170" s="405"/>
      <c r="G170" s="405"/>
      <c r="H170" s="417"/>
      <c r="I170" s="405"/>
      <c r="J170" s="408">
        <v>7</v>
      </c>
      <c r="K170" s="409">
        <v>5</v>
      </c>
      <c r="L170" s="403"/>
      <c r="M170" s="403"/>
      <c r="N170" s="403"/>
      <c r="O170" s="403"/>
      <c r="P170" s="403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</row>
    <row r="171" spans="1:49" x14ac:dyDescent="0.3">
      <c r="F171" s="405"/>
      <c r="G171" s="405"/>
      <c r="H171" s="417"/>
      <c r="I171" s="405"/>
      <c r="J171" s="408">
        <v>7</v>
      </c>
      <c r="K171" s="409">
        <v>10</v>
      </c>
      <c r="L171" s="403"/>
      <c r="M171" s="403"/>
      <c r="N171" s="403"/>
      <c r="O171" s="403"/>
      <c r="P171" s="403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</row>
    <row r="172" spans="1:49" x14ac:dyDescent="0.3">
      <c r="F172" s="405"/>
      <c r="G172" s="405"/>
      <c r="H172" s="417"/>
      <c r="I172" s="405"/>
      <c r="J172" s="408">
        <v>7</v>
      </c>
      <c r="K172" s="409">
        <v>20</v>
      </c>
      <c r="L172" s="403"/>
      <c r="M172" s="403"/>
      <c r="N172" s="403"/>
      <c r="O172" s="403"/>
      <c r="P172" s="403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</row>
    <row r="173" spans="1:49" x14ac:dyDescent="0.3">
      <c r="F173" s="405"/>
      <c r="G173" s="405"/>
      <c r="H173" s="417"/>
      <c r="I173" s="405"/>
      <c r="J173" s="408">
        <v>7</v>
      </c>
      <c r="K173" s="409">
        <v>20</v>
      </c>
      <c r="L173" s="403"/>
      <c r="M173" s="403"/>
      <c r="N173" s="403"/>
      <c r="O173" s="403"/>
      <c r="P173" s="403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</row>
    <row r="174" spans="1:49" x14ac:dyDescent="0.3">
      <c r="F174" s="405"/>
      <c r="G174" s="405"/>
      <c r="H174" s="417"/>
      <c r="I174" s="405"/>
      <c r="J174" s="408">
        <v>7</v>
      </c>
      <c r="K174" s="409">
        <v>50</v>
      </c>
      <c r="L174" s="403"/>
      <c r="M174" s="403"/>
      <c r="N174" s="403"/>
      <c r="O174" s="403"/>
      <c r="P174" s="403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</row>
    <row r="175" spans="1:49" x14ac:dyDescent="0.3">
      <c r="F175" s="405"/>
      <c r="G175" s="405"/>
      <c r="H175" s="417"/>
      <c r="I175" s="405"/>
      <c r="J175" s="408">
        <v>7</v>
      </c>
      <c r="K175" s="409">
        <v>100</v>
      </c>
      <c r="L175" s="403"/>
      <c r="M175" s="403"/>
      <c r="N175" s="403"/>
      <c r="O175" s="403"/>
      <c r="P175" s="403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</row>
    <row r="176" spans="1:49" x14ac:dyDescent="0.3">
      <c r="F176" s="405"/>
      <c r="G176" s="405"/>
      <c r="H176" s="417"/>
      <c r="I176" s="405"/>
      <c r="J176" s="408">
        <v>7</v>
      </c>
      <c r="K176" s="409">
        <v>200</v>
      </c>
      <c r="L176" s="403"/>
      <c r="M176" s="403"/>
      <c r="N176" s="403"/>
      <c r="O176" s="403"/>
      <c r="P176" s="403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</row>
    <row r="177" spans="6:49" x14ac:dyDescent="0.3">
      <c r="F177" s="405"/>
      <c r="G177" s="405"/>
      <c r="H177" s="417"/>
      <c r="I177" s="405"/>
      <c r="J177" s="408">
        <v>7</v>
      </c>
      <c r="K177" s="409">
        <v>200</v>
      </c>
      <c r="L177" s="403"/>
      <c r="M177" s="403"/>
      <c r="N177" s="403"/>
      <c r="O177" s="403"/>
      <c r="P177" s="403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</row>
    <row r="178" spans="6:49" x14ac:dyDescent="0.3">
      <c r="F178" s="405"/>
      <c r="G178" s="405"/>
      <c r="H178" s="417"/>
      <c r="I178" s="405"/>
      <c r="J178" s="408">
        <v>7</v>
      </c>
      <c r="K178" s="409">
        <v>500</v>
      </c>
      <c r="L178" s="403"/>
      <c r="M178" s="403"/>
      <c r="N178" s="403"/>
      <c r="O178" s="403"/>
      <c r="P178" s="403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</row>
    <row r="179" spans="6:49" x14ac:dyDescent="0.3">
      <c r="F179" s="405"/>
      <c r="G179" s="405"/>
      <c r="H179" s="417"/>
      <c r="I179" s="405"/>
      <c r="J179" s="408">
        <v>7</v>
      </c>
      <c r="K179" s="409">
        <v>1000</v>
      </c>
      <c r="L179" s="403"/>
      <c r="M179" s="403"/>
      <c r="N179" s="403"/>
      <c r="O179" s="403"/>
      <c r="P179" s="403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</row>
    <row r="180" spans="6:49" x14ac:dyDescent="0.3"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</row>
    <row r="181" spans="6:49" x14ac:dyDescent="0.3">
      <c r="J181" s="654">
        <v>8</v>
      </c>
      <c r="K181" s="651" t="s">
        <v>62</v>
      </c>
      <c r="L181" s="651" t="s">
        <v>319</v>
      </c>
      <c r="M181" s="571" t="s">
        <v>220</v>
      </c>
      <c r="N181" s="571"/>
      <c r="O181" s="651" t="s">
        <v>320</v>
      </c>
      <c r="P181" s="651" t="s">
        <v>218</v>
      </c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</row>
    <row r="182" spans="6:49" x14ac:dyDescent="0.3">
      <c r="J182" s="654"/>
      <c r="K182" s="651"/>
      <c r="L182" s="651"/>
      <c r="M182" s="7"/>
      <c r="N182" s="7"/>
      <c r="O182" s="651"/>
      <c r="P182" s="651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</row>
    <row r="183" spans="6:49" x14ac:dyDescent="0.3">
      <c r="J183" s="652" t="s">
        <v>324</v>
      </c>
      <c r="K183" s="13">
        <v>1E-3</v>
      </c>
      <c r="L183" s="1"/>
      <c r="M183" s="1"/>
      <c r="N183" s="1"/>
      <c r="O183" s="12"/>
      <c r="P183" s="1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</row>
    <row r="184" spans="6:49" x14ac:dyDescent="0.3">
      <c r="J184" s="652"/>
      <c r="K184" s="13">
        <v>2E-3</v>
      </c>
      <c r="L184" s="1"/>
      <c r="M184" s="1"/>
      <c r="N184" s="1"/>
      <c r="O184" s="12"/>
      <c r="P184" s="1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</row>
    <row r="185" spans="6:49" x14ac:dyDescent="0.3">
      <c r="J185" s="652"/>
      <c r="K185" s="13">
        <v>2E-3</v>
      </c>
      <c r="L185" s="1"/>
      <c r="M185" s="1"/>
      <c r="N185" s="1"/>
      <c r="O185" s="12"/>
      <c r="P185" s="1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</row>
    <row r="186" spans="6:49" x14ac:dyDescent="0.3">
      <c r="J186" s="652"/>
      <c r="K186" s="13">
        <v>5.0000000000000001E-3</v>
      </c>
      <c r="L186" s="1"/>
      <c r="M186" s="1"/>
      <c r="N186" s="1"/>
      <c r="O186" s="12"/>
      <c r="P186" s="1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</row>
    <row r="187" spans="6:49" x14ac:dyDescent="0.3">
      <c r="J187" s="652"/>
      <c r="K187" s="13">
        <v>0.01</v>
      </c>
      <c r="L187" s="1"/>
      <c r="M187" s="1"/>
      <c r="N187" s="1"/>
      <c r="O187" s="12"/>
      <c r="P187" s="1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</row>
    <row r="188" spans="6:49" x14ac:dyDescent="0.3">
      <c r="J188" s="652"/>
      <c r="K188" s="13">
        <v>0.02</v>
      </c>
      <c r="L188" s="1"/>
      <c r="M188" s="1"/>
      <c r="N188" s="1"/>
      <c r="O188" s="12"/>
      <c r="P188" s="1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</row>
    <row r="189" spans="6:49" x14ac:dyDescent="0.3">
      <c r="J189" s="652"/>
      <c r="K189" s="13">
        <v>0.02</v>
      </c>
      <c r="L189" s="1"/>
      <c r="M189" s="1"/>
      <c r="N189" s="1"/>
      <c r="O189" s="12"/>
      <c r="P189" s="1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</row>
    <row r="190" spans="6:49" x14ac:dyDescent="0.3">
      <c r="J190" s="652"/>
      <c r="K190" s="13">
        <v>0.05</v>
      </c>
      <c r="L190" s="1"/>
      <c r="M190" s="1"/>
      <c r="N190" s="1"/>
      <c r="O190" s="12"/>
      <c r="P190" s="1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</row>
    <row r="191" spans="6:49" x14ac:dyDescent="0.3">
      <c r="J191" s="652"/>
      <c r="K191" s="13">
        <v>0.1</v>
      </c>
      <c r="L191" s="1"/>
      <c r="M191" s="1"/>
      <c r="N191" s="1"/>
      <c r="O191" s="12"/>
      <c r="P191" s="1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</row>
    <row r="192" spans="6:49" x14ac:dyDescent="0.3">
      <c r="J192" s="652"/>
      <c r="K192" s="13">
        <v>0.2</v>
      </c>
      <c r="L192" s="1"/>
      <c r="M192" s="1"/>
      <c r="N192" s="1"/>
      <c r="O192" s="12"/>
      <c r="P192" s="1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</row>
    <row r="193" spans="10:49" x14ac:dyDescent="0.3">
      <c r="J193" s="652"/>
      <c r="K193" s="13">
        <v>0.2</v>
      </c>
      <c r="L193" s="1"/>
      <c r="M193" s="1"/>
      <c r="N193" s="1"/>
      <c r="O193" s="12"/>
      <c r="P193" s="1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</row>
    <row r="194" spans="10:49" x14ac:dyDescent="0.3">
      <c r="J194" s="652"/>
      <c r="K194" s="13">
        <v>0.5</v>
      </c>
      <c r="L194" s="1"/>
      <c r="M194" s="1"/>
      <c r="N194" s="1"/>
      <c r="O194" s="12"/>
      <c r="P194" s="1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</row>
    <row r="195" spans="10:49" x14ac:dyDescent="0.3">
      <c r="J195" s="652"/>
      <c r="K195" s="13">
        <v>1</v>
      </c>
      <c r="L195" s="1"/>
      <c r="M195" s="1"/>
      <c r="N195" s="1"/>
      <c r="O195" s="12"/>
      <c r="P195" s="1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</row>
    <row r="196" spans="10:49" x14ac:dyDescent="0.3">
      <c r="J196" s="652"/>
      <c r="K196" s="13">
        <v>2</v>
      </c>
      <c r="L196" s="1"/>
      <c r="M196" s="1"/>
      <c r="N196" s="1"/>
      <c r="O196" s="12"/>
      <c r="P196" s="1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</row>
    <row r="197" spans="10:49" x14ac:dyDescent="0.3">
      <c r="J197" s="652"/>
      <c r="K197" s="13">
        <v>2</v>
      </c>
      <c r="L197" s="1"/>
      <c r="M197" s="1"/>
      <c r="N197" s="1"/>
      <c r="O197" s="12"/>
      <c r="P197" s="1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</row>
    <row r="198" spans="10:49" x14ac:dyDescent="0.3">
      <c r="J198" s="652"/>
      <c r="K198" s="13">
        <v>5</v>
      </c>
      <c r="L198" s="1"/>
      <c r="M198" s="1"/>
      <c r="N198" s="1"/>
      <c r="O198" s="12"/>
      <c r="P198" s="1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</row>
    <row r="199" spans="10:49" x14ac:dyDescent="0.3">
      <c r="J199" s="652"/>
      <c r="K199" s="13">
        <v>10</v>
      </c>
      <c r="L199" s="6"/>
      <c r="M199" s="6"/>
      <c r="N199" s="6"/>
      <c r="O199" s="12"/>
      <c r="P199" s="1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</row>
    <row r="200" spans="10:49" x14ac:dyDescent="0.3">
      <c r="J200" s="652"/>
      <c r="K200" s="13">
        <v>20</v>
      </c>
      <c r="L200" s="6"/>
      <c r="M200" s="6"/>
      <c r="N200" s="6"/>
      <c r="O200" s="12"/>
      <c r="P200" s="1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</row>
    <row r="201" spans="10:49" x14ac:dyDescent="0.3">
      <c r="J201" s="652"/>
      <c r="K201" s="13">
        <v>20</v>
      </c>
      <c r="L201" s="6"/>
      <c r="M201" s="6"/>
      <c r="N201" s="6"/>
      <c r="O201" s="12"/>
      <c r="P201" s="1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</row>
    <row r="202" spans="10:49" x14ac:dyDescent="0.3">
      <c r="J202" s="652"/>
      <c r="K202" s="13">
        <v>50</v>
      </c>
      <c r="L202" s="6"/>
      <c r="M202" s="6"/>
      <c r="N202" s="6"/>
      <c r="O202" s="12"/>
      <c r="P202" s="1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</row>
    <row r="203" spans="10:49" x14ac:dyDescent="0.3">
      <c r="J203" s="652"/>
      <c r="K203" s="13">
        <v>100</v>
      </c>
      <c r="L203" s="6"/>
      <c r="M203" s="6"/>
      <c r="N203" s="6"/>
      <c r="O203" s="12"/>
      <c r="P203" s="1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</row>
    <row r="204" spans="10:49" x14ac:dyDescent="0.3">
      <c r="J204" s="652"/>
      <c r="K204" s="13">
        <v>200</v>
      </c>
      <c r="L204" s="6"/>
      <c r="M204" s="6"/>
      <c r="N204" s="6"/>
      <c r="O204" s="12"/>
      <c r="P204" s="1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</row>
    <row r="205" spans="10:49" x14ac:dyDescent="0.3">
      <c r="J205" s="652"/>
      <c r="K205" s="13">
        <v>200</v>
      </c>
      <c r="L205" s="6"/>
      <c r="M205" s="6"/>
      <c r="N205" s="6"/>
      <c r="O205" s="12"/>
      <c r="P205" s="1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</row>
    <row r="206" spans="10:49" x14ac:dyDescent="0.3">
      <c r="J206" s="652"/>
      <c r="K206" s="13">
        <v>500</v>
      </c>
      <c r="L206" s="6"/>
      <c r="M206" s="6"/>
      <c r="N206" s="6"/>
      <c r="O206" s="12"/>
      <c r="P206" s="1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</row>
    <row r="207" spans="10:49" x14ac:dyDescent="0.3">
      <c r="J207" s="652"/>
      <c r="K207" s="13">
        <v>1000</v>
      </c>
      <c r="L207" s="6"/>
      <c r="M207" s="6"/>
      <c r="N207" s="6"/>
      <c r="O207" s="12"/>
      <c r="P207" s="1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</row>
    <row r="208" spans="10:49" x14ac:dyDescent="0.3"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</row>
    <row r="209" spans="34:49" x14ac:dyDescent="0.3"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</row>
    <row r="210" spans="34:49" x14ac:dyDescent="0.3"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</row>
    <row r="211" spans="34:49" x14ac:dyDescent="0.3"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</row>
    <row r="212" spans="34:49" x14ac:dyDescent="0.3"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</row>
    <row r="213" spans="34:49" x14ac:dyDescent="0.3"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</row>
    <row r="214" spans="34:49" x14ac:dyDescent="0.3"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</row>
    <row r="215" spans="34:49" x14ac:dyDescent="0.3"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</row>
    <row r="216" spans="34:49" x14ac:dyDescent="0.3"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</row>
    <row r="217" spans="34:49" x14ac:dyDescent="0.3"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</row>
    <row r="218" spans="34:49" x14ac:dyDescent="0.3"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</row>
    <row r="219" spans="34:49" x14ac:dyDescent="0.3"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</row>
    <row r="220" spans="34:49" x14ac:dyDescent="0.3"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</row>
    <row r="221" spans="34:49" x14ac:dyDescent="0.3"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</row>
    <row r="222" spans="34:49" x14ac:dyDescent="0.3"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</row>
    <row r="223" spans="34:49" x14ac:dyDescent="0.3"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</row>
    <row r="224" spans="34:49" x14ac:dyDescent="0.3"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</row>
    <row r="225" spans="10:49" x14ac:dyDescent="0.3"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</row>
    <row r="226" spans="10:49" x14ac:dyDescent="0.3"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</row>
    <row r="227" spans="10:49" x14ac:dyDescent="0.3"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</row>
    <row r="228" spans="10:49" x14ac:dyDescent="0.3"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</row>
    <row r="229" spans="10:49" x14ac:dyDescent="0.3"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</row>
    <row r="230" spans="10:49" x14ac:dyDescent="0.3"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</row>
    <row r="231" spans="10:49" x14ac:dyDescent="0.3"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</row>
    <row r="232" spans="10:49" x14ac:dyDescent="0.3"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</row>
    <row r="233" spans="10:49" x14ac:dyDescent="0.3"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</row>
    <row r="234" spans="10:49" x14ac:dyDescent="0.3"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</row>
    <row r="235" spans="10:49" x14ac:dyDescent="0.3"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</row>
    <row r="236" spans="10:49" x14ac:dyDescent="0.3"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</row>
    <row r="237" spans="10:49" x14ac:dyDescent="0.3"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</row>
    <row r="238" spans="10:49" x14ac:dyDescent="0.3"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</row>
    <row r="240" spans="10:49" x14ac:dyDescent="0.3">
      <c r="J240" s="648" t="s">
        <v>325</v>
      </c>
      <c r="K240" s="648"/>
      <c r="L240" s="648"/>
      <c r="M240" s="648"/>
      <c r="N240" s="648"/>
      <c r="O240" s="648"/>
      <c r="P240" s="648"/>
      <c r="Q240" s="571" t="s">
        <v>220</v>
      </c>
      <c r="R240" s="571"/>
      <c r="S240" s="1" t="s">
        <v>326</v>
      </c>
    </row>
    <row r="241" spans="10:19" x14ac:dyDescent="0.3">
      <c r="J241" s="105" t="s">
        <v>446</v>
      </c>
      <c r="K241" s="109"/>
      <c r="L241" s="109"/>
      <c r="M241" s="109"/>
      <c r="N241" s="109"/>
      <c r="O241" s="109"/>
      <c r="P241" s="110"/>
      <c r="Q241" s="111">
        <f>M4</f>
        <v>2022</v>
      </c>
      <c r="R241" s="111">
        <f>N4</f>
        <v>2018</v>
      </c>
      <c r="S241" s="1">
        <v>1</v>
      </c>
    </row>
    <row r="242" spans="10:19" x14ac:dyDescent="0.3">
      <c r="J242" s="105" t="s">
        <v>445</v>
      </c>
      <c r="K242" s="106"/>
      <c r="L242" s="106"/>
      <c r="M242" s="106"/>
      <c r="N242" s="106"/>
      <c r="O242" s="106"/>
      <c r="P242" s="107"/>
      <c r="Q242" s="1">
        <v>2020</v>
      </c>
      <c r="R242" s="1"/>
      <c r="S242" s="1">
        <v>2</v>
      </c>
    </row>
    <row r="243" spans="10:19" x14ac:dyDescent="0.3">
      <c r="J243" s="105" t="s">
        <v>447</v>
      </c>
      <c r="K243" s="106"/>
      <c r="L243" s="106"/>
      <c r="M243" s="106"/>
      <c r="N243" s="106"/>
      <c r="O243" s="106"/>
      <c r="P243" s="107"/>
      <c r="Q243" s="111">
        <v>2021</v>
      </c>
      <c r="R243" s="111"/>
      <c r="S243" s="1">
        <v>3</v>
      </c>
    </row>
    <row r="244" spans="10:19" x14ac:dyDescent="0.3">
      <c r="J244" s="105" t="s">
        <v>327</v>
      </c>
      <c r="K244" s="106"/>
      <c r="L244" s="106"/>
      <c r="M244" s="106"/>
      <c r="N244" s="106"/>
      <c r="O244" s="106"/>
      <c r="P244" s="107"/>
      <c r="Q244" s="1"/>
      <c r="R244" s="1"/>
      <c r="S244" s="1">
        <v>4</v>
      </c>
    </row>
    <row r="245" spans="10:19" x14ac:dyDescent="0.3">
      <c r="J245" s="105" t="s">
        <v>327</v>
      </c>
      <c r="K245" s="106"/>
      <c r="L245" s="106"/>
      <c r="M245" s="106"/>
      <c r="N245" s="106"/>
      <c r="O245" s="106"/>
      <c r="P245" s="107"/>
      <c r="Q245" s="111"/>
      <c r="R245" s="111"/>
      <c r="S245" s="1">
        <v>5</v>
      </c>
    </row>
    <row r="246" spans="10:19" x14ac:dyDescent="0.3">
      <c r="J246" s="105" t="s">
        <v>327</v>
      </c>
      <c r="K246" s="106"/>
      <c r="L246" s="106"/>
      <c r="M246" s="106"/>
      <c r="N246" s="106"/>
      <c r="O246" s="106"/>
      <c r="P246" s="107"/>
      <c r="Q246" s="1"/>
      <c r="R246" s="1"/>
      <c r="S246" s="1">
        <v>6</v>
      </c>
    </row>
    <row r="247" spans="10:19" x14ac:dyDescent="0.3">
      <c r="J247" s="105" t="s">
        <v>327</v>
      </c>
      <c r="K247" s="106"/>
      <c r="L247" s="106"/>
      <c r="M247" s="106"/>
      <c r="N247" s="106"/>
      <c r="O247" s="106"/>
      <c r="P247" s="107"/>
      <c r="Q247" s="111"/>
      <c r="R247" s="111"/>
      <c r="S247" s="1">
        <v>7</v>
      </c>
    </row>
    <row r="248" spans="10:19" x14ac:dyDescent="0.3">
      <c r="J248" s="105" t="s">
        <v>327</v>
      </c>
      <c r="K248" s="106"/>
      <c r="L248" s="106"/>
      <c r="M248" s="106"/>
      <c r="N248" s="106"/>
      <c r="O248" s="106"/>
      <c r="P248" s="107"/>
      <c r="Q248" s="1">
        <f>M182</f>
        <v>0</v>
      </c>
      <c r="R248" s="1">
        <f>N182</f>
        <v>0</v>
      </c>
      <c r="S248" s="1">
        <v>8</v>
      </c>
    </row>
  </sheetData>
  <mergeCells count="226">
    <mergeCell ref="Q240:R240"/>
    <mergeCell ref="A4:E4"/>
    <mergeCell ref="J240:P240"/>
    <mergeCell ref="J3:J4"/>
    <mergeCell ref="K3:K4"/>
    <mergeCell ref="L3:L4"/>
    <mergeCell ref="O3:O4"/>
    <mergeCell ref="P3:P4"/>
    <mergeCell ref="O181:O182"/>
    <mergeCell ref="P181:P182"/>
    <mergeCell ref="J183:J207"/>
    <mergeCell ref="A2:E3"/>
    <mergeCell ref="F45:F46"/>
    <mergeCell ref="A21:A28"/>
    <mergeCell ref="E19:E20"/>
    <mergeCell ref="J181:J182"/>
    <mergeCell ref="K181:K182"/>
    <mergeCell ref="L181:L182"/>
    <mergeCell ref="H3:H4"/>
    <mergeCell ref="G45:G46"/>
    <mergeCell ref="A19:A20"/>
    <mergeCell ref="B19:B20"/>
    <mergeCell ref="C19:D19"/>
    <mergeCell ref="M181:N181"/>
    <mergeCell ref="A120:A127"/>
    <mergeCell ref="A30:A37"/>
    <mergeCell ref="A39:A46"/>
    <mergeCell ref="A48:A55"/>
    <mergeCell ref="A57:A64"/>
    <mergeCell ref="A66:A73"/>
    <mergeCell ref="A75:A82"/>
    <mergeCell ref="A84:A91"/>
    <mergeCell ref="A93:A100"/>
    <mergeCell ref="A102:A109"/>
    <mergeCell ref="A111:A118"/>
    <mergeCell ref="M3:N3"/>
    <mergeCell ref="AF3:AF4"/>
    <mergeCell ref="Y3:Y4"/>
    <mergeCell ref="AC3:AD3"/>
    <mergeCell ref="AA3:AA4"/>
    <mergeCell ref="AB3:AB4"/>
    <mergeCell ref="AE3:AE4"/>
    <mergeCell ref="X3:X4"/>
    <mergeCell ref="S2:X2"/>
    <mergeCell ref="S3:S4"/>
    <mergeCell ref="T3:T4"/>
    <mergeCell ref="U3:U4"/>
    <mergeCell ref="V3:W3"/>
    <mergeCell ref="AM30:AM31"/>
    <mergeCell ref="AN30:AN31"/>
    <mergeCell ref="AO30:AO31"/>
    <mergeCell ref="AQ30:AQ37"/>
    <mergeCell ref="AH48:AH55"/>
    <mergeCell ref="AI48:AI49"/>
    <mergeCell ref="BR5:BR10"/>
    <mergeCell ref="AO21:AO22"/>
    <mergeCell ref="AQ21:AQ28"/>
    <mergeCell ref="AR21:AR22"/>
    <mergeCell ref="AS21:AS22"/>
    <mergeCell ref="AT21:AU21"/>
    <mergeCell ref="AV21:AV22"/>
    <mergeCell ref="AW21:AW22"/>
    <mergeCell ref="AX21:AX22"/>
    <mergeCell ref="AZ5:AZ10"/>
    <mergeCell ref="BI5:BI10"/>
    <mergeCell ref="AX30:AX31"/>
    <mergeCell ref="AH39:AH46"/>
    <mergeCell ref="AI39:AI40"/>
    <mergeCell ref="AJ39:AJ40"/>
    <mergeCell ref="AK39:AL39"/>
    <mergeCell ref="AM39:AM40"/>
    <mergeCell ref="AN39:AN40"/>
    <mergeCell ref="AM3:AM4"/>
    <mergeCell ref="AN3:AN4"/>
    <mergeCell ref="AO3:AO4"/>
    <mergeCell ref="AQ3:AQ10"/>
    <mergeCell ref="AH21:AH28"/>
    <mergeCell ref="AI21:AI22"/>
    <mergeCell ref="AJ21:AJ22"/>
    <mergeCell ref="AK21:AL21"/>
    <mergeCell ref="AM21:AM22"/>
    <mergeCell ref="AN21:AN22"/>
    <mergeCell ref="AX3:AX4"/>
    <mergeCell ref="AH12:AH19"/>
    <mergeCell ref="AI12:AI13"/>
    <mergeCell ref="AJ12:AJ13"/>
    <mergeCell ref="AK12:AL12"/>
    <mergeCell ref="AM12:AM13"/>
    <mergeCell ref="AN12:AN13"/>
    <mergeCell ref="AO12:AO13"/>
    <mergeCell ref="AQ12:AQ19"/>
    <mergeCell ref="AR12:AR13"/>
    <mergeCell ref="AS12:AS13"/>
    <mergeCell ref="AT12:AU12"/>
    <mergeCell ref="AV12:AV13"/>
    <mergeCell ref="AW12:AW13"/>
    <mergeCell ref="AX12:AX13"/>
    <mergeCell ref="AU3:AV3"/>
    <mergeCell ref="AR3:AR4"/>
    <mergeCell ref="AS3:AS4"/>
    <mergeCell ref="AW3:AW4"/>
    <mergeCell ref="AT3:AT4"/>
    <mergeCell ref="AH3:AH10"/>
    <mergeCell ref="AK3:AL3"/>
    <mergeCell ref="AI3:AI4"/>
    <mergeCell ref="AJ3:AJ4"/>
    <mergeCell ref="AO39:AO40"/>
    <mergeCell ref="AQ39:AQ46"/>
    <mergeCell ref="AR39:AR40"/>
    <mergeCell ref="AS39:AS40"/>
    <mergeCell ref="AT39:AU39"/>
    <mergeCell ref="AV39:AV40"/>
    <mergeCell ref="AW39:AW40"/>
    <mergeCell ref="AX39:AX40"/>
    <mergeCell ref="AR30:AR31"/>
    <mergeCell ref="AS30:AS31"/>
    <mergeCell ref="AT30:AU30"/>
    <mergeCell ref="AV30:AV31"/>
    <mergeCell ref="AW30:AW31"/>
    <mergeCell ref="AW66:AW67"/>
    <mergeCell ref="AX66:AX67"/>
    <mergeCell ref="AH75:AH82"/>
    <mergeCell ref="AI75:AI76"/>
    <mergeCell ref="AH30:AH37"/>
    <mergeCell ref="AI30:AI31"/>
    <mergeCell ref="AJ30:AJ31"/>
    <mergeCell ref="AK30:AL30"/>
    <mergeCell ref="AW48:AW49"/>
    <mergeCell ref="AX48:AX49"/>
    <mergeCell ref="AH57:AH64"/>
    <mergeCell ref="AI57:AI58"/>
    <mergeCell ref="AJ57:AJ58"/>
    <mergeCell ref="AN57:AN58"/>
    <mergeCell ref="AO57:AO58"/>
    <mergeCell ref="AQ57:AQ64"/>
    <mergeCell ref="AR57:AR58"/>
    <mergeCell ref="AS57:AS58"/>
    <mergeCell ref="AW57:AW58"/>
    <mergeCell ref="AX57:AX58"/>
    <mergeCell ref="AQ48:AQ55"/>
    <mergeCell ref="AR48:AR49"/>
    <mergeCell ref="AS48:AS49"/>
    <mergeCell ref="AT48:AU48"/>
    <mergeCell ref="AN48:AN49"/>
    <mergeCell ref="AO48:AO49"/>
    <mergeCell ref="AK57:AK58"/>
    <mergeCell ref="AL57:AM57"/>
    <mergeCell ref="AT57:AT58"/>
    <mergeCell ref="AU57:AV57"/>
    <mergeCell ref="AH66:AH73"/>
    <mergeCell ref="AI66:AI67"/>
    <mergeCell ref="AJ66:AJ67"/>
    <mergeCell ref="AK66:AK67"/>
    <mergeCell ref="AL66:AM66"/>
    <mergeCell ref="AN66:AN67"/>
    <mergeCell ref="AO66:AO67"/>
    <mergeCell ref="AQ66:AQ73"/>
    <mergeCell ref="AR66:AR67"/>
    <mergeCell ref="AS66:AS67"/>
    <mergeCell ref="AT66:AT67"/>
    <mergeCell ref="AU66:AV66"/>
    <mergeCell ref="AV48:AV49"/>
    <mergeCell ref="AJ48:AJ49"/>
    <mergeCell ref="AK48:AL48"/>
    <mergeCell ref="AM48:AM49"/>
    <mergeCell ref="AJ75:AJ76"/>
    <mergeCell ref="AK75:AK76"/>
    <mergeCell ref="AL75:AM75"/>
    <mergeCell ref="AN75:AN76"/>
    <mergeCell ref="AO75:AO76"/>
    <mergeCell ref="AQ75:AQ82"/>
    <mergeCell ref="AR75:AR76"/>
    <mergeCell ref="AS75:AS76"/>
    <mergeCell ref="AT75:AT76"/>
    <mergeCell ref="AU75:AV75"/>
    <mergeCell ref="AW75:AW76"/>
    <mergeCell ref="AX75:AX76"/>
    <mergeCell ref="AT93:AT94"/>
    <mergeCell ref="AU93:AV93"/>
    <mergeCell ref="AN84:AN85"/>
    <mergeCell ref="AO84:AO85"/>
    <mergeCell ref="AQ84:AQ91"/>
    <mergeCell ref="AR84:AR85"/>
    <mergeCell ref="AS84:AS85"/>
    <mergeCell ref="AO93:AO94"/>
    <mergeCell ref="AQ93:AQ100"/>
    <mergeCell ref="AR93:AR94"/>
    <mergeCell ref="AT84:AT85"/>
    <mergeCell ref="AU84:AV84"/>
    <mergeCell ref="AW84:AW85"/>
    <mergeCell ref="AX84:AX85"/>
    <mergeCell ref="AH84:AH91"/>
    <mergeCell ref="AI84:AI85"/>
    <mergeCell ref="AJ84:AJ85"/>
    <mergeCell ref="AH93:AH100"/>
    <mergeCell ref="AI93:AI94"/>
    <mergeCell ref="AJ93:AJ94"/>
    <mergeCell ref="AK93:AK94"/>
    <mergeCell ref="AL93:AM93"/>
    <mergeCell ref="AN93:AN94"/>
    <mergeCell ref="AK84:AK85"/>
    <mergeCell ref="AL84:AM84"/>
    <mergeCell ref="AN111:AN112"/>
    <mergeCell ref="AO111:AO112"/>
    <mergeCell ref="AH111:AH118"/>
    <mergeCell ref="AI111:AI112"/>
    <mergeCell ref="AJ111:AJ112"/>
    <mergeCell ref="AK111:AK112"/>
    <mergeCell ref="AL111:AM111"/>
    <mergeCell ref="AW93:AW94"/>
    <mergeCell ref="AX93:AX94"/>
    <mergeCell ref="AH102:AH109"/>
    <mergeCell ref="AI102:AI103"/>
    <mergeCell ref="AJ102:AJ103"/>
    <mergeCell ref="AK102:AK103"/>
    <mergeCell ref="AL102:AM102"/>
    <mergeCell ref="AN102:AN103"/>
    <mergeCell ref="AO102:AO103"/>
    <mergeCell ref="AQ102:AQ109"/>
    <mergeCell ref="AR102:AR103"/>
    <mergeCell ref="AS102:AS103"/>
    <mergeCell ref="AT102:AT103"/>
    <mergeCell ref="AU102:AV102"/>
    <mergeCell ref="AW102:AW103"/>
    <mergeCell ref="AX102:AX103"/>
    <mergeCell ref="AS93:AS9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249977111117893"/>
  </sheetPr>
  <dimension ref="A1:R604"/>
  <sheetViews>
    <sheetView topLeftCell="A4" zoomScale="83" zoomScaleNormal="55" workbookViewId="0">
      <selection activeCell="C14" sqref="C14"/>
    </sheetView>
  </sheetViews>
  <sheetFormatPr defaultRowHeight="14.4" x14ac:dyDescent="0.3"/>
  <cols>
    <col min="2" max="2" width="13.21875" customWidth="1"/>
    <col min="3" max="3" width="12.44140625" customWidth="1"/>
    <col min="4" max="4" width="13.21875" customWidth="1"/>
    <col min="5" max="5" width="14" customWidth="1"/>
    <col min="6" max="6" width="10.77734375" customWidth="1"/>
    <col min="12" max="12" width="15.5546875" hidden="1" customWidth="1"/>
    <col min="13" max="13" width="8.44140625" hidden="1" customWidth="1"/>
    <col min="15" max="16" width="0" hidden="1" customWidth="1"/>
  </cols>
  <sheetData>
    <row r="1" spans="1:16" x14ac:dyDescent="0.3">
      <c r="A1" s="8" t="s">
        <v>13</v>
      </c>
      <c r="B1" s="8" t="s">
        <v>263</v>
      </c>
      <c r="C1" s="8" t="s">
        <v>264</v>
      </c>
      <c r="D1" s="8" t="s">
        <v>25</v>
      </c>
      <c r="E1" s="8" t="s">
        <v>265</v>
      </c>
      <c r="F1" s="8" t="s">
        <v>28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6" ht="15" thickBot="1" x14ac:dyDescent="0.35">
      <c r="A2" s="9" t="s">
        <v>270</v>
      </c>
      <c r="B2" s="9" t="s">
        <v>143</v>
      </c>
      <c r="C2" s="9" t="s">
        <v>271</v>
      </c>
      <c r="D2" s="9"/>
      <c r="E2" s="9"/>
      <c r="F2" s="9"/>
      <c r="G2" s="9"/>
      <c r="H2" s="9"/>
      <c r="I2" s="9"/>
      <c r="J2" s="9"/>
    </row>
    <row r="3" spans="1:16" x14ac:dyDescent="0.3">
      <c r="A3" s="120" t="s">
        <v>272</v>
      </c>
      <c r="B3" s="430"/>
      <c r="C3" s="431"/>
      <c r="D3" s="431" t="s">
        <v>273</v>
      </c>
      <c r="E3" s="431" t="s">
        <v>274</v>
      </c>
      <c r="F3" s="431" t="s">
        <v>275</v>
      </c>
      <c r="G3" s="431" t="s">
        <v>276</v>
      </c>
      <c r="H3" s="431" t="s">
        <v>277</v>
      </c>
      <c r="I3" s="431" t="s">
        <v>278</v>
      </c>
      <c r="J3" s="432" t="s">
        <v>279</v>
      </c>
      <c r="L3" s="658" t="s">
        <v>280</v>
      </c>
      <c r="M3" s="658" t="s">
        <v>264</v>
      </c>
      <c r="O3" s="658" t="s">
        <v>280</v>
      </c>
      <c r="P3" s="572" t="s">
        <v>263</v>
      </c>
    </row>
    <row r="4" spans="1:16" x14ac:dyDescent="0.3">
      <c r="A4" s="121" t="s">
        <v>281</v>
      </c>
      <c r="B4" s="122"/>
      <c r="C4" s="123"/>
      <c r="D4" s="123" t="s">
        <v>282</v>
      </c>
      <c r="E4" s="123" t="s">
        <v>283</v>
      </c>
      <c r="F4" s="123" t="s">
        <v>284</v>
      </c>
      <c r="G4" s="123" t="s">
        <v>285</v>
      </c>
      <c r="H4" s="123" t="s">
        <v>286</v>
      </c>
      <c r="I4" s="123" t="s">
        <v>287</v>
      </c>
      <c r="J4" s="433" t="s">
        <v>288</v>
      </c>
      <c r="L4" s="658"/>
      <c r="M4" s="658"/>
      <c r="O4" s="658"/>
      <c r="P4" s="572"/>
    </row>
    <row r="5" spans="1:16" x14ac:dyDescent="0.3">
      <c r="A5" s="121" t="s">
        <v>289</v>
      </c>
      <c r="B5" s="122"/>
      <c r="C5" s="123" t="s">
        <v>290</v>
      </c>
      <c r="D5" s="123" t="s">
        <v>291</v>
      </c>
      <c r="E5" s="123" t="s">
        <v>292</v>
      </c>
      <c r="F5" s="123" t="s">
        <v>293</v>
      </c>
      <c r="G5" s="123" t="s">
        <v>284</v>
      </c>
      <c r="H5" s="123" t="s">
        <v>294</v>
      </c>
      <c r="I5" s="123" t="s">
        <v>286</v>
      </c>
      <c r="J5" s="433" t="s">
        <v>276</v>
      </c>
      <c r="L5" s="68">
        <v>1</v>
      </c>
      <c r="M5" s="114">
        <f>C23</f>
        <v>3.0000000000000001E-5</v>
      </c>
      <c r="O5" s="1"/>
      <c r="P5" s="103"/>
    </row>
    <row r="6" spans="1:16" x14ac:dyDescent="0.3">
      <c r="A6" s="121" t="s">
        <v>295</v>
      </c>
      <c r="B6" s="122"/>
      <c r="C6" s="123">
        <v>0.8</v>
      </c>
      <c r="D6" s="123" t="s">
        <v>296</v>
      </c>
      <c r="E6" s="123" t="s">
        <v>297</v>
      </c>
      <c r="F6" s="123" t="s">
        <v>273</v>
      </c>
      <c r="G6" s="123" t="s">
        <v>293</v>
      </c>
      <c r="H6" s="123" t="s">
        <v>274</v>
      </c>
      <c r="I6" s="123" t="s">
        <v>294</v>
      </c>
      <c r="J6" s="433" t="s">
        <v>275</v>
      </c>
      <c r="L6" s="68">
        <v>2</v>
      </c>
      <c r="M6" s="114">
        <f>C22</f>
        <v>4.0000000000000003E-5</v>
      </c>
      <c r="O6" s="1"/>
      <c r="P6" s="103"/>
    </row>
    <row r="7" spans="1:16" x14ac:dyDescent="0.3">
      <c r="A7" s="121" t="s">
        <v>298</v>
      </c>
      <c r="B7" s="122"/>
      <c r="C7" s="123">
        <v>0.3</v>
      </c>
      <c r="D7" s="123" t="s">
        <v>299</v>
      </c>
      <c r="E7" s="123" t="s">
        <v>300</v>
      </c>
      <c r="F7" s="123" t="s">
        <v>282</v>
      </c>
      <c r="G7" s="123" t="s">
        <v>301</v>
      </c>
      <c r="H7" s="123" t="s">
        <v>283</v>
      </c>
      <c r="I7" s="123" t="s">
        <v>302</v>
      </c>
      <c r="J7" s="433" t="s">
        <v>284</v>
      </c>
      <c r="L7" s="68">
        <v>3</v>
      </c>
      <c r="M7" s="113">
        <f>M6+M5</f>
        <v>7.0000000000000007E-5</v>
      </c>
      <c r="O7" s="1"/>
      <c r="P7" s="103"/>
    </row>
    <row r="8" spans="1:16" x14ac:dyDescent="0.3">
      <c r="A8" s="121" t="s">
        <v>303</v>
      </c>
      <c r="B8" s="122"/>
      <c r="C8" s="123">
        <v>0.16</v>
      </c>
      <c r="D8" s="123">
        <v>500</v>
      </c>
      <c r="E8" s="123" t="s">
        <v>304</v>
      </c>
      <c r="F8" s="123" t="s">
        <v>291</v>
      </c>
      <c r="G8" s="123" t="s">
        <v>282</v>
      </c>
      <c r="H8" s="123" t="s">
        <v>292</v>
      </c>
      <c r="I8" s="123" t="s">
        <v>283</v>
      </c>
      <c r="J8" s="433" t="s">
        <v>293</v>
      </c>
      <c r="L8" s="68">
        <v>4</v>
      </c>
      <c r="M8" s="115">
        <f>M6*2</f>
        <v>8.0000000000000007E-5</v>
      </c>
      <c r="O8" s="1"/>
      <c r="P8" s="103"/>
    </row>
    <row r="9" spans="1:16" x14ac:dyDescent="0.3">
      <c r="A9" s="121" t="s">
        <v>305</v>
      </c>
      <c r="B9" s="122">
        <v>25</v>
      </c>
      <c r="C9" s="123">
        <v>0.08</v>
      </c>
      <c r="D9" s="123">
        <v>250</v>
      </c>
      <c r="E9" s="123">
        <v>800</v>
      </c>
      <c r="F9" s="123" t="s">
        <v>296</v>
      </c>
      <c r="G9" s="123" t="s">
        <v>291</v>
      </c>
      <c r="H9" s="123" t="s">
        <v>297</v>
      </c>
      <c r="I9" s="123" t="s">
        <v>292</v>
      </c>
      <c r="J9" s="433" t="s">
        <v>273</v>
      </c>
      <c r="L9" s="68">
        <v>5</v>
      </c>
      <c r="M9" s="113">
        <f>C21</f>
        <v>5.0000000000000002E-5</v>
      </c>
      <c r="O9" s="1"/>
      <c r="P9" s="103"/>
    </row>
    <row r="10" spans="1:16" x14ac:dyDescent="0.3">
      <c r="A10" s="121" t="s">
        <v>306</v>
      </c>
      <c r="B10" s="122">
        <v>10</v>
      </c>
      <c r="C10" s="123">
        <v>0.03</v>
      </c>
      <c r="D10" s="123">
        <v>100</v>
      </c>
      <c r="E10" s="123">
        <v>300</v>
      </c>
      <c r="F10" s="123" t="s">
        <v>299</v>
      </c>
      <c r="G10" s="123"/>
      <c r="H10" s="123" t="s">
        <v>300</v>
      </c>
      <c r="I10" s="123"/>
      <c r="J10" s="433" t="s">
        <v>282</v>
      </c>
      <c r="L10" s="68">
        <v>6</v>
      </c>
      <c r="M10" s="113">
        <f>M9+M5</f>
        <v>8.0000000000000007E-5</v>
      </c>
      <c r="O10" s="1"/>
      <c r="P10" s="103"/>
    </row>
    <row r="11" spans="1:16" x14ac:dyDescent="0.3">
      <c r="A11" s="121" t="s">
        <v>307</v>
      </c>
      <c r="B11" s="122">
        <v>5</v>
      </c>
      <c r="C11" s="123">
        <v>1.6E-2</v>
      </c>
      <c r="D11" s="123">
        <v>50</v>
      </c>
      <c r="E11" s="123">
        <v>160</v>
      </c>
      <c r="F11" s="123">
        <v>500</v>
      </c>
      <c r="G11" s="123"/>
      <c r="H11" s="123" t="s">
        <v>304</v>
      </c>
      <c r="I11" s="123"/>
      <c r="J11" s="433" t="s">
        <v>291</v>
      </c>
      <c r="L11" s="68">
        <v>7</v>
      </c>
      <c r="M11" s="113">
        <f>M9+M6</f>
        <v>9.0000000000000006E-5</v>
      </c>
      <c r="O11" s="1"/>
      <c r="P11" s="103"/>
    </row>
    <row r="12" spans="1:16" x14ac:dyDescent="0.3">
      <c r="A12" s="121" t="s">
        <v>308</v>
      </c>
      <c r="B12" s="122">
        <v>2.5</v>
      </c>
      <c r="C12" s="123">
        <v>8.0000000000000002E-3</v>
      </c>
      <c r="D12" s="123">
        <v>25</v>
      </c>
      <c r="E12" s="123">
        <v>80</v>
      </c>
      <c r="F12" s="123">
        <v>250</v>
      </c>
      <c r="G12" s="123"/>
      <c r="H12" s="123">
        <v>800</v>
      </c>
      <c r="I12" s="123"/>
      <c r="J12" s="433" t="s">
        <v>296</v>
      </c>
      <c r="L12" s="68">
        <v>8</v>
      </c>
      <c r="M12" s="113">
        <f>M9+M6+M5</f>
        <v>1.2E-4</v>
      </c>
      <c r="O12" s="1"/>
      <c r="P12" s="103"/>
    </row>
    <row r="13" spans="1:16" x14ac:dyDescent="0.3">
      <c r="A13" s="121" t="s">
        <v>309</v>
      </c>
      <c r="B13" s="122">
        <v>1</v>
      </c>
      <c r="C13" s="123">
        <v>3.0000000000000001E-3</v>
      </c>
      <c r="D13" s="123">
        <v>10</v>
      </c>
      <c r="E13" s="123">
        <v>30</v>
      </c>
      <c r="F13" s="123">
        <v>100</v>
      </c>
      <c r="G13" s="123"/>
      <c r="H13" s="123">
        <v>300</v>
      </c>
      <c r="I13" s="123"/>
      <c r="J13" s="433" t="s">
        <v>299</v>
      </c>
      <c r="L13" s="68">
        <v>9</v>
      </c>
      <c r="M13" s="113">
        <f>M9+M8</f>
        <v>1.3000000000000002E-4</v>
      </c>
      <c r="O13" s="1"/>
      <c r="P13" s="103"/>
    </row>
    <row r="14" spans="1:16" x14ac:dyDescent="0.3">
      <c r="A14" s="121" t="s">
        <v>310</v>
      </c>
      <c r="B14" s="122">
        <v>0.5</v>
      </c>
      <c r="C14" s="123">
        <v>1.6000000000000001E-3</v>
      </c>
      <c r="D14" s="123">
        <v>5</v>
      </c>
      <c r="E14" s="123">
        <v>16</v>
      </c>
      <c r="F14" s="123">
        <v>50</v>
      </c>
      <c r="G14" s="123"/>
      <c r="H14" s="123">
        <v>160</v>
      </c>
      <c r="I14" s="123"/>
      <c r="J14" s="433">
        <v>500</v>
      </c>
      <c r="L14" s="68">
        <v>10</v>
      </c>
      <c r="M14" s="113">
        <f>C20</f>
        <v>6.0000000000000002E-5</v>
      </c>
      <c r="O14" s="1"/>
      <c r="P14" s="103"/>
    </row>
    <row r="15" spans="1:16" x14ac:dyDescent="0.3">
      <c r="A15" s="125">
        <v>500</v>
      </c>
      <c r="B15" s="434">
        <v>2.5000000000000001E-4</v>
      </c>
      <c r="C15" s="126">
        <v>8.0000000000000004E-4</v>
      </c>
      <c r="D15" s="126">
        <v>2.5</v>
      </c>
      <c r="E15" s="126">
        <v>8</v>
      </c>
      <c r="F15" s="126">
        <v>25</v>
      </c>
      <c r="G15" s="126"/>
      <c r="H15" s="126">
        <v>80</v>
      </c>
      <c r="I15" s="126"/>
      <c r="J15" s="435">
        <v>250</v>
      </c>
      <c r="L15" s="68">
        <v>11</v>
      </c>
      <c r="M15" s="113">
        <f>$M$14+M5</f>
        <v>9.0000000000000006E-5</v>
      </c>
      <c r="O15" s="1"/>
      <c r="P15" s="103"/>
    </row>
    <row r="16" spans="1:16" x14ac:dyDescent="0.3">
      <c r="A16" s="125">
        <v>200</v>
      </c>
      <c r="B16" s="434">
        <v>1E-4</v>
      </c>
      <c r="C16" s="126">
        <v>2.9999999999999997E-4</v>
      </c>
      <c r="D16" s="126">
        <v>1</v>
      </c>
      <c r="E16" s="126">
        <v>3</v>
      </c>
      <c r="F16" s="126">
        <v>10</v>
      </c>
      <c r="G16" s="126"/>
      <c r="H16" s="126">
        <v>30</v>
      </c>
      <c r="I16" s="126"/>
      <c r="J16" s="435">
        <v>100</v>
      </c>
      <c r="L16" s="68">
        <v>12</v>
      </c>
      <c r="M16" s="113">
        <f t="shared" ref="M16:M23" si="0">$M$14+M6</f>
        <v>1E-4</v>
      </c>
      <c r="O16" s="1"/>
      <c r="P16" s="103"/>
    </row>
    <row r="17" spans="1:18" x14ac:dyDescent="0.3">
      <c r="A17" s="125">
        <v>100</v>
      </c>
      <c r="B17" s="434">
        <v>5.0000000000000002E-5</v>
      </c>
      <c r="C17" s="126">
        <v>1.6000000000000001E-4</v>
      </c>
      <c r="D17" s="126">
        <v>0.5</v>
      </c>
      <c r="E17" s="126">
        <v>1.6</v>
      </c>
      <c r="F17" s="126">
        <v>5</v>
      </c>
      <c r="G17" s="126"/>
      <c r="H17" s="126">
        <v>16</v>
      </c>
      <c r="I17" s="126"/>
      <c r="J17" s="435">
        <v>50</v>
      </c>
      <c r="L17" s="68">
        <v>13</v>
      </c>
      <c r="M17" s="113">
        <f t="shared" si="0"/>
        <v>1.3000000000000002E-4</v>
      </c>
      <c r="O17" s="1"/>
      <c r="P17" s="103"/>
    </row>
    <row r="18" spans="1:18" x14ac:dyDescent="0.3">
      <c r="A18" s="125">
        <v>50</v>
      </c>
      <c r="B18" s="434">
        <v>3.0000000000000001E-5</v>
      </c>
      <c r="C18" s="126">
        <v>1E-4</v>
      </c>
      <c r="D18" s="126">
        <v>0.3</v>
      </c>
      <c r="E18" s="126">
        <v>1</v>
      </c>
      <c r="F18" s="126">
        <v>3</v>
      </c>
      <c r="G18" s="126"/>
      <c r="H18" s="126">
        <v>10</v>
      </c>
      <c r="I18" s="126"/>
      <c r="J18" s="435">
        <v>30</v>
      </c>
      <c r="L18" s="68">
        <v>14</v>
      </c>
      <c r="M18" s="113">
        <f t="shared" si="0"/>
        <v>1.4000000000000001E-4</v>
      </c>
      <c r="O18" s="1"/>
      <c r="P18" s="103"/>
    </row>
    <row r="19" spans="1:18" x14ac:dyDescent="0.3">
      <c r="A19" s="125">
        <v>20</v>
      </c>
      <c r="B19" s="434">
        <v>2.5000000000000001E-5</v>
      </c>
      <c r="C19" s="126">
        <v>8.0000000000000007E-5</v>
      </c>
      <c r="D19" s="126">
        <v>0.25</v>
      </c>
      <c r="E19" s="126">
        <v>0.8</v>
      </c>
      <c r="F19" s="126">
        <v>2.5</v>
      </c>
      <c r="G19" s="126"/>
      <c r="H19" s="126">
        <v>8</v>
      </c>
      <c r="I19" s="126"/>
      <c r="J19" s="435">
        <v>25</v>
      </c>
      <c r="L19" s="68">
        <v>15</v>
      </c>
      <c r="M19" s="113">
        <f t="shared" si="0"/>
        <v>1.1E-4</v>
      </c>
      <c r="O19" s="1"/>
      <c r="P19" s="103"/>
      <c r="Q19">
        <v>10</v>
      </c>
      <c r="R19" s="11">
        <v>0.2</v>
      </c>
    </row>
    <row r="20" spans="1:18" x14ac:dyDescent="0.3">
      <c r="A20" s="125">
        <v>10</v>
      </c>
      <c r="B20" s="434">
        <v>2.0000000000000002E-5</v>
      </c>
      <c r="C20" s="126">
        <v>6.0000000000000002E-5</v>
      </c>
      <c r="D20" s="126">
        <v>0.2</v>
      </c>
      <c r="E20" s="126">
        <v>0.6</v>
      </c>
      <c r="F20" s="126">
        <v>2</v>
      </c>
      <c r="G20" s="126"/>
      <c r="H20" s="126">
        <v>6</v>
      </c>
      <c r="I20" s="126"/>
      <c r="J20" s="435">
        <v>20</v>
      </c>
      <c r="L20" s="68">
        <v>16</v>
      </c>
      <c r="M20" s="113">
        <f t="shared" si="0"/>
        <v>1.4000000000000001E-4</v>
      </c>
      <c r="O20" s="1"/>
      <c r="P20" s="103"/>
      <c r="Q20">
        <v>20</v>
      </c>
      <c r="R20" s="11">
        <v>0.25</v>
      </c>
    </row>
    <row r="21" spans="1:18" x14ac:dyDescent="0.3">
      <c r="A21" s="125">
        <v>5</v>
      </c>
      <c r="B21" s="434">
        <v>1.5999999999999999E-5</v>
      </c>
      <c r="C21" s="126">
        <v>5.0000000000000002E-5</v>
      </c>
      <c r="D21" s="126">
        <v>0.16</v>
      </c>
      <c r="E21" s="126">
        <v>0.5</v>
      </c>
      <c r="F21" s="126">
        <v>1.6</v>
      </c>
      <c r="G21" s="126"/>
      <c r="H21" s="126">
        <v>5</v>
      </c>
      <c r="I21" s="126"/>
      <c r="J21" s="435">
        <v>16</v>
      </c>
      <c r="L21" s="68">
        <v>17</v>
      </c>
      <c r="M21" s="113">
        <f t="shared" si="0"/>
        <v>1.5000000000000001E-4</v>
      </c>
      <c r="O21" s="1"/>
      <c r="P21" s="103"/>
      <c r="Q21">
        <v>50</v>
      </c>
      <c r="R21" s="10">
        <v>0.3</v>
      </c>
    </row>
    <row r="22" spans="1:18" x14ac:dyDescent="0.3">
      <c r="A22" s="125">
        <v>2</v>
      </c>
      <c r="B22" s="434">
        <v>1.2E-5</v>
      </c>
      <c r="C22" s="126">
        <v>4.0000000000000003E-5</v>
      </c>
      <c r="D22" s="126">
        <v>0.12</v>
      </c>
      <c r="E22" s="126">
        <v>0.4</v>
      </c>
      <c r="F22" s="126">
        <v>1.2</v>
      </c>
      <c r="G22" s="126"/>
      <c r="H22" s="126">
        <v>4</v>
      </c>
      <c r="I22" s="126"/>
      <c r="J22" s="435">
        <v>12</v>
      </c>
      <c r="L22" s="68">
        <v>18</v>
      </c>
      <c r="M22" s="113">
        <f t="shared" si="0"/>
        <v>1.8000000000000001E-4</v>
      </c>
      <c r="O22" s="1"/>
      <c r="P22" s="103"/>
      <c r="Q22">
        <v>100</v>
      </c>
      <c r="R22" s="10">
        <v>0.5</v>
      </c>
    </row>
    <row r="23" spans="1:18" x14ac:dyDescent="0.3">
      <c r="A23" s="125" t="s">
        <v>311</v>
      </c>
      <c r="B23" s="434">
        <v>1.0000000000000001E-5</v>
      </c>
      <c r="C23" s="126">
        <v>3.0000000000000001E-5</v>
      </c>
      <c r="D23" s="126">
        <v>0.1</v>
      </c>
      <c r="E23" s="126">
        <v>0.3</v>
      </c>
      <c r="F23" s="126">
        <v>1</v>
      </c>
      <c r="G23" s="126"/>
      <c r="H23" s="126">
        <v>3</v>
      </c>
      <c r="I23" s="126"/>
      <c r="J23" s="435">
        <v>10</v>
      </c>
      <c r="L23" s="68">
        <v>19</v>
      </c>
      <c r="M23" s="113">
        <f t="shared" si="0"/>
        <v>1.9000000000000001E-4</v>
      </c>
      <c r="O23" s="1"/>
      <c r="P23" s="103"/>
      <c r="Q23">
        <v>200</v>
      </c>
      <c r="R23" s="10">
        <v>1</v>
      </c>
    </row>
    <row r="24" spans="1:18" x14ac:dyDescent="0.3">
      <c r="A24" s="121">
        <v>0.5</v>
      </c>
      <c r="B24" s="122">
        <v>7.9999999999999996E-6</v>
      </c>
      <c r="C24" s="123">
        <v>2.5000000000000001E-5</v>
      </c>
      <c r="D24" s="123">
        <v>0.08</v>
      </c>
      <c r="E24" s="123">
        <v>0.25</v>
      </c>
      <c r="F24" s="123">
        <v>0.8</v>
      </c>
      <c r="G24" s="123"/>
      <c r="H24" s="123">
        <v>2.5</v>
      </c>
      <c r="I24" s="123"/>
      <c r="J24" s="433"/>
      <c r="L24" s="68">
        <v>20</v>
      </c>
      <c r="M24" s="113">
        <f>$C$19</f>
        <v>8.0000000000000007E-5</v>
      </c>
      <c r="O24" s="1"/>
      <c r="P24" s="103"/>
    </row>
    <row r="25" spans="1:18" x14ac:dyDescent="0.3">
      <c r="A25" s="121">
        <v>0.2</v>
      </c>
      <c r="B25" s="122">
        <v>6.0000000000000002E-6</v>
      </c>
      <c r="C25" s="123">
        <v>2.0000000000000002E-5</v>
      </c>
      <c r="D25" s="123">
        <v>0.06</v>
      </c>
      <c r="E25" s="123">
        <v>0.2</v>
      </c>
      <c r="F25" s="123">
        <v>0.6</v>
      </c>
      <c r="G25" s="123"/>
      <c r="H25" s="123">
        <v>2</v>
      </c>
      <c r="I25" s="123"/>
      <c r="J25" s="433"/>
      <c r="L25" s="68">
        <v>21</v>
      </c>
      <c r="M25" s="113">
        <f>$M$24+M5</f>
        <v>1.1E-4</v>
      </c>
      <c r="O25" s="1"/>
      <c r="P25" s="103"/>
    </row>
    <row r="26" spans="1:18" x14ac:dyDescent="0.3">
      <c r="A26" s="121">
        <v>0.1</v>
      </c>
      <c r="B26" s="122">
        <v>5.0000000000000004E-6</v>
      </c>
      <c r="C26" s="123">
        <v>1.5999999999999999E-5</v>
      </c>
      <c r="D26" s="123">
        <v>0.05</v>
      </c>
      <c r="E26" s="123">
        <v>0.16</v>
      </c>
      <c r="F26" s="123">
        <v>0.5</v>
      </c>
      <c r="G26" s="123"/>
      <c r="H26" s="123">
        <v>1.6</v>
      </c>
      <c r="I26" s="123"/>
      <c r="J26" s="433"/>
      <c r="L26" s="68">
        <v>22</v>
      </c>
      <c r="M26" s="113">
        <f t="shared" ref="M26:M33" si="1">$M$24+M6</f>
        <v>1.2000000000000002E-4</v>
      </c>
      <c r="O26" s="1"/>
      <c r="P26" s="103"/>
    </row>
    <row r="27" spans="1:18" x14ac:dyDescent="0.3">
      <c r="A27" s="121">
        <v>0.05</v>
      </c>
      <c r="B27" s="122">
        <v>3.9999999999999998E-6</v>
      </c>
      <c r="C27" s="123">
        <v>1.2E-5</v>
      </c>
      <c r="D27" s="123">
        <v>0.04</v>
      </c>
      <c r="E27" s="123">
        <v>0.12</v>
      </c>
      <c r="F27" s="123">
        <v>0.4</v>
      </c>
      <c r="G27" s="123"/>
      <c r="H27" s="123"/>
      <c r="I27" s="123"/>
      <c r="J27" s="433"/>
      <c r="L27" s="68">
        <v>23</v>
      </c>
      <c r="M27" s="113">
        <f t="shared" si="1"/>
        <v>1.5000000000000001E-4</v>
      </c>
      <c r="O27" s="1"/>
      <c r="P27" s="103"/>
    </row>
    <row r="28" spans="1:18" x14ac:dyDescent="0.3">
      <c r="A28" s="121">
        <v>0.02</v>
      </c>
      <c r="B28" s="122">
        <v>3.0000000000000001E-6</v>
      </c>
      <c r="C28" s="123">
        <v>1.0000000000000001E-5</v>
      </c>
      <c r="D28" s="123">
        <v>0.03</v>
      </c>
      <c r="E28" s="123">
        <v>0.1</v>
      </c>
      <c r="F28" s="123">
        <v>0.3</v>
      </c>
      <c r="G28" s="123"/>
      <c r="H28" s="123"/>
      <c r="I28" s="123"/>
      <c r="J28" s="433"/>
      <c r="L28" s="68">
        <v>24</v>
      </c>
      <c r="M28" s="113">
        <f t="shared" si="1"/>
        <v>1.6000000000000001E-4</v>
      </c>
      <c r="O28" s="1"/>
      <c r="P28" s="103"/>
    </row>
    <row r="29" spans="1:18" x14ac:dyDescent="0.3">
      <c r="A29" s="121">
        <v>0.01</v>
      </c>
      <c r="B29" s="122">
        <v>3.0000000000000001E-6</v>
      </c>
      <c r="C29" s="123">
        <v>7.9999999999999996E-6</v>
      </c>
      <c r="D29" s="123">
        <v>2.5000000000000001E-2</v>
      </c>
      <c r="E29" s="123">
        <v>0.08</v>
      </c>
      <c r="F29" s="123">
        <v>0.25</v>
      </c>
      <c r="G29" s="123"/>
      <c r="H29" s="123"/>
      <c r="I29" s="123"/>
      <c r="J29" s="433"/>
      <c r="L29" s="68">
        <v>25</v>
      </c>
      <c r="M29" s="113">
        <f t="shared" si="1"/>
        <v>1.3000000000000002E-4</v>
      </c>
      <c r="O29" s="1"/>
      <c r="P29" s="103"/>
    </row>
    <row r="30" spans="1:18" x14ac:dyDescent="0.3">
      <c r="A30" s="121" t="s">
        <v>312</v>
      </c>
      <c r="B30" s="122">
        <v>3.0000000000000001E-3</v>
      </c>
      <c r="C30" s="123">
        <v>6.0000000000000002E-6</v>
      </c>
      <c r="D30" s="123">
        <v>0.02</v>
      </c>
      <c r="E30" s="123">
        <v>0.06</v>
      </c>
      <c r="F30" s="123">
        <v>0.2</v>
      </c>
      <c r="G30" s="123"/>
      <c r="H30" s="123"/>
      <c r="I30" s="123"/>
      <c r="J30" s="433"/>
      <c r="L30" s="68">
        <v>26</v>
      </c>
      <c r="M30" s="113">
        <f t="shared" si="1"/>
        <v>1.6000000000000001E-4</v>
      </c>
      <c r="O30" s="1"/>
      <c r="P30" s="103"/>
    </row>
    <row r="31" spans="1:18" x14ac:dyDescent="0.3">
      <c r="A31" s="121" t="s">
        <v>313</v>
      </c>
      <c r="B31" s="122">
        <v>3.0000000000000001E-3</v>
      </c>
      <c r="C31" s="123">
        <v>6.0000000000000002E-6</v>
      </c>
      <c r="D31" s="123">
        <v>0.02</v>
      </c>
      <c r="E31" s="123">
        <v>0.06</v>
      </c>
      <c r="F31" s="123">
        <v>0.2</v>
      </c>
      <c r="G31" s="123"/>
      <c r="H31" s="123"/>
      <c r="I31" s="123"/>
      <c r="J31" s="433"/>
      <c r="L31" s="68">
        <v>27</v>
      </c>
      <c r="M31" s="113">
        <f t="shared" si="1"/>
        <v>1.7000000000000001E-4</v>
      </c>
      <c r="O31" s="1"/>
      <c r="P31" s="103"/>
    </row>
    <row r="32" spans="1:18" ht="15" thickBot="1" x14ac:dyDescent="0.35">
      <c r="A32" s="124" t="s">
        <v>314</v>
      </c>
      <c r="B32" s="436">
        <v>3.0000000000000001E-3</v>
      </c>
      <c r="C32" s="437">
        <v>6.0000000000000002E-6</v>
      </c>
      <c r="D32" s="437">
        <v>0.02</v>
      </c>
      <c r="E32" s="437">
        <v>0.06</v>
      </c>
      <c r="F32" s="437">
        <v>0.2</v>
      </c>
      <c r="G32" s="437"/>
      <c r="H32" s="437"/>
      <c r="I32" s="437"/>
      <c r="J32" s="438"/>
      <c r="L32" s="68">
        <v>28</v>
      </c>
      <c r="M32" s="113">
        <f t="shared" si="1"/>
        <v>2.0000000000000001E-4</v>
      </c>
      <c r="O32" s="1"/>
      <c r="P32" s="103"/>
    </row>
    <row r="33" spans="1:16" x14ac:dyDescent="0.3">
      <c r="L33" s="68">
        <v>29</v>
      </c>
      <c r="M33" s="113">
        <f t="shared" si="1"/>
        <v>2.1000000000000001E-4</v>
      </c>
      <c r="O33" s="1"/>
      <c r="P33" s="103"/>
    </row>
    <row r="34" spans="1:16" x14ac:dyDescent="0.3">
      <c r="L34" s="68">
        <v>30</v>
      </c>
      <c r="M34" s="113">
        <f>M24+M14</f>
        <v>1.4000000000000001E-4</v>
      </c>
      <c r="O34" s="1"/>
      <c r="P34" s="103"/>
    </row>
    <row r="35" spans="1:16" x14ac:dyDescent="0.3">
      <c r="L35" s="68">
        <v>31</v>
      </c>
      <c r="M35" s="113">
        <f>$M$34+M5</f>
        <v>1.7000000000000001E-4</v>
      </c>
      <c r="O35" s="1"/>
      <c r="P35" s="103"/>
    </row>
    <row r="36" spans="1:16" x14ac:dyDescent="0.3">
      <c r="L36" s="68">
        <v>32</v>
      </c>
      <c r="M36" s="113">
        <f t="shared" ref="M36:M43" si="2">$M$34+M6</f>
        <v>1.8000000000000001E-4</v>
      </c>
      <c r="O36" s="1"/>
      <c r="P36" s="103"/>
    </row>
    <row r="37" spans="1:16" x14ac:dyDescent="0.3">
      <c r="L37" s="68">
        <v>33</v>
      </c>
      <c r="M37" s="113">
        <f t="shared" si="2"/>
        <v>2.1000000000000001E-4</v>
      </c>
      <c r="O37" s="1"/>
      <c r="P37" s="103"/>
    </row>
    <row r="38" spans="1:16" x14ac:dyDescent="0.3">
      <c r="A38" s="3" t="s">
        <v>315</v>
      </c>
      <c r="B38" s="3" t="s">
        <v>316</v>
      </c>
      <c r="D38" s="134" t="s">
        <v>62</v>
      </c>
      <c r="E38" s="133" t="s">
        <v>263</v>
      </c>
      <c r="F38" s="133" t="s">
        <v>264</v>
      </c>
      <c r="L38" s="68">
        <v>34</v>
      </c>
      <c r="M38" s="113">
        <f t="shared" si="2"/>
        <v>2.2000000000000003E-4</v>
      </c>
      <c r="O38" s="1"/>
      <c r="P38" s="103"/>
    </row>
    <row r="39" spans="1:16" x14ac:dyDescent="0.3">
      <c r="A39" s="103">
        <f>ID!B42</f>
        <v>20</v>
      </c>
      <c r="B39" s="69" t="e">
        <f>HLOOKUP($A$56,$E$38:$F$48,2,(FALSE))</f>
        <v>#N/A</v>
      </c>
      <c r="D39" s="68">
        <f>A39</f>
        <v>20</v>
      </c>
      <c r="E39" s="132">
        <f>VLOOKUP(D39,A3:J32,2,(FALSE))</f>
        <v>2.5000000000000001E-5</v>
      </c>
      <c r="F39" s="132">
        <f>C19</f>
        <v>8.0000000000000007E-5</v>
      </c>
      <c r="L39" s="68">
        <v>35</v>
      </c>
      <c r="M39" s="113">
        <f t="shared" si="2"/>
        <v>1.9000000000000001E-4</v>
      </c>
      <c r="O39" s="1"/>
      <c r="P39" s="103"/>
    </row>
    <row r="40" spans="1:16" x14ac:dyDescent="0.3">
      <c r="A40" s="103">
        <f>ID!B43</f>
        <v>40</v>
      </c>
      <c r="B40" s="69" t="e">
        <f>HLOOKUP($A$56,$E$38:$F$48,3,(FALSE))</f>
        <v>#N/A</v>
      </c>
      <c r="D40" s="68">
        <f t="shared" ref="D40:D48" si="3">A40</f>
        <v>40</v>
      </c>
      <c r="E40" s="132">
        <f>B19*2</f>
        <v>5.0000000000000002E-5</v>
      </c>
      <c r="F40" s="132">
        <f>C19*2</f>
        <v>1.6000000000000001E-4</v>
      </c>
      <c r="L40" s="68">
        <v>36</v>
      </c>
      <c r="M40" s="113">
        <f t="shared" si="2"/>
        <v>2.2000000000000003E-4</v>
      </c>
      <c r="O40" s="1"/>
      <c r="P40" s="103"/>
    </row>
    <row r="41" spans="1:16" x14ac:dyDescent="0.3">
      <c r="A41" s="103">
        <f>ID!B44</f>
        <v>60</v>
      </c>
      <c r="B41" s="69" t="e">
        <f>HLOOKUP($A$56,$E$38:$F$48,4,(FALSE))</f>
        <v>#N/A</v>
      </c>
      <c r="D41" s="68">
        <f t="shared" si="3"/>
        <v>60</v>
      </c>
      <c r="E41" s="132">
        <f>B18+B20</f>
        <v>5.0000000000000002E-5</v>
      </c>
      <c r="F41" s="132">
        <f>C18+C20</f>
        <v>1.6000000000000001E-4</v>
      </c>
      <c r="L41" s="68">
        <v>37</v>
      </c>
      <c r="M41" s="113">
        <f t="shared" si="2"/>
        <v>2.3000000000000001E-4</v>
      </c>
      <c r="O41" s="1"/>
      <c r="P41" s="103">
        <f>R19/1000</f>
        <v>2.0000000000000001E-4</v>
      </c>
    </row>
    <row r="42" spans="1:16" x14ac:dyDescent="0.3">
      <c r="A42" s="103">
        <f>ID!B45</f>
        <v>80</v>
      </c>
      <c r="B42" s="69" t="e">
        <f>HLOOKUP($A$56,$E$38:$F$48,5,(FALSE))</f>
        <v>#N/A</v>
      </c>
      <c r="D42" s="68">
        <f t="shared" si="3"/>
        <v>80</v>
      </c>
      <c r="E42" s="131">
        <f>B18+B19+B20</f>
        <v>7.5000000000000007E-5</v>
      </c>
      <c r="F42" s="131">
        <f>C18+C19+C20</f>
        <v>2.4000000000000001E-4</v>
      </c>
      <c r="L42" s="68">
        <v>38</v>
      </c>
      <c r="M42" s="113">
        <f t="shared" si="2"/>
        <v>2.6000000000000003E-4</v>
      </c>
      <c r="O42" s="1"/>
      <c r="P42" s="103">
        <f>R20/1000</f>
        <v>2.5000000000000001E-4</v>
      </c>
    </row>
    <row r="43" spans="1:16" x14ac:dyDescent="0.3">
      <c r="A43" s="103">
        <f>ID!B46</f>
        <v>100</v>
      </c>
      <c r="B43" s="69" t="e">
        <f>HLOOKUP($A$56,$E$38:$F$48,6,(FALSE))</f>
        <v>#N/A</v>
      </c>
      <c r="D43" s="68">
        <f t="shared" si="3"/>
        <v>100</v>
      </c>
      <c r="E43" s="132">
        <f t="shared" ref="E43:E48" si="4">VLOOKUP(D43,A7:J36,2,(FALSE))</f>
        <v>5.0000000000000002E-5</v>
      </c>
      <c r="F43" s="131">
        <f>C17</f>
        <v>1.6000000000000001E-4</v>
      </c>
      <c r="L43" s="68">
        <v>39</v>
      </c>
      <c r="M43" s="113">
        <f t="shared" si="2"/>
        <v>2.7000000000000006E-4</v>
      </c>
      <c r="O43" s="1"/>
      <c r="P43" s="103">
        <f>P41+P42</f>
        <v>4.4999999999999999E-4</v>
      </c>
    </row>
    <row r="44" spans="1:16" x14ac:dyDescent="0.3">
      <c r="A44" s="103">
        <f>ID!B47</f>
        <v>120</v>
      </c>
      <c r="B44" s="69" t="e">
        <f>HLOOKUP($A$56,$E$38:$F$48,7,(FALSE))</f>
        <v>#N/A</v>
      </c>
      <c r="D44" s="68">
        <f t="shared" si="3"/>
        <v>120</v>
      </c>
      <c r="E44" s="131">
        <f>B17+B19</f>
        <v>7.5000000000000007E-5</v>
      </c>
      <c r="F44" s="131">
        <f>C17+C19</f>
        <v>2.4000000000000003E-4</v>
      </c>
      <c r="L44" s="68">
        <v>40</v>
      </c>
      <c r="M44" s="113">
        <f>$M$24*2</f>
        <v>1.6000000000000001E-4</v>
      </c>
      <c r="O44" s="1"/>
      <c r="P44" s="103">
        <f>P42+P42</f>
        <v>5.0000000000000001E-4</v>
      </c>
    </row>
    <row r="45" spans="1:16" x14ac:dyDescent="0.3">
      <c r="A45" s="103">
        <f>ID!B48</f>
        <v>140</v>
      </c>
      <c r="B45" s="69" t="e">
        <f>HLOOKUP($A$56,$E$38:$F$48,8,(FALSE))</f>
        <v>#N/A</v>
      </c>
      <c r="D45" s="68">
        <f t="shared" si="3"/>
        <v>140</v>
      </c>
      <c r="E45" s="131">
        <f>B17+B19+B19</f>
        <v>1E-4</v>
      </c>
      <c r="F45" s="131">
        <f>C17+C19+C19</f>
        <v>3.2000000000000003E-4</v>
      </c>
      <c r="L45" s="68">
        <v>41</v>
      </c>
      <c r="M45" s="113">
        <f>$M$44+M5</f>
        <v>1.9000000000000001E-4</v>
      </c>
      <c r="O45" s="1"/>
      <c r="P45" s="104">
        <f>R21/1000</f>
        <v>2.9999999999999997E-4</v>
      </c>
    </row>
    <row r="46" spans="1:16" x14ac:dyDescent="0.3">
      <c r="A46" s="103">
        <f>ID!B49</f>
        <v>160</v>
      </c>
      <c r="B46" s="69" t="e">
        <f>HLOOKUP($A$56,$E$38:$F$48,9,(FALSE))</f>
        <v>#N/A</v>
      </c>
      <c r="D46" s="68">
        <f t="shared" si="3"/>
        <v>160</v>
      </c>
      <c r="E46" s="131">
        <f>B17+B18+B20</f>
        <v>1E-4</v>
      </c>
      <c r="F46" s="131">
        <f>C17+C18+C20</f>
        <v>3.2000000000000003E-4</v>
      </c>
      <c r="L46" s="68">
        <v>42</v>
      </c>
      <c r="M46" s="113">
        <f t="shared" ref="M46:M53" si="5">$M$44+M6</f>
        <v>2.0000000000000001E-4</v>
      </c>
      <c r="O46" s="1"/>
      <c r="P46" s="103"/>
    </row>
    <row r="47" spans="1:16" x14ac:dyDescent="0.3">
      <c r="A47" s="103">
        <f>ID!B50</f>
        <v>180</v>
      </c>
      <c r="B47" s="69" t="e">
        <f>HLOOKUP($A$56,$E$38:$F$48,10,(FALSE))</f>
        <v>#N/A</v>
      </c>
      <c r="D47" s="68">
        <f t="shared" si="3"/>
        <v>180</v>
      </c>
      <c r="E47" s="131">
        <f>B17+B19+B18+B20</f>
        <v>1.25E-4</v>
      </c>
      <c r="F47" s="131">
        <f>C17+C19+C18+C20</f>
        <v>4.0000000000000002E-4</v>
      </c>
      <c r="L47" s="68">
        <v>43</v>
      </c>
      <c r="M47" s="113">
        <f t="shared" si="5"/>
        <v>2.3000000000000001E-4</v>
      </c>
      <c r="O47" s="1"/>
      <c r="P47" s="103"/>
    </row>
    <row r="48" spans="1:16" x14ac:dyDescent="0.3">
      <c r="A48" s="103">
        <f>ID!B51</f>
        <v>200</v>
      </c>
      <c r="B48" s="69" t="e">
        <f>HLOOKUP($A$56,$E$38:$F$48,11,(FALSE))</f>
        <v>#N/A</v>
      </c>
      <c r="D48" s="68">
        <f t="shared" si="3"/>
        <v>200</v>
      </c>
      <c r="E48" s="132">
        <f t="shared" si="4"/>
        <v>1E-4</v>
      </c>
      <c r="F48" s="131">
        <f>C16</f>
        <v>2.9999999999999997E-4</v>
      </c>
      <c r="L48" s="68">
        <v>44</v>
      </c>
      <c r="M48" s="113">
        <f t="shared" si="5"/>
        <v>2.4000000000000003E-4</v>
      </c>
      <c r="O48" s="1"/>
      <c r="P48" s="103"/>
    </row>
    <row r="49" spans="1:16" x14ac:dyDescent="0.3">
      <c r="L49" s="68">
        <v>45</v>
      </c>
      <c r="M49" s="113">
        <f t="shared" si="5"/>
        <v>2.1000000000000001E-4</v>
      </c>
      <c r="O49" s="1"/>
      <c r="P49" s="103"/>
    </row>
    <row r="50" spans="1:16" x14ac:dyDescent="0.3">
      <c r="L50" s="68">
        <v>46</v>
      </c>
      <c r="M50" s="113">
        <f t="shared" si="5"/>
        <v>2.4000000000000003E-4</v>
      </c>
      <c r="O50" s="1"/>
      <c r="P50" s="103"/>
    </row>
    <row r="51" spans="1:16" x14ac:dyDescent="0.3">
      <c r="A51" s="108" t="s">
        <v>317</v>
      </c>
      <c r="L51" s="68">
        <v>47</v>
      </c>
      <c r="M51" s="113">
        <f t="shared" si="5"/>
        <v>2.5000000000000001E-4</v>
      </c>
      <c r="O51" s="1"/>
      <c r="P51" s="103"/>
    </row>
    <row r="52" spans="1:16" x14ac:dyDescent="0.3">
      <c r="A52" s="135" t="s">
        <v>85</v>
      </c>
      <c r="L52" s="68">
        <v>48</v>
      </c>
      <c r="M52" s="113">
        <f t="shared" si="5"/>
        <v>2.8000000000000003E-4</v>
      </c>
      <c r="O52" s="1"/>
      <c r="P52" s="103"/>
    </row>
    <row r="53" spans="1:16" x14ac:dyDescent="0.3">
      <c r="A53" t="s">
        <v>264</v>
      </c>
      <c r="B53" s="109"/>
      <c r="C53" s="109"/>
      <c r="D53" s="109"/>
      <c r="E53" s="109"/>
      <c r="F53" s="109"/>
      <c r="L53" s="68">
        <v>49</v>
      </c>
      <c r="M53" s="113">
        <f t="shared" si="5"/>
        <v>2.9E-4</v>
      </c>
      <c r="O53" s="1"/>
      <c r="P53" s="103"/>
    </row>
    <row r="54" spans="1:16" x14ac:dyDescent="0.3">
      <c r="A54" t="s">
        <v>263</v>
      </c>
      <c r="B54" s="135"/>
      <c r="C54" s="135"/>
      <c r="D54" s="135"/>
      <c r="E54" s="135"/>
      <c r="F54" s="135"/>
      <c r="L54" s="68">
        <v>50</v>
      </c>
      <c r="M54" s="113">
        <f>C18</f>
        <v>1E-4</v>
      </c>
      <c r="O54" s="1"/>
      <c r="P54" s="103"/>
    </row>
    <row r="55" spans="1:16" x14ac:dyDescent="0.3">
      <c r="A55" s="657" t="str">
        <f>ID!B81</f>
        <v>Anak Timbangan Standar, Merek : HÄFNER, Tipe : 9.XNHM-810, SN : 6580920</v>
      </c>
      <c r="B55" s="657"/>
      <c r="C55" s="657"/>
      <c r="D55" s="657"/>
      <c r="E55" s="657"/>
      <c r="L55" s="68">
        <v>51</v>
      </c>
      <c r="M55" s="113">
        <f>$M$54+M5</f>
        <v>1.3000000000000002E-4</v>
      </c>
      <c r="O55" s="1"/>
      <c r="P55" s="103"/>
    </row>
    <row r="56" spans="1:16" x14ac:dyDescent="0.3">
      <c r="A56" t="e">
        <f>LOOKUP(A55,A51:A52,A53:A54)</f>
        <v>#N/A</v>
      </c>
      <c r="L56" s="68">
        <v>52</v>
      </c>
      <c r="M56" s="113">
        <f t="shared" ref="M56:M63" si="6">$M$54+M6</f>
        <v>1.4000000000000001E-4</v>
      </c>
      <c r="O56" s="1"/>
      <c r="P56" s="103"/>
    </row>
    <row r="57" spans="1:16" x14ac:dyDescent="0.3">
      <c r="L57" s="68">
        <v>53</v>
      </c>
      <c r="M57" s="113">
        <f t="shared" si="6"/>
        <v>1.7000000000000001E-4</v>
      </c>
      <c r="O57" s="1"/>
      <c r="P57" s="103"/>
    </row>
    <row r="58" spans="1:16" x14ac:dyDescent="0.3">
      <c r="H58" s="112"/>
      <c r="L58" s="68">
        <v>54</v>
      </c>
      <c r="M58" s="113">
        <f t="shared" si="6"/>
        <v>1.8000000000000001E-4</v>
      </c>
      <c r="O58" s="1"/>
      <c r="P58" s="103"/>
    </row>
    <row r="59" spans="1:16" x14ac:dyDescent="0.3">
      <c r="H59" s="112"/>
      <c r="L59" s="68">
        <v>55</v>
      </c>
      <c r="M59" s="113">
        <f t="shared" si="6"/>
        <v>1.5000000000000001E-4</v>
      </c>
      <c r="O59" s="1"/>
      <c r="P59" s="103"/>
    </row>
    <row r="60" spans="1:16" x14ac:dyDescent="0.3">
      <c r="H60" s="112"/>
      <c r="L60" s="68">
        <v>56</v>
      </c>
      <c r="M60" s="113">
        <f t="shared" si="6"/>
        <v>1.8000000000000001E-4</v>
      </c>
      <c r="O60" s="1"/>
      <c r="P60" s="103"/>
    </row>
    <row r="61" spans="1:16" x14ac:dyDescent="0.3">
      <c r="H61" s="112"/>
      <c r="L61" s="68">
        <v>57</v>
      </c>
      <c r="M61" s="113">
        <f t="shared" si="6"/>
        <v>1.9000000000000001E-4</v>
      </c>
      <c r="O61" s="1"/>
      <c r="P61" s="103"/>
    </row>
    <row r="62" spans="1:16" x14ac:dyDescent="0.3">
      <c r="H62" s="112"/>
      <c r="L62" s="68">
        <v>58</v>
      </c>
      <c r="M62" s="113">
        <f t="shared" si="6"/>
        <v>2.2000000000000001E-4</v>
      </c>
      <c r="O62" s="1"/>
      <c r="P62" s="103"/>
    </row>
    <row r="63" spans="1:16" x14ac:dyDescent="0.3">
      <c r="H63" s="112"/>
      <c r="L63" s="68">
        <v>59</v>
      </c>
      <c r="M63" s="113">
        <f t="shared" si="6"/>
        <v>2.3000000000000001E-4</v>
      </c>
      <c r="O63" s="1"/>
      <c r="P63" s="103"/>
    </row>
    <row r="64" spans="1:16" x14ac:dyDescent="0.3">
      <c r="H64" s="112"/>
      <c r="L64" s="68">
        <v>60</v>
      </c>
      <c r="M64" s="113">
        <f>$M$54+$M$14</f>
        <v>1.6000000000000001E-4</v>
      </c>
      <c r="O64" s="1"/>
      <c r="P64" s="103"/>
    </row>
    <row r="65" spans="8:13" x14ac:dyDescent="0.3">
      <c r="H65" s="112"/>
      <c r="L65" s="68">
        <v>61</v>
      </c>
      <c r="M65" s="116">
        <f>$M$64+M5</f>
        <v>1.9000000000000001E-4</v>
      </c>
    </row>
    <row r="66" spans="8:13" x14ac:dyDescent="0.3">
      <c r="H66" s="112"/>
      <c r="L66" s="68">
        <v>62</v>
      </c>
      <c r="M66" s="116">
        <f t="shared" ref="M66:M73" si="7">$M$64+M6</f>
        <v>2.0000000000000001E-4</v>
      </c>
    </row>
    <row r="67" spans="8:13" x14ac:dyDescent="0.3">
      <c r="H67" s="112"/>
      <c r="L67" s="68">
        <v>63</v>
      </c>
      <c r="M67" s="116">
        <f t="shared" si="7"/>
        <v>2.3000000000000001E-4</v>
      </c>
    </row>
    <row r="68" spans="8:13" x14ac:dyDescent="0.3">
      <c r="H68" s="112"/>
      <c r="L68" s="68">
        <v>64</v>
      </c>
      <c r="M68" s="116">
        <f t="shared" si="7"/>
        <v>2.4000000000000003E-4</v>
      </c>
    </row>
    <row r="69" spans="8:13" x14ac:dyDescent="0.3">
      <c r="H69" s="112"/>
      <c r="L69" s="68">
        <v>65</v>
      </c>
      <c r="M69" s="116">
        <f t="shared" si="7"/>
        <v>2.1000000000000001E-4</v>
      </c>
    </row>
    <row r="70" spans="8:13" x14ac:dyDescent="0.3">
      <c r="H70" s="112"/>
      <c r="L70" s="68">
        <v>66</v>
      </c>
      <c r="M70" s="116">
        <f t="shared" si="7"/>
        <v>2.4000000000000003E-4</v>
      </c>
    </row>
    <row r="71" spans="8:13" x14ac:dyDescent="0.3">
      <c r="H71" s="112"/>
      <c r="L71" s="68">
        <v>67</v>
      </c>
      <c r="M71" s="116">
        <f t="shared" si="7"/>
        <v>2.5000000000000001E-4</v>
      </c>
    </row>
    <row r="72" spans="8:13" x14ac:dyDescent="0.3">
      <c r="H72" s="112"/>
      <c r="L72" s="68">
        <v>68</v>
      </c>
      <c r="M72" s="116">
        <f t="shared" si="7"/>
        <v>2.8000000000000003E-4</v>
      </c>
    </row>
    <row r="73" spans="8:13" x14ac:dyDescent="0.3">
      <c r="H73" s="112"/>
      <c r="L73" s="68">
        <v>69</v>
      </c>
      <c r="M73" s="116">
        <f t="shared" si="7"/>
        <v>2.9E-4</v>
      </c>
    </row>
    <row r="74" spans="8:13" x14ac:dyDescent="0.3">
      <c r="H74" s="112"/>
      <c r="L74" s="68">
        <v>70</v>
      </c>
      <c r="M74" s="116">
        <f>M54+M24</f>
        <v>1.8000000000000001E-4</v>
      </c>
    </row>
    <row r="75" spans="8:13" x14ac:dyDescent="0.3">
      <c r="L75" s="68">
        <v>71</v>
      </c>
      <c r="M75" s="116">
        <f>$M$74+M5</f>
        <v>2.1000000000000001E-4</v>
      </c>
    </row>
    <row r="76" spans="8:13" x14ac:dyDescent="0.3">
      <c r="L76" s="68">
        <v>72</v>
      </c>
      <c r="M76" s="116">
        <f t="shared" ref="M76:M83" si="8">$M$74+M6</f>
        <v>2.2000000000000001E-4</v>
      </c>
    </row>
    <row r="77" spans="8:13" x14ac:dyDescent="0.3">
      <c r="L77" s="68">
        <v>73</v>
      </c>
      <c r="M77" s="116">
        <f t="shared" si="8"/>
        <v>2.5000000000000001E-4</v>
      </c>
    </row>
    <row r="78" spans="8:13" x14ac:dyDescent="0.3">
      <c r="L78" s="68">
        <v>74</v>
      </c>
      <c r="M78" s="116">
        <f t="shared" si="8"/>
        <v>2.6000000000000003E-4</v>
      </c>
    </row>
    <row r="79" spans="8:13" x14ac:dyDescent="0.3">
      <c r="L79" s="68">
        <v>75</v>
      </c>
      <c r="M79" s="116">
        <f t="shared" si="8"/>
        <v>2.3000000000000001E-4</v>
      </c>
    </row>
    <row r="80" spans="8:13" x14ac:dyDescent="0.3">
      <c r="L80" s="68">
        <v>76</v>
      </c>
      <c r="M80" s="116">
        <f t="shared" si="8"/>
        <v>2.6000000000000003E-4</v>
      </c>
    </row>
    <row r="81" spans="12:13" x14ac:dyDescent="0.3">
      <c r="L81" s="68">
        <v>77</v>
      </c>
      <c r="M81" s="116">
        <f t="shared" si="8"/>
        <v>2.7E-4</v>
      </c>
    </row>
    <row r="82" spans="12:13" x14ac:dyDescent="0.3">
      <c r="L82" s="68">
        <v>78</v>
      </c>
      <c r="M82" s="116">
        <f t="shared" si="8"/>
        <v>3.0000000000000003E-4</v>
      </c>
    </row>
    <row r="83" spans="12:13" x14ac:dyDescent="0.3">
      <c r="L83" s="68">
        <v>79</v>
      </c>
      <c r="M83" s="116">
        <f t="shared" si="8"/>
        <v>3.1000000000000005E-4</v>
      </c>
    </row>
    <row r="84" spans="12:13" x14ac:dyDescent="0.3">
      <c r="L84" s="68">
        <v>80</v>
      </c>
      <c r="M84" s="116">
        <f>$M$54+$M$34</f>
        <v>2.4000000000000003E-4</v>
      </c>
    </row>
    <row r="85" spans="12:13" x14ac:dyDescent="0.3">
      <c r="L85" s="68">
        <v>81</v>
      </c>
      <c r="M85" s="116">
        <f>$M$84+M5</f>
        <v>2.7000000000000006E-4</v>
      </c>
    </row>
    <row r="86" spans="12:13" x14ac:dyDescent="0.3">
      <c r="L86" s="68">
        <v>82</v>
      </c>
      <c r="M86" s="116">
        <f t="shared" ref="M86:M93" si="9">$M$84+M6</f>
        <v>2.8000000000000003E-4</v>
      </c>
    </row>
    <row r="87" spans="12:13" x14ac:dyDescent="0.3">
      <c r="L87" s="68">
        <v>83</v>
      </c>
      <c r="M87" s="116">
        <f t="shared" si="9"/>
        <v>3.1000000000000005E-4</v>
      </c>
    </row>
    <row r="88" spans="12:13" x14ac:dyDescent="0.3">
      <c r="L88" s="68">
        <v>84</v>
      </c>
      <c r="M88" s="116">
        <f t="shared" si="9"/>
        <v>3.2000000000000003E-4</v>
      </c>
    </row>
    <row r="89" spans="12:13" x14ac:dyDescent="0.3">
      <c r="L89" s="68">
        <v>85</v>
      </c>
      <c r="M89" s="116">
        <f t="shared" si="9"/>
        <v>2.9000000000000006E-4</v>
      </c>
    </row>
    <row r="90" spans="12:13" x14ac:dyDescent="0.3">
      <c r="L90" s="68">
        <v>86</v>
      </c>
      <c r="M90" s="116">
        <f t="shared" si="9"/>
        <v>3.2000000000000003E-4</v>
      </c>
    </row>
    <row r="91" spans="12:13" x14ac:dyDescent="0.3">
      <c r="L91" s="68">
        <v>87</v>
      </c>
      <c r="M91" s="116">
        <f t="shared" si="9"/>
        <v>3.3000000000000005E-4</v>
      </c>
    </row>
    <row r="92" spans="12:13" x14ac:dyDescent="0.3">
      <c r="L92" s="68">
        <v>88</v>
      </c>
      <c r="M92" s="116">
        <f t="shared" si="9"/>
        <v>3.6000000000000002E-4</v>
      </c>
    </row>
    <row r="93" spans="12:13" x14ac:dyDescent="0.3">
      <c r="L93" s="68">
        <v>89</v>
      </c>
      <c r="M93" s="116">
        <f t="shared" si="9"/>
        <v>3.7000000000000005E-4</v>
      </c>
    </row>
    <row r="94" spans="12:13" x14ac:dyDescent="0.3">
      <c r="L94" s="68">
        <v>90</v>
      </c>
      <c r="M94" s="116">
        <f>M54+M44</f>
        <v>2.6000000000000003E-4</v>
      </c>
    </row>
    <row r="95" spans="12:13" x14ac:dyDescent="0.3">
      <c r="L95" s="68">
        <v>91</v>
      </c>
      <c r="M95" s="116">
        <f>$M$94+M5</f>
        <v>2.9000000000000006E-4</v>
      </c>
    </row>
    <row r="96" spans="12:13" x14ac:dyDescent="0.3">
      <c r="L96" s="68">
        <v>92</v>
      </c>
      <c r="M96" s="116">
        <f t="shared" ref="M96:M103" si="10">$M$94+M6</f>
        <v>3.0000000000000003E-4</v>
      </c>
    </row>
    <row r="97" spans="12:13" x14ac:dyDescent="0.3">
      <c r="L97" s="68">
        <v>93</v>
      </c>
      <c r="M97" s="116">
        <f t="shared" si="10"/>
        <v>3.3000000000000005E-4</v>
      </c>
    </row>
    <row r="98" spans="12:13" x14ac:dyDescent="0.3">
      <c r="L98" s="68">
        <v>94</v>
      </c>
      <c r="M98" s="116">
        <f t="shared" si="10"/>
        <v>3.4000000000000002E-4</v>
      </c>
    </row>
    <row r="99" spans="12:13" x14ac:dyDescent="0.3">
      <c r="L99" s="68">
        <v>95</v>
      </c>
      <c r="M99" s="116">
        <f t="shared" si="10"/>
        <v>3.1000000000000005E-4</v>
      </c>
    </row>
    <row r="100" spans="12:13" x14ac:dyDescent="0.3">
      <c r="L100" s="68">
        <v>96</v>
      </c>
      <c r="M100" s="116">
        <f t="shared" si="10"/>
        <v>3.4000000000000002E-4</v>
      </c>
    </row>
    <row r="101" spans="12:13" x14ac:dyDescent="0.3">
      <c r="L101" s="68">
        <v>97</v>
      </c>
      <c r="M101" s="116">
        <f t="shared" si="10"/>
        <v>3.5000000000000005E-4</v>
      </c>
    </row>
    <row r="102" spans="12:13" x14ac:dyDescent="0.3">
      <c r="L102" s="68">
        <v>98</v>
      </c>
      <c r="M102" s="116">
        <f t="shared" si="10"/>
        <v>3.8000000000000002E-4</v>
      </c>
    </row>
    <row r="103" spans="12:13" x14ac:dyDescent="0.3">
      <c r="L103" s="68">
        <v>99</v>
      </c>
      <c r="M103" s="116">
        <f t="shared" si="10"/>
        <v>3.9000000000000005E-4</v>
      </c>
    </row>
    <row r="104" spans="12:13" x14ac:dyDescent="0.3">
      <c r="L104" s="68">
        <v>100</v>
      </c>
      <c r="M104" s="116">
        <f>C17</f>
        <v>1.6000000000000001E-4</v>
      </c>
    </row>
    <row r="105" spans="12:13" x14ac:dyDescent="0.3">
      <c r="L105" s="68">
        <v>101</v>
      </c>
      <c r="M105" s="116">
        <f>$M$104+M5</f>
        <v>1.9000000000000001E-4</v>
      </c>
    </row>
    <row r="106" spans="12:13" x14ac:dyDescent="0.3">
      <c r="L106" s="68">
        <v>102</v>
      </c>
      <c r="M106" s="116">
        <f t="shared" ref="M106:M169" si="11">$M$104+M6</f>
        <v>2.0000000000000001E-4</v>
      </c>
    </row>
    <row r="107" spans="12:13" x14ac:dyDescent="0.3">
      <c r="L107" s="68">
        <v>103</v>
      </c>
      <c r="M107" s="116">
        <f t="shared" si="11"/>
        <v>2.3000000000000001E-4</v>
      </c>
    </row>
    <row r="108" spans="12:13" x14ac:dyDescent="0.3">
      <c r="L108" s="68">
        <v>104</v>
      </c>
      <c r="M108" s="116">
        <f t="shared" si="11"/>
        <v>2.4000000000000003E-4</v>
      </c>
    </row>
    <row r="109" spans="12:13" x14ac:dyDescent="0.3">
      <c r="L109" s="68">
        <v>105</v>
      </c>
      <c r="M109" s="116">
        <f t="shared" si="11"/>
        <v>2.1000000000000001E-4</v>
      </c>
    </row>
    <row r="110" spans="12:13" x14ac:dyDescent="0.3">
      <c r="L110" s="68">
        <v>106</v>
      </c>
      <c r="M110" s="116">
        <f t="shared" si="11"/>
        <v>2.4000000000000003E-4</v>
      </c>
    </row>
    <row r="111" spans="12:13" x14ac:dyDescent="0.3">
      <c r="L111" s="68">
        <v>107</v>
      </c>
      <c r="M111" s="116">
        <f t="shared" si="11"/>
        <v>2.5000000000000001E-4</v>
      </c>
    </row>
    <row r="112" spans="12:13" x14ac:dyDescent="0.3">
      <c r="L112" s="68">
        <v>108</v>
      </c>
      <c r="M112" s="116">
        <f t="shared" si="11"/>
        <v>2.8000000000000003E-4</v>
      </c>
    </row>
    <row r="113" spans="12:13" x14ac:dyDescent="0.3">
      <c r="L113" s="68">
        <v>109</v>
      </c>
      <c r="M113" s="116">
        <f t="shared" si="11"/>
        <v>2.9E-4</v>
      </c>
    </row>
    <row r="114" spans="12:13" x14ac:dyDescent="0.3">
      <c r="L114" s="68">
        <v>110</v>
      </c>
      <c r="M114" s="116">
        <f t="shared" si="11"/>
        <v>2.2000000000000001E-4</v>
      </c>
    </row>
    <row r="115" spans="12:13" x14ac:dyDescent="0.3">
      <c r="L115" s="68">
        <v>111</v>
      </c>
      <c r="M115" s="116">
        <f t="shared" si="11"/>
        <v>2.5000000000000001E-4</v>
      </c>
    </row>
    <row r="116" spans="12:13" x14ac:dyDescent="0.3">
      <c r="L116" s="68">
        <v>112</v>
      </c>
      <c r="M116" s="116">
        <f t="shared" si="11"/>
        <v>2.6000000000000003E-4</v>
      </c>
    </row>
    <row r="117" spans="12:13" x14ac:dyDescent="0.3">
      <c r="L117" s="68">
        <v>113</v>
      </c>
      <c r="M117" s="116">
        <f t="shared" si="11"/>
        <v>2.9E-4</v>
      </c>
    </row>
    <row r="118" spans="12:13" x14ac:dyDescent="0.3">
      <c r="L118" s="68">
        <v>114</v>
      </c>
      <c r="M118" s="116">
        <f t="shared" si="11"/>
        <v>3.0000000000000003E-4</v>
      </c>
    </row>
    <row r="119" spans="12:13" x14ac:dyDescent="0.3">
      <c r="L119" s="68">
        <v>115</v>
      </c>
      <c r="M119" s="116">
        <f t="shared" si="11"/>
        <v>2.7E-4</v>
      </c>
    </row>
    <row r="120" spans="12:13" x14ac:dyDescent="0.3">
      <c r="L120" s="68">
        <v>116</v>
      </c>
      <c r="M120" s="116">
        <f t="shared" si="11"/>
        <v>3.0000000000000003E-4</v>
      </c>
    </row>
    <row r="121" spans="12:13" x14ac:dyDescent="0.3">
      <c r="L121" s="68">
        <v>117</v>
      </c>
      <c r="M121" s="116">
        <f t="shared" si="11"/>
        <v>3.1000000000000005E-4</v>
      </c>
    </row>
    <row r="122" spans="12:13" x14ac:dyDescent="0.3">
      <c r="L122" s="68">
        <v>118</v>
      </c>
      <c r="M122" s="116">
        <f t="shared" si="11"/>
        <v>3.4000000000000002E-4</v>
      </c>
    </row>
    <row r="123" spans="12:13" x14ac:dyDescent="0.3">
      <c r="L123" s="68">
        <v>119</v>
      </c>
      <c r="M123" s="116">
        <f t="shared" si="11"/>
        <v>3.5000000000000005E-4</v>
      </c>
    </row>
    <row r="124" spans="12:13" x14ac:dyDescent="0.3">
      <c r="L124" s="68">
        <v>120</v>
      </c>
      <c r="M124" s="116">
        <f t="shared" si="11"/>
        <v>2.4000000000000003E-4</v>
      </c>
    </row>
    <row r="125" spans="12:13" x14ac:dyDescent="0.3">
      <c r="L125" s="68">
        <v>121</v>
      </c>
      <c r="M125" s="116">
        <f t="shared" si="11"/>
        <v>2.7E-4</v>
      </c>
    </row>
    <row r="126" spans="12:13" x14ac:dyDescent="0.3">
      <c r="L126" s="68">
        <v>122</v>
      </c>
      <c r="M126" s="116">
        <f t="shared" si="11"/>
        <v>2.8000000000000003E-4</v>
      </c>
    </row>
    <row r="127" spans="12:13" x14ac:dyDescent="0.3">
      <c r="L127" s="68">
        <v>123</v>
      </c>
      <c r="M127" s="116">
        <f t="shared" si="11"/>
        <v>3.1000000000000005E-4</v>
      </c>
    </row>
    <row r="128" spans="12:13" x14ac:dyDescent="0.3">
      <c r="L128" s="68">
        <v>124</v>
      </c>
      <c r="M128" s="116">
        <f t="shared" si="11"/>
        <v>3.2000000000000003E-4</v>
      </c>
    </row>
    <row r="129" spans="12:13" x14ac:dyDescent="0.3">
      <c r="L129" s="68">
        <v>125</v>
      </c>
      <c r="M129" s="116">
        <f t="shared" si="11"/>
        <v>2.9E-4</v>
      </c>
    </row>
    <row r="130" spans="12:13" x14ac:dyDescent="0.3">
      <c r="L130" s="68">
        <v>126</v>
      </c>
      <c r="M130" s="116">
        <f t="shared" si="11"/>
        <v>3.2000000000000003E-4</v>
      </c>
    </row>
    <row r="131" spans="12:13" x14ac:dyDescent="0.3">
      <c r="L131" s="68">
        <v>127</v>
      </c>
      <c r="M131" s="116">
        <f t="shared" si="11"/>
        <v>3.3E-4</v>
      </c>
    </row>
    <row r="132" spans="12:13" x14ac:dyDescent="0.3">
      <c r="L132" s="68">
        <v>128</v>
      </c>
      <c r="M132" s="116">
        <f t="shared" si="11"/>
        <v>3.6000000000000002E-4</v>
      </c>
    </row>
    <row r="133" spans="12:13" x14ac:dyDescent="0.3">
      <c r="L133" s="68">
        <v>129</v>
      </c>
      <c r="M133" s="116">
        <f t="shared" si="11"/>
        <v>3.6999999999999999E-4</v>
      </c>
    </row>
    <row r="134" spans="12:13" x14ac:dyDescent="0.3">
      <c r="L134" s="68">
        <v>130</v>
      </c>
      <c r="M134" s="116">
        <f t="shared" si="11"/>
        <v>3.0000000000000003E-4</v>
      </c>
    </row>
    <row r="135" spans="12:13" x14ac:dyDescent="0.3">
      <c r="L135" s="68">
        <v>131</v>
      </c>
      <c r="M135" s="116">
        <f t="shared" si="11"/>
        <v>3.3E-4</v>
      </c>
    </row>
    <row r="136" spans="12:13" x14ac:dyDescent="0.3">
      <c r="L136" s="68">
        <v>132</v>
      </c>
      <c r="M136" s="116">
        <f t="shared" si="11"/>
        <v>3.4000000000000002E-4</v>
      </c>
    </row>
    <row r="137" spans="12:13" x14ac:dyDescent="0.3">
      <c r="L137" s="68">
        <v>133</v>
      </c>
      <c r="M137" s="116">
        <f t="shared" si="11"/>
        <v>3.6999999999999999E-4</v>
      </c>
    </row>
    <row r="138" spans="12:13" x14ac:dyDescent="0.3">
      <c r="L138" s="68">
        <v>134</v>
      </c>
      <c r="M138" s="116">
        <f t="shared" si="11"/>
        <v>3.8000000000000002E-4</v>
      </c>
    </row>
    <row r="139" spans="12:13" x14ac:dyDescent="0.3">
      <c r="L139" s="68">
        <v>135</v>
      </c>
      <c r="M139" s="116">
        <f t="shared" si="11"/>
        <v>3.5000000000000005E-4</v>
      </c>
    </row>
    <row r="140" spans="12:13" x14ac:dyDescent="0.3">
      <c r="L140" s="68">
        <v>136</v>
      </c>
      <c r="M140" s="116">
        <f t="shared" si="11"/>
        <v>3.8000000000000002E-4</v>
      </c>
    </row>
    <row r="141" spans="12:13" x14ac:dyDescent="0.3">
      <c r="L141" s="68">
        <v>137</v>
      </c>
      <c r="M141" s="116">
        <f t="shared" si="11"/>
        <v>3.9000000000000005E-4</v>
      </c>
    </row>
    <row r="142" spans="12:13" x14ac:dyDescent="0.3">
      <c r="L142" s="68">
        <v>138</v>
      </c>
      <c r="M142" s="116">
        <f t="shared" si="11"/>
        <v>4.2000000000000002E-4</v>
      </c>
    </row>
    <row r="143" spans="12:13" x14ac:dyDescent="0.3">
      <c r="L143" s="68">
        <v>139</v>
      </c>
      <c r="M143" s="116">
        <f t="shared" si="11"/>
        <v>4.3000000000000004E-4</v>
      </c>
    </row>
    <row r="144" spans="12:13" x14ac:dyDescent="0.3">
      <c r="L144" s="68">
        <v>140</v>
      </c>
      <c r="M144" s="116">
        <f t="shared" si="11"/>
        <v>3.2000000000000003E-4</v>
      </c>
    </row>
    <row r="145" spans="12:13" x14ac:dyDescent="0.3">
      <c r="L145" s="68">
        <v>141</v>
      </c>
      <c r="M145" s="116">
        <f t="shared" si="11"/>
        <v>3.5000000000000005E-4</v>
      </c>
    </row>
    <row r="146" spans="12:13" x14ac:dyDescent="0.3">
      <c r="L146" s="68">
        <v>142</v>
      </c>
      <c r="M146" s="116">
        <f t="shared" si="11"/>
        <v>3.6000000000000002E-4</v>
      </c>
    </row>
    <row r="147" spans="12:13" x14ac:dyDescent="0.3">
      <c r="L147" s="68">
        <v>143</v>
      </c>
      <c r="M147" s="116">
        <f t="shared" si="11"/>
        <v>3.9000000000000005E-4</v>
      </c>
    </row>
    <row r="148" spans="12:13" x14ac:dyDescent="0.3">
      <c r="L148" s="68">
        <v>144</v>
      </c>
      <c r="M148" s="116">
        <f t="shared" si="11"/>
        <v>4.0000000000000007E-4</v>
      </c>
    </row>
    <row r="149" spans="12:13" x14ac:dyDescent="0.3">
      <c r="L149" s="68">
        <v>145</v>
      </c>
      <c r="M149" s="116">
        <f t="shared" si="11"/>
        <v>3.6999999999999999E-4</v>
      </c>
    </row>
    <row r="150" spans="12:13" x14ac:dyDescent="0.3">
      <c r="L150" s="68">
        <v>146</v>
      </c>
      <c r="M150" s="116">
        <f t="shared" si="11"/>
        <v>4.0000000000000007E-4</v>
      </c>
    </row>
    <row r="151" spans="12:13" x14ac:dyDescent="0.3">
      <c r="L151" s="68">
        <v>147</v>
      </c>
      <c r="M151" s="116">
        <f t="shared" si="11"/>
        <v>4.0999999999999999E-4</v>
      </c>
    </row>
    <row r="152" spans="12:13" x14ac:dyDescent="0.3">
      <c r="L152" s="68">
        <v>148</v>
      </c>
      <c r="M152" s="116">
        <f t="shared" si="11"/>
        <v>4.4000000000000007E-4</v>
      </c>
    </row>
    <row r="153" spans="12:13" x14ac:dyDescent="0.3">
      <c r="L153" s="68">
        <v>149</v>
      </c>
      <c r="M153" s="116">
        <f t="shared" si="11"/>
        <v>4.4999999999999999E-4</v>
      </c>
    </row>
    <row r="154" spans="12:13" x14ac:dyDescent="0.3">
      <c r="L154" s="68">
        <v>150</v>
      </c>
      <c r="M154" s="116">
        <f t="shared" si="11"/>
        <v>2.6000000000000003E-4</v>
      </c>
    </row>
    <row r="155" spans="12:13" x14ac:dyDescent="0.3">
      <c r="L155" s="68">
        <v>151</v>
      </c>
      <c r="M155" s="116">
        <f t="shared" si="11"/>
        <v>2.9E-4</v>
      </c>
    </row>
    <row r="156" spans="12:13" x14ac:dyDescent="0.3">
      <c r="L156" s="68">
        <v>152</v>
      </c>
      <c r="M156" s="116">
        <f t="shared" si="11"/>
        <v>3.0000000000000003E-4</v>
      </c>
    </row>
    <row r="157" spans="12:13" x14ac:dyDescent="0.3">
      <c r="L157" s="68">
        <v>153</v>
      </c>
      <c r="M157" s="116">
        <f t="shared" si="11"/>
        <v>3.3E-4</v>
      </c>
    </row>
    <row r="158" spans="12:13" x14ac:dyDescent="0.3">
      <c r="L158" s="68">
        <v>154</v>
      </c>
      <c r="M158" s="116">
        <f t="shared" si="11"/>
        <v>3.4000000000000002E-4</v>
      </c>
    </row>
    <row r="159" spans="12:13" x14ac:dyDescent="0.3">
      <c r="L159" s="68">
        <v>155</v>
      </c>
      <c r="M159" s="116">
        <f t="shared" si="11"/>
        <v>3.1000000000000005E-4</v>
      </c>
    </row>
    <row r="160" spans="12:13" x14ac:dyDescent="0.3">
      <c r="L160" s="68">
        <v>156</v>
      </c>
      <c r="M160" s="116">
        <f t="shared" si="11"/>
        <v>3.4000000000000002E-4</v>
      </c>
    </row>
    <row r="161" spans="12:13" x14ac:dyDescent="0.3">
      <c r="L161" s="68">
        <v>157</v>
      </c>
      <c r="M161" s="116">
        <f t="shared" si="11"/>
        <v>3.5000000000000005E-4</v>
      </c>
    </row>
    <row r="162" spans="12:13" x14ac:dyDescent="0.3">
      <c r="L162" s="68">
        <v>158</v>
      </c>
      <c r="M162" s="116">
        <f t="shared" si="11"/>
        <v>3.8000000000000002E-4</v>
      </c>
    </row>
    <row r="163" spans="12:13" x14ac:dyDescent="0.3">
      <c r="L163" s="68">
        <v>159</v>
      </c>
      <c r="M163" s="116">
        <f t="shared" si="11"/>
        <v>3.9000000000000005E-4</v>
      </c>
    </row>
    <row r="164" spans="12:13" x14ac:dyDescent="0.3">
      <c r="L164" s="68">
        <v>160</v>
      </c>
      <c r="M164" s="116">
        <f t="shared" si="11"/>
        <v>3.2000000000000003E-4</v>
      </c>
    </row>
    <row r="165" spans="12:13" x14ac:dyDescent="0.3">
      <c r="L165" s="68">
        <v>161</v>
      </c>
      <c r="M165" s="116">
        <f t="shared" si="11"/>
        <v>3.5000000000000005E-4</v>
      </c>
    </row>
    <row r="166" spans="12:13" x14ac:dyDescent="0.3">
      <c r="L166" s="68">
        <v>162</v>
      </c>
      <c r="M166" s="116">
        <f t="shared" si="11"/>
        <v>3.6000000000000002E-4</v>
      </c>
    </row>
    <row r="167" spans="12:13" x14ac:dyDescent="0.3">
      <c r="L167" s="68">
        <v>163</v>
      </c>
      <c r="M167" s="116">
        <f t="shared" si="11"/>
        <v>3.9000000000000005E-4</v>
      </c>
    </row>
    <row r="168" spans="12:13" x14ac:dyDescent="0.3">
      <c r="L168" s="68">
        <v>164</v>
      </c>
      <c r="M168" s="116">
        <f t="shared" si="11"/>
        <v>4.0000000000000007E-4</v>
      </c>
    </row>
    <row r="169" spans="12:13" x14ac:dyDescent="0.3">
      <c r="L169" s="68">
        <v>165</v>
      </c>
      <c r="M169" s="116">
        <f t="shared" si="11"/>
        <v>3.6999999999999999E-4</v>
      </c>
    </row>
    <row r="170" spans="12:13" x14ac:dyDescent="0.3">
      <c r="L170" s="68">
        <v>166</v>
      </c>
      <c r="M170" s="116">
        <f t="shared" ref="M170:M203" si="12">$M$104+M70</f>
        <v>4.0000000000000007E-4</v>
      </c>
    </row>
    <row r="171" spans="12:13" x14ac:dyDescent="0.3">
      <c r="L171" s="68">
        <v>167</v>
      </c>
      <c r="M171" s="116">
        <f t="shared" si="12"/>
        <v>4.0999999999999999E-4</v>
      </c>
    </row>
    <row r="172" spans="12:13" x14ac:dyDescent="0.3">
      <c r="L172" s="68">
        <v>168</v>
      </c>
      <c r="M172" s="116">
        <f t="shared" si="12"/>
        <v>4.4000000000000007E-4</v>
      </c>
    </row>
    <row r="173" spans="12:13" x14ac:dyDescent="0.3">
      <c r="L173" s="68">
        <v>169</v>
      </c>
      <c r="M173" s="116">
        <f t="shared" si="12"/>
        <v>4.4999999999999999E-4</v>
      </c>
    </row>
    <row r="174" spans="12:13" x14ac:dyDescent="0.3">
      <c r="L174" s="68">
        <v>170</v>
      </c>
      <c r="M174" s="116">
        <f t="shared" si="12"/>
        <v>3.4000000000000002E-4</v>
      </c>
    </row>
    <row r="175" spans="12:13" x14ac:dyDescent="0.3">
      <c r="L175" s="68">
        <v>171</v>
      </c>
      <c r="M175" s="116">
        <f t="shared" si="12"/>
        <v>3.6999999999999999E-4</v>
      </c>
    </row>
    <row r="176" spans="12:13" x14ac:dyDescent="0.3">
      <c r="L176" s="68">
        <v>172</v>
      </c>
      <c r="M176" s="116">
        <f t="shared" si="12"/>
        <v>3.8000000000000002E-4</v>
      </c>
    </row>
    <row r="177" spans="12:13" x14ac:dyDescent="0.3">
      <c r="L177" s="68">
        <v>173</v>
      </c>
      <c r="M177" s="116">
        <f t="shared" si="12"/>
        <v>4.0999999999999999E-4</v>
      </c>
    </row>
    <row r="178" spans="12:13" x14ac:dyDescent="0.3">
      <c r="L178" s="68">
        <v>174</v>
      </c>
      <c r="M178" s="116">
        <f t="shared" si="12"/>
        <v>4.2000000000000002E-4</v>
      </c>
    </row>
    <row r="179" spans="12:13" x14ac:dyDescent="0.3">
      <c r="L179" s="68">
        <v>175</v>
      </c>
      <c r="M179" s="116">
        <f t="shared" si="12"/>
        <v>3.9000000000000005E-4</v>
      </c>
    </row>
    <row r="180" spans="12:13" x14ac:dyDescent="0.3">
      <c r="L180" s="68">
        <v>176</v>
      </c>
      <c r="M180" s="116">
        <f t="shared" si="12"/>
        <v>4.2000000000000002E-4</v>
      </c>
    </row>
    <row r="181" spans="12:13" x14ac:dyDescent="0.3">
      <c r="L181" s="68">
        <v>177</v>
      </c>
      <c r="M181" s="116">
        <f t="shared" si="12"/>
        <v>4.3000000000000004E-4</v>
      </c>
    </row>
    <row r="182" spans="12:13" x14ac:dyDescent="0.3">
      <c r="L182" s="68">
        <v>178</v>
      </c>
      <c r="M182" s="116">
        <f t="shared" si="12"/>
        <v>4.6000000000000001E-4</v>
      </c>
    </row>
    <row r="183" spans="12:13" x14ac:dyDescent="0.3">
      <c r="L183" s="68">
        <v>179</v>
      </c>
      <c r="M183" s="116">
        <f t="shared" si="12"/>
        <v>4.7000000000000004E-4</v>
      </c>
    </row>
    <row r="184" spans="12:13" x14ac:dyDescent="0.3">
      <c r="L184" s="68">
        <v>180</v>
      </c>
      <c r="M184" s="116">
        <f t="shared" si="12"/>
        <v>4.0000000000000007E-4</v>
      </c>
    </row>
    <row r="185" spans="12:13" x14ac:dyDescent="0.3">
      <c r="L185" s="68">
        <v>181</v>
      </c>
      <c r="M185" s="116">
        <f t="shared" si="12"/>
        <v>4.3000000000000004E-4</v>
      </c>
    </row>
    <row r="186" spans="12:13" x14ac:dyDescent="0.3">
      <c r="L186" s="68">
        <v>182</v>
      </c>
      <c r="M186" s="116">
        <f t="shared" si="12"/>
        <v>4.4000000000000007E-4</v>
      </c>
    </row>
    <row r="187" spans="12:13" x14ac:dyDescent="0.3">
      <c r="L187" s="68">
        <v>183</v>
      </c>
      <c r="M187" s="116">
        <f t="shared" si="12"/>
        <v>4.7000000000000004E-4</v>
      </c>
    </row>
    <row r="188" spans="12:13" x14ac:dyDescent="0.3">
      <c r="L188" s="68">
        <v>184</v>
      </c>
      <c r="M188" s="116">
        <f t="shared" si="12"/>
        <v>4.8000000000000007E-4</v>
      </c>
    </row>
    <row r="189" spans="12:13" x14ac:dyDescent="0.3">
      <c r="L189" s="68">
        <v>185</v>
      </c>
      <c r="M189" s="116">
        <f t="shared" si="12"/>
        <v>4.500000000000001E-4</v>
      </c>
    </row>
    <row r="190" spans="12:13" x14ac:dyDescent="0.3">
      <c r="L190" s="68">
        <v>186</v>
      </c>
      <c r="M190" s="116">
        <f t="shared" si="12"/>
        <v>4.8000000000000007E-4</v>
      </c>
    </row>
    <row r="191" spans="12:13" x14ac:dyDescent="0.3">
      <c r="L191" s="68">
        <v>187</v>
      </c>
      <c r="M191" s="116">
        <f t="shared" si="12"/>
        <v>4.9000000000000009E-4</v>
      </c>
    </row>
    <row r="192" spans="12:13" x14ac:dyDescent="0.3">
      <c r="L192" s="68">
        <v>188</v>
      </c>
      <c r="M192" s="116">
        <f t="shared" si="12"/>
        <v>5.2000000000000006E-4</v>
      </c>
    </row>
    <row r="193" spans="12:13" x14ac:dyDescent="0.3">
      <c r="L193" s="68">
        <v>189</v>
      </c>
      <c r="M193" s="116">
        <f t="shared" si="12"/>
        <v>5.3000000000000009E-4</v>
      </c>
    </row>
    <row r="194" spans="12:13" x14ac:dyDescent="0.3">
      <c r="L194" s="68">
        <v>190</v>
      </c>
      <c r="M194" s="116">
        <f t="shared" si="12"/>
        <v>4.2000000000000002E-4</v>
      </c>
    </row>
    <row r="195" spans="12:13" x14ac:dyDescent="0.3">
      <c r="L195" s="68">
        <v>191</v>
      </c>
      <c r="M195" s="116">
        <f t="shared" si="12"/>
        <v>4.500000000000001E-4</v>
      </c>
    </row>
    <row r="196" spans="12:13" x14ac:dyDescent="0.3">
      <c r="L196" s="68">
        <v>192</v>
      </c>
      <c r="M196" s="116">
        <f t="shared" si="12"/>
        <v>4.6000000000000001E-4</v>
      </c>
    </row>
    <row r="197" spans="12:13" x14ac:dyDescent="0.3">
      <c r="L197" s="68">
        <v>193</v>
      </c>
      <c r="M197" s="116">
        <f t="shared" si="12"/>
        <v>4.9000000000000009E-4</v>
      </c>
    </row>
    <row r="198" spans="12:13" x14ac:dyDescent="0.3">
      <c r="L198" s="68">
        <v>194</v>
      </c>
      <c r="M198" s="116">
        <f t="shared" si="12"/>
        <v>5.0000000000000001E-4</v>
      </c>
    </row>
    <row r="199" spans="12:13" x14ac:dyDescent="0.3">
      <c r="L199" s="68">
        <v>195</v>
      </c>
      <c r="M199" s="116">
        <f t="shared" si="12"/>
        <v>4.7000000000000004E-4</v>
      </c>
    </row>
    <row r="200" spans="12:13" x14ac:dyDescent="0.3">
      <c r="L200" s="68">
        <v>196</v>
      </c>
      <c r="M200" s="116">
        <f t="shared" si="12"/>
        <v>5.0000000000000001E-4</v>
      </c>
    </row>
    <row r="201" spans="12:13" x14ac:dyDescent="0.3">
      <c r="L201" s="68">
        <v>197</v>
      </c>
      <c r="M201" s="116">
        <f t="shared" si="12"/>
        <v>5.1000000000000004E-4</v>
      </c>
    </row>
    <row r="202" spans="12:13" x14ac:dyDescent="0.3">
      <c r="L202" s="68">
        <v>198</v>
      </c>
      <c r="M202" s="116">
        <f t="shared" si="12"/>
        <v>5.4000000000000001E-4</v>
      </c>
    </row>
    <row r="203" spans="12:13" x14ac:dyDescent="0.3">
      <c r="L203" s="68">
        <v>199</v>
      </c>
      <c r="M203" s="116">
        <f t="shared" si="12"/>
        <v>5.5000000000000003E-4</v>
      </c>
    </row>
    <row r="204" spans="12:13" x14ac:dyDescent="0.3">
      <c r="L204" s="68">
        <v>200</v>
      </c>
      <c r="M204" s="116">
        <f>C16</f>
        <v>2.9999999999999997E-4</v>
      </c>
    </row>
    <row r="205" spans="12:13" x14ac:dyDescent="0.3">
      <c r="L205" s="68">
        <v>201</v>
      </c>
      <c r="M205" s="116">
        <f>$M$204+M5</f>
        <v>3.3E-4</v>
      </c>
    </row>
    <row r="206" spans="12:13" x14ac:dyDescent="0.3">
      <c r="L206" s="68">
        <v>202</v>
      </c>
      <c r="M206" s="116">
        <f t="shared" ref="M206:M269" si="13">$M$204+M6</f>
        <v>3.3999999999999997E-4</v>
      </c>
    </row>
    <row r="207" spans="12:13" x14ac:dyDescent="0.3">
      <c r="L207" s="68">
        <v>203</v>
      </c>
      <c r="M207" s="116">
        <f t="shared" si="13"/>
        <v>3.6999999999999999E-4</v>
      </c>
    </row>
    <row r="208" spans="12:13" x14ac:dyDescent="0.3">
      <c r="L208" s="68">
        <v>204</v>
      </c>
      <c r="M208" s="116">
        <f t="shared" si="13"/>
        <v>3.7999999999999997E-4</v>
      </c>
    </row>
    <row r="209" spans="12:13" x14ac:dyDescent="0.3">
      <c r="L209" s="68">
        <v>205</v>
      </c>
      <c r="M209" s="116">
        <f t="shared" si="13"/>
        <v>3.5E-4</v>
      </c>
    </row>
    <row r="210" spans="12:13" x14ac:dyDescent="0.3">
      <c r="L210" s="68">
        <v>206</v>
      </c>
      <c r="M210" s="116">
        <f t="shared" si="13"/>
        <v>3.7999999999999997E-4</v>
      </c>
    </row>
    <row r="211" spans="12:13" x14ac:dyDescent="0.3">
      <c r="L211" s="68">
        <v>207</v>
      </c>
      <c r="M211" s="116">
        <f t="shared" si="13"/>
        <v>3.8999999999999999E-4</v>
      </c>
    </row>
    <row r="212" spans="12:13" x14ac:dyDescent="0.3">
      <c r="L212" s="68">
        <v>208</v>
      </c>
      <c r="M212" s="116">
        <f t="shared" si="13"/>
        <v>4.1999999999999996E-4</v>
      </c>
    </row>
    <row r="213" spans="12:13" x14ac:dyDescent="0.3">
      <c r="L213" s="68">
        <v>209</v>
      </c>
      <c r="M213" s="116">
        <f t="shared" si="13"/>
        <v>4.2999999999999999E-4</v>
      </c>
    </row>
    <row r="214" spans="12:13" x14ac:dyDescent="0.3">
      <c r="L214" s="68">
        <v>210</v>
      </c>
      <c r="M214" s="116">
        <f t="shared" si="13"/>
        <v>3.5999999999999997E-4</v>
      </c>
    </row>
    <row r="215" spans="12:13" x14ac:dyDescent="0.3">
      <c r="L215" s="68">
        <v>211</v>
      </c>
      <c r="M215" s="116">
        <f t="shared" si="13"/>
        <v>3.8999999999999999E-4</v>
      </c>
    </row>
    <row r="216" spans="12:13" x14ac:dyDescent="0.3">
      <c r="L216" s="68">
        <v>212</v>
      </c>
      <c r="M216" s="116">
        <f t="shared" si="13"/>
        <v>3.9999999999999996E-4</v>
      </c>
    </row>
    <row r="217" spans="12:13" x14ac:dyDescent="0.3">
      <c r="L217" s="68">
        <v>213</v>
      </c>
      <c r="M217" s="116">
        <f t="shared" si="13"/>
        <v>4.2999999999999999E-4</v>
      </c>
    </row>
    <row r="218" spans="12:13" x14ac:dyDescent="0.3">
      <c r="L218" s="68">
        <v>214</v>
      </c>
      <c r="M218" s="116">
        <f t="shared" si="13"/>
        <v>4.3999999999999996E-4</v>
      </c>
    </row>
    <row r="219" spans="12:13" x14ac:dyDescent="0.3">
      <c r="L219" s="68">
        <v>215</v>
      </c>
      <c r="M219" s="116">
        <f t="shared" si="13"/>
        <v>4.0999999999999999E-4</v>
      </c>
    </row>
    <row r="220" spans="12:13" x14ac:dyDescent="0.3">
      <c r="L220" s="68">
        <v>216</v>
      </c>
      <c r="M220" s="116">
        <f t="shared" si="13"/>
        <v>4.3999999999999996E-4</v>
      </c>
    </row>
    <row r="221" spans="12:13" x14ac:dyDescent="0.3">
      <c r="L221" s="68">
        <v>217</v>
      </c>
      <c r="M221" s="116">
        <f t="shared" si="13"/>
        <v>4.4999999999999999E-4</v>
      </c>
    </row>
    <row r="222" spans="12:13" x14ac:dyDescent="0.3">
      <c r="L222" s="68">
        <v>218</v>
      </c>
      <c r="M222" s="116">
        <f t="shared" si="13"/>
        <v>4.7999999999999996E-4</v>
      </c>
    </row>
    <row r="223" spans="12:13" x14ac:dyDescent="0.3">
      <c r="L223" s="68">
        <v>219</v>
      </c>
      <c r="M223" s="116">
        <f t="shared" si="13"/>
        <v>4.8999999999999998E-4</v>
      </c>
    </row>
    <row r="224" spans="12:13" x14ac:dyDescent="0.3">
      <c r="L224" s="68">
        <v>220</v>
      </c>
      <c r="M224" s="116">
        <f t="shared" si="13"/>
        <v>3.7999999999999997E-4</v>
      </c>
    </row>
    <row r="225" spans="12:13" x14ac:dyDescent="0.3">
      <c r="L225" s="68">
        <v>221</v>
      </c>
      <c r="M225" s="116">
        <f t="shared" si="13"/>
        <v>4.0999999999999999E-4</v>
      </c>
    </row>
    <row r="226" spans="12:13" x14ac:dyDescent="0.3">
      <c r="L226" s="68">
        <v>222</v>
      </c>
      <c r="M226" s="116">
        <f t="shared" si="13"/>
        <v>4.2000000000000002E-4</v>
      </c>
    </row>
    <row r="227" spans="12:13" x14ac:dyDescent="0.3">
      <c r="L227" s="68">
        <v>223</v>
      </c>
      <c r="M227" s="116">
        <f t="shared" si="13"/>
        <v>4.4999999999999999E-4</v>
      </c>
    </row>
    <row r="228" spans="12:13" x14ac:dyDescent="0.3">
      <c r="L228" s="68">
        <v>224</v>
      </c>
      <c r="M228" s="116">
        <f t="shared" si="13"/>
        <v>4.6000000000000001E-4</v>
      </c>
    </row>
    <row r="229" spans="12:13" x14ac:dyDescent="0.3">
      <c r="L229" s="68">
        <v>225</v>
      </c>
      <c r="M229" s="116">
        <f t="shared" si="13"/>
        <v>4.2999999999999999E-4</v>
      </c>
    </row>
    <row r="230" spans="12:13" x14ac:dyDescent="0.3">
      <c r="L230" s="68">
        <v>226</v>
      </c>
      <c r="M230" s="116">
        <f t="shared" si="13"/>
        <v>4.6000000000000001E-4</v>
      </c>
    </row>
    <row r="231" spans="12:13" x14ac:dyDescent="0.3">
      <c r="L231" s="68">
        <v>227</v>
      </c>
      <c r="M231" s="116">
        <f t="shared" si="13"/>
        <v>4.6999999999999999E-4</v>
      </c>
    </row>
    <row r="232" spans="12:13" x14ac:dyDescent="0.3">
      <c r="L232" s="68">
        <v>228</v>
      </c>
      <c r="M232" s="116">
        <f t="shared" si="13"/>
        <v>5.0000000000000001E-4</v>
      </c>
    </row>
    <row r="233" spans="12:13" x14ac:dyDescent="0.3">
      <c r="L233" s="68">
        <v>229</v>
      </c>
      <c r="M233" s="116">
        <f t="shared" si="13"/>
        <v>5.1000000000000004E-4</v>
      </c>
    </row>
    <row r="234" spans="12:13" x14ac:dyDescent="0.3">
      <c r="L234" s="68">
        <v>230</v>
      </c>
      <c r="M234" s="116">
        <f t="shared" si="13"/>
        <v>4.3999999999999996E-4</v>
      </c>
    </row>
    <row r="235" spans="12:13" x14ac:dyDescent="0.3">
      <c r="L235" s="68">
        <v>231</v>
      </c>
      <c r="M235" s="116">
        <f t="shared" si="13"/>
        <v>4.6999999999999999E-4</v>
      </c>
    </row>
    <row r="236" spans="12:13" x14ac:dyDescent="0.3">
      <c r="L236" s="68">
        <v>232</v>
      </c>
      <c r="M236" s="116">
        <f t="shared" si="13"/>
        <v>4.7999999999999996E-4</v>
      </c>
    </row>
    <row r="237" spans="12:13" x14ac:dyDescent="0.3">
      <c r="L237" s="68">
        <v>233</v>
      </c>
      <c r="M237" s="116">
        <f t="shared" si="13"/>
        <v>5.1000000000000004E-4</v>
      </c>
    </row>
    <row r="238" spans="12:13" x14ac:dyDescent="0.3">
      <c r="L238" s="68">
        <v>234</v>
      </c>
      <c r="M238" s="116">
        <f t="shared" si="13"/>
        <v>5.2000000000000006E-4</v>
      </c>
    </row>
    <row r="239" spans="12:13" x14ac:dyDescent="0.3">
      <c r="L239" s="68">
        <v>235</v>
      </c>
      <c r="M239" s="116">
        <f t="shared" si="13"/>
        <v>4.8999999999999998E-4</v>
      </c>
    </row>
    <row r="240" spans="12:13" x14ac:dyDescent="0.3">
      <c r="L240" s="68">
        <v>236</v>
      </c>
      <c r="M240" s="116">
        <f t="shared" si="13"/>
        <v>5.2000000000000006E-4</v>
      </c>
    </row>
    <row r="241" spans="12:13" x14ac:dyDescent="0.3">
      <c r="L241" s="68">
        <v>237</v>
      </c>
      <c r="M241" s="116">
        <f t="shared" si="13"/>
        <v>5.2999999999999998E-4</v>
      </c>
    </row>
    <row r="242" spans="12:13" x14ac:dyDescent="0.3">
      <c r="L242" s="68">
        <v>238</v>
      </c>
      <c r="M242" s="116">
        <f t="shared" si="13"/>
        <v>5.5999999999999995E-4</v>
      </c>
    </row>
    <row r="243" spans="12:13" x14ac:dyDescent="0.3">
      <c r="L243" s="68">
        <v>239</v>
      </c>
      <c r="M243" s="116">
        <f t="shared" si="13"/>
        <v>5.6999999999999998E-4</v>
      </c>
    </row>
    <row r="244" spans="12:13" x14ac:dyDescent="0.3">
      <c r="L244" s="68">
        <v>240</v>
      </c>
      <c r="M244" s="116">
        <f t="shared" si="13"/>
        <v>4.6000000000000001E-4</v>
      </c>
    </row>
    <row r="245" spans="12:13" x14ac:dyDescent="0.3">
      <c r="L245" s="68">
        <v>241</v>
      </c>
      <c r="M245" s="116">
        <f t="shared" si="13"/>
        <v>4.8999999999999998E-4</v>
      </c>
    </row>
    <row r="246" spans="12:13" x14ac:dyDescent="0.3">
      <c r="L246" s="68">
        <v>242</v>
      </c>
      <c r="M246" s="116">
        <f t="shared" si="13"/>
        <v>5.0000000000000001E-4</v>
      </c>
    </row>
    <row r="247" spans="12:13" x14ac:dyDescent="0.3">
      <c r="L247" s="68">
        <v>243</v>
      </c>
      <c r="M247" s="116">
        <f t="shared" si="13"/>
        <v>5.2999999999999998E-4</v>
      </c>
    </row>
    <row r="248" spans="12:13" x14ac:dyDescent="0.3">
      <c r="L248" s="68">
        <v>244</v>
      </c>
      <c r="M248" s="116">
        <f t="shared" si="13"/>
        <v>5.4000000000000001E-4</v>
      </c>
    </row>
    <row r="249" spans="12:13" x14ac:dyDescent="0.3">
      <c r="L249" s="68">
        <v>245</v>
      </c>
      <c r="M249" s="116">
        <f t="shared" si="13"/>
        <v>5.1000000000000004E-4</v>
      </c>
    </row>
    <row r="250" spans="12:13" x14ac:dyDescent="0.3">
      <c r="L250" s="68">
        <v>246</v>
      </c>
      <c r="M250" s="116">
        <f t="shared" si="13"/>
        <v>5.4000000000000001E-4</v>
      </c>
    </row>
    <row r="251" spans="12:13" x14ac:dyDescent="0.3">
      <c r="L251" s="68">
        <v>247</v>
      </c>
      <c r="M251" s="116">
        <f t="shared" si="13"/>
        <v>5.4999999999999992E-4</v>
      </c>
    </row>
    <row r="252" spans="12:13" x14ac:dyDescent="0.3">
      <c r="L252" s="68">
        <v>248</v>
      </c>
      <c r="M252" s="116">
        <f t="shared" si="13"/>
        <v>5.8E-4</v>
      </c>
    </row>
    <row r="253" spans="12:13" x14ac:dyDescent="0.3">
      <c r="L253" s="68">
        <v>249</v>
      </c>
      <c r="M253" s="116">
        <f t="shared" si="13"/>
        <v>5.9000000000000003E-4</v>
      </c>
    </row>
    <row r="254" spans="12:13" x14ac:dyDescent="0.3">
      <c r="L254" s="68">
        <v>250</v>
      </c>
      <c r="M254" s="116">
        <f t="shared" si="13"/>
        <v>3.9999999999999996E-4</v>
      </c>
    </row>
    <row r="255" spans="12:13" x14ac:dyDescent="0.3">
      <c r="L255" s="68">
        <v>251</v>
      </c>
      <c r="M255" s="116">
        <f t="shared" si="13"/>
        <v>4.2999999999999999E-4</v>
      </c>
    </row>
    <row r="256" spans="12:13" x14ac:dyDescent="0.3">
      <c r="L256" s="68">
        <v>252</v>
      </c>
      <c r="M256" s="116">
        <f t="shared" si="13"/>
        <v>4.3999999999999996E-4</v>
      </c>
    </row>
    <row r="257" spans="12:13" x14ac:dyDescent="0.3">
      <c r="L257" s="68">
        <v>253</v>
      </c>
      <c r="M257" s="116">
        <f t="shared" si="13"/>
        <v>4.6999999999999999E-4</v>
      </c>
    </row>
    <row r="258" spans="12:13" x14ac:dyDescent="0.3">
      <c r="L258" s="68">
        <v>254</v>
      </c>
      <c r="M258" s="116">
        <f t="shared" si="13"/>
        <v>4.7999999999999996E-4</v>
      </c>
    </row>
    <row r="259" spans="12:13" x14ac:dyDescent="0.3">
      <c r="L259" s="68">
        <v>255</v>
      </c>
      <c r="M259" s="116">
        <f t="shared" si="13"/>
        <v>4.4999999999999999E-4</v>
      </c>
    </row>
    <row r="260" spans="12:13" x14ac:dyDescent="0.3">
      <c r="L260" s="68">
        <v>256</v>
      </c>
      <c r="M260" s="116">
        <f t="shared" si="13"/>
        <v>4.7999999999999996E-4</v>
      </c>
    </row>
    <row r="261" spans="12:13" x14ac:dyDescent="0.3">
      <c r="L261" s="68">
        <v>257</v>
      </c>
      <c r="M261" s="116">
        <f t="shared" si="13"/>
        <v>4.8999999999999998E-4</v>
      </c>
    </row>
    <row r="262" spans="12:13" x14ac:dyDescent="0.3">
      <c r="L262" s="68">
        <v>258</v>
      </c>
      <c r="M262" s="116">
        <f t="shared" si="13"/>
        <v>5.1999999999999995E-4</v>
      </c>
    </row>
    <row r="263" spans="12:13" x14ac:dyDescent="0.3">
      <c r="L263" s="68">
        <v>259</v>
      </c>
      <c r="M263" s="116">
        <f t="shared" si="13"/>
        <v>5.2999999999999998E-4</v>
      </c>
    </row>
    <row r="264" spans="12:13" x14ac:dyDescent="0.3">
      <c r="L264" s="68">
        <v>260</v>
      </c>
      <c r="M264" s="116">
        <f t="shared" si="13"/>
        <v>4.6000000000000001E-4</v>
      </c>
    </row>
    <row r="265" spans="12:13" x14ac:dyDescent="0.3">
      <c r="L265" s="68">
        <v>261</v>
      </c>
      <c r="M265" s="116">
        <f t="shared" si="13"/>
        <v>4.8999999999999998E-4</v>
      </c>
    </row>
    <row r="266" spans="12:13" x14ac:dyDescent="0.3">
      <c r="L266" s="68">
        <v>262</v>
      </c>
      <c r="M266" s="116">
        <f t="shared" si="13"/>
        <v>5.0000000000000001E-4</v>
      </c>
    </row>
    <row r="267" spans="12:13" x14ac:dyDescent="0.3">
      <c r="L267" s="68">
        <v>263</v>
      </c>
      <c r="M267" s="116">
        <f t="shared" si="13"/>
        <v>5.2999999999999998E-4</v>
      </c>
    </row>
    <row r="268" spans="12:13" x14ac:dyDescent="0.3">
      <c r="L268" s="68">
        <v>264</v>
      </c>
      <c r="M268" s="116">
        <f t="shared" si="13"/>
        <v>5.4000000000000001E-4</v>
      </c>
    </row>
    <row r="269" spans="12:13" x14ac:dyDescent="0.3">
      <c r="L269" s="68">
        <v>265</v>
      </c>
      <c r="M269" s="116">
        <f t="shared" si="13"/>
        <v>5.1000000000000004E-4</v>
      </c>
    </row>
    <row r="270" spans="12:13" x14ac:dyDescent="0.3">
      <c r="L270" s="68">
        <v>266</v>
      </c>
      <c r="M270" s="116">
        <f t="shared" ref="M270:M304" si="14">$M$204+M70</f>
        <v>5.4000000000000001E-4</v>
      </c>
    </row>
    <row r="271" spans="12:13" x14ac:dyDescent="0.3">
      <c r="L271" s="68">
        <v>267</v>
      </c>
      <c r="M271" s="116">
        <f t="shared" si="14"/>
        <v>5.4999999999999992E-4</v>
      </c>
    </row>
    <row r="272" spans="12:13" x14ac:dyDescent="0.3">
      <c r="L272" s="68">
        <v>268</v>
      </c>
      <c r="M272" s="116">
        <f t="shared" si="14"/>
        <v>5.8E-4</v>
      </c>
    </row>
    <row r="273" spans="12:13" x14ac:dyDescent="0.3">
      <c r="L273" s="68">
        <v>269</v>
      </c>
      <c r="M273" s="116">
        <f t="shared" si="14"/>
        <v>5.9000000000000003E-4</v>
      </c>
    </row>
    <row r="274" spans="12:13" x14ac:dyDescent="0.3">
      <c r="L274" s="68">
        <v>270</v>
      </c>
      <c r="M274" s="116">
        <f t="shared" si="14"/>
        <v>4.7999999999999996E-4</v>
      </c>
    </row>
    <row r="275" spans="12:13" x14ac:dyDescent="0.3">
      <c r="L275" s="68">
        <v>271</v>
      </c>
      <c r="M275" s="116">
        <f t="shared" si="14"/>
        <v>5.1000000000000004E-4</v>
      </c>
    </row>
    <row r="276" spans="12:13" x14ac:dyDescent="0.3">
      <c r="L276" s="68">
        <v>272</v>
      </c>
      <c r="M276" s="116">
        <f t="shared" si="14"/>
        <v>5.1999999999999995E-4</v>
      </c>
    </row>
    <row r="277" spans="12:13" x14ac:dyDescent="0.3">
      <c r="L277" s="68">
        <v>273</v>
      </c>
      <c r="M277" s="116">
        <f t="shared" si="14"/>
        <v>5.4999999999999992E-4</v>
      </c>
    </row>
    <row r="278" spans="12:13" x14ac:dyDescent="0.3">
      <c r="L278" s="68">
        <v>274</v>
      </c>
      <c r="M278" s="116">
        <f t="shared" si="14"/>
        <v>5.5999999999999995E-4</v>
      </c>
    </row>
    <row r="279" spans="12:13" x14ac:dyDescent="0.3">
      <c r="L279" s="68">
        <v>275</v>
      </c>
      <c r="M279" s="116">
        <f t="shared" si="14"/>
        <v>5.2999999999999998E-4</v>
      </c>
    </row>
    <row r="280" spans="12:13" x14ac:dyDescent="0.3">
      <c r="L280" s="68">
        <v>276</v>
      </c>
      <c r="M280" s="116">
        <f t="shared" si="14"/>
        <v>5.5999999999999995E-4</v>
      </c>
    </row>
    <row r="281" spans="12:13" x14ac:dyDescent="0.3">
      <c r="L281" s="68">
        <v>277</v>
      </c>
      <c r="M281" s="116">
        <f t="shared" si="14"/>
        <v>5.6999999999999998E-4</v>
      </c>
    </row>
    <row r="282" spans="12:13" x14ac:dyDescent="0.3">
      <c r="L282" s="68">
        <v>278</v>
      </c>
      <c r="M282" s="116">
        <f t="shared" si="14"/>
        <v>6.0000000000000006E-4</v>
      </c>
    </row>
    <row r="283" spans="12:13" x14ac:dyDescent="0.3">
      <c r="L283" s="68">
        <v>279</v>
      </c>
      <c r="M283" s="116">
        <f t="shared" si="14"/>
        <v>6.1000000000000008E-4</v>
      </c>
    </row>
    <row r="284" spans="12:13" x14ac:dyDescent="0.3">
      <c r="L284" s="68">
        <v>280</v>
      </c>
      <c r="M284" s="116">
        <f t="shared" si="14"/>
        <v>5.4000000000000001E-4</v>
      </c>
    </row>
    <row r="285" spans="12:13" x14ac:dyDescent="0.3">
      <c r="L285" s="68">
        <v>281</v>
      </c>
      <c r="M285" s="116">
        <f t="shared" si="14"/>
        <v>5.6999999999999998E-4</v>
      </c>
    </row>
    <row r="286" spans="12:13" x14ac:dyDescent="0.3">
      <c r="L286" s="68">
        <v>282</v>
      </c>
      <c r="M286" s="116">
        <f t="shared" si="14"/>
        <v>5.8E-4</v>
      </c>
    </row>
    <row r="287" spans="12:13" x14ac:dyDescent="0.3">
      <c r="L287" s="68">
        <v>283</v>
      </c>
      <c r="M287" s="116">
        <f t="shared" si="14"/>
        <v>6.1000000000000008E-4</v>
      </c>
    </row>
    <row r="288" spans="12:13" x14ac:dyDescent="0.3">
      <c r="L288" s="68">
        <v>284</v>
      </c>
      <c r="M288" s="116">
        <f t="shared" si="14"/>
        <v>6.2E-4</v>
      </c>
    </row>
    <row r="289" spans="12:13" x14ac:dyDescent="0.3">
      <c r="L289" s="68">
        <v>285</v>
      </c>
      <c r="M289" s="116">
        <f t="shared" si="14"/>
        <v>5.9000000000000003E-4</v>
      </c>
    </row>
    <row r="290" spans="12:13" x14ac:dyDescent="0.3">
      <c r="L290" s="68">
        <v>286</v>
      </c>
      <c r="M290" s="116">
        <f t="shared" si="14"/>
        <v>6.2E-4</v>
      </c>
    </row>
    <row r="291" spans="12:13" x14ac:dyDescent="0.3">
      <c r="L291" s="68">
        <v>287</v>
      </c>
      <c r="M291" s="116">
        <f t="shared" si="14"/>
        <v>6.3000000000000003E-4</v>
      </c>
    </row>
    <row r="292" spans="12:13" x14ac:dyDescent="0.3">
      <c r="L292" s="68">
        <v>288</v>
      </c>
      <c r="M292" s="116">
        <f t="shared" si="14"/>
        <v>6.6E-4</v>
      </c>
    </row>
    <row r="293" spans="12:13" x14ac:dyDescent="0.3">
      <c r="L293" s="68">
        <v>289</v>
      </c>
      <c r="M293" s="116">
        <f t="shared" si="14"/>
        <v>6.7000000000000002E-4</v>
      </c>
    </row>
    <row r="294" spans="12:13" x14ac:dyDescent="0.3">
      <c r="L294" s="68">
        <v>290</v>
      </c>
      <c r="M294" s="116">
        <f t="shared" si="14"/>
        <v>5.5999999999999995E-4</v>
      </c>
    </row>
    <row r="295" spans="12:13" x14ac:dyDescent="0.3">
      <c r="L295" s="68">
        <v>291</v>
      </c>
      <c r="M295" s="116">
        <f t="shared" si="14"/>
        <v>5.9000000000000003E-4</v>
      </c>
    </row>
    <row r="296" spans="12:13" x14ac:dyDescent="0.3">
      <c r="L296" s="68">
        <v>292</v>
      </c>
      <c r="M296" s="116">
        <f t="shared" si="14"/>
        <v>6.0000000000000006E-4</v>
      </c>
    </row>
    <row r="297" spans="12:13" x14ac:dyDescent="0.3">
      <c r="L297" s="68">
        <v>293</v>
      </c>
      <c r="M297" s="116">
        <f t="shared" si="14"/>
        <v>6.3000000000000003E-4</v>
      </c>
    </row>
    <row r="298" spans="12:13" x14ac:dyDescent="0.3">
      <c r="L298" s="68">
        <v>294</v>
      </c>
      <c r="M298" s="116">
        <f t="shared" si="14"/>
        <v>6.3999999999999994E-4</v>
      </c>
    </row>
    <row r="299" spans="12:13" x14ac:dyDescent="0.3">
      <c r="L299" s="68">
        <v>295</v>
      </c>
      <c r="M299" s="116">
        <f t="shared" si="14"/>
        <v>6.1000000000000008E-4</v>
      </c>
    </row>
    <row r="300" spans="12:13" x14ac:dyDescent="0.3">
      <c r="L300" s="68">
        <v>296</v>
      </c>
      <c r="M300" s="116">
        <f t="shared" si="14"/>
        <v>6.3999999999999994E-4</v>
      </c>
    </row>
    <row r="301" spans="12:13" x14ac:dyDescent="0.3">
      <c r="L301" s="68">
        <v>297</v>
      </c>
      <c r="M301" s="116">
        <f t="shared" si="14"/>
        <v>6.4999999999999997E-4</v>
      </c>
    </row>
    <row r="302" spans="12:13" x14ac:dyDescent="0.3">
      <c r="L302" s="68">
        <v>298</v>
      </c>
      <c r="M302" s="116">
        <f t="shared" si="14"/>
        <v>6.8000000000000005E-4</v>
      </c>
    </row>
    <row r="303" spans="12:13" x14ac:dyDescent="0.3">
      <c r="L303" s="68">
        <v>299</v>
      </c>
      <c r="M303" s="116">
        <f t="shared" si="14"/>
        <v>6.9000000000000008E-4</v>
      </c>
    </row>
    <row r="304" spans="12:13" x14ac:dyDescent="0.3">
      <c r="L304" s="68">
        <v>300</v>
      </c>
      <c r="M304" s="116">
        <f t="shared" si="14"/>
        <v>4.6000000000000001E-4</v>
      </c>
    </row>
    <row r="305" spans="12:13" x14ac:dyDescent="0.3">
      <c r="L305" s="68">
        <v>301</v>
      </c>
      <c r="M305" s="116">
        <f>$M$304+M5</f>
        <v>4.8999999999999998E-4</v>
      </c>
    </row>
    <row r="306" spans="12:13" x14ac:dyDescent="0.3">
      <c r="L306" s="68">
        <v>302</v>
      </c>
      <c r="M306" s="116">
        <f t="shared" ref="M306:M369" si="15">$M$304+M6</f>
        <v>5.0000000000000001E-4</v>
      </c>
    </row>
    <row r="307" spans="12:13" x14ac:dyDescent="0.3">
      <c r="L307" s="68">
        <v>303</v>
      </c>
      <c r="M307" s="116">
        <f t="shared" si="15"/>
        <v>5.2999999999999998E-4</v>
      </c>
    </row>
    <row r="308" spans="12:13" x14ac:dyDescent="0.3">
      <c r="L308" s="68">
        <v>304</v>
      </c>
      <c r="M308" s="116">
        <f t="shared" si="15"/>
        <v>5.4000000000000001E-4</v>
      </c>
    </row>
    <row r="309" spans="12:13" x14ac:dyDescent="0.3">
      <c r="L309" s="68">
        <v>305</v>
      </c>
      <c r="M309" s="116">
        <f t="shared" si="15"/>
        <v>5.1000000000000004E-4</v>
      </c>
    </row>
    <row r="310" spans="12:13" x14ac:dyDescent="0.3">
      <c r="L310" s="68">
        <v>306</v>
      </c>
      <c r="M310" s="116">
        <f t="shared" si="15"/>
        <v>5.4000000000000001E-4</v>
      </c>
    </row>
    <row r="311" spans="12:13" x14ac:dyDescent="0.3">
      <c r="L311" s="68">
        <v>307</v>
      </c>
      <c r="M311" s="116">
        <f t="shared" si="15"/>
        <v>5.5000000000000003E-4</v>
      </c>
    </row>
    <row r="312" spans="12:13" x14ac:dyDescent="0.3">
      <c r="L312" s="68">
        <v>308</v>
      </c>
      <c r="M312" s="116">
        <f t="shared" si="15"/>
        <v>5.8E-4</v>
      </c>
    </row>
    <row r="313" spans="12:13" x14ac:dyDescent="0.3">
      <c r="L313" s="68">
        <v>309</v>
      </c>
      <c r="M313" s="116">
        <f t="shared" si="15"/>
        <v>5.9000000000000003E-4</v>
      </c>
    </row>
    <row r="314" spans="12:13" x14ac:dyDescent="0.3">
      <c r="L314" s="68">
        <v>310</v>
      </c>
      <c r="M314" s="116">
        <f t="shared" si="15"/>
        <v>5.2000000000000006E-4</v>
      </c>
    </row>
    <row r="315" spans="12:13" x14ac:dyDescent="0.3">
      <c r="L315" s="68">
        <v>311</v>
      </c>
      <c r="M315" s="116">
        <f t="shared" si="15"/>
        <v>5.5000000000000003E-4</v>
      </c>
    </row>
    <row r="316" spans="12:13" x14ac:dyDescent="0.3">
      <c r="L316" s="68">
        <v>312</v>
      </c>
      <c r="M316" s="116">
        <f t="shared" si="15"/>
        <v>5.6000000000000006E-4</v>
      </c>
    </row>
    <row r="317" spans="12:13" x14ac:dyDescent="0.3">
      <c r="L317" s="68">
        <v>313</v>
      </c>
      <c r="M317" s="116">
        <f t="shared" si="15"/>
        <v>5.9000000000000003E-4</v>
      </c>
    </row>
    <row r="318" spans="12:13" x14ac:dyDescent="0.3">
      <c r="L318" s="68">
        <v>314</v>
      </c>
      <c r="M318" s="116">
        <f t="shared" si="15"/>
        <v>6.0000000000000006E-4</v>
      </c>
    </row>
    <row r="319" spans="12:13" x14ac:dyDescent="0.3">
      <c r="L319" s="68">
        <v>315</v>
      </c>
      <c r="M319" s="116">
        <f t="shared" si="15"/>
        <v>5.6999999999999998E-4</v>
      </c>
    </row>
    <row r="320" spans="12:13" x14ac:dyDescent="0.3">
      <c r="L320" s="68">
        <v>316</v>
      </c>
      <c r="M320" s="116">
        <f t="shared" si="15"/>
        <v>6.0000000000000006E-4</v>
      </c>
    </row>
    <row r="321" spans="12:13" x14ac:dyDescent="0.3">
      <c r="L321" s="68">
        <v>317</v>
      </c>
      <c r="M321" s="116">
        <f t="shared" si="15"/>
        <v>6.1000000000000008E-4</v>
      </c>
    </row>
    <row r="322" spans="12:13" x14ac:dyDescent="0.3">
      <c r="L322" s="68">
        <v>318</v>
      </c>
      <c r="M322" s="116">
        <f t="shared" si="15"/>
        <v>6.4000000000000005E-4</v>
      </c>
    </row>
    <row r="323" spans="12:13" x14ac:dyDescent="0.3">
      <c r="L323" s="68">
        <v>319</v>
      </c>
      <c r="M323" s="116">
        <f t="shared" si="15"/>
        <v>6.4999999999999997E-4</v>
      </c>
    </row>
    <row r="324" spans="12:13" x14ac:dyDescent="0.3">
      <c r="L324" s="68">
        <v>320</v>
      </c>
      <c r="M324" s="116">
        <f t="shared" si="15"/>
        <v>5.4000000000000001E-4</v>
      </c>
    </row>
    <row r="325" spans="12:13" x14ac:dyDescent="0.3">
      <c r="L325" s="68">
        <v>321</v>
      </c>
      <c r="M325" s="116">
        <f t="shared" si="15"/>
        <v>5.6999999999999998E-4</v>
      </c>
    </row>
    <row r="326" spans="12:13" x14ac:dyDescent="0.3">
      <c r="L326" s="68">
        <v>322</v>
      </c>
      <c r="M326" s="116">
        <f t="shared" si="15"/>
        <v>5.8E-4</v>
      </c>
    </row>
    <row r="327" spans="12:13" x14ac:dyDescent="0.3">
      <c r="L327" s="68">
        <v>323</v>
      </c>
      <c r="M327" s="116">
        <f t="shared" si="15"/>
        <v>6.1000000000000008E-4</v>
      </c>
    </row>
    <row r="328" spans="12:13" x14ac:dyDescent="0.3">
      <c r="L328" s="68">
        <v>324</v>
      </c>
      <c r="M328" s="116">
        <f t="shared" si="15"/>
        <v>6.2E-4</v>
      </c>
    </row>
    <row r="329" spans="12:13" x14ac:dyDescent="0.3">
      <c r="L329" s="68">
        <v>325</v>
      </c>
      <c r="M329" s="116">
        <f t="shared" si="15"/>
        <v>5.9000000000000003E-4</v>
      </c>
    </row>
    <row r="330" spans="12:13" x14ac:dyDescent="0.3">
      <c r="L330" s="68">
        <v>326</v>
      </c>
      <c r="M330" s="116">
        <f t="shared" si="15"/>
        <v>6.2E-4</v>
      </c>
    </row>
    <row r="331" spans="12:13" x14ac:dyDescent="0.3">
      <c r="L331" s="68">
        <v>327</v>
      </c>
      <c r="M331" s="116">
        <f t="shared" si="15"/>
        <v>6.3000000000000003E-4</v>
      </c>
    </row>
    <row r="332" spans="12:13" x14ac:dyDescent="0.3">
      <c r="L332" s="68">
        <v>328</v>
      </c>
      <c r="M332" s="116">
        <f t="shared" si="15"/>
        <v>6.6E-4</v>
      </c>
    </row>
    <row r="333" spans="12:13" x14ac:dyDescent="0.3">
      <c r="L333" s="68">
        <v>329</v>
      </c>
      <c r="M333" s="116">
        <f t="shared" si="15"/>
        <v>6.7000000000000002E-4</v>
      </c>
    </row>
    <row r="334" spans="12:13" x14ac:dyDescent="0.3">
      <c r="L334" s="68">
        <v>330</v>
      </c>
      <c r="M334" s="116">
        <f t="shared" si="15"/>
        <v>6.0000000000000006E-4</v>
      </c>
    </row>
    <row r="335" spans="12:13" x14ac:dyDescent="0.3">
      <c r="L335" s="68">
        <v>331</v>
      </c>
      <c r="M335" s="116">
        <f t="shared" si="15"/>
        <v>6.3000000000000003E-4</v>
      </c>
    </row>
    <row r="336" spans="12:13" x14ac:dyDescent="0.3">
      <c r="L336" s="68">
        <v>332</v>
      </c>
      <c r="M336" s="116">
        <f t="shared" si="15"/>
        <v>6.4000000000000005E-4</v>
      </c>
    </row>
    <row r="337" spans="12:13" x14ac:dyDescent="0.3">
      <c r="L337" s="68">
        <v>333</v>
      </c>
      <c r="M337" s="116">
        <f t="shared" si="15"/>
        <v>6.7000000000000002E-4</v>
      </c>
    </row>
    <row r="338" spans="12:13" x14ac:dyDescent="0.3">
      <c r="L338" s="68">
        <v>334</v>
      </c>
      <c r="M338" s="116">
        <f t="shared" si="15"/>
        <v>6.8000000000000005E-4</v>
      </c>
    </row>
    <row r="339" spans="12:13" x14ac:dyDescent="0.3">
      <c r="L339" s="68">
        <v>335</v>
      </c>
      <c r="M339" s="116">
        <f t="shared" si="15"/>
        <v>6.4999999999999997E-4</v>
      </c>
    </row>
    <row r="340" spans="12:13" x14ac:dyDescent="0.3">
      <c r="L340" s="68">
        <v>336</v>
      </c>
      <c r="M340" s="116">
        <f t="shared" si="15"/>
        <v>6.8000000000000005E-4</v>
      </c>
    </row>
    <row r="341" spans="12:13" x14ac:dyDescent="0.3">
      <c r="L341" s="68">
        <v>337</v>
      </c>
      <c r="M341" s="116">
        <f t="shared" si="15"/>
        <v>6.9000000000000008E-4</v>
      </c>
    </row>
    <row r="342" spans="12:13" x14ac:dyDescent="0.3">
      <c r="L342" s="68">
        <v>338</v>
      </c>
      <c r="M342" s="116">
        <f t="shared" si="15"/>
        <v>7.2000000000000005E-4</v>
      </c>
    </row>
    <row r="343" spans="12:13" x14ac:dyDescent="0.3">
      <c r="L343" s="68">
        <v>339</v>
      </c>
      <c r="M343" s="116">
        <f t="shared" si="15"/>
        <v>7.3000000000000007E-4</v>
      </c>
    </row>
    <row r="344" spans="12:13" x14ac:dyDescent="0.3">
      <c r="L344" s="68">
        <v>340</v>
      </c>
      <c r="M344" s="116">
        <f t="shared" si="15"/>
        <v>6.2E-4</v>
      </c>
    </row>
    <row r="345" spans="12:13" x14ac:dyDescent="0.3">
      <c r="L345" s="68">
        <v>341</v>
      </c>
      <c r="M345" s="116">
        <f t="shared" si="15"/>
        <v>6.4999999999999997E-4</v>
      </c>
    </row>
    <row r="346" spans="12:13" x14ac:dyDescent="0.3">
      <c r="L346" s="68">
        <v>342</v>
      </c>
      <c r="M346" s="116">
        <f t="shared" si="15"/>
        <v>6.6E-4</v>
      </c>
    </row>
    <row r="347" spans="12:13" x14ac:dyDescent="0.3">
      <c r="L347" s="68">
        <v>343</v>
      </c>
      <c r="M347" s="116">
        <f t="shared" si="15"/>
        <v>6.9000000000000008E-4</v>
      </c>
    </row>
    <row r="348" spans="12:13" x14ac:dyDescent="0.3">
      <c r="L348" s="68">
        <v>344</v>
      </c>
      <c r="M348" s="116">
        <f t="shared" si="15"/>
        <v>7.000000000000001E-4</v>
      </c>
    </row>
    <row r="349" spans="12:13" x14ac:dyDescent="0.3">
      <c r="L349" s="68">
        <v>345</v>
      </c>
      <c r="M349" s="116">
        <f t="shared" si="15"/>
        <v>6.7000000000000002E-4</v>
      </c>
    </row>
    <row r="350" spans="12:13" x14ac:dyDescent="0.3">
      <c r="L350" s="68">
        <v>346</v>
      </c>
      <c r="M350" s="116">
        <f t="shared" si="15"/>
        <v>7.000000000000001E-4</v>
      </c>
    </row>
    <row r="351" spans="12:13" x14ac:dyDescent="0.3">
      <c r="L351" s="68">
        <v>347</v>
      </c>
      <c r="M351" s="116">
        <f t="shared" si="15"/>
        <v>7.1000000000000002E-4</v>
      </c>
    </row>
    <row r="352" spans="12:13" x14ac:dyDescent="0.3">
      <c r="L352" s="68">
        <v>348</v>
      </c>
      <c r="M352" s="116">
        <f t="shared" si="15"/>
        <v>7.3999999999999999E-4</v>
      </c>
    </row>
    <row r="353" spans="12:13" x14ac:dyDescent="0.3">
      <c r="L353" s="68">
        <v>349</v>
      </c>
      <c r="M353" s="116">
        <f t="shared" si="15"/>
        <v>7.5000000000000002E-4</v>
      </c>
    </row>
    <row r="354" spans="12:13" x14ac:dyDescent="0.3">
      <c r="L354" s="68">
        <v>350</v>
      </c>
      <c r="M354" s="116">
        <f t="shared" si="15"/>
        <v>5.6000000000000006E-4</v>
      </c>
    </row>
    <row r="355" spans="12:13" x14ac:dyDescent="0.3">
      <c r="L355" s="68">
        <v>351</v>
      </c>
      <c r="M355" s="116">
        <f t="shared" si="15"/>
        <v>5.9000000000000003E-4</v>
      </c>
    </row>
    <row r="356" spans="12:13" x14ac:dyDescent="0.3">
      <c r="L356" s="68">
        <v>352</v>
      </c>
      <c r="M356" s="116">
        <f t="shared" si="15"/>
        <v>6.0000000000000006E-4</v>
      </c>
    </row>
    <row r="357" spans="12:13" x14ac:dyDescent="0.3">
      <c r="L357" s="68">
        <v>353</v>
      </c>
      <c r="M357" s="116">
        <f t="shared" si="15"/>
        <v>6.3000000000000003E-4</v>
      </c>
    </row>
    <row r="358" spans="12:13" x14ac:dyDescent="0.3">
      <c r="L358" s="68">
        <v>354</v>
      </c>
      <c r="M358" s="116">
        <f t="shared" si="15"/>
        <v>6.4000000000000005E-4</v>
      </c>
    </row>
    <row r="359" spans="12:13" x14ac:dyDescent="0.3">
      <c r="L359" s="68">
        <v>355</v>
      </c>
      <c r="M359" s="116">
        <f t="shared" si="15"/>
        <v>6.1000000000000008E-4</v>
      </c>
    </row>
    <row r="360" spans="12:13" x14ac:dyDescent="0.3">
      <c r="L360" s="68">
        <v>356</v>
      </c>
      <c r="M360" s="116">
        <f t="shared" si="15"/>
        <v>6.4000000000000005E-4</v>
      </c>
    </row>
    <row r="361" spans="12:13" x14ac:dyDescent="0.3">
      <c r="L361" s="68">
        <v>357</v>
      </c>
      <c r="M361" s="116">
        <f t="shared" si="15"/>
        <v>6.4999999999999997E-4</v>
      </c>
    </row>
    <row r="362" spans="12:13" x14ac:dyDescent="0.3">
      <c r="L362" s="68">
        <v>358</v>
      </c>
      <c r="M362" s="116">
        <f t="shared" si="15"/>
        <v>6.8000000000000005E-4</v>
      </c>
    </row>
    <row r="363" spans="12:13" x14ac:dyDescent="0.3">
      <c r="L363" s="68">
        <v>359</v>
      </c>
      <c r="M363" s="116">
        <f t="shared" si="15"/>
        <v>6.9000000000000008E-4</v>
      </c>
    </row>
    <row r="364" spans="12:13" x14ac:dyDescent="0.3">
      <c r="L364" s="68">
        <v>360</v>
      </c>
      <c r="M364" s="116">
        <f t="shared" si="15"/>
        <v>6.2E-4</v>
      </c>
    </row>
    <row r="365" spans="12:13" x14ac:dyDescent="0.3">
      <c r="L365" s="68">
        <v>361</v>
      </c>
      <c r="M365" s="116">
        <f t="shared" si="15"/>
        <v>6.4999999999999997E-4</v>
      </c>
    </row>
    <row r="366" spans="12:13" x14ac:dyDescent="0.3">
      <c r="L366" s="68">
        <v>362</v>
      </c>
      <c r="M366" s="116">
        <f t="shared" si="15"/>
        <v>6.6E-4</v>
      </c>
    </row>
    <row r="367" spans="12:13" x14ac:dyDescent="0.3">
      <c r="L367" s="68">
        <v>363</v>
      </c>
      <c r="M367" s="116">
        <f t="shared" si="15"/>
        <v>6.9000000000000008E-4</v>
      </c>
    </row>
    <row r="368" spans="12:13" x14ac:dyDescent="0.3">
      <c r="L368" s="68">
        <v>364</v>
      </c>
      <c r="M368" s="116">
        <f t="shared" si="15"/>
        <v>7.000000000000001E-4</v>
      </c>
    </row>
    <row r="369" spans="12:13" x14ac:dyDescent="0.3">
      <c r="L369" s="68">
        <v>365</v>
      </c>
      <c r="M369" s="116">
        <f t="shared" si="15"/>
        <v>6.7000000000000002E-4</v>
      </c>
    </row>
    <row r="370" spans="12:13" x14ac:dyDescent="0.3">
      <c r="L370" s="68">
        <v>366</v>
      </c>
      <c r="M370" s="116">
        <f t="shared" ref="M370:M403" si="16">$M$304+M70</f>
        <v>7.000000000000001E-4</v>
      </c>
    </row>
    <row r="371" spans="12:13" x14ac:dyDescent="0.3">
      <c r="L371" s="68">
        <v>367</v>
      </c>
      <c r="M371" s="116">
        <f t="shared" si="16"/>
        <v>7.1000000000000002E-4</v>
      </c>
    </row>
    <row r="372" spans="12:13" x14ac:dyDescent="0.3">
      <c r="L372" s="68">
        <v>368</v>
      </c>
      <c r="M372" s="116">
        <f t="shared" si="16"/>
        <v>7.3999999999999999E-4</v>
      </c>
    </row>
    <row r="373" spans="12:13" x14ac:dyDescent="0.3">
      <c r="L373" s="68">
        <v>369</v>
      </c>
      <c r="M373" s="116">
        <f t="shared" si="16"/>
        <v>7.5000000000000002E-4</v>
      </c>
    </row>
    <row r="374" spans="12:13" x14ac:dyDescent="0.3">
      <c r="L374" s="68">
        <v>370</v>
      </c>
      <c r="M374" s="116">
        <f t="shared" si="16"/>
        <v>6.4000000000000005E-4</v>
      </c>
    </row>
    <row r="375" spans="12:13" x14ac:dyDescent="0.3">
      <c r="L375" s="68">
        <v>371</v>
      </c>
      <c r="M375" s="116">
        <f t="shared" si="16"/>
        <v>6.7000000000000002E-4</v>
      </c>
    </row>
    <row r="376" spans="12:13" x14ac:dyDescent="0.3">
      <c r="L376" s="68">
        <v>372</v>
      </c>
      <c r="M376" s="116">
        <f t="shared" si="16"/>
        <v>6.8000000000000005E-4</v>
      </c>
    </row>
    <row r="377" spans="12:13" x14ac:dyDescent="0.3">
      <c r="L377" s="68">
        <v>373</v>
      </c>
      <c r="M377" s="116">
        <f t="shared" si="16"/>
        <v>7.1000000000000002E-4</v>
      </c>
    </row>
    <row r="378" spans="12:13" x14ac:dyDescent="0.3">
      <c r="L378" s="68">
        <v>374</v>
      </c>
      <c r="M378" s="116">
        <f t="shared" si="16"/>
        <v>7.2000000000000005E-4</v>
      </c>
    </row>
    <row r="379" spans="12:13" x14ac:dyDescent="0.3">
      <c r="L379" s="68">
        <v>375</v>
      </c>
      <c r="M379" s="116">
        <f t="shared" si="16"/>
        <v>6.9000000000000008E-4</v>
      </c>
    </row>
    <row r="380" spans="12:13" x14ac:dyDescent="0.3">
      <c r="L380" s="68">
        <v>376</v>
      </c>
      <c r="M380" s="116">
        <f t="shared" si="16"/>
        <v>7.2000000000000005E-4</v>
      </c>
    </row>
    <row r="381" spans="12:13" x14ac:dyDescent="0.3">
      <c r="L381" s="68">
        <v>377</v>
      </c>
      <c r="M381" s="116">
        <f t="shared" si="16"/>
        <v>7.2999999999999996E-4</v>
      </c>
    </row>
    <row r="382" spans="12:13" x14ac:dyDescent="0.3">
      <c r="L382" s="68">
        <v>378</v>
      </c>
      <c r="M382" s="116">
        <f t="shared" si="16"/>
        <v>7.6000000000000004E-4</v>
      </c>
    </row>
    <row r="383" spans="12:13" x14ac:dyDescent="0.3">
      <c r="L383" s="68">
        <v>379</v>
      </c>
      <c r="M383" s="116">
        <f t="shared" si="16"/>
        <v>7.7000000000000007E-4</v>
      </c>
    </row>
    <row r="384" spans="12:13" x14ac:dyDescent="0.3">
      <c r="L384" s="68">
        <v>380</v>
      </c>
      <c r="M384" s="116">
        <f t="shared" si="16"/>
        <v>7.000000000000001E-4</v>
      </c>
    </row>
    <row r="385" spans="12:13" x14ac:dyDescent="0.3">
      <c r="L385" s="68">
        <v>381</v>
      </c>
      <c r="M385" s="116">
        <f t="shared" si="16"/>
        <v>7.3000000000000007E-4</v>
      </c>
    </row>
    <row r="386" spans="12:13" x14ac:dyDescent="0.3">
      <c r="L386" s="68">
        <v>382</v>
      </c>
      <c r="M386" s="116">
        <f t="shared" si="16"/>
        <v>7.3999999999999999E-4</v>
      </c>
    </row>
    <row r="387" spans="12:13" x14ac:dyDescent="0.3">
      <c r="L387" s="68">
        <v>383</v>
      </c>
      <c r="M387" s="116">
        <f t="shared" si="16"/>
        <v>7.7000000000000007E-4</v>
      </c>
    </row>
    <row r="388" spans="12:13" x14ac:dyDescent="0.3">
      <c r="L388" s="68">
        <v>384</v>
      </c>
      <c r="M388" s="116">
        <f t="shared" si="16"/>
        <v>7.8000000000000009E-4</v>
      </c>
    </row>
    <row r="389" spans="12:13" x14ac:dyDescent="0.3">
      <c r="L389" s="68">
        <v>385</v>
      </c>
      <c r="M389" s="116">
        <f t="shared" si="16"/>
        <v>7.5000000000000002E-4</v>
      </c>
    </row>
    <row r="390" spans="12:13" x14ac:dyDescent="0.3">
      <c r="L390" s="68">
        <v>386</v>
      </c>
      <c r="M390" s="116">
        <f t="shared" si="16"/>
        <v>7.8000000000000009E-4</v>
      </c>
    </row>
    <row r="391" spans="12:13" x14ac:dyDescent="0.3">
      <c r="L391" s="68">
        <v>387</v>
      </c>
      <c r="M391" s="116">
        <f t="shared" si="16"/>
        <v>7.9000000000000012E-4</v>
      </c>
    </row>
    <row r="392" spans="12:13" x14ac:dyDescent="0.3">
      <c r="L392" s="68">
        <v>388</v>
      </c>
      <c r="M392" s="116">
        <f t="shared" si="16"/>
        <v>8.1999999999999998E-4</v>
      </c>
    </row>
    <row r="393" spans="12:13" x14ac:dyDescent="0.3">
      <c r="L393" s="68">
        <v>389</v>
      </c>
      <c r="M393" s="116">
        <f t="shared" si="16"/>
        <v>8.3000000000000001E-4</v>
      </c>
    </row>
    <row r="394" spans="12:13" x14ac:dyDescent="0.3">
      <c r="L394" s="68">
        <v>390</v>
      </c>
      <c r="M394" s="116">
        <f t="shared" si="16"/>
        <v>7.2000000000000005E-4</v>
      </c>
    </row>
    <row r="395" spans="12:13" x14ac:dyDescent="0.3">
      <c r="L395" s="68">
        <v>391</v>
      </c>
      <c r="M395" s="116">
        <f t="shared" si="16"/>
        <v>7.5000000000000002E-4</v>
      </c>
    </row>
    <row r="396" spans="12:13" x14ac:dyDescent="0.3">
      <c r="L396" s="68">
        <v>392</v>
      </c>
      <c r="M396" s="116">
        <f t="shared" si="16"/>
        <v>7.6000000000000004E-4</v>
      </c>
    </row>
    <row r="397" spans="12:13" x14ac:dyDescent="0.3">
      <c r="L397" s="68">
        <v>393</v>
      </c>
      <c r="M397" s="116">
        <f t="shared" si="16"/>
        <v>7.9000000000000012E-4</v>
      </c>
    </row>
    <row r="398" spans="12:13" x14ac:dyDescent="0.3">
      <c r="L398" s="68">
        <v>394</v>
      </c>
      <c r="M398" s="116">
        <f t="shared" si="16"/>
        <v>8.0000000000000004E-4</v>
      </c>
    </row>
    <row r="399" spans="12:13" x14ac:dyDescent="0.3">
      <c r="L399" s="68">
        <v>395</v>
      </c>
      <c r="M399" s="116">
        <f t="shared" si="16"/>
        <v>7.7000000000000007E-4</v>
      </c>
    </row>
    <row r="400" spans="12:13" x14ac:dyDescent="0.3">
      <c r="L400" s="68">
        <v>396</v>
      </c>
      <c r="M400" s="116">
        <f t="shared" si="16"/>
        <v>8.0000000000000004E-4</v>
      </c>
    </row>
    <row r="401" spans="12:13" x14ac:dyDescent="0.3">
      <c r="L401" s="68">
        <v>397</v>
      </c>
      <c r="M401" s="116">
        <f t="shared" si="16"/>
        <v>8.1000000000000006E-4</v>
      </c>
    </row>
    <row r="402" spans="12:13" x14ac:dyDescent="0.3">
      <c r="L402" s="68">
        <v>398</v>
      </c>
      <c r="M402" s="116">
        <f t="shared" si="16"/>
        <v>8.4000000000000003E-4</v>
      </c>
    </row>
    <row r="403" spans="12:13" x14ac:dyDescent="0.3">
      <c r="L403" s="68">
        <v>399</v>
      </c>
      <c r="M403" s="116">
        <f t="shared" si="16"/>
        <v>8.5000000000000006E-4</v>
      </c>
    </row>
    <row r="404" spans="12:13" x14ac:dyDescent="0.3">
      <c r="L404" s="68">
        <v>400</v>
      </c>
      <c r="M404" s="116">
        <f>M204+M204</f>
        <v>5.9999999999999995E-4</v>
      </c>
    </row>
    <row r="405" spans="12:13" x14ac:dyDescent="0.3">
      <c r="L405" s="68">
        <v>401</v>
      </c>
      <c r="M405" s="116">
        <f>$M$404+M5</f>
        <v>6.2999999999999992E-4</v>
      </c>
    </row>
    <row r="406" spans="12:13" x14ac:dyDescent="0.3">
      <c r="L406" s="68">
        <v>402</v>
      </c>
      <c r="M406" s="116">
        <f t="shared" ref="M406:M469" si="17">$M$404+M6</f>
        <v>6.3999999999999994E-4</v>
      </c>
    </row>
    <row r="407" spans="12:13" x14ac:dyDescent="0.3">
      <c r="L407" s="68">
        <v>403</v>
      </c>
      <c r="M407" s="116">
        <f t="shared" si="17"/>
        <v>6.6999999999999991E-4</v>
      </c>
    </row>
    <row r="408" spans="12:13" x14ac:dyDescent="0.3">
      <c r="L408" s="68">
        <v>404</v>
      </c>
      <c r="M408" s="116">
        <f t="shared" si="17"/>
        <v>6.7999999999999994E-4</v>
      </c>
    </row>
    <row r="409" spans="12:13" x14ac:dyDescent="0.3">
      <c r="L409" s="68">
        <v>405</v>
      </c>
      <c r="M409" s="116">
        <f t="shared" si="17"/>
        <v>6.4999999999999997E-4</v>
      </c>
    </row>
    <row r="410" spans="12:13" x14ac:dyDescent="0.3">
      <c r="L410" s="68">
        <v>406</v>
      </c>
      <c r="M410" s="116">
        <f t="shared" si="17"/>
        <v>6.7999999999999994E-4</v>
      </c>
    </row>
    <row r="411" spans="12:13" x14ac:dyDescent="0.3">
      <c r="L411" s="68">
        <v>407</v>
      </c>
      <c r="M411" s="116">
        <f t="shared" si="17"/>
        <v>6.8999999999999997E-4</v>
      </c>
    </row>
    <row r="412" spans="12:13" x14ac:dyDescent="0.3">
      <c r="L412" s="68">
        <v>408</v>
      </c>
      <c r="M412" s="116">
        <f t="shared" si="17"/>
        <v>7.1999999999999994E-4</v>
      </c>
    </row>
    <row r="413" spans="12:13" x14ac:dyDescent="0.3">
      <c r="L413" s="68">
        <v>409</v>
      </c>
      <c r="M413" s="116">
        <f t="shared" si="17"/>
        <v>7.2999999999999996E-4</v>
      </c>
    </row>
    <row r="414" spans="12:13" x14ac:dyDescent="0.3">
      <c r="L414" s="68">
        <v>410</v>
      </c>
      <c r="M414" s="116">
        <f t="shared" si="17"/>
        <v>6.6E-4</v>
      </c>
    </row>
    <row r="415" spans="12:13" x14ac:dyDescent="0.3">
      <c r="L415" s="68">
        <v>411</v>
      </c>
      <c r="M415" s="116">
        <f t="shared" si="17"/>
        <v>6.8999999999999997E-4</v>
      </c>
    </row>
    <row r="416" spans="12:13" x14ac:dyDescent="0.3">
      <c r="L416" s="68">
        <v>412</v>
      </c>
      <c r="M416" s="116">
        <f t="shared" si="17"/>
        <v>6.9999999999999999E-4</v>
      </c>
    </row>
    <row r="417" spans="12:13" x14ac:dyDescent="0.3">
      <c r="L417" s="68">
        <v>413</v>
      </c>
      <c r="M417" s="116">
        <f t="shared" si="17"/>
        <v>7.2999999999999996E-4</v>
      </c>
    </row>
    <row r="418" spans="12:13" x14ac:dyDescent="0.3">
      <c r="L418" s="68">
        <v>414</v>
      </c>
      <c r="M418" s="116">
        <f t="shared" si="17"/>
        <v>7.3999999999999999E-4</v>
      </c>
    </row>
    <row r="419" spans="12:13" x14ac:dyDescent="0.3">
      <c r="L419" s="68">
        <v>415</v>
      </c>
      <c r="M419" s="116">
        <f t="shared" si="17"/>
        <v>7.0999999999999991E-4</v>
      </c>
    </row>
    <row r="420" spans="12:13" x14ac:dyDescent="0.3">
      <c r="L420" s="68">
        <v>416</v>
      </c>
      <c r="M420" s="116">
        <f t="shared" si="17"/>
        <v>7.3999999999999999E-4</v>
      </c>
    </row>
    <row r="421" spans="12:13" x14ac:dyDescent="0.3">
      <c r="L421" s="68">
        <v>417</v>
      </c>
      <c r="M421" s="116">
        <f t="shared" si="17"/>
        <v>7.5000000000000002E-4</v>
      </c>
    </row>
    <row r="422" spans="12:13" x14ac:dyDescent="0.3">
      <c r="L422" s="68">
        <v>418</v>
      </c>
      <c r="M422" s="116">
        <f t="shared" si="17"/>
        <v>7.7999999999999999E-4</v>
      </c>
    </row>
    <row r="423" spans="12:13" x14ac:dyDescent="0.3">
      <c r="L423" s="68">
        <v>419</v>
      </c>
      <c r="M423" s="116">
        <f t="shared" si="17"/>
        <v>7.899999999999999E-4</v>
      </c>
    </row>
    <row r="424" spans="12:13" x14ac:dyDescent="0.3">
      <c r="L424" s="68">
        <v>420</v>
      </c>
      <c r="M424" s="116">
        <f t="shared" si="17"/>
        <v>6.7999999999999994E-4</v>
      </c>
    </row>
    <row r="425" spans="12:13" x14ac:dyDescent="0.3">
      <c r="L425" s="68">
        <v>421</v>
      </c>
      <c r="M425" s="116">
        <f t="shared" si="17"/>
        <v>7.0999999999999991E-4</v>
      </c>
    </row>
    <row r="426" spans="12:13" x14ac:dyDescent="0.3">
      <c r="L426" s="68">
        <v>422</v>
      </c>
      <c r="M426" s="116">
        <f t="shared" si="17"/>
        <v>7.1999999999999994E-4</v>
      </c>
    </row>
    <row r="427" spans="12:13" x14ac:dyDescent="0.3">
      <c r="L427" s="68">
        <v>423</v>
      </c>
      <c r="M427" s="116">
        <f t="shared" si="17"/>
        <v>7.5000000000000002E-4</v>
      </c>
    </row>
    <row r="428" spans="12:13" x14ac:dyDescent="0.3">
      <c r="L428" s="68">
        <v>424</v>
      </c>
      <c r="M428" s="116">
        <f t="shared" si="17"/>
        <v>7.5999999999999993E-4</v>
      </c>
    </row>
    <row r="429" spans="12:13" x14ac:dyDescent="0.3">
      <c r="L429" s="68">
        <v>425</v>
      </c>
      <c r="M429" s="116">
        <f t="shared" si="17"/>
        <v>7.2999999999999996E-4</v>
      </c>
    </row>
    <row r="430" spans="12:13" x14ac:dyDescent="0.3">
      <c r="L430" s="68">
        <v>426</v>
      </c>
      <c r="M430" s="116">
        <f t="shared" si="17"/>
        <v>7.5999999999999993E-4</v>
      </c>
    </row>
    <row r="431" spans="12:13" x14ac:dyDescent="0.3">
      <c r="L431" s="68">
        <v>427</v>
      </c>
      <c r="M431" s="116">
        <f t="shared" si="17"/>
        <v>7.6999999999999996E-4</v>
      </c>
    </row>
    <row r="432" spans="12:13" x14ac:dyDescent="0.3">
      <c r="L432" s="68">
        <v>428</v>
      </c>
      <c r="M432" s="116">
        <f t="shared" si="17"/>
        <v>7.9999999999999993E-4</v>
      </c>
    </row>
    <row r="433" spans="12:13" x14ac:dyDescent="0.3">
      <c r="L433" s="68">
        <v>429</v>
      </c>
      <c r="M433" s="116">
        <f t="shared" si="17"/>
        <v>8.0999999999999996E-4</v>
      </c>
    </row>
    <row r="434" spans="12:13" x14ac:dyDescent="0.3">
      <c r="L434" s="68">
        <v>430</v>
      </c>
      <c r="M434" s="116">
        <f t="shared" si="17"/>
        <v>7.3999999999999999E-4</v>
      </c>
    </row>
    <row r="435" spans="12:13" x14ac:dyDescent="0.3">
      <c r="L435" s="68">
        <v>431</v>
      </c>
      <c r="M435" s="116">
        <f t="shared" si="17"/>
        <v>7.6999999999999996E-4</v>
      </c>
    </row>
    <row r="436" spans="12:13" x14ac:dyDescent="0.3">
      <c r="L436" s="68">
        <v>432</v>
      </c>
      <c r="M436" s="116">
        <f t="shared" si="17"/>
        <v>7.7999999999999999E-4</v>
      </c>
    </row>
    <row r="437" spans="12:13" x14ac:dyDescent="0.3">
      <c r="L437" s="68">
        <v>433</v>
      </c>
      <c r="M437" s="116">
        <f t="shared" si="17"/>
        <v>8.0999999999999996E-4</v>
      </c>
    </row>
    <row r="438" spans="12:13" x14ac:dyDescent="0.3">
      <c r="L438" s="68">
        <v>434</v>
      </c>
      <c r="M438" s="116">
        <f t="shared" si="17"/>
        <v>8.1999999999999998E-4</v>
      </c>
    </row>
    <row r="439" spans="12:13" x14ac:dyDescent="0.3">
      <c r="L439" s="68">
        <v>435</v>
      </c>
      <c r="M439" s="116">
        <f t="shared" si="17"/>
        <v>7.899999999999999E-4</v>
      </c>
    </row>
    <row r="440" spans="12:13" x14ac:dyDescent="0.3">
      <c r="L440" s="68">
        <v>436</v>
      </c>
      <c r="M440" s="116">
        <f t="shared" si="17"/>
        <v>8.1999999999999998E-4</v>
      </c>
    </row>
    <row r="441" spans="12:13" x14ac:dyDescent="0.3">
      <c r="L441" s="68">
        <v>437</v>
      </c>
      <c r="M441" s="116">
        <f t="shared" si="17"/>
        <v>8.3000000000000001E-4</v>
      </c>
    </row>
    <row r="442" spans="12:13" x14ac:dyDescent="0.3">
      <c r="L442" s="68">
        <v>438</v>
      </c>
      <c r="M442" s="116">
        <f t="shared" si="17"/>
        <v>8.5999999999999998E-4</v>
      </c>
    </row>
    <row r="443" spans="12:13" x14ac:dyDescent="0.3">
      <c r="L443" s="68">
        <v>439</v>
      </c>
      <c r="M443" s="116">
        <f t="shared" si="17"/>
        <v>8.7000000000000001E-4</v>
      </c>
    </row>
    <row r="444" spans="12:13" x14ac:dyDescent="0.3">
      <c r="L444" s="68">
        <v>440</v>
      </c>
      <c r="M444" s="116">
        <f t="shared" si="17"/>
        <v>7.5999999999999993E-4</v>
      </c>
    </row>
    <row r="445" spans="12:13" x14ac:dyDescent="0.3">
      <c r="L445" s="68">
        <v>441</v>
      </c>
      <c r="M445" s="116">
        <f t="shared" si="17"/>
        <v>7.899999999999999E-4</v>
      </c>
    </row>
    <row r="446" spans="12:13" x14ac:dyDescent="0.3">
      <c r="L446" s="68">
        <v>442</v>
      </c>
      <c r="M446" s="116">
        <f t="shared" si="17"/>
        <v>7.9999999999999993E-4</v>
      </c>
    </row>
    <row r="447" spans="12:13" x14ac:dyDescent="0.3">
      <c r="L447" s="68">
        <v>443</v>
      </c>
      <c r="M447" s="116">
        <f t="shared" si="17"/>
        <v>8.3000000000000001E-4</v>
      </c>
    </row>
    <row r="448" spans="12:13" x14ac:dyDescent="0.3">
      <c r="L448" s="68">
        <v>444</v>
      </c>
      <c r="M448" s="116">
        <f t="shared" si="17"/>
        <v>8.4000000000000003E-4</v>
      </c>
    </row>
    <row r="449" spans="12:13" x14ac:dyDescent="0.3">
      <c r="L449" s="68">
        <v>445</v>
      </c>
      <c r="M449" s="116">
        <f t="shared" si="17"/>
        <v>8.0999999999999996E-4</v>
      </c>
    </row>
    <row r="450" spans="12:13" x14ac:dyDescent="0.3">
      <c r="L450" s="68">
        <v>446</v>
      </c>
      <c r="M450" s="116">
        <f t="shared" si="17"/>
        <v>8.4000000000000003E-4</v>
      </c>
    </row>
    <row r="451" spans="12:13" x14ac:dyDescent="0.3">
      <c r="L451" s="68">
        <v>447</v>
      </c>
      <c r="M451" s="116">
        <f t="shared" si="17"/>
        <v>8.4999999999999995E-4</v>
      </c>
    </row>
    <row r="452" spans="12:13" x14ac:dyDescent="0.3">
      <c r="L452" s="68">
        <v>448</v>
      </c>
      <c r="M452" s="116">
        <f t="shared" si="17"/>
        <v>8.7999999999999992E-4</v>
      </c>
    </row>
    <row r="453" spans="12:13" x14ac:dyDescent="0.3">
      <c r="L453" s="68">
        <v>449</v>
      </c>
      <c r="M453" s="116">
        <f t="shared" si="17"/>
        <v>8.8999999999999995E-4</v>
      </c>
    </row>
    <row r="454" spans="12:13" x14ac:dyDescent="0.3">
      <c r="L454" s="68">
        <v>450</v>
      </c>
      <c r="M454" s="116">
        <f t="shared" si="17"/>
        <v>6.9999999999999999E-4</v>
      </c>
    </row>
    <row r="455" spans="12:13" x14ac:dyDescent="0.3">
      <c r="L455" s="68">
        <v>451</v>
      </c>
      <c r="M455" s="116">
        <f t="shared" si="17"/>
        <v>7.2999999999999996E-4</v>
      </c>
    </row>
    <row r="456" spans="12:13" x14ac:dyDescent="0.3">
      <c r="L456" s="68">
        <v>452</v>
      </c>
      <c r="M456" s="116">
        <f t="shared" si="17"/>
        <v>7.3999999999999999E-4</v>
      </c>
    </row>
    <row r="457" spans="12:13" x14ac:dyDescent="0.3">
      <c r="L457" s="68">
        <v>453</v>
      </c>
      <c r="M457" s="116">
        <f t="shared" si="17"/>
        <v>7.6999999999999996E-4</v>
      </c>
    </row>
    <row r="458" spans="12:13" x14ac:dyDescent="0.3">
      <c r="L458" s="68">
        <v>454</v>
      </c>
      <c r="M458" s="116">
        <f t="shared" si="17"/>
        <v>7.7999999999999999E-4</v>
      </c>
    </row>
    <row r="459" spans="12:13" x14ac:dyDescent="0.3">
      <c r="L459" s="68">
        <v>455</v>
      </c>
      <c r="M459" s="116">
        <f t="shared" si="17"/>
        <v>7.5000000000000002E-4</v>
      </c>
    </row>
    <row r="460" spans="12:13" x14ac:dyDescent="0.3">
      <c r="L460" s="68">
        <v>456</v>
      </c>
      <c r="M460" s="116">
        <f t="shared" si="17"/>
        <v>7.7999999999999999E-4</v>
      </c>
    </row>
    <row r="461" spans="12:13" x14ac:dyDescent="0.3">
      <c r="L461" s="68">
        <v>457</v>
      </c>
      <c r="M461" s="116">
        <f t="shared" si="17"/>
        <v>7.899999999999999E-4</v>
      </c>
    </row>
    <row r="462" spans="12:13" x14ac:dyDescent="0.3">
      <c r="L462" s="68">
        <v>458</v>
      </c>
      <c r="M462" s="116">
        <f t="shared" si="17"/>
        <v>8.1999999999999998E-4</v>
      </c>
    </row>
    <row r="463" spans="12:13" x14ac:dyDescent="0.3">
      <c r="L463" s="68">
        <v>459</v>
      </c>
      <c r="M463" s="116">
        <f t="shared" si="17"/>
        <v>8.3000000000000001E-4</v>
      </c>
    </row>
    <row r="464" spans="12:13" x14ac:dyDescent="0.3">
      <c r="L464" s="68">
        <v>460</v>
      </c>
      <c r="M464" s="116">
        <f t="shared" si="17"/>
        <v>7.5999999999999993E-4</v>
      </c>
    </row>
    <row r="465" spans="12:13" x14ac:dyDescent="0.3">
      <c r="L465" s="68">
        <v>461</v>
      </c>
      <c r="M465" s="116">
        <f t="shared" si="17"/>
        <v>7.899999999999999E-4</v>
      </c>
    </row>
    <row r="466" spans="12:13" x14ac:dyDescent="0.3">
      <c r="L466" s="68">
        <v>462</v>
      </c>
      <c r="M466" s="116">
        <f t="shared" si="17"/>
        <v>7.9999999999999993E-4</v>
      </c>
    </row>
    <row r="467" spans="12:13" x14ac:dyDescent="0.3">
      <c r="L467" s="68">
        <v>463</v>
      </c>
      <c r="M467" s="116">
        <f t="shared" si="17"/>
        <v>8.3000000000000001E-4</v>
      </c>
    </row>
    <row r="468" spans="12:13" x14ac:dyDescent="0.3">
      <c r="L468" s="68">
        <v>464</v>
      </c>
      <c r="M468" s="116">
        <f t="shared" si="17"/>
        <v>8.4000000000000003E-4</v>
      </c>
    </row>
    <row r="469" spans="12:13" x14ac:dyDescent="0.3">
      <c r="L469" s="68">
        <v>465</v>
      </c>
      <c r="M469" s="116">
        <f t="shared" si="17"/>
        <v>8.0999999999999996E-4</v>
      </c>
    </row>
    <row r="470" spans="12:13" x14ac:dyDescent="0.3">
      <c r="L470" s="68">
        <v>466</v>
      </c>
      <c r="M470" s="116">
        <f t="shared" ref="M470:M503" si="18">$M$404+M70</f>
        <v>8.4000000000000003E-4</v>
      </c>
    </row>
    <row r="471" spans="12:13" x14ac:dyDescent="0.3">
      <c r="L471" s="68">
        <v>467</v>
      </c>
      <c r="M471" s="116">
        <f t="shared" si="18"/>
        <v>8.4999999999999995E-4</v>
      </c>
    </row>
    <row r="472" spans="12:13" x14ac:dyDescent="0.3">
      <c r="L472" s="68">
        <v>468</v>
      </c>
      <c r="M472" s="116">
        <f t="shared" si="18"/>
        <v>8.7999999999999992E-4</v>
      </c>
    </row>
    <row r="473" spans="12:13" x14ac:dyDescent="0.3">
      <c r="L473" s="68">
        <v>469</v>
      </c>
      <c r="M473" s="116">
        <f t="shared" si="18"/>
        <v>8.8999999999999995E-4</v>
      </c>
    </row>
    <row r="474" spans="12:13" x14ac:dyDescent="0.3">
      <c r="L474" s="68">
        <v>470</v>
      </c>
      <c r="M474" s="116">
        <f t="shared" si="18"/>
        <v>7.7999999999999999E-4</v>
      </c>
    </row>
    <row r="475" spans="12:13" x14ac:dyDescent="0.3">
      <c r="L475" s="68">
        <v>471</v>
      </c>
      <c r="M475" s="116">
        <f t="shared" si="18"/>
        <v>8.0999999999999996E-4</v>
      </c>
    </row>
    <row r="476" spans="12:13" x14ac:dyDescent="0.3">
      <c r="L476" s="68">
        <v>472</v>
      </c>
      <c r="M476" s="116">
        <f t="shared" si="18"/>
        <v>8.1999999999999998E-4</v>
      </c>
    </row>
    <row r="477" spans="12:13" x14ac:dyDescent="0.3">
      <c r="L477" s="68">
        <v>473</v>
      </c>
      <c r="M477" s="116">
        <f t="shared" si="18"/>
        <v>8.4999999999999995E-4</v>
      </c>
    </row>
    <row r="478" spans="12:13" x14ac:dyDescent="0.3">
      <c r="L478" s="68">
        <v>474</v>
      </c>
      <c r="M478" s="116">
        <f t="shared" si="18"/>
        <v>8.5999999999999998E-4</v>
      </c>
    </row>
    <row r="479" spans="12:13" x14ac:dyDescent="0.3">
      <c r="L479" s="68">
        <v>475</v>
      </c>
      <c r="M479" s="116">
        <f t="shared" si="18"/>
        <v>8.3000000000000001E-4</v>
      </c>
    </row>
    <row r="480" spans="12:13" x14ac:dyDescent="0.3">
      <c r="L480" s="68">
        <v>476</v>
      </c>
      <c r="M480" s="116">
        <f t="shared" si="18"/>
        <v>8.5999999999999998E-4</v>
      </c>
    </row>
    <row r="481" spans="12:13" x14ac:dyDescent="0.3">
      <c r="L481" s="68">
        <v>477</v>
      </c>
      <c r="M481" s="116">
        <f t="shared" si="18"/>
        <v>8.699999999999999E-4</v>
      </c>
    </row>
    <row r="482" spans="12:13" x14ac:dyDescent="0.3">
      <c r="L482" s="68">
        <v>478</v>
      </c>
      <c r="M482" s="116">
        <f t="shared" si="18"/>
        <v>8.9999999999999998E-4</v>
      </c>
    </row>
    <row r="483" spans="12:13" x14ac:dyDescent="0.3">
      <c r="L483" s="68">
        <v>479</v>
      </c>
      <c r="M483" s="116">
        <f t="shared" si="18"/>
        <v>9.1E-4</v>
      </c>
    </row>
    <row r="484" spans="12:13" x14ac:dyDescent="0.3">
      <c r="L484" s="68">
        <v>480</v>
      </c>
      <c r="M484" s="116">
        <f t="shared" si="18"/>
        <v>8.4000000000000003E-4</v>
      </c>
    </row>
    <row r="485" spans="12:13" x14ac:dyDescent="0.3">
      <c r="L485" s="68">
        <v>481</v>
      </c>
      <c r="M485" s="116">
        <f t="shared" si="18"/>
        <v>8.7000000000000001E-4</v>
      </c>
    </row>
    <row r="486" spans="12:13" x14ac:dyDescent="0.3">
      <c r="L486" s="68">
        <v>482</v>
      </c>
      <c r="M486" s="116">
        <f t="shared" si="18"/>
        <v>8.7999999999999992E-4</v>
      </c>
    </row>
    <row r="487" spans="12:13" x14ac:dyDescent="0.3">
      <c r="L487" s="68">
        <v>483</v>
      </c>
      <c r="M487" s="116">
        <f t="shared" si="18"/>
        <v>9.1E-4</v>
      </c>
    </row>
    <row r="488" spans="12:13" x14ac:dyDescent="0.3">
      <c r="L488" s="68">
        <v>484</v>
      </c>
      <c r="M488" s="116">
        <f t="shared" si="18"/>
        <v>9.2000000000000003E-4</v>
      </c>
    </row>
    <row r="489" spans="12:13" x14ac:dyDescent="0.3">
      <c r="L489" s="68">
        <v>485</v>
      </c>
      <c r="M489" s="116">
        <f t="shared" si="18"/>
        <v>8.8999999999999995E-4</v>
      </c>
    </row>
    <row r="490" spans="12:13" x14ac:dyDescent="0.3">
      <c r="L490" s="68">
        <v>486</v>
      </c>
      <c r="M490" s="116">
        <f t="shared" si="18"/>
        <v>9.2000000000000003E-4</v>
      </c>
    </row>
    <row r="491" spans="12:13" x14ac:dyDescent="0.3">
      <c r="L491" s="68">
        <v>487</v>
      </c>
      <c r="M491" s="116">
        <f t="shared" si="18"/>
        <v>9.3000000000000005E-4</v>
      </c>
    </row>
    <row r="492" spans="12:13" x14ac:dyDescent="0.3">
      <c r="L492" s="68">
        <v>488</v>
      </c>
      <c r="M492" s="116">
        <f t="shared" si="18"/>
        <v>9.5999999999999992E-4</v>
      </c>
    </row>
    <row r="493" spans="12:13" x14ac:dyDescent="0.3">
      <c r="L493" s="68">
        <v>489</v>
      </c>
      <c r="M493" s="116">
        <f t="shared" si="18"/>
        <v>9.6999999999999994E-4</v>
      </c>
    </row>
    <row r="494" spans="12:13" x14ac:dyDescent="0.3">
      <c r="L494" s="68">
        <v>490</v>
      </c>
      <c r="M494" s="116">
        <f t="shared" si="18"/>
        <v>8.5999999999999998E-4</v>
      </c>
    </row>
    <row r="495" spans="12:13" x14ac:dyDescent="0.3">
      <c r="L495" s="68">
        <v>491</v>
      </c>
      <c r="M495" s="116">
        <f t="shared" si="18"/>
        <v>8.8999999999999995E-4</v>
      </c>
    </row>
    <row r="496" spans="12:13" x14ac:dyDescent="0.3">
      <c r="L496" s="68">
        <v>492</v>
      </c>
      <c r="M496" s="116">
        <f t="shared" si="18"/>
        <v>8.9999999999999998E-4</v>
      </c>
    </row>
    <row r="497" spans="12:13" x14ac:dyDescent="0.3">
      <c r="L497" s="68">
        <v>493</v>
      </c>
      <c r="M497" s="116">
        <f t="shared" si="18"/>
        <v>9.3000000000000005E-4</v>
      </c>
    </row>
    <row r="498" spans="12:13" x14ac:dyDescent="0.3">
      <c r="L498" s="68">
        <v>494</v>
      </c>
      <c r="M498" s="116">
        <f t="shared" si="18"/>
        <v>9.3999999999999997E-4</v>
      </c>
    </row>
    <row r="499" spans="12:13" x14ac:dyDescent="0.3">
      <c r="L499" s="68">
        <v>495</v>
      </c>
      <c r="M499" s="116">
        <f t="shared" si="18"/>
        <v>9.1E-4</v>
      </c>
    </row>
    <row r="500" spans="12:13" x14ac:dyDescent="0.3">
      <c r="L500" s="68">
        <v>496</v>
      </c>
      <c r="M500" s="116">
        <f t="shared" si="18"/>
        <v>9.3999999999999997E-4</v>
      </c>
    </row>
    <row r="501" spans="12:13" x14ac:dyDescent="0.3">
      <c r="L501" s="68">
        <v>497</v>
      </c>
      <c r="M501" s="116">
        <f t="shared" si="18"/>
        <v>9.5E-4</v>
      </c>
    </row>
    <row r="502" spans="12:13" x14ac:dyDescent="0.3">
      <c r="L502" s="68">
        <v>498</v>
      </c>
      <c r="M502" s="116">
        <f t="shared" si="18"/>
        <v>9.7999999999999997E-4</v>
      </c>
    </row>
    <row r="503" spans="12:13" x14ac:dyDescent="0.3">
      <c r="L503" s="68">
        <v>499</v>
      </c>
      <c r="M503" s="116">
        <f t="shared" si="18"/>
        <v>9.8999999999999999E-4</v>
      </c>
    </row>
    <row r="504" spans="12:13" x14ac:dyDescent="0.3">
      <c r="L504" s="68">
        <v>500</v>
      </c>
      <c r="M504" s="116">
        <f>C15</f>
        <v>8.0000000000000004E-4</v>
      </c>
    </row>
    <row r="505" spans="12:13" x14ac:dyDescent="0.3">
      <c r="L505" s="68">
        <v>501</v>
      </c>
      <c r="M505" s="116">
        <f>$M$504+M5</f>
        <v>8.3000000000000001E-4</v>
      </c>
    </row>
    <row r="506" spans="12:13" x14ac:dyDescent="0.3">
      <c r="L506" s="68">
        <v>502</v>
      </c>
      <c r="M506" s="116">
        <f t="shared" ref="M506:M569" si="19">$M$504+M6</f>
        <v>8.4000000000000003E-4</v>
      </c>
    </row>
    <row r="507" spans="12:13" x14ac:dyDescent="0.3">
      <c r="L507" s="68">
        <v>503</v>
      </c>
      <c r="M507" s="116">
        <f t="shared" si="19"/>
        <v>8.7000000000000001E-4</v>
      </c>
    </row>
    <row r="508" spans="12:13" x14ac:dyDescent="0.3">
      <c r="L508" s="68">
        <v>504</v>
      </c>
      <c r="M508" s="116">
        <f t="shared" si="19"/>
        <v>8.8000000000000003E-4</v>
      </c>
    </row>
    <row r="509" spans="12:13" x14ac:dyDescent="0.3">
      <c r="L509" s="68">
        <v>505</v>
      </c>
      <c r="M509" s="116">
        <f t="shared" si="19"/>
        <v>8.5000000000000006E-4</v>
      </c>
    </row>
    <row r="510" spans="12:13" x14ac:dyDescent="0.3">
      <c r="L510" s="68">
        <v>506</v>
      </c>
      <c r="M510" s="116">
        <f t="shared" si="19"/>
        <v>8.8000000000000003E-4</v>
      </c>
    </row>
    <row r="511" spans="12:13" x14ac:dyDescent="0.3">
      <c r="L511" s="68">
        <v>507</v>
      </c>
      <c r="M511" s="116">
        <f t="shared" si="19"/>
        <v>8.9000000000000006E-4</v>
      </c>
    </row>
    <row r="512" spans="12:13" x14ac:dyDescent="0.3">
      <c r="L512" s="68">
        <v>508</v>
      </c>
      <c r="M512" s="116">
        <f t="shared" si="19"/>
        <v>9.2000000000000003E-4</v>
      </c>
    </row>
    <row r="513" spans="12:13" x14ac:dyDescent="0.3">
      <c r="L513" s="68">
        <v>509</v>
      </c>
      <c r="M513" s="116">
        <f t="shared" si="19"/>
        <v>9.3000000000000005E-4</v>
      </c>
    </row>
    <row r="514" spans="12:13" x14ac:dyDescent="0.3">
      <c r="L514" s="68">
        <v>510</v>
      </c>
      <c r="M514" s="116">
        <f t="shared" si="19"/>
        <v>8.6000000000000009E-4</v>
      </c>
    </row>
    <row r="515" spans="12:13" x14ac:dyDescent="0.3">
      <c r="L515" s="68">
        <v>511</v>
      </c>
      <c r="M515" s="116">
        <f t="shared" si="19"/>
        <v>8.9000000000000006E-4</v>
      </c>
    </row>
    <row r="516" spans="12:13" x14ac:dyDescent="0.3">
      <c r="L516" s="68">
        <v>512</v>
      </c>
      <c r="M516" s="116">
        <f t="shared" si="19"/>
        <v>9.0000000000000008E-4</v>
      </c>
    </row>
    <row r="517" spans="12:13" x14ac:dyDescent="0.3">
      <c r="L517" s="68">
        <v>513</v>
      </c>
      <c r="M517" s="116">
        <f t="shared" si="19"/>
        <v>9.3000000000000005E-4</v>
      </c>
    </row>
    <row r="518" spans="12:13" x14ac:dyDescent="0.3">
      <c r="L518" s="68">
        <v>514</v>
      </c>
      <c r="M518" s="116">
        <f t="shared" si="19"/>
        <v>9.4000000000000008E-4</v>
      </c>
    </row>
    <row r="519" spans="12:13" x14ac:dyDescent="0.3">
      <c r="L519" s="68">
        <v>515</v>
      </c>
      <c r="M519" s="116">
        <f t="shared" si="19"/>
        <v>9.1E-4</v>
      </c>
    </row>
    <row r="520" spans="12:13" x14ac:dyDescent="0.3">
      <c r="L520" s="68">
        <v>516</v>
      </c>
      <c r="M520" s="116">
        <f t="shared" si="19"/>
        <v>9.4000000000000008E-4</v>
      </c>
    </row>
    <row r="521" spans="12:13" x14ac:dyDescent="0.3">
      <c r="L521" s="68">
        <v>517</v>
      </c>
      <c r="M521" s="116">
        <f t="shared" si="19"/>
        <v>9.5000000000000011E-4</v>
      </c>
    </row>
    <row r="522" spans="12:13" x14ac:dyDescent="0.3">
      <c r="L522" s="68">
        <v>518</v>
      </c>
      <c r="M522" s="116">
        <f t="shared" si="19"/>
        <v>9.7999999999999997E-4</v>
      </c>
    </row>
    <row r="523" spans="12:13" x14ac:dyDescent="0.3">
      <c r="L523" s="68">
        <v>519</v>
      </c>
      <c r="M523" s="116">
        <f t="shared" si="19"/>
        <v>9.8999999999999999E-4</v>
      </c>
    </row>
    <row r="524" spans="12:13" x14ac:dyDescent="0.3">
      <c r="L524" s="68">
        <v>520</v>
      </c>
      <c r="M524" s="116">
        <f t="shared" si="19"/>
        <v>8.8000000000000003E-4</v>
      </c>
    </row>
    <row r="525" spans="12:13" x14ac:dyDescent="0.3">
      <c r="L525" s="68">
        <v>521</v>
      </c>
      <c r="M525" s="116">
        <f t="shared" si="19"/>
        <v>9.1E-4</v>
      </c>
    </row>
    <row r="526" spans="12:13" x14ac:dyDescent="0.3">
      <c r="L526" s="68">
        <v>522</v>
      </c>
      <c r="M526" s="116">
        <f t="shared" si="19"/>
        <v>9.2000000000000003E-4</v>
      </c>
    </row>
    <row r="527" spans="12:13" x14ac:dyDescent="0.3">
      <c r="L527" s="68">
        <v>523</v>
      </c>
      <c r="M527" s="116">
        <f t="shared" si="19"/>
        <v>9.5000000000000011E-4</v>
      </c>
    </row>
    <row r="528" spans="12:13" x14ac:dyDescent="0.3">
      <c r="L528" s="68">
        <v>524</v>
      </c>
      <c r="M528" s="116">
        <f t="shared" si="19"/>
        <v>9.6000000000000002E-4</v>
      </c>
    </row>
    <row r="529" spans="12:13" x14ac:dyDescent="0.3">
      <c r="L529" s="68">
        <v>525</v>
      </c>
      <c r="M529" s="116">
        <f t="shared" si="19"/>
        <v>9.3000000000000005E-4</v>
      </c>
    </row>
    <row r="530" spans="12:13" x14ac:dyDescent="0.3">
      <c r="L530" s="68">
        <v>526</v>
      </c>
      <c r="M530" s="116">
        <f t="shared" si="19"/>
        <v>9.6000000000000002E-4</v>
      </c>
    </row>
    <row r="531" spans="12:13" x14ac:dyDescent="0.3">
      <c r="L531" s="68">
        <v>527</v>
      </c>
      <c r="M531" s="116">
        <f t="shared" si="19"/>
        <v>9.7000000000000005E-4</v>
      </c>
    </row>
    <row r="532" spans="12:13" x14ac:dyDescent="0.3">
      <c r="L532" s="68">
        <v>528</v>
      </c>
      <c r="M532" s="116">
        <f t="shared" si="19"/>
        <v>1E-3</v>
      </c>
    </row>
    <row r="533" spans="12:13" x14ac:dyDescent="0.3">
      <c r="L533" s="68">
        <v>529</v>
      </c>
      <c r="M533" s="116">
        <f t="shared" si="19"/>
        <v>1.01E-3</v>
      </c>
    </row>
    <row r="534" spans="12:13" x14ac:dyDescent="0.3">
      <c r="L534" s="68">
        <v>530</v>
      </c>
      <c r="M534" s="116">
        <f t="shared" si="19"/>
        <v>9.4000000000000008E-4</v>
      </c>
    </row>
    <row r="535" spans="12:13" x14ac:dyDescent="0.3">
      <c r="L535" s="68">
        <v>531</v>
      </c>
      <c r="M535" s="116">
        <f t="shared" si="19"/>
        <v>9.7000000000000005E-4</v>
      </c>
    </row>
    <row r="536" spans="12:13" x14ac:dyDescent="0.3">
      <c r="L536" s="68">
        <v>532</v>
      </c>
      <c r="M536" s="116">
        <f t="shared" si="19"/>
        <v>9.7999999999999997E-4</v>
      </c>
    </row>
    <row r="537" spans="12:13" x14ac:dyDescent="0.3">
      <c r="L537" s="68">
        <v>533</v>
      </c>
      <c r="M537" s="116">
        <f t="shared" si="19"/>
        <v>1.01E-3</v>
      </c>
    </row>
    <row r="538" spans="12:13" x14ac:dyDescent="0.3">
      <c r="L538" s="68">
        <v>534</v>
      </c>
      <c r="M538" s="116">
        <f t="shared" si="19"/>
        <v>1.0200000000000001E-3</v>
      </c>
    </row>
    <row r="539" spans="12:13" x14ac:dyDescent="0.3">
      <c r="L539" s="68">
        <v>535</v>
      </c>
      <c r="M539" s="116">
        <f t="shared" si="19"/>
        <v>9.8999999999999999E-4</v>
      </c>
    </row>
    <row r="540" spans="12:13" x14ac:dyDescent="0.3">
      <c r="L540" s="68">
        <v>536</v>
      </c>
      <c r="M540" s="116">
        <f t="shared" si="19"/>
        <v>1.0200000000000001E-3</v>
      </c>
    </row>
    <row r="541" spans="12:13" x14ac:dyDescent="0.3">
      <c r="L541" s="68">
        <v>537</v>
      </c>
      <c r="M541" s="116">
        <f t="shared" si="19"/>
        <v>1.0300000000000001E-3</v>
      </c>
    </row>
    <row r="542" spans="12:13" x14ac:dyDescent="0.3">
      <c r="L542" s="68">
        <v>538</v>
      </c>
      <c r="M542" s="116">
        <f t="shared" si="19"/>
        <v>1.0600000000000002E-3</v>
      </c>
    </row>
    <row r="543" spans="12:13" x14ac:dyDescent="0.3">
      <c r="L543" s="68">
        <v>539</v>
      </c>
      <c r="M543" s="116">
        <f t="shared" si="19"/>
        <v>1.0700000000000002E-3</v>
      </c>
    </row>
    <row r="544" spans="12:13" x14ac:dyDescent="0.3">
      <c r="L544" s="68">
        <v>540</v>
      </c>
      <c r="M544" s="116">
        <f t="shared" si="19"/>
        <v>9.6000000000000002E-4</v>
      </c>
    </row>
    <row r="545" spans="12:13" x14ac:dyDescent="0.3">
      <c r="L545" s="68">
        <v>541</v>
      </c>
      <c r="M545" s="116">
        <f t="shared" si="19"/>
        <v>9.8999999999999999E-4</v>
      </c>
    </row>
    <row r="546" spans="12:13" x14ac:dyDescent="0.3">
      <c r="L546" s="68">
        <v>542</v>
      </c>
      <c r="M546" s="116">
        <f t="shared" si="19"/>
        <v>1E-3</v>
      </c>
    </row>
    <row r="547" spans="12:13" x14ac:dyDescent="0.3">
      <c r="L547" s="68">
        <v>543</v>
      </c>
      <c r="M547" s="116">
        <f t="shared" si="19"/>
        <v>1.0300000000000001E-3</v>
      </c>
    </row>
    <row r="548" spans="12:13" x14ac:dyDescent="0.3">
      <c r="L548" s="68">
        <v>544</v>
      </c>
      <c r="M548" s="116">
        <f t="shared" si="19"/>
        <v>1.0400000000000001E-3</v>
      </c>
    </row>
    <row r="549" spans="12:13" x14ac:dyDescent="0.3">
      <c r="L549" s="68">
        <v>545</v>
      </c>
      <c r="M549" s="116">
        <f t="shared" si="19"/>
        <v>1.01E-3</v>
      </c>
    </row>
    <row r="550" spans="12:13" x14ac:dyDescent="0.3">
      <c r="L550" s="68">
        <v>546</v>
      </c>
      <c r="M550" s="116">
        <f t="shared" si="19"/>
        <v>1.0400000000000001E-3</v>
      </c>
    </row>
    <row r="551" spans="12:13" x14ac:dyDescent="0.3">
      <c r="L551" s="68">
        <v>547</v>
      </c>
      <c r="M551" s="116">
        <f t="shared" si="19"/>
        <v>1.0500000000000002E-3</v>
      </c>
    </row>
    <row r="552" spans="12:13" x14ac:dyDescent="0.3">
      <c r="L552" s="68">
        <v>548</v>
      </c>
      <c r="M552" s="116">
        <f t="shared" si="19"/>
        <v>1.08E-3</v>
      </c>
    </row>
    <row r="553" spans="12:13" x14ac:dyDescent="0.3">
      <c r="L553" s="68">
        <v>549</v>
      </c>
      <c r="M553" s="116">
        <f t="shared" si="19"/>
        <v>1.09E-3</v>
      </c>
    </row>
    <row r="554" spans="12:13" x14ac:dyDescent="0.3">
      <c r="L554" s="68">
        <v>550</v>
      </c>
      <c r="M554" s="116">
        <f t="shared" si="19"/>
        <v>9.0000000000000008E-4</v>
      </c>
    </row>
    <row r="555" spans="12:13" x14ac:dyDescent="0.3">
      <c r="L555" s="68">
        <v>551</v>
      </c>
      <c r="M555" s="116">
        <f t="shared" si="19"/>
        <v>9.3000000000000005E-4</v>
      </c>
    </row>
    <row r="556" spans="12:13" x14ac:dyDescent="0.3">
      <c r="L556" s="68">
        <v>552</v>
      </c>
      <c r="M556" s="116">
        <f t="shared" si="19"/>
        <v>9.4000000000000008E-4</v>
      </c>
    </row>
    <row r="557" spans="12:13" x14ac:dyDescent="0.3">
      <c r="L557" s="68">
        <v>553</v>
      </c>
      <c r="M557" s="116">
        <f t="shared" si="19"/>
        <v>9.7000000000000005E-4</v>
      </c>
    </row>
    <row r="558" spans="12:13" x14ac:dyDescent="0.3">
      <c r="L558" s="68">
        <v>554</v>
      </c>
      <c r="M558" s="116">
        <f t="shared" si="19"/>
        <v>9.7999999999999997E-4</v>
      </c>
    </row>
    <row r="559" spans="12:13" x14ac:dyDescent="0.3">
      <c r="L559" s="68">
        <v>555</v>
      </c>
      <c r="M559" s="116">
        <f t="shared" si="19"/>
        <v>9.5000000000000011E-4</v>
      </c>
    </row>
    <row r="560" spans="12:13" x14ac:dyDescent="0.3">
      <c r="L560" s="68">
        <v>556</v>
      </c>
      <c r="M560" s="116">
        <f t="shared" si="19"/>
        <v>9.7999999999999997E-4</v>
      </c>
    </row>
    <row r="561" spans="12:13" x14ac:dyDescent="0.3">
      <c r="L561" s="68">
        <v>557</v>
      </c>
      <c r="M561" s="116">
        <f t="shared" si="19"/>
        <v>9.8999999999999999E-4</v>
      </c>
    </row>
    <row r="562" spans="12:13" x14ac:dyDescent="0.3">
      <c r="L562" s="68">
        <v>558</v>
      </c>
      <c r="M562" s="116">
        <f t="shared" si="19"/>
        <v>1.0200000000000001E-3</v>
      </c>
    </row>
    <row r="563" spans="12:13" x14ac:dyDescent="0.3">
      <c r="L563" s="68">
        <v>559</v>
      </c>
      <c r="M563" s="116">
        <f t="shared" si="19"/>
        <v>1.0300000000000001E-3</v>
      </c>
    </row>
    <row r="564" spans="12:13" x14ac:dyDescent="0.3">
      <c r="L564" s="68">
        <v>560</v>
      </c>
      <c r="M564" s="116">
        <f t="shared" si="19"/>
        <v>9.6000000000000002E-4</v>
      </c>
    </row>
    <row r="565" spans="12:13" x14ac:dyDescent="0.3">
      <c r="L565" s="68">
        <v>561</v>
      </c>
      <c r="M565" s="116">
        <f t="shared" si="19"/>
        <v>9.8999999999999999E-4</v>
      </c>
    </row>
    <row r="566" spans="12:13" x14ac:dyDescent="0.3">
      <c r="L566" s="68">
        <v>562</v>
      </c>
      <c r="M566" s="116">
        <f t="shared" si="19"/>
        <v>1E-3</v>
      </c>
    </row>
    <row r="567" spans="12:13" x14ac:dyDescent="0.3">
      <c r="L567" s="68">
        <v>563</v>
      </c>
      <c r="M567" s="116">
        <f t="shared" si="19"/>
        <v>1.0300000000000001E-3</v>
      </c>
    </row>
    <row r="568" spans="12:13" x14ac:dyDescent="0.3">
      <c r="L568" s="68">
        <v>564</v>
      </c>
      <c r="M568" s="116">
        <f t="shared" si="19"/>
        <v>1.0400000000000001E-3</v>
      </c>
    </row>
    <row r="569" spans="12:13" x14ac:dyDescent="0.3">
      <c r="L569" s="68">
        <v>565</v>
      </c>
      <c r="M569" s="116">
        <f t="shared" si="19"/>
        <v>1.01E-3</v>
      </c>
    </row>
    <row r="570" spans="12:13" x14ac:dyDescent="0.3">
      <c r="L570" s="68">
        <v>566</v>
      </c>
      <c r="M570" s="116">
        <f t="shared" ref="M570:M604" si="20">$M$504+M70</f>
        <v>1.0400000000000001E-3</v>
      </c>
    </row>
    <row r="571" spans="12:13" x14ac:dyDescent="0.3">
      <c r="L571" s="68">
        <v>567</v>
      </c>
      <c r="M571" s="116">
        <f t="shared" si="20"/>
        <v>1.0500000000000002E-3</v>
      </c>
    </row>
    <row r="572" spans="12:13" x14ac:dyDescent="0.3">
      <c r="L572" s="68">
        <v>568</v>
      </c>
      <c r="M572" s="116">
        <f t="shared" si="20"/>
        <v>1.08E-3</v>
      </c>
    </row>
    <row r="573" spans="12:13" x14ac:dyDescent="0.3">
      <c r="L573" s="68">
        <v>569</v>
      </c>
      <c r="M573" s="116">
        <f t="shared" si="20"/>
        <v>1.09E-3</v>
      </c>
    </row>
    <row r="574" spans="12:13" x14ac:dyDescent="0.3">
      <c r="L574" s="68">
        <v>570</v>
      </c>
      <c r="M574" s="116">
        <f t="shared" si="20"/>
        <v>9.7999999999999997E-4</v>
      </c>
    </row>
    <row r="575" spans="12:13" x14ac:dyDescent="0.3">
      <c r="L575" s="68">
        <v>571</v>
      </c>
      <c r="M575" s="116">
        <f t="shared" si="20"/>
        <v>1.01E-3</v>
      </c>
    </row>
    <row r="576" spans="12:13" x14ac:dyDescent="0.3">
      <c r="L576" s="68">
        <v>572</v>
      </c>
      <c r="M576" s="116">
        <f t="shared" si="20"/>
        <v>1.0200000000000001E-3</v>
      </c>
    </row>
    <row r="577" spans="12:13" x14ac:dyDescent="0.3">
      <c r="L577" s="68">
        <v>573</v>
      </c>
      <c r="M577" s="116">
        <f t="shared" si="20"/>
        <v>1.0500000000000002E-3</v>
      </c>
    </row>
    <row r="578" spans="12:13" x14ac:dyDescent="0.3">
      <c r="L578" s="68">
        <v>574</v>
      </c>
      <c r="M578" s="116">
        <f t="shared" si="20"/>
        <v>1.0600000000000002E-3</v>
      </c>
    </row>
    <row r="579" spans="12:13" x14ac:dyDescent="0.3">
      <c r="L579" s="68">
        <v>575</v>
      </c>
      <c r="M579" s="116">
        <f t="shared" si="20"/>
        <v>1.0300000000000001E-3</v>
      </c>
    </row>
    <row r="580" spans="12:13" x14ac:dyDescent="0.3">
      <c r="L580" s="68">
        <v>576</v>
      </c>
      <c r="M580" s="116">
        <f t="shared" si="20"/>
        <v>1.0600000000000002E-3</v>
      </c>
    </row>
    <row r="581" spans="12:13" x14ac:dyDescent="0.3">
      <c r="L581" s="68">
        <v>577</v>
      </c>
      <c r="M581" s="116">
        <f t="shared" si="20"/>
        <v>1.07E-3</v>
      </c>
    </row>
    <row r="582" spans="12:13" x14ac:dyDescent="0.3">
      <c r="L582" s="68">
        <v>578</v>
      </c>
      <c r="M582" s="116">
        <f t="shared" si="20"/>
        <v>1.1000000000000001E-3</v>
      </c>
    </row>
    <row r="583" spans="12:13" x14ac:dyDescent="0.3">
      <c r="L583" s="68">
        <v>579</v>
      </c>
      <c r="M583" s="116">
        <f t="shared" si="20"/>
        <v>1.1100000000000001E-3</v>
      </c>
    </row>
    <row r="584" spans="12:13" x14ac:dyDescent="0.3">
      <c r="L584" s="68">
        <v>580</v>
      </c>
      <c r="M584" s="116">
        <f t="shared" si="20"/>
        <v>1.0400000000000001E-3</v>
      </c>
    </row>
    <row r="585" spans="12:13" x14ac:dyDescent="0.3">
      <c r="L585" s="68">
        <v>581</v>
      </c>
      <c r="M585" s="116">
        <f t="shared" si="20"/>
        <v>1.0700000000000002E-3</v>
      </c>
    </row>
    <row r="586" spans="12:13" x14ac:dyDescent="0.3">
      <c r="L586" s="68">
        <v>582</v>
      </c>
      <c r="M586" s="116">
        <f t="shared" si="20"/>
        <v>1.08E-3</v>
      </c>
    </row>
    <row r="587" spans="12:13" x14ac:dyDescent="0.3">
      <c r="L587" s="68">
        <v>583</v>
      </c>
      <c r="M587" s="116">
        <f t="shared" si="20"/>
        <v>1.1100000000000001E-3</v>
      </c>
    </row>
    <row r="588" spans="12:13" x14ac:dyDescent="0.3">
      <c r="L588" s="68">
        <v>584</v>
      </c>
      <c r="M588" s="116">
        <f t="shared" si="20"/>
        <v>1.1200000000000001E-3</v>
      </c>
    </row>
    <row r="589" spans="12:13" x14ac:dyDescent="0.3">
      <c r="L589" s="68">
        <v>585</v>
      </c>
      <c r="M589" s="116">
        <f t="shared" si="20"/>
        <v>1.09E-3</v>
      </c>
    </row>
    <row r="590" spans="12:13" x14ac:dyDescent="0.3">
      <c r="L590" s="68">
        <v>586</v>
      </c>
      <c r="M590" s="116">
        <f t="shared" si="20"/>
        <v>1.1200000000000001E-3</v>
      </c>
    </row>
    <row r="591" spans="12:13" x14ac:dyDescent="0.3">
      <c r="L591" s="68">
        <v>587</v>
      </c>
      <c r="M591" s="116">
        <f t="shared" si="20"/>
        <v>1.1300000000000001E-3</v>
      </c>
    </row>
    <row r="592" spans="12:13" x14ac:dyDescent="0.3">
      <c r="L592" s="68">
        <v>588</v>
      </c>
      <c r="M592" s="116">
        <f t="shared" si="20"/>
        <v>1.16E-3</v>
      </c>
    </row>
    <row r="593" spans="12:13" x14ac:dyDescent="0.3">
      <c r="L593" s="68">
        <v>589</v>
      </c>
      <c r="M593" s="116">
        <f t="shared" si="20"/>
        <v>1.17E-3</v>
      </c>
    </row>
    <row r="594" spans="12:13" x14ac:dyDescent="0.3">
      <c r="L594" s="68">
        <v>590</v>
      </c>
      <c r="M594" s="116">
        <f t="shared" si="20"/>
        <v>1.0600000000000002E-3</v>
      </c>
    </row>
    <row r="595" spans="12:13" x14ac:dyDescent="0.3">
      <c r="L595" s="68">
        <v>591</v>
      </c>
      <c r="M595" s="116">
        <f t="shared" si="20"/>
        <v>1.09E-3</v>
      </c>
    </row>
    <row r="596" spans="12:13" x14ac:dyDescent="0.3">
      <c r="L596" s="68">
        <v>592</v>
      </c>
      <c r="M596" s="116">
        <f t="shared" si="20"/>
        <v>1.1000000000000001E-3</v>
      </c>
    </row>
    <row r="597" spans="12:13" x14ac:dyDescent="0.3">
      <c r="L597" s="68">
        <v>593</v>
      </c>
      <c r="M597" s="116">
        <f t="shared" si="20"/>
        <v>1.1300000000000001E-3</v>
      </c>
    </row>
    <row r="598" spans="12:13" x14ac:dyDescent="0.3">
      <c r="L598" s="68">
        <v>594</v>
      </c>
      <c r="M598" s="116">
        <f t="shared" si="20"/>
        <v>1.14E-3</v>
      </c>
    </row>
    <row r="599" spans="12:13" x14ac:dyDescent="0.3">
      <c r="L599" s="68">
        <v>595</v>
      </c>
      <c r="M599" s="116">
        <f t="shared" si="20"/>
        <v>1.1100000000000001E-3</v>
      </c>
    </row>
    <row r="600" spans="12:13" x14ac:dyDescent="0.3">
      <c r="L600" s="68">
        <v>596</v>
      </c>
      <c r="M600" s="116">
        <f t="shared" si="20"/>
        <v>1.14E-3</v>
      </c>
    </row>
    <row r="601" spans="12:13" x14ac:dyDescent="0.3">
      <c r="L601" s="68">
        <v>597</v>
      </c>
      <c r="M601" s="116">
        <f t="shared" si="20"/>
        <v>1.15E-3</v>
      </c>
    </row>
    <row r="602" spans="12:13" x14ac:dyDescent="0.3">
      <c r="L602" s="68">
        <v>598</v>
      </c>
      <c r="M602" s="116">
        <f t="shared" si="20"/>
        <v>1.1800000000000001E-3</v>
      </c>
    </row>
    <row r="603" spans="12:13" x14ac:dyDescent="0.3">
      <c r="L603" s="68">
        <v>599</v>
      </c>
      <c r="M603" s="116">
        <f t="shared" si="20"/>
        <v>1.1900000000000001E-3</v>
      </c>
    </row>
    <row r="604" spans="12:13" x14ac:dyDescent="0.3">
      <c r="L604" s="68">
        <v>600</v>
      </c>
      <c r="M604" s="116">
        <f t="shared" si="20"/>
        <v>9.6000000000000002E-4</v>
      </c>
    </row>
  </sheetData>
  <mergeCells count="5">
    <mergeCell ref="A55:E55"/>
    <mergeCell ref="L3:L4"/>
    <mergeCell ref="M3:M4"/>
    <mergeCell ref="O3:O4"/>
    <mergeCell ref="P3:P4"/>
  </mergeCell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view="pageBreakPreview" topLeftCell="E25" zoomScaleNormal="100" zoomScaleSheetLayoutView="100" workbookViewId="0">
      <selection activeCell="H34" sqref="H34"/>
    </sheetView>
  </sheetViews>
  <sheetFormatPr defaultColWidth="9.21875" defaultRowHeight="13.8" x14ac:dyDescent="0.25"/>
  <cols>
    <col min="1" max="1" width="4" style="38" customWidth="1"/>
    <col min="2" max="2" width="14" style="38" customWidth="1"/>
    <col min="3" max="3" width="12" style="38" customWidth="1"/>
    <col min="4" max="4" width="16.21875" style="38" customWidth="1"/>
    <col min="5" max="5" width="15.44140625" style="38" customWidth="1"/>
    <col min="6" max="6" width="10.21875" style="38" customWidth="1"/>
    <col min="7" max="7" width="18.77734375" style="38" customWidth="1"/>
    <col min="8" max="8" width="17.21875" style="38" customWidth="1"/>
    <col min="9" max="9" width="17.77734375" style="38" customWidth="1"/>
    <col min="10" max="10" width="30.77734375" style="38" customWidth="1"/>
    <col min="11" max="12" width="13.77734375" style="38" customWidth="1"/>
    <col min="13" max="13" width="19" style="38" bestFit="1" customWidth="1"/>
    <col min="14" max="14" width="15" style="38" customWidth="1"/>
    <col min="15" max="15" width="9.21875" style="38"/>
    <col min="16" max="16" width="11.77734375" style="38" customWidth="1"/>
    <col min="17" max="17" width="12.21875" style="38" customWidth="1"/>
    <col min="18" max="16384" width="9.21875" style="38"/>
  </cols>
  <sheetData>
    <row r="1" spans="1:11" x14ac:dyDescent="0.25">
      <c r="A1" s="659" t="s">
        <v>188</v>
      </c>
      <c r="B1" s="659"/>
      <c r="C1" s="659"/>
      <c r="D1" s="659"/>
      <c r="E1" s="659"/>
      <c r="F1" s="659"/>
      <c r="G1" s="659"/>
      <c r="H1" s="659"/>
      <c r="I1" s="659"/>
      <c r="J1" s="39"/>
      <c r="K1" s="39"/>
    </row>
    <row r="2" spans="1:11" x14ac:dyDescent="0.25">
      <c r="A2" s="581" t="str">
        <f>ID!C2&amp;ID!G2&amp;J3&amp;ID!I2</f>
        <v>Nomor Sertifikat : 2 /  1 / VIII - 20 / E - 011.120 DL</v>
      </c>
      <c r="B2" s="581"/>
      <c r="C2" s="581"/>
      <c r="D2" s="581"/>
      <c r="E2" s="581"/>
      <c r="F2" s="581"/>
      <c r="G2" s="581"/>
      <c r="H2" s="581"/>
      <c r="I2" s="581"/>
      <c r="J2" s="39"/>
      <c r="K2" s="39"/>
    </row>
    <row r="3" spans="1:11" x14ac:dyDescent="0.25">
      <c r="A3" s="62"/>
      <c r="B3" s="62"/>
      <c r="C3" s="62"/>
      <c r="D3" s="62"/>
      <c r="E3" s="62"/>
      <c r="G3" s="62"/>
      <c r="H3" s="62"/>
      <c r="I3" s="62"/>
      <c r="J3" s="62" t="s">
        <v>143</v>
      </c>
      <c r="K3" s="62" t="s">
        <v>143</v>
      </c>
    </row>
    <row r="4" spans="1:11" x14ac:dyDescent="0.25">
      <c r="A4" s="38" t="s">
        <v>32</v>
      </c>
      <c r="C4" s="40" t="s">
        <v>33</v>
      </c>
      <c r="D4" s="289" t="str">
        <f>ID!D4</f>
        <v>a</v>
      </c>
    </row>
    <row r="5" spans="1:11" x14ac:dyDescent="0.25">
      <c r="A5" s="38" t="s">
        <v>34</v>
      </c>
      <c r="C5" s="40" t="s">
        <v>33</v>
      </c>
      <c r="D5" s="289" t="str">
        <f>ID!D5</f>
        <v>b</v>
      </c>
    </row>
    <row r="6" spans="1:11" x14ac:dyDescent="0.25">
      <c r="A6" s="38" t="s">
        <v>35</v>
      </c>
      <c r="C6" s="40" t="s">
        <v>33</v>
      </c>
      <c r="D6" s="289">
        <f>ID!D6</f>
        <v>122</v>
      </c>
    </row>
    <row r="7" spans="1:11" x14ac:dyDescent="0.25">
      <c r="A7" s="38" t="s">
        <v>36</v>
      </c>
      <c r="C7" s="40" t="s">
        <v>33</v>
      </c>
      <c r="D7" s="295">
        <f>ID!D7</f>
        <v>2000</v>
      </c>
    </row>
    <row r="8" spans="1:11" x14ac:dyDescent="0.25">
      <c r="A8" s="38" t="s">
        <v>37</v>
      </c>
      <c r="C8" s="40" t="s">
        <v>33</v>
      </c>
      <c r="D8" s="355">
        <f>ID!D8</f>
        <v>0.01</v>
      </c>
      <c r="E8" s="38" t="s">
        <v>10</v>
      </c>
    </row>
    <row r="9" spans="1:11" x14ac:dyDescent="0.25">
      <c r="A9" s="38" t="str">
        <f>ID!A9</f>
        <v>Tangga Penerimaan Alat</v>
      </c>
      <c r="C9" s="40" t="str">
        <f>ID!C9</f>
        <v>:</v>
      </c>
      <c r="D9" s="353">
        <f>ID!D9</f>
        <v>44655</v>
      </c>
    </row>
    <row r="10" spans="1:11" x14ac:dyDescent="0.25">
      <c r="A10" s="38" t="s">
        <v>38</v>
      </c>
      <c r="C10" s="40" t="s">
        <v>33</v>
      </c>
      <c r="D10" s="353">
        <f>ID!D10</f>
        <v>44655</v>
      </c>
    </row>
    <row r="11" spans="1:11" x14ac:dyDescent="0.25">
      <c r="A11" s="38" t="s">
        <v>39</v>
      </c>
      <c r="C11" s="40" t="s">
        <v>33</v>
      </c>
      <c r="D11" s="289" t="str">
        <f>ID!D11</f>
        <v>G</v>
      </c>
    </row>
    <row r="12" spans="1:11" x14ac:dyDescent="0.25">
      <c r="A12" s="38" t="s">
        <v>40</v>
      </c>
      <c r="C12" s="40" t="s">
        <v>33</v>
      </c>
      <c r="D12" s="289" t="str">
        <f>ID!D12</f>
        <v>Ruang Bayi</v>
      </c>
    </row>
    <row r="13" spans="1:11" x14ac:dyDescent="0.25">
      <c r="A13" s="38" t="str">
        <f>ID!A13</f>
        <v>Metode Kerja</v>
      </c>
      <c r="C13" s="40" t="s">
        <v>33</v>
      </c>
      <c r="D13" s="289" t="str">
        <f>ID!D13</f>
        <v>MK.004-18</v>
      </c>
    </row>
    <row r="14" spans="1:11" ht="9" customHeight="1" x14ac:dyDescent="0.25">
      <c r="D14" s="79"/>
    </row>
    <row r="15" spans="1:11" x14ac:dyDescent="0.25">
      <c r="A15" s="48" t="s">
        <v>42</v>
      </c>
      <c r="B15" s="39" t="s">
        <v>43</v>
      </c>
      <c r="D15" s="79"/>
    </row>
    <row r="16" spans="1:11" ht="14.4" x14ac:dyDescent="0.25">
      <c r="A16" s="48"/>
      <c r="B16" s="376" t="s">
        <v>44</v>
      </c>
      <c r="C16" s="377" t="s">
        <v>33</v>
      </c>
      <c r="D16" s="378" t="str">
        <f>'DB Thermohygro'!M357</f>
        <v>20.9</v>
      </c>
      <c r="E16" s="379" t="str">
        <f>'DB Thermohygro'!N359</f>
        <v xml:space="preserve"> ± </v>
      </c>
      <c r="F16" s="380" t="str">
        <f>'DB Thermohygro'!N357</f>
        <v>0.3</v>
      </c>
      <c r="G16" s="359" t="str">
        <f>'DB Thermohygro'!O357</f>
        <v xml:space="preserve"> °C</v>
      </c>
      <c r="H16" s="296"/>
    </row>
    <row r="17" spans="1:16" ht="14.4" x14ac:dyDescent="0.25">
      <c r="B17" s="376" t="s">
        <v>47</v>
      </c>
      <c r="C17" s="377" t="s">
        <v>33</v>
      </c>
      <c r="D17" s="378" t="str">
        <f>'DB Thermohygro'!M358</f>
        <v>60.0</v>
      </c>
      <c r="E17" s="379" t="str">
        <f>'DB Thermohygro'!N359</f>
        <v xml:space="preserve"> ± </v>
      </c>
      <c r="F17" s="380" t="str">
        <f>'DB Thermohygro'!N358</f>
        <v>1.6</v>
      </c>
      <c r="G17" s="359" t="str">
        <f>'DB Thermohygro'!O358</f>
        <v xml:space="preserve"> %RH</v>
      </c>
      <c r="H17" s="297"/>
    </row>
    <row r="18" spans="1:16" ht="7.5" customHeight="1" x14ac:dyDescent="0.25">
      <c r="G18" s="48"/>
    </row>
    <row r="19" spans="1:16" x14ac:dyDescent="0.25">
      <c r="A19" s="39" t="s">
        <v>48</v>
      </c>
      <c r="B19" s="39" t="str">
        <f>ID!B20</f>
        <v>Pemeriksaan Kondisi Fisik dan Fungsi Alat</v>
      </c>
      <c r="C19" s="39"/>
      <c r="D19" s="39"/>
      <c r="E19" s="39"/>
    </row>
    <row r="20" spans="1:16" x14ac:dyDescent="0.25">
      <c r="B20" s="38" t="s">
        <v>50</v>
      </c>
      <c r="C20" s="40" t="s">
        <v>33</v>
      </c>
      <c r="D20" s="38" t="str">
        <f>ID!D21</f>
        <v>Baik</v>
      </c>
      <c r="I20" s="298">
        <f>IF(D20="Baik",5,0)</f>
        <v>5</v>
      </c>
    </row>
    <row r="21" spans="1:16" x14ac:dyDescent="0.25">
      <c r="B21" s="38" t="s">
        <v>52</v>
      </c>
      <c r="C21" s="40" t="s">
        <v>33</v>
      </c>
      <c r="D21" s="38" t="str">
        <f>ID!D22</f>
        <v>Baik</v>
      </c>
      <c r="I21" s="298">
        <f>IF(D21="Baik",5,0)</f>
        <v>5</v>
      </c>
      <c r="L21" s="38" t="s">
        <v>189</v>
      </c>
    </row>
    <row r="22" spans="1:16" ht="6" customHeight="1" x14ac:dyDescent="0.25">
      <c r="C22" s="40"/>
    </row>
    <row r="23" spans="1:16" ht="4.5" customHeight="1" x14ac:dyDescent="0.25">
      <c r="C23" s="40"/>
      <c r="K23" s="671"/>
      <c r="L23" s="672"/>
      <c r="M23" s="677" t="s">
        <v>190</v>
      </c>
      <c r="N23" s="668"/>
      <c r="O23" s="670"/>
      <c r="P23" s="581"/>
    </row>
    <row r="24" spans="1:16" ht="14.1" customHeight="1" x14ac:dyDescent="0.25">
      <c r="A24" s="39" t="s">
        <v>53</v>
      </c>
      <c r="B24" s="39" t="s">
        <v>54</v>
      </c>
      <c r="K24" s="673"/>
      <c r="L24" s="674"/>
      <c r="M24" s="677"/>
      <c r="N24" s="669"/>
      <c r="O24" s="670"/>
      <c r="P24" s="581"/>
    </row>
    <row r="25" spans="1:16" ht="5.55" customHeight="1" x14ac:dyDescent="0.25">
      <c r="A25" s="39"/>
      <c r="B25" s="39"/>
    </row>
    <row r="26" spans="1:16" x14ac:dyDescent="0.25">
      <c r="B26" s="83" t="s">
        <v>129</v>
      </c>
      <c r="H26" s="79"/>
      <c r="I26" s="299"/>
    </row>
    <row r="27" spans="1:16" ht="15" customHeight="1" x14ac:dyDescent="0.25">
      <c r="B27" s="7" t="s">
        <v>191</v>
      </c>
      <c r="C27" s="660" t="s">
        <v>192</v>
      </c>
      <c r="D27" s="661"/>
      <c r="E27" s="660" t="s">
        <v>419</v>
      </c>
      <c r="F27" s="667"/>
      <c r="G27" s="666" t="s">
        <v>420</v>
      </c>
      <c r="H27" s="666"/>
      <c r="J27" s="291" t="s">
        <v>193</v>
      </c>
    </row>
    <row r="28" spans="1:16" ht="14.4" x14ac:dyDescent="0.25">
      <c r="B28" s="375">
        <f>ID!C26</f>
        <v>100</v>
      </c>
      <c r="C28" s="662">
        <f>AVERAGE(ID!E28:E37)</f>
        <v>100</v>
      </c>
      <c r="D28" s="663"/>
      <c r="E28" s="664">
        <f>ID!E38</f>
        <v>0</v>
      </c>
      <c r="F28" s="665"/>
      <c r="G28" s="366" t="s">
        <v>416</v>
      </c>
      <c r="H28" s="381">
        <f>VLOOKUP(B28,$B$33:$G$42,6,FALSE)</f>
        <v>5.6648080950578465E-3</v>
      </c>
      <c r="J28" s="382"/>
    </row>
    <row r="29" spans="1:16" ht="14.4" x14ac:dyDescent="0.25">
      <c r="B29" s="375">
        <f>ID!H26</f>
        <v>200</v>
      </c>
      <c r="C29" s="662">
        <f>AVERAGE(ID!J28:J37)</f>
        <v>200</v>
      </c>
      <c r="D29" s="663"/>
      <c r="E29" s="664">
        <f>ID!J38</f>
        <v>0</v>
      </c>
      <c r="F29" s="682"/>
      <c r="G29" s="366" t="s">
        <v>416</v>
      </c>
      <c r="H29" s="381">
        <f>VLOOKUP(B29,$B$33:$G$42,6,FALSE)</f>
        <v>5.664866894980896E-3</v>
      </c>
      <c r="J29" s="382"/>
    </row>
    <row r="30" spans="1:16" ht="8.1" customHeight="1" x14ac:dyDescent="0.25">
      <c r="A30" s="39"/>
      <c r="C30" s="57"/>
      <c r="D30" s="79"/>
      <c r="E30" s="79"/>
      <c r="F30" s="79"/>
      <c r="G30" s="79"/>
      <c r="H30" s="79"/>
      <c r="I30" s="79"/>
    </row>
    <row r="31" spans="1:16" x14ac:dyDescent="0.25">
      <c r="B31" s="83" t="s">
        <v>133</v>
      </c>
      <c r="C31" s="57"/>
      <c r="H31" s="79"/>
      <c r="I31" s="299"/>
    </row>
    <row r="32" spans="1:16" x14ac:dyDescent="0.25">
      <c r="B32" s="53" t="s">
        <v>191</v>
      </c>
      <c r="C32" s="678" t="s">
        <v>192</v>
      </c>
      <c r="D32" s="679"/>
      <c r="E32" s="53" t="s">
        <v>421</v>
      </c>
      <c r="F32" s="683" t="s">
        <v>420</v>
      </c>
      <c r="G32" s="683"/>
      <c r="L32" s="49"/>
    </row>
    <row r="33" spans="1:14" ht="15" customHeight="1" x14ac:dyDescent="0.25">
      <c r="A33" s="79"/>
      <c r="B33" s="286">
        <f>ID!B42</f>
        <v>20</v>
      </c>
      <c r="C33" s="680">
        <f>ID!G42</f>
        <v>20</v>
      </c>
      <c r="D33" s="681"/>
      <c r="E33" s="365">
        <f>ID!I42</f>
        <v>5.999999999062311E-6</v>
      </c>
      <c r="F33" s="369" t="s">
        <v>416</v>
      </c>
      <c r="G33" s="367">
        <f>BUDGETING!J12</f>
        <v>5.6647907608600011E-3</v>
      </c>
      <c r="K33" s="383"/>
      <c r="L33" s="384"/>
      <c r="M33" s="675"/>
      <c r="N33" s="676"/>
    </row>
    <row r="34" spans="1:14" ht="15" customHeight="1" x14ac:dyDescent="0.25">
      <c r="A34" s="79"/>
      <c r="B34" s="286">
        <f>ID!B43</f>
        <v>40</v>
      </c>
      <c r="C34" s="680">
        <f>ID!G43</f>
        <v>40</v>
      </c>
      <c r="D34" s="681"/>
      <c r="E34" s="365">
        <f>ID!I43</f>
        <v>1.1999999998124622E-5</v>
      </c>
      <c r="F34" s="369" t="s">
        <v>416</v>
      </c>
      <c r="G34" s="367">
        <f>BUDGETING!J24</f>
        <v>5.6648080950578465E-3</v>
      </c>
      <c r="K34" s="383"/>
      <c r="L34" s="384"/>
      <c r="M34" s="676"/>
      <c r="N34" s="676"/>
    </row>
    <row r="35" spans="1:14" ht="15" customHeight="1" x14ac:dyDescent="0.25">
      <c r="A35" s="79"/>
      <c r="B35" s="286">
        <f>ID!B44</f>
        <v>60</v>
      </c>
      <c r="C35" s="680">
        <f>ID!G44</f>
        <v>60</v>
      </c>
      <c r="D35" s="681"/>
      <c r="E35" s="365">
        <f>ID!I44</f>
        <v>2.8999999997836312E-5</v>
      </c>
      <c r="F35" s="369" t="s">
        <v>416</v>
      </c>
      <c r="G35" s="367">
        <f>BUDGETING!J36</f>
        <v>5.6648080950578465E-3</v>
      </c>
      <c r="K35" s="383"/>
      <c r="L35" s="384"/>
      <c r="M35" s="676"/>
      <c r="N35" s="676"/>
    </row>
    <row r="36" spans="1:14" ht="15" customHeight="1" x14ac:dyDescent="0.25">
      <c r="A36" s="79"/>
      <c r="B36" s="286">
        <f>ID!B45</f>
        <v>80</v>
      </c>
      <c r="C36" s="680">
        <f>ID!G45</f>
        <v>80</v>
      </c>
      <c r="D36" s="681"/>
      <c r="E36" s="365">
        <f>ID!I45</f>
        <v>3.4999999996898623E-5</v>
      </c>
      <c r="F36" s="369" t="s">
        <v>416</v>
      </c>
      <c r="G36" s="367">
        <f>BUDGETING!J48</f>
        <v>5.6648369852697177E-3</v>
      </c>
      <c r="K36" s="383"/>
      <c r="L36" s="384"/>
      <c r="M36" s="676"/>
      <c r="N36" s="676"/>
    </row>
    <row r="37" spans="1:14" ht="15" customHeight="1" x14ac:dyDescent="0.25">
      <c r="A37" s="79"/>
      <c r="B37" s="286">
        <f>ID!B46</f>
        <v>100</v>
      </c>
      <c r="C37" s="680">
        <f>ID!G46</f>
        <v>100</v>
      </c>
      <c r="D37" s="681"/>
      <c r="E37" s="365">
        <f>ID!I46</f>
        <v>1.7999999997186933E-5</v>
      </c>
      <c r="F37" s="369" t="s">
        <v>416</v>
      </c>
      <c r="G37" s="367">
        <f>BUDGETING!J60</f>
        <v>5.6648080950578465E-3</v>
      </c>
      <c r="K37" s="383"/>
      <c r="L37" s="384"/>
      <c r="M37" s="676"/>
      <c r="N37" s="676"/>
    </row>
    <row r="38" spans="1:14" ht="15" customHeight="1" x14ac:dyDescent="0.25">
      <c r="A38" s="79"/>
      <c r="B38" s="286">
        <f>ID!B47</f>
        <v>120</v>
      </c>
      <c r="C38" s="680">
        <f>ID!G47</f>
        <v>120</v>
      </c>
      <c r="D38" s="681"/>
      <c r="E38" s="365">
        <f>ID!I47</f>
        <v>2.3999999996249244E-5</v>
      </c>
      <c r="F38" s="369" t="s">
        <v>416</v>
      </c>
      <c r="G38" s="367">
        <f>BUDGETING!J73</f>
        <v>5.6648369852697177E-3</v>
      </c>
      <c r="K38" s="383"/>
      <c r="L38" s="384"/>
      <c r="M38" s="676"/>
      <c r="N38" s="676"/>
    </row>
    <row r="39" spans="1:14" ht="15" customHeight="1" x14ac:dyDescent="0.25">
      <c r="A39" s="79"/>
      <c r="B39" s="286">
        <f>ID!B48</f>
        <v>140</v>
      </c>
      <c r="C39" s="680">
        <f>ID!G48</f>
        <v>140</v>
      </c>
      <c r="D39" s="681"/>
      <c r="E39" s="365">
        <f>ID!I48</f>
        <v>2.99999999811007E-5</v>
      </c>
      <c r="F39" s="369" t="s">
        <v>416</v>
      </c>
      <c r="G39" s="367">
        <f>BUDGETING!J85</f>
        <v>5.664877431318811E-3</v>
      </c>
      <c r="K39" s="383"/>
      <c r="L39" s="384"/>
      <c r="M39" s="676"/>
      <c r="N39" s="676"/>
    </row>
    <row r="40" spans="1:14" ht="15" customHeight="1" x14ac:dyDescent="0.25">
      <c r="A40" s="79"/>
      <c r="B40" s="286">
        <f>ID!B49</f>
        <v>160</v>
      </c>
      <c r="C40" s="680">
        <f>ID!G49</f>
        <v>160</v>
      </c>
      <c r="D40" s="681"/>
      <c r="E40" s="365">
        <f>ID!I49</f>
        <v>4.6999999995023245E-5</v>
      </c>
      <c r="F40" s="369" t="s">
        <v>416</v>
      </c>
      <c r="G40" s="367">
        <f>BUDGETING!J97</f>
        <v>5.664877431318811E-3</v>
      </c>
      <c r="K40" s="383"/>
      <c r="L40" s="384"/>
      <c r="M40" s="676"/>
      <c r="N40" s="676"/>
    </row>
    <row r="41" spans="1:14" ht="15" customHeight="1" x14ac:dyDescent="0.25">
      <c r="A41" s="79"/>
      <c r="B41" s="286">
        <f>ID!B50</f>
        <v>180</v>
      </c>
      <c r="C41" s="680">
        <f>ID!G50</f>
        <v>180</v>
      </c>
      <c r="D41" s="681"/>
      <c r="E41" s="365">
        <f>ID!I50</f>
        <v>5.2999999979874701E-5</v>
      </c>
      <c r="F41" s="369" t="s">
        <v>416</v>
      </c>
      <c r="G41" s="367">
        <f>BUDGETING!J109</f>
        <v>5.6649294329576098E-3</v>
      </c>
      <c r="K41" s="383"/>
      <c r="L41" s="384"/>
      <c r="M41" s="676"/>
      <c r="N41" s="676"/>
    </row>
    <row r="42" spans="1:14" ht="15" customHeight="1" x14ac:dyDescent="0.25">
      <c r="A42" s="79"/>
      <c r="B42" s="286">
        <f>ID!B51</f>
        <v>200</v>
      </c>
      <c r="C42" s="680">
        <f>ID!G51</f>
        <v>200</v>
      </c>
      <c r="D42" s="681"/>
      <c r="E42" s="365">
        <f>ID!I51</f>
        <v>5.2000000010821168E-5</v>
      </c>
      <c r="F42" s="369" t="s">
        <v>416</v>
      </c>
      <c r="G42" s="367">
        <f>BUDGETING!J121</f>
        <v>5.664866894980896E-3</v>
      </c>
      <c r="K42" s="383"/>
      <c r="L42" s="384"/>
      <c r="M42" s="676"/>
      <c r="N42" s="676"/>
    </row>
    <row r="43" spans="1:14" ht="6" customHeight="1" x14ac:dyDescent="0.25">
      <c r="A43" s="79"/>
      <c r="B43" s="79"/>
      <c r="C43" s="79"/>
      <c r="D43" s="79"/>
      <c r="E43" s="79"/>
      <c r="F43" s="79"/>
      <c r="G43" s="79"/>
      <c r="H43" s="79"/>
      <c r="K43" s="49"/>
    </row>
    <row r="44" spans="1:14" x14ac:dyDescent="0.25">
      <c r="A44" s="79"/>
      <c r="B44" s="287" t="s">
        <v>194</v>
      </c>
      <c r="C44" s="288"/>
      <c r="D44" s="288"/>
      <c r="E44" s="288"/>
      <c r="F44" s="288"/>
      <c r="G44" s="289"/>
      <c r="H44" s="79"/>
    </row>
    <row r="45" spans="1:14" ht="25.5" customHeight="1" x14ac:dyDescent="0.25">
      <c r="A45" s="79"/>
      <c r="B45" s="290" t="s">
        <v>195</v>
      </c>
      <c r="C45" s="692" t="s">
        <v>196</v>
      </c>
      <c r="D45" s="692"/>
      <c r="E45" s="692" t="s">
        <v>197</v>
      </c>
      <c r="F45" s="692"/>
      <c r="G45" s="290" t="s">
        <v>198</v>
      </c>
    </row>
    <row r="46" spans="1:14" ht="25.5" customHeight="1" x14ac:dyDescent="0.25">
      <c r="A46" s="79"/>
      <c r="B46" s="684">
        <f>ID!B46</f>
        <v>100</v>
      </c>
      <c r="C46" s="686">
        <f>ID!H55</f>
        <v>100</v>
      </c>
      <c r="D46" s="687"/>
      <c r="E46" s="686">
        <f>ID!I55</f>
        <v>100</v>
      </c>
      <c r="F46" s="687"/>
      <c r="G46" s="690">
        <f>ID!J55</f>
        <v>0</v>
      </c>
    </row>
    <row r="47" spans="1:14" x14ac:dyDescent="0.25">
      <c r="A47" s="79"/>
      <c r="B47" s="685"/>
      <c r="C47" s="688"/>
      <c r="D47" s="689"/>
      <c r="E47" s="688"/>
      <c r="F47" s="689"/>
      <c r="G47" s="691"/>
    </row>
    <row r="48" spans="1:14" ht="7.05" customHeight="1" x14ac:dyDescent="0.25">
      <c r="A48" s="79"/>
      <c r="B48" s="291"/>
      <c r="C48" s="288"/>
      <c r="D48" s="288"/>
      <c r="E48" s="288"/>
      <c r="F48" s="288"/>
      <c r="G48" s="289"/>
      <c r="H48" s="79"/>
    </row>
    <row r="49" spans="1:12" x14ac:dyDescent="0.25">
      <c r="A49" s="79"/>
      <c r="B49" s="83" t="s">
        <v>75</v>
      </c>
      <c r="C49" s="79"/>
      <c r="D49" s="79"/>
      <c r="E49" s="292"/>
      <c r="F49" s="287"/>
      <c r="G49" s="79"/>
      <c r="H49" s="79"/>
    </row>
    <row r="50" spans="1:12" x14ac:dyDescent="0.25">
      <c r="A50" s="79"/>
      <c r="B50" s="290" t="s">
        <v>199</v>
      </c>
      <c r="C50" s="290" t="s">
        <v>200</v>
      </c>
      <c r="D50" s="290" t="s">
        <v>201</v>
      </c>
      <c r="E50" s="290" t="s">
        <v>202</v>
      </c>
      <c r="F50" s="695" t="s">
        <v>203</v>
      </c>
      <c r="G50" s="695"/>
      <c r="H50" s="57"/>
    </row>
    <row r="51" spans="1:12" ht="14.55" customHeight="1" x14ac:dyDescent="0.25">
      <c r="A51" s="79"/>
      <c r="B51" s="693">
        <f>ID!C66</f>
        <v>100</v>
      </c>
      <c r="C51" s="693">
        <f>ID!C67</f>
        <v>100</v>
      </c>
      <c r="D51" s="693">
        <f>ID!C68</f>
        <v>100</v>
      </c>
      <c r="E51" s="693">
        <f>ID!C69</f>
        <v>100</v>
      </c>
      <c r="F51" s="686">
        <f>ID!C70</f>
        <v>100</v>
      </c>
      <c r="G51" s="687"/>
      <c r="H51" s="57"/>
    </row>
    <row r="52" spans="1:12" x14ac:dyDescent="0.25">
      <c r="A52" s="79"/>
      <c r="B52" s="694"/>
      <c r="C52" s="694"/>
      <c r="D52" s="694"/>
      <c r="E52" s="694"/>
      <c r="F52" s="688"/>
      <c r="G52" s="689"/>
      <c r="H52" s="64"/>
      <c r="K52" s="64"/>
    </row>
    <row r="53" spans="1:12" x14ac:dyDescent="0.25">
      <c r="A53" s="79"/>
      <c r="B53" s="79"/>
      <c r="C53" s="79"/>
      <c r="D53" s="79"/>
      <c r="E53" s="79"/>
      <c r="F53" s="79"/>
      <c r="G53" s="79"/>
      <c r="H53" s="79"/>
    </row>
    <row r="54" spans="1:12" x14ac:dyDescent="0.25">
      <c r="A54" s="79"/>
      <c r="B54" s="301" t="s">
        <v>401</v>
      </c>
      <c r="C54" s="302"/>
      <c r="D54" s="302"/>
      <c r="E54" s="303"/>
      <c r="F54" s="302"/>
      <c r="G54" s="302"/>
      <c r="H54" s="302"/>
    </row>
    <row r="55" spans="1:12" ht="21" x14ac:dyDescent="0.25">
      <c r="A55" s="79"/>
      <c r="B55" s="695" t="s">
        <v>422</v>
      </c>
      <c r="C55" s="695"/>
      <c r="D55" s="699" t="s">
        <v>423</v>
      </c>
      <c r="E55" s="699"/>
      <c r="F55" s="304" t="s">
        <v>424</v>
      </c>
      <c r="G55" s="305" t="s">
        <v>425</v>
      </c>
      <c r="H55" s="302"/>
      <c r="L55" s="65"/>
    </row>
    <row r="56" spans="1:12" x14ac:dyDescent="0.25">
      <c r="A56" s="79"/>
      <c r="B56" s="700">
        <f>BUDGETING!C124</f>
        <v>5.2999999979874701E-5</v>
      </c>
      <c r="C56" s="701"/>
      <c r="D56" s="700">
        <f>BUDGETING!C125</f>
        <v>5.6649294329576098E-3</v>
      </c>
      <c r="E56" s="701"/>
      <c r="F56" s="704">
        <f>BUDGETING!C126</f>
        <v>5.7179294329374845E-3</v>
      </c>
      <c r="G56" s="306" t="s">
        <v>204</v>
      </c>
      <c r="H56" s="302"/>
      <c r="I56" s="708">
        <f>IF(K63=10,90,0)</f>
        <v>90</v>
      </c>
      <c r="J56" s="37"/>
      <c r="K56" s="37"/>
    </row>
    <row r="57" spans="1:12" x14ac:dyDescent="0.25">
      <c r="A57" s="79"/>
      <c r="B57" s="702"/>
      <c r="C57" s="703"/>
      <c r="D57" s="702"/>
      <c r="E57" s="703"/>
      <c r="F57" s="705"/>
      <c r="G57" s="370">
        <f>5*D8</f>
        <v>0.05</v>
      </c>
      <c r="H57" s="302"/>
      <c r="I57" s="708"/>
      <c r="J57" s="300"/>
      <c r="K57" s="300"/>
    </row>
    <row r="58" spans="1:12" x14ac:dyDescent="0.25">
      <c r="A58" s="79"/>
      <c r="B58" s="291"/>
      <c r="C58" s="302"/>
      <c r="D58" s="302"/>
      <c r="E58" s="303"/>
      <c r="F58" s="302"/>
      <c r="G58" s="302"/>
      <c r="H58" s="302"/>
      <c r="J58" s="300"/>
      <c r="K58" s="300"/>
    </row>
    <row r="59" spans="1:12" x14ac:dyDescent="0.25">
      <c r="A59" s="293" t="s">
        <v>82</v>
      </c>
      <c r="B59" s="293" t="s">
        <v>80</v>
      </c>
      <c r="C59" s="294"/>
      <c r="D59" s="294"/>
      <c r="E59" s="294"/>
      <c r="F59" s="294"/>
      <c r="G59" s="294"/>
      <c r="H59" s="294"/>
      <c r="I59" s="90"/>
    </row>
    <row r="60" spans="1:12" x14ac:dyDescent="0.25">
      <c r="A60" s="293"/>
      <c r="B60" s="76" t="s">
        <v>81</v>
      </c>
      <c r="C60" s="294"/>
      <c r="D60" s="294"/>
      <c r="E60" s="294"/>
      <c r="F60" s="294"/>
      <c r="G60" s="294"/>
      <c r="H60" s="294"/>
      <c r="I60" s="90"/>
    </row>
    <row r="61" spans="1:12" x14ac:dyDescent="0.25">
      <c r="A61" s="293"/>
      <c r="B61" s="76" t="str">
        <f>ID!B77</f>
        <v>Hasil pengujian kinerja timbangan bayi tertelusur ke Satuan Internasional ( SI ) melalui MASSCAL - Jerman</v>
      </c>
      <c r="C61" s="294"/>
      <c r="D61" s="294"/>
      <c r="E61" s="294"/>
      <c r="F61" s="294"/>
      <c r="G61" s="294"/>
      <c r="H61" s="294"/>
      <c r="I61" s="90"/>
    </row>
    <row r="62" spans="1:12" x14ac:dyDescent="0.25">
      <c r="A62" s="293"/>
      <c r="B62" s="76" t="str">
        <f>ID!B78</f>
        <v>Tidak terdapat grounding</v>
      </c>
      <c r="C62" s="294"/>
      <c r="D62" s="294"/>
      <c r="E62" s="294"/>
      <c r="F62" s="294"/>
      <c r="G62" s="294"/>
      <c r="H62" s="294"/>
      <c r="I62" s="90"/>
    </row>
    <row r="63" spans="1:12" ht="14.55" customHeight="1" x14ac:dyDescent="0.25">
      <c r="A63" s="293"/>
      <c r="B63" s="385"/>
      <c r="C63" s="294"/>
      <c r="D63" s="294"/>
      <c r="E63" s="294"/>
      <c r="F63" s="294"/>
      <c r="G63" s="294"/>
      <c r="H63" s="294"/>
      <c r="I63" s="90"/>
      <c r="K63" s="581">
        <f>IF(F56&lt;=G57,10,0)</f>
        <v>10</v>
      </c>
    </row>
    <row r="64" spans="1:12" x14ac:dyDescent="0.25">
      <c r="A64" s="293" t="s">
        <v>91</v>
      </c>
      <c r="B64" s="293" t="s">
        <v>83</v>
      </c>
      <c r="C64" s="294"/>
      <c r="D64" s="294"/>
      <c r="E64" s="294"/>
      <c r="F64" s="294"/>
      <c r="G64" s="294"/>
      <c r="H64" s="294"/>
      <c r="I64" s="90"/>
      <c r="K64" s="581"/>
    </row>
    <row r="65" spans="1:15" ht="9.6" customHeight="1" x14ac:dyDescent="0.25">
      <c r="A65" s="294"/>
      <c r="B65" s="294" t="str">
        <f>ID!B81</f>
        <v>Anak Timbangan Standar, Merek : HÄFNER, Tipe : 9.XNHM-810, SN : 6580920</v>
      </c>
      <c r="C65" s="294"/>
      <c r="D65" s="294"/>
      <c r="E65" s="294"/>
      <c r="F65" s="294"/>
      <c r="G65" s="294"/>
      <c r="H65" s="294"/>
      <c r="I65" s="90"/>
    </row>
    <row r="66" spans="1:15" x14ac:dyDescent="0.25">
      <c r="A66" s="294"/>
      <c r="B66" s="709" t="str">
        <f>ID!B82</f>
        <v>Thermohygrobarometer, Merek : EXTECH, Model : SD700, SN : A.100618</v>
      </c>
      <c r="C66" s="709"/>
      <c r="D66" s="709"/>
      <c r="E66" s="709"/>
      <c r="F66" s="709"/>
      <c r="G66" s="709"/>
      <c r="H66" s="709"/>
      <c r="I66" s="90"/>
    </row>
    <row r="67" spans="1:15" x14ac:dyDescent="0.25">
      <c r="A67" s="294"/>
      <c r="B67" s="294"/>
      <c r="C67" s="294"/>
      <c r="D67" s="294"/>
      <c r="E67" s="294"/>
      <c r="F67" s="294"/>
      <c r="G67" s="294"/>
      <c r="H67" s="294"/>
      <c r="I67" s="90"/>
    </row>
    <row r="68" spans="1:15" ht="14.4" x14ac:dyDescent="0.25">
      <c r="A68" s="66" t="s">
        <v>94</v>
      </c>
      <c r="B68" s="75" t="s">
        <v>92</v>
      </c>
      <c r="C68" s="76"/>
      <c r="D68" s="76"/>
      <c r="E68" s="76"/>
      <c r="F68" s="76"/>
      <c r="G68" s="76"/>
      <c r="H68" s="118"/>
      <c r="I68" s="76"/>
    </row>
    <row r="69" spans="1:15" ht="14.4" x14ac:dyDescent="0.25">
      <c r="A69" s="385"/>
      <c r="B69" s="698" t="str">
        <f>ID!B85</f>
        <v>Alat yang dikalibrasi dalam batas toleransi dan dinyatakan LAIK PAKAI, dimana hasil pengujian kinerja LOP kurang dari sama dengan 5 kali resolusi berdasarkan Keputusan Direktur Jenderal Pelayanan Kesehatan No : HK.02.02/V/0412/2020</v>
      </c>
      <c r="C69" s="698"/>
      <c r="D69" s="698"/>
      <c r="E69" s="698"/>
      <c r="F69" s="698"/>
      <c r="G69" s="698"/>
      <c r="H69" s="698"/>
      <c r="I69" s="698"/>
    </row>
    <row r="70" spans="1:15" ht="6" customHeight="1" x14ac:dyDescent="0.25">
      <c r="A70" s="385"/>
      <c r="B70" s="698"/>
      <c r="C70" s="698"/>
      <c r="D70" s="698"/>
      <c r="E70" s="698"/>
      <c r="F70" s="698"/>
      <c r="G70" s="698"/>
      <c r="H70" s="698"/>
      <c r="I70" s="698"/>
    </row>
    <row r="71" spans="1:15" x14ac:dyDescent="0.25">
      <c r="A71" s="91" t="s">
        <v>205</v>
      </c>
      <c r="B71" s="91" t="str">
        <f>ID!B88</f>
        <v>Petugas Kalibrasi</v>
      </c>
      <c r="C71" s="90"/>
      <c r="D71" s="90"/>
      <c r="E71" s="90"/>
      <c r="F71" s="90"/>
      <c r="G71" s="90"/>
      <c r="H71" s="706">
        <f>SUM(I56,I20,I21)</f>
        <v>100</v>
      </c>
      <c r="I71" s="696">
        <f>K63</f>
        <v>10</v>
      </c>
    </row>
    <row r="72" spans="1:15" x14ac:dyDescent="0.25">
      <c r="A72" s="90"/>
      <c r="B72" s="307" t="str">
        <f>ID!B89</f>
        <v>Muhammad Zaenuri Sugiasmoro</v>
      </c>
      <c r="C72" s="90"/>
      <c r="D72" s="90"/>
      <c r="E72" s="90"/>
      <c r="F72" s="90"/>
      <c r="G72" s="90"/>
      <c r="H72" s="707"/>
      <c r="I72" s="697"/>
      <c r="J72" s="291"/>
      <c r="K72" s="386"/>
    </row>
    <row r="73" spans="1:15" x14ac:dyDescent="0.25">
      <c r="A73" s="90"/>
      <c r="B73" s="90"/>
      <c r="C73" s="90"/>
      <c r="D73" s="389" t="s">
        <v>102</v>
      </c>
      <c r="E73" s="390"/>
      <c r="F73" s="390"/>
      <c r="G73" s="391"/>
      <c r="H73" s="392" t="s">
        <v>100</v>
      </c>
      <c r="I73" s="308" t="s">
        <v>206</v>
      </c>
      <c r="J73" s="37"/>
      <c r="K73" s="387"/>
    </row>
    <row r="74" spans="1:15" ht="4.5" customHeight="1" x14ac:dyDescent="0.25">
      <c r="A74" s="90"/>
      <c r="B74" s="90"/>
      <c r="C74" s="90"/>
      <c r="D74" s="393" t="s">
        <v>207</v>
      </c>
      <c r="E74" s="394" t="str">
        <f>ID!B89</f>
        <v>Muhammad Zaenuri Sugiasmoro</v>
      </c>
      <c r="F74" s="394"/>
      <c r="G74" s="394"/>
      <c r="H74" s="392" t="str">
        <f>ID!B92</f>
        <v>29 Juni 1993</v>
      </c>
      <c r="I74" s="309"/>
    </row>
    <row r="75" spans="1:15" s="385" customFormat="1" ht="14.4" x14ac:dyDescent="0.25">
      <c r="A75" s="90"/>
      <c r="B75" s="90"/>
      <c r="C75" s="90"/>
      <c r="D75" s="395" t="s">
        <v>208</v>
      </c>
      <c r="E75" s="396"/>
      <c r="F75" s="396"/>
      <c r="G75" s="396"/>
      <c r="H75" s="392"/>
      <c r="I75" s="309"/>
      <c r="J75" s="38"/>
      <c r="K75" s="38"/>
      <c r="L75" s="37"/>
      <c r="M75" s="376"/>
      <c r="N75" s="376"/>
      <c r="O75" s="376"/>
    </row>
    <row r="76" spans="1:15" s="385" customFormat="1" ht="16.5" customHeight="1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00"/>
      <c r="M76" s="388"/>
      <c r="N76" s="376"/>
      <c r="O76" s="376"/>
    </row>
    <row r="77" spans="1:15" s="385" customFormat="1" ht="14.25" customHeight="1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00"/>
      <c r="M77" s="388"/>
      <c r="N77" s="376"/>
      <c r="O77" s="376"/>
    </row>
    <row r="80" spans="1:15" x14ac:dyDescent="0.25">
      <c r="B80" s="38" t="s">
        <v>417</v>
      </c>
      <c r="C80" s="38" t="s">
        <v>418</v>
      </c>
    </row>
    <row r="81" spans="2:3" x14ac:dyDescent="0.25">
      <c r="B81" s="368">
        <f>ABS(E33)</f>
        <v>5.999999999062311E-6</v>
      </c>
      <c r="C81" s="368">
        <f>G33</f>
        <v>5.6647907608600011E-3</v>
      </c>
    </row>
    <row r="82" spans="2:3" x14ac:dyDescent="0.25">
      <c r="B82" s="368">
        <f t="shared" ref="B82:B90" si="0">ABS(E34)</f>
        <v>1.1999999998124622E-5</v>
      </c>
      <c r="C82" s="368">
        <f t="shared" ref="C82:C90" si="1">G34</f>
        <v>5.6648080950578465E-3</v>
      </c>
    </row>
    <row r="83" spans="2:3" x14ac:dyDescent="0.25">
      <c r="B83" s="368">
        <f t="shared" si="0"/>
        <v>2.8999999997836312E-5</v>
      </c>
      <c r="C83" s="368">
        <f t="shared" si="1"/>
        <v>5.6648080950578465E-3</v>
      </c>
    </row>
    <row r="84" spans="2:3" x14ac:dyDescent="0.25">
      <c r="B84" s="368">
        <f t="shared" si="0"/>
        <v>3.4999999996898623E-5</v>
      </c>
      <c r="C84" s="368">
        <f t="shared" si="1"/>
        <v>5.6648369852697177E-3</v>
      </c>
    </row>
    <row r="85" spans="2:3" x14ac:dyDescent="0.25">
      <c r="B85" s="368">
        <f t="shared" si="0"/>
        <v>1.7999999997186933E-5</v>
      </c>
      <c r="C85" s="368">
        <f t="shared" si="1"/>
        <v>5.6648080950578465E-3</v>
      </c>
    </row>
    <row r="86" spans="2:3" x14ac:dyDescent="0.25">
      <c r="B86" s="368">
        <f t="shared" si="0"/>
        <v>2.3999999996249244E-5</v>
      </c>
      <c r="C86" s="368">
        <f t="shared" si="1"/>
        <v>5.6648369852697177E-3</v>
      </c>
    </row>
    <row r="87" spans="2:3" x14ac:dyDescent="0.25">
      <c r="B87" s="368">
        <f t="shared" si="0"/>
        <v>2.99999999811007E-5</v>
      </c>
      <c r="C87" s="368">
        <f t="shared" si="1"/>
        <v>5.664877431318811E-3</v>
      </c>
    </row>
    <row r="88" spans="2:3" x14ac:dyDescent="0.25">
      <c r="B88" s="368">
        <f t="shared" si="0"/>
        <v>4.6999999995023245E-5</v>
      </c>
      <c r="C88" s="368">
        <f t="shared" si="1"/>
        <v>5.664877431318811E-3</v>
      </c>
    </row>
    <row r="89" spans="2:3" x14ac:dyDescent="0.25">
      <c r="B89" s="368">
        <f t="shared" si="0"/>
        <v>5.2999999979874701E-5</v>
      </c>
      <c r="C89" s="368">
        <f t="shared" si="1"/>
        <v>5.6649294329576098E-3</v>
      </c>
    </row>
    <row r="90" spans="2:3" x14ac:dyDescent="0.25">
      <c r="B90" s="368">
        <f t="shared" si="0"/>
        <v>5.2000000010821168E-5</v>
      </c>
      <c r="C90" s="368">
        <f t="shared" si="1"/>
        <v>5.664866894980896E-3</v>
      </c>
    </row>
    <row r="91" spans="2:3" x14ac:dyDescent="0.25">
      <c r="B91" s="368"/>
    </row>
  </sheetData>
  <mergeCells count="51">
    <mergeCell ref="I71:I72"/>
    <mergeCell ref="B69:I70"/>
    <mergeCell ref="B55:C55"/>
    <mergeCell ref="D55:E55"/>
    <mergeCell ref="B56:C57"/>
    <mergeCell ref="D56:E57"/>
    <mergeCell ref="F56:F57"/>
    <mergeCell ref="H71:H72"/>
    <mergeCell ref="I56:I57"/>
    <mergeCell ref="B66:H66"/>
    <mergeCell ref="B51:B52"/>
    <mergeCell ref="C51:C52"/>
    <mergeCell ref="F50:G50"/>
    <mergeCell ref="K63:K64"/>
    <mergeCell ref="D51:D52"/>
    <mergeCell ref="E51:E52"/>
    <mergeCell ref="F51:G52"/>
    <mergeCell ref="C35:D35"/>
    <mergeCell ref="F32:G32"/>
    <mergeCell ref="B46:B47"/>
    <mergeCell ref="C46:D47"/>
    <mergeCell ref="E46:F47"/>
    <mergeCell ref="G46:G47"/>
    <mergeCell ref="C45:D45"/>
    <mergeCell ref="C36:D36"/>
    <mergeCell ref="C37:D37"/>
    <mergeCell ref="E45:F45"/>
    <mergeCell ref="C42:D42"/>
    <mergeCell ref="C38:D38"/>
    <mergeCell ref="C40:D40"/>
    <mergeCell ref="C41:D41"/>
    <mergeCell ref="C39:D39"/>
    <mergeCell ref="C29:D29"/>
    <mergeCell ref="C32:D32"/>
    <mergeCell ref="C33:D33"/>
    <mergeCell ref="E29:F29"/>
    <mergeCell ref="C34:D34"/>
    <mergeCell ref="N23:N24"/>
    <mergeCell ref="O23:O24"/>
    <mergeCell ref="P23:P24"/>
    <mergeCell ref="K23:L24"/>
    <mergeCell ref="M33:M42"/>
    <mergeCell ref="N33:N42"/>
    <mergeCell ref="M23:M24"/>
    <mergeCell ref="A1:I1"/>
    <mergeCell ref="A2:I2"/>
    <mergeCell ref="C27:D27"/>
    <mergeCell ref="C28:D28"/>
    <mergeCell ref="E28:F28"/>
    <mergeCell ref="G27:H27"/>
    <mergeCell ref="E27:F27"/>
  </mergeCells>
  <printOptions horizontalCentered="1"/>
  <pageMargins left="0.511811023622047" right="0.23622047244094499" top="0.421875" bottom="0.23622047244094499" header="0.23622047244094499" footer="0.23622047244094499"/>
  <pageSetup paperSize="9" scale="75" orientation="portrait" r:id="rId1"/>
  <headerFooter>
    <oddHeader>&amp;RGM.004-18</oddHeader>
    <oddFooter>&amp;R&amp;K00-049Analitic Balance 20.12.2022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E96B699-834D-42C4-8287-632C128B06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I71:I72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Sheet1</vt:lpstr>
      <vt:lpstr>LK</vt:lpstr>
      <vt:lpstr>Riwayat Revisi</vt:lpstr>
      <vt:lpstr>ID</vt:lpstr>
      <vt:lpstr>LH</vt:lpstr>
      <vt:lpstr>BUDGETING</vt:lpstr>
      <vt:lpstr>Sertifikat Anak</vt:lpstr>
      <vt:lpstr>MPE</vt:lpstr>
      <vt:lpstr>Lembar Penyelia</vt:lpstr>
      <vt:lpstr>SERTIFIKAT</vt:lpstr>
      <vt:lpstr>DB Thermohygro</vt:lpstr>
      <vt:lpstr>Cetik Cetik</vt:lpstr>
      <vt:lpstr>BUDGETING!Print_Area</vt:lpstr>
      <vt:lpstr>'DB Thermohygro'!Print_Area</vt:lpstr>
      <vt:lpstr>ID!Print_Area</vt:lpstr>
      <vt:lpstr>'Lembar Penyelia'!Print_Area</vt:lpstr>
      <vt:lpstr>LH!Print_Area</vt:lpstr>
      <vt:lpstr>LK!Print_Area</vt:lpstr>
    </vt:vector>
  </TitlesOfParts>
  <Manager/>
  <Company>danny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dany firmanto</dc:creator>
  <cp:keywords/>
  <dc:description/>
  <cp:lastModifiedBy>Developer</cp:lastModifiedBy>
  <cp:revision/>
  <cp:lastPrinted>2022-12-21T01:01:41Z</cp:lastPrinted>
  <dcterms:created xsi:type="dcterms:W3CDTF">2016-02-25T00:06:24Z</dcterms:created>
  <dcterms:modified xsi:type="dcterms:W3CDTF">2024-01-16T02:45:59Z</dcterms:modified>
  <cp:category/>
  <cp:contentStatus/>
</cp:coreProperties>
</file>