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laragon\www\traxel\public\excel\"/>
    </mc:Choice>
  </mc:AlternateContent>
  <xr:revisionPtr revIDLastSave="0" documentId="13_ncr:1_{7CCE256C-0795-4D2F-8EC6-5C22CC0F7B57}" xr6:coauthVersionLast="45" xr6:coauthVersionMax="47" xr10:uidLastSave="{00000000-0000-0000-0000-000000000000}"/>
  <bookViews>
    <workbookView xWindow="-108" yWindow="-108" windowWidth="23256" windowHeight="12456" tabRatio="616" activeTab="9" xr2:uid="{00000000-000D-0000-FFFF-FFFF00000000}"/>
  </bookViews>
  <sheets>
    <sheet name="Riwayat Revisi" sheetId="44" r:id="rId1"/>
    <sheet name="LEMBAR KERJA" sheetId="28" r:id="rId2"/>
    <sheet name="KELAS 1 NA" sheetId="42" state="hidden" r:id="rId3"/>
    <sheet name="KLASIFIKASI" sheetId="34" state="hidden" r:id="rId4"/>
    <sheet name="NIBP" sheetId="33" state="hidden" r:id="rId5"/>
    <sheet name="INTERPOLASI" sheetId="52" state="hidden" r:id="rId6"/>
    <sheet name="LEAKAGE" sheetId="38" state="hidden" r:id="rId7"/>
    <sheet name="THERMOHYGROMETER" sheetId="32" state="hidden" r:id="rId8"/>
    <sheet name="JENIS KALIBRATOR" sheetId="36" state="hidden" r:id="rId9"/>
    <sheet name="ID" sheetId="4" r:id="rId10"/>
    <sheet name="BUDGET KTP" sheetId="11" r:id="rId11"/>
    <sheet name="PENYELIA" sheetId="1" r:id="rId12"/>
    <sheet name="LH" sheetId="50" r:id="rId13"/>
    <sheet name="SERTIFIKAT" sheetId="51" state="hidden" r:id="rId14"/>
    <sheet name="DB SERTIFIKAT NA" sheetId="47" state="hidden" r:id="rId15"/>
    <sheet name="VOLT" sheetId="37" state="hidden" r:id="rId16"/>
    <sheet name="MOhm" sheetId="39" state="hidden" r:id="rId17"/>
    <sheet name="RESISTANCE" sheetId="40" state="hidden" r:id="rId18"/>
    <sheet name="KETERANGAN" sheetId="41" r:id="rId19"/>
    <sheet name="KESIMPULAN" sheetId="23" state="hidden" r:id="rId20"/>
  </sheets>
  <externalReferences>
    <externalReference r:id="rId21"/>
    <externalReference r:id="rId22"/>
  </externalReferences>
  <definedNames>
    <definedName name="_xlnm._FilterDatabase" localSheetId="9" hidden="1">ID!$T$10:$T$11</definedName>
    <definedName name="_xlnm.Print_Area" localSheetId="10">'BUDGET KTP'!$A$1:$P$68,'BUDGET KTP'!$A$71:$P$123,'BUDGET KTP'!$A$126:$P$151,'BUDGET KTP'!$A$156:$P$198</definedName>
    <definedName name="_xlnm.Print_Area" localSheetId="9">ID!$A$1:$N$84</definedName>
    <definedName name="_xlnm.Print_Area" localSheetId="1">'LEMBAR KERJA'!$A$2:$S$98</definedName>
    <definedName name="_xlnm.Print_Area" localSheetId="12">LH!$A$1:$N$79</definedName>
    <definedName name="_xlnm.Print_Area" localSheetId="11">PENYELIA!$A$1:$M$70</definedName>
    <definedName name="_xlnm.Print_Area" localSheetId="13">SERTIFIKAT!$A$1:$F$33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9" i="32" l="1"/>
  <c r="J10" i="32"/>
  <c r="J11" i="32"/>
  <c r="J12" i="32"/>
  <c r="J13" i="32"/>
  <c r="J14" i="32"/>
  <c r="J15" i="32"/>
  <c r="J16" i="32"/>
  <c r="J17" i="32"/>
  <c r="J18" i="32"/>
  <c r="J19" i="32"/>
  <c r="J20" i="32"/>
  <c r="J21" i="32"/>
  <c r="J22" i="32"/>
  <c r="J23" i="32"/>
  <c r="J24" i="32"/>
  <c r="J25" i="32"/>
  <c r="J26" i="32"/>
  <c r="J27" i="32"/>
  <c r="J28" i="32"/>
  <c r="J29" i="32"/>
  <c r="J30" i="32"/>
  <c r="J31" i="32"/>
  <c r="J32" i="32"/>
  <c r="J33" i="32"/>
  <c r="J34" i="32"/>
  <c r="J35" i="32"/>
  <c r="J36" i="32"/>
  <c r="J37" i="32"/>
  <c r="J38" i="32"/>
  <c r="J39" i="32"/>
  <c r="J40" i="32"/>
  <c r="J41" i="32"/>
  <c r="J42" i="32"/>
  <c r="J43" i="32"/>
  <c r="J44" i="32"/>
  <c r="J45" i="32"/>
  <c r="J46" i="32"/>
  <c r="J47" i="32"/>
  <c r="J48" i="32"/>
  <c r="J49" i="32"/>
  <c r="J50" i="32"/>
  <c r="J51" i="32"/>
  <c r="J52" i="32"/>
  <c r="J53" i="32"/>
  <c r="J54" i="32"/>
  <c r="J55" i="32"/>
  <c r="J56" i="32"/>
  <c r="J57" i="32"/>
  <c r="J58" i="32"/>
  <c r="J59" i="32"/>
  <c r="J60" i="32"/>
  <c r="J61" i="32"/>
  <c r="J62" i="32"/>
  <c r="J63" i="32"/>
  <c r="J64" i="32"/>
  <c r="J65" i="32"/>
  <c r="J66" i="32"/>
  <c r="J67" i="32"/>
  <c r="J68" i="32"/>
  <c r="J69" i="32"/>
  <c r="J70" i="32"/>
  <c r="J71" i="32"/>
  <c r="J72" i="32"/>
  <c r="J73" i="32"/>
  <c r="J74" i="32"/>
  <c r="J75" i="32"/>
  <c r="J76" i="32"/>
  <c r="J77" i="32"/>
  <c r="J78" i="32"/>
  <c r="J79" i="32"/>
  <c r="J80" i="32"/>
  <c r="J81" i="32"/>
  <c r="J82" i="32"/>
  <c r="J83" i="32"/>
  <c r="J84" i="32"/>
  <c r="J85" i="32"/>
  <c r="J86" i="32"/>
  <c r="J87" i="32"/>
  <c r="J88" i="32"/>
  <c r="J89" i="32"/>
  <c r="J90" i="32"/>
  <c r="J91" i="32"/>
  <c r="J92" i="32"/>
  <c r="J93" i="32"/>
  <c r="J94" i="32"/>
  <c r="J95" i="32"/>
  <c r="J96" i="32"/>
  <c r="J97" i="32"/>
  <c r="J98" i="32"/>
  <c r="J99" i="32"/>
  <c r="J100" i="32"/>
  <c r="J101" i="32"/>
  <c r="J102" i="32"/>
  <c r="J103" i="32"/>
  <c r="J104" i="32"/>
  <c r="J105" i="32"/>
  <c r="J106" i="32"/>
  <c r="J107" i="32"/>
  <c r="J108" i="32"/>
  <c r="J109" i="32"/>
  <c r="J110" i="32"/>
  <c r="J111" i="32"/>
  <c r="J112" i="32"/>
  <c r="J113" i="32"/>
  <c r="J114" i="32"/>
  <c r="J115" i="32"/>
  <c r="J116" i="32"/>
  <c r="J117" i="32"/>
  <c r="J118" i="32"/>
  <c r="J119" i="32"/>
  <c r="J120" i="32"/>
  <c r="J121" i="32"/>
  <c r="J122" i="32"/>
  <c r="J123" i="32"/>
  <c r="J124" i="32"/>
  <c r="J125" i="32"/>
  <c r="J126" i="32"/>
  <c r="J127" i="32"/>
  <c r="J128" i="32"/>
  <c r="J129" i="32"/>
  <c r="J130" i="32"/>
  <c r="J131" i="32"/>
  <c r="J132" i="32"/>
  <c r="J133" i="32"/>
  <c r="J134" i="32"/>
  <c r="J135" i="32"/>
  <c r="J136" i="32"/>
  <c r="J137" i="32"/>
  <c r="J138" i="32"/>
  <c r="J139" i="32"/>
  <c r="J140" i="32"/>
  <c r="J141" i="32"/>
  <c r="J142" i="32"/>
  <c r="J143" i="32"/>
  <c r="J144" i="32"/>
  <c r="J145" i="32"/>
  <c r="J146" i="32"/>
  <c r="J147" i="32"/>
  <c r="J148" i="32"/>
  <c r="J149" i="32"/>
  <c r="J150" i="32"/>
  <c r="J151" i="32"/>
  <c r="J152" i="32"/>
  <c r="J153" i="32"/>
  <c r="J154" i="32"/>
  <c r="J155" i="32"/>
  <c r="J156" i="32"/>
  <c r="J157" i="32"/>
  <c r="J158" i="32"/>
  <c r="J159" i="32"/>
  <c r="J160" i="32"/>
  <c r="J161" i="32"/>
  <c r="J162" i="32"/>
  <c r="J163" i="32"/>
  <c r="J164" i="32"/>
  <c r="J165" i="32"/>
  <c r="J166" i="32"/>
  <c r="J167" i="32"/>
  <c r="J168" i="32"/>
  <c r="J169" i="32"/>
  <c r="J170" i="32"/>
  <c r="J171" i="32"/>
  <c r="J172" i="32"/>
  <c r="J173" i="32"/>
  <c r="J174" i="32"/>
  <c r="J175" i="32"/>
  <c r="J176" i="32"/>
  <c r="J177" i="32"/>
  <c r="J178" i="32"/>
  <c r="J179" i="32"/>
  <c r="J180" i="32"/>
  <c r="J181" i="32"/>
  <c r="J182" i="32"/>
  <c r="J183" i="32"/>
  <c r="J184" i="32"/>
  <c r="J185" i="32"/>
  <c r="J186" i="32"/>
  <c r="J187" i="32"/>
  <c r="J188" i="32"/>
  <c r="J189" i="32"/>
  <c r="J190" i="32"/>
  <c r="J191" i="32"/>
  <c r="J192" i="32"/>
  <c r="J193" i="32"/>
  <c r="J194" i="32"/>
  <c r="J195" i="32"/>
  <c r="J196" i="32"/>
  <c r="J197" i="32"/>
  <c r="J198" i="32"/>
  <c r="J199" i="32"/>
  <c r="J200" i="32"/>
  <c r="J201" i="32"/>
  <c r="J202" i="32"/>
  <c r="J203" i="32"/>
  <c r="J204" i="32"/>
  <c r="J205" i="32"/>
  <c r="J206" i="32"/>
  <c r="J207" i="32"/>
  <c r="J208" i="32"/>
  <c r="J209" i="32"/>
  <c r="J210" i="32"/>
  <c r="J211" i="32"/>
  <c r="J212" i="32"/>
  <c r="J213" i="32"/>
  <c r="J214" i="32"/>
  <c r="J215" i="32"/>
  <c r="J216" i="32"/>
  <c r="J217" i="32"/>
  <c r="J218" i="32"/>
  <c r="J219" i="32"/>
  <c r="J220" i="32"/>
  <c r="J221" i="32"/>
  <c r="J222" i="32"/>
  <c r="J223" i="32"/>
  <c r="J224" i="32"/>
  <c r="J8" i="32"/>
  <c r="D59" i="4" l="1"/>
  <c r="I43" i="4" l="1"/>
  <c r="DA37" i="52" l="1"/>
  <c r="H8" i="38"/>
  <c r="H9" i="38" s="1"/>
  <c r="H10" i="38" s="1"/>
  <c r="H11" i="38" s="1"/>
  <c r="H12" i="38" s="1"/>
  <c r="H13" i="38" s="1"/>
  <c r="AD10" i="33"/>
  <c r="K8" i="32"/>
  <c r="AC10" i="33"/>
  <c r="AC105" i="33"/>
  <c r="AC106" i="33"/>
  <c r="AC11" i="33"/>
  <c r="AC12" i="33"/>
  <c r="AC13" i="33"/>
  <c r="AC14" i="33"/>
  <c r="AC15" i="33"/>
  <c r="AC16" i="33"/>
  <c r="AC17" i="33"/>
  <c r="AC18" i="33"/>
  <c r="AC19" i="33"/>
  <c r="AC20" i="33"/>
  <c r="AC21" i="33"/>
  <c r="AC22" i="33"/>
  <c r="AC23" i="33"/>
  <c r="AC24" i="33"/>
  <c r="AC25" i="33"/>
  <c r="AC26" i="33"/>
  <c r="AC27" i="33"/>
  <c r="AC28" i="33"/>
  <c r="AC29" i="33"/>
  <c r="AC30" i="33"/>
  <c r="AC31" i="33"/>
  <c r="AC32" i="33"/>
  <c r="AC33" i="33"/>
  <c r="AC34" i="33"/>
  <c r="AC35" i="33"/>
  <c r="AC36" i="33"/>
  <c r="AC37" i="33"/>
  <c r="AC38" i="33"/>
  <c r="AC39" i="33"/>
  <c r="AC40" i="33"/>
  <c r="AC41" i="33"/>
  <c r="AC42" i="33"/>
  <c r="AC43" i="33"/>
  <c r="AC44" i="33"/>
  <c r="AC45" i="33"/>
  <c r="AC46" i="33"/>
  <c r="AC47" i="33"/>
  <c r="AC48" i="33"/>
  <c r="AC49" i="33"/>
  <c r="AC50" i="33"/>
  <c r="AC51" i="33"/>
  <c r="AC52" i="33"/>
  <c r="AC53" i="33"/>
  <c r="AC54" i="33"/>
  <c r="AC55" i="33"/>
  <c r="AC56" i="33"/>
  <c r="AC57" i="33"/>
  <c r="AC58" i="33"/>
  <c r="AC59" i="33"/>
  <c r="AC60" i="33"/>
  <c r="AC61" i="33"/>
  <c r="AC62" i="33"/>
  <c r="AC63" i="33"/>
  <c r="AC64" i="33"/>
  <c r="AC65" i="33"/>
  <c r="AC66" i="33"/>
  <c r="AC67" i="33"/>
  <c r="AC68" i="33"/>
  <c r="AC69" i="33"/>
  <c r="AC70" i="33"/>
  <c r="AC71" i="33"/>
  <c r="AC72" i="33"/>
  <c r="AC73" i="33"/>
  <c r="AC74" i="33"/>
  <c r="AC75" i="33"/>
  <c r="AC76" i="33"/>
  <c r="AC77" i="33"/>
  <c r="AC78" i="33"/>
  <c r="AC79" i="33"/>
  <c r="AC80" i="33"/>
  <c r="AC81" i="33"/>
  <c r="AC82" i="33"/>
  <c r="AC83" i="33"/>
  <c r="AC84" i="33"/>
  <c r="AC85" i="33"/>
  <c r="AC86" i="33"/>
  <c r="AC87" i="33"/>
  <c r="AC88" i="33"/>
  <c r="AC89" i="33"/>
  <c r="AC90" i="33"/>
  <c r="AC91" i="33"/>
  <c r="AC92" i="33"/>
  <c r="AC93" i="33"/>
  <c r="AC94" i="33"/>
  <c r="AC95" i="33"/>
  <c r="AC96" i="33"/>
  <c r="AC97" i="33"/>
  <c r="AC98" i="33"/>
  <c r="AC99" i="33"/>
  <c r="AC100" i="33"/>
  <c r="AC101" i="33"/>
  <c r="AC102" i="33"/>
  <c r="AC103" i="33"/>
  <c r="AC104" i="33"/>
  <c r="AC107" i="33"/>
  <c r="AC108" i="33"/>
  <c r="AC109" i="33"/>
  <c r="AC110" i="33"/>
  <c r="AC111" i="33"/>
  <c r="AC112" i="33"/>
  <c r="AC113" i="33"/>
  <c r="AC114" i="33"/>
  <c r="AC115" i="33"/>
  <c r="AC116" i="33"/>
  <c r="AC117" i="33"/>
  <c r="AC118" i="33"/>
  <c r="AC119" i="33"/>
  <c r="AC120" i="33"/>
  <c r="AC121" i="33"/>
  <c r="AC122" i="33"/>
  <c r="AC123" i="33"/>
  <c r="AC124" i="33"/>
  <c r="AC125" i="33"/>
  <c r="AC126" i="33"/>
  <c r="AC127" i="33"/>
  <c r="AC128" i="33"/>
  <c r="AC129" i="33"/>
  <c r="AC130" i="33"/>
  <c r="AC131" i="33"/>
  <c r="AC132" i="33"/>
  <c r="AC133" i="33"/>
  <c r="AC134" i="33"/>
  <c r="AC135" i="33"/>
  <c r="AC136" i="33"/>
  <c r="AC137" i="33"/>
  <c r="AC138" i="33"/>
  <c r="AC139" i="33"/>
  <c r="AC140" i="33"/>
  <c r="AC141" i="33"/>
  <c r="AC142" i="33"/>
  <c r="AC143" i="33"/>
  <c r="AC144" i="33"/>
  <c r="AC145" i="33"/>
  <c r="AC146" i="33"/>
  <c r="AC147" i="33"/>
  <c r="AC148" i="33"/>
  <c r="AC149" i="33"/>
  <c r="AC150" i="33"/>
  <c r="AC151" i="33"/>
  <c r="AC152" i="33"/>
  <c r="AC153" i="33"/>
  <c r="AC154" i="33"/>
  <c r="AC155" i="33"/>
  <c r="AC156" i="33"/>
  <c r="AC157" i="33"/>
  <c r="AC158" i="33"/>
  <c r="AC159" i="33"/>
  <c r="AC160" i="33"/>
  <c r="AC161" i="33"/>
  <c r="AC162" i="33"/>
  <c r="AC163" i="33"/>
  <c r="AC164" i="33"/>
  <c r="AC165" i="33"/>
  <c r="AC166" i="33"/>
  <c r="AC167" i="33"/>
  <c r="AC168" i="33"/>
  <c r="AC169" i="33"/>
  <c r="AC170" i="33"/>
  <c r="AC171" i="33"/>
  <c r="AC172" i="33"/>
  <c r="AC173" i="33"/>
  <c r="AC174" i="33"/>
  <c r="AC175" i="33"/>
  <c r="AC176" i="33"/>
  <c r="AC177" i="33"/>
  <c r="AC178" i="33"/>
  <c r="AC179" i="33"/>
  <c r="AC180" i="33"/>
  <c r="AC181" i="33"/>
  <c r="AC182" i="33"/>
  <c r="AC183" i="33"/>
  <c r="AC184" i="33"/>
  <c r="AC185" i="33"/>
  <c r="AC186" i="33"/>
  <c r="AC187" i="33"/>
  <c r="AC188" i="33"/>
  <c r="AC189" i="33"/>
  <c r="AC190" i="33"/>
  <c r="AC191" i="33"/>
  <c r="AC192" i="33"/>
  <c r="AC193" i="33"/>
  <c r="AC194" i="33"/>
  <c r="AC195" i="33"/>
  <c r="AC196" i="33"/>
  <c r="AC197" i="33"/>
  <c r="AC198" i="33"/>
  <c r="AC199" i="33"/>
  <c r="AC200" i="33"/>
  <c r="AC201" i="33"/>
  <c r="AC202" i="33"/>
  <c r="AC203" i="33"/>
  <c r="AC204" i="33"/>
  <c r="AC205" i="33"/>
  <c r="AC206" i="33"/>
  <c r="AC207" i="33"/>
  <c r="AC208" i="33"/>
  <c r="AC209" i="33"/>
  <c r="AC210" i="33"/>
  <c r="AC211" i="33"/>
  <c r="AC212" i="33"/>
  <c r="AC213" i="33"/>
  <c r="AC214" i="33"/>
  <c r="AC215" i="33"/>
  <c r="AC216" i="33"/>
  <c r="AC217" i="33"/>
  <c r="AC218" i="33"/>
  <c r="AC219" i="33"/>
  <c r="AC220" i="33"/>
  <c r="AC221" i="33"/>
  <c r="AC222" i="33"/>
  <c r="AC223" i="33"/>
  <c r="AC224" i="33"/>
  <c r="AC225" i="33"/>
  <c r="AC226" i="33"/>
  <c r="AC227" i="33"/>
  <c r="AC228" i="33"/>
  <c r="AC229" i="33"/>
  <c r="AC230" i="33"/>
  <c r="AC231" i="33"/>
  <c r="AC232" i="33"/>
  <c r="AC233" i="33"/>
  <c r="AC234" i="33"/>
  <c r="O10" i="33"/>
  <c r="O11" i="33"/>
  <c r="K59" i="4"/>
  <c r="F22" i="52" s="1"/>
  <c r="K8" i="38" l="1"/>
  <c r="AE22" i="52"/>
  <c r="O44" i="4" l="1"/>
  <c r="O43" i="4"/>
  <c r="O42" i="4"/>
  <c r="O35" i="4"/>
  <c r="P35" i="4"/>
  <c r="I42" i="4"/>
  <c r="U43" i="4"/>
  <c r="F7" i="1"/>
  <c r="CC18" i="52"/>
  <c r="P4" i="32"/>
  <c r="B53" i="50" l="1"/>
  <c r="K230" i="33"/>
  <c r="K229" i="33"/>
  <c r="K228" i="33"/>
  <c r="K227" i="33"/>
  <c r="K226" i="33"/>
  <c r="K225" i="33"/>
  <c r="W230" i="33" l="1"/>
  <c r="V230" i="33"/>
  <c r="U230" i="33"/>
  <c r="O230" i="33"/>
  <c r="W229" i="33"/>
  <c r="V229" i="33"/>
  <c r="U229" i="33"/>
  <c r="O229" i="33"/>
  <c r="W228" i="33"/>
  <c r="V228" i="33"/>
  <c r="U228" i="33"/>
  <c r="O228" i="33"/>
  <c r="W227" i="33"/>
  <c r="V227" i="33"/>
  <c r="U227" i="33"/>
  <c r="O227" i="33"/>
  <c r="W226" i="33"/>
  <c r="V226" i="33"/>
  <c r="U226" i="33"/>
  <c r="O226" i="33"/>
  <c r="W225" i="33"/>
  <c r="V225" i="33"/>
  <c r="U225" i="33"/>
  <c r="O225" i="33"/>
  <c r="W224" i="33"/>
  <c r="V224" i="33"/>
  <c r="U224" i="33"/>
  <c r="O224" i="33"/>
  <c r="C110" i="40" l="1"/>
  <c r="C101" i="40"/>
  <c r="C91" i="40"/>
  <c r="C79" i="40"/>
  <c r="C64" i="40"/>
  <c r="C53" i="40"/>
  <c r="C44" i="40"/>
  <c r="C34" i="40"/>
  <c r="C21" i="40"/>
  <c r="C14" i="40"/>
  <c r="C111" i="39"/>
  <c r="C100" i="39"/>
  <c r="C89" i="39"/>
  <c r="C78" i="39"/>
  <c r="C66" i="39"/>
  <c r="C56" i="39"/>
  <c r="C46" i="39"/>
  <c r="C36" i="39"/>
  <c r="C26" i="39"/>
  <c r="C16" i="39"/>
  <c r="C103" i="38"/>
  <c r="C93" i="38"/>
  <c r="C81" i="38"/>
  <c r="C71" i="38"/>
  <c r="C62" i="38"/>
  <c r="C50" i="38"/>
  <c r="C42" i="38"/>
  <c r="C34" i="38"/>
  <c r="C23" i="38"/>
  <c r="C13" i="38"/>
  <c r="D96" i="37"/>
  <c r="C96" i="37"/>
  <c r="D95" i="37"/>
  <c r="D94" i="37"/>
  <c r="D93" i="37"/>
  <c r="D92" i="37"/>
  <c r="D91" i="37"/>
  <c r="D90" i="37"/>
  <c r="D87" i="37"/>
  <c r="C87" i="37"/>
  <c r="D86" i="37"/>
  <c r="D85" i="37"/>
  <c r="D84" i="37"/>
  <c r="D83" i="37"/>
  <c r="D82" i="37"/>
  <c r="D81" i="37"/>
  <c r="D78" i="37"/>
  <c r="C78" i="37"/>
  <c r="D77" i="37"/>
  <c r="D76" i="37"/>
  <c r="D75" i="37"/>
  <c r="D74" i="37"/>
  <c r="D73" i="37"/>
  <c r="D72" i="37"/>
  <c r="D70" i="37"/>
  <c r="D69" i="37"/>
  <c r="D68" i="37"/>
  <c r="D67" i="37"/>
  <c r="D66" i="37"/>
  <c r="D65" i="37"/>
  <c r="D64" i="37"/>
  <c r="D63" i="37"/>
  <c r="D60" i="37"/>
  <c r="C60" i="37"/>
  <c r="D59" i="37"/>
  <c r="D58" i="37"/>
  <c r="D57" i="37"/>
  <c r="D56" i="37"/>
  <c r="D55" i="37"/>
  <c r="D54" i="37"/>
  <c r="D51" i="37"/>
  <c r="C51" i="37"/>
  <c r="D50" i="37"/>
  <c r="D49" i="37"/>
  <c r="D48" i="37"/>
  <c r="D47" i="37"/>
  <c r="D46" i="37"/>
  <c r="D45" i="37"/>
  <c r="D42" i="37"/>
  <c r="C42" i="37"/>
  <c r="D41" i="37"/>
  <c r="D40" i="37"/>
  <c r="D39" i="37"/>
  <c r="D38" i="37"/>
  <c r="D37" i="37"/>
  <c r="D36" i="37"/>
  <c r="C33" i="37"/>
  <c r="D32" i="37"/>
  <c r="D33" i="37" s="1"/>
  <c r="D31" i="37"/>
  <c r="D30" i="37"/>
  <c r="D29" i="37"/>
  <c r="D28" i="37"/>
  <c r="D27" i="37"/>
  <c r="D24" i="37"/>
  <c r="C24" i="37"/>
  <c r="D23" i="37"/>
  <c r="D22" i="37"/>
  <c r="D21" i="37"/>
  <c r="D20" i="37"/>
  <c r="D19" i="37"/>
  <c r="D18" i="37"/>
  <c r="D15" i="37"/>
  <c r="C15" i="37"/>
  <c r="D14" i="37"/>
  <c r="D13" i="37"/>
  <c r="D12" i="37"/>
  <c r="D11" i="37"/>
  <c r="D10" i="37"/>
  <c r="D9" i="37"/>
  <c r="D8" i="37"/>
  <c r="Y209" i="33"/>
  <c r="X209" i="33" s="1"/>
  <c r="Y215" i="33"/>
  <c r="X215" i="33" s="1"/>
  <c r="W215" i="33"/>
  <c r="V215" i="33"/>
  <c r="U215" i="33"/>
  <c r="O215" i="33"/>
  <c r="Y214" i="33"/>
  <c r="X214" i="33" s="1"/>
  <c r="W214" i="33"/>
  <c r="V214" i="33"/>
  <c r="U214" i="33"/>
  <c r="O214" i="33"/>
  <c r="Y213" i="33"/>
  <c r="X213" i="33" s="1"/>
  <c r="W213" i="33"/>
  <c r="V213" i="33"/>
  <c r="U213" i="33"/>
  <c r="O213" i="33"/>
  <c r="Y212" i="33"/>
  <c r="X212" i="33" s="1"/>
  <c r="W212" i="33"/>
  <c r="V212" i="33"/>
  <c r="U212" i="33"/>
  <c r="O212" i="33"/>
  <c r="Y211" i="33"/>
  <c r="X211" i="33" s="1"/>
  <c r="W211" i="33"/>
  <c r="V211" i="33"/>
  <c r="U211" i="33"/>
  <c r="O211" i="33"/>
  <c r="Y210" i="33"/>
  <c r="X210" i="33" s="1"/>
  <c r="W210" i="33"/>
  <c r="V210" i="33"/>
  <c r="U210" i="33"/>
  <c r="O210" i="33"/>
  <c r="W209" i="33"/>
  <c r="V209" i="33"/>
  <c r="U209" i="33"/>
  <c r="O209" i="33"/>
  <c r="Y200" i="33"/>
  <c r="X200" i="33" s="1"/>
  <c r="W200" i="33"/>
  <c r="V200" i="33"/>
  <c r="U200" i="33"/>
  <c r="Y199" i="33"/>
  <c r="X199" i="33" s="1"/>
  <c r="W199" i="33"/>
  <c r="V199" i="33"/>
  <c r="U199" i="33"/>
  <c r="Y198" i="33"/>
  <c r="X198" i="33" s="1"/>
  <c r="W198" i="33"/>
  <c r="V198" i="33"/>
  <c r="U198" i="33"/>
  <c r="Y197" i="33"/>
  <c r="X197" i="33" s="1"/>
  <c r="W197" i="33"/>
  <c r="V197" i="33"/>
  <c r="U197" i="33"/>
  <c r="Y196" i="33"/>
  <c r="X196" i="33" s="1"/>
  <c r="W196" i="33"/>
  <c r="V196" i="33"/>
  <c r="U196" i="33"/>
  <c r="Y195" i="33"/>
  <c r="X195" i="33" s="1"/>
  <c r="W195" i="33"/>
  <c r="V195" i="33"/>
  <c r="U195" i="33"/>
  <c r="Y194" i="33"/>
  <c r="X194" i="33" s="1"/>
  <c r="W194" i="33"/>
  <c r="V194" i="33"/>
  <c r="U194" i="33"/>
  <c r="O200" i="33"/>
  <c r="O199" i="33"/>
  <c r="O198" i="33"/>
  <c r="O197" i="33"/>
  <c r="O196" i="33"/>
  <c r="O195" i="33"/>
  <c r="O194" i="33"/>
  <c r="O185" i="33"/>
  <c r="O184" i="33"/>
  <c r="O183" i="33"/>
  <c r="O182" i="33"/>
  <c r="O181" i="33"/>
  <c r="O180" i="33"/>
  <c r="O179" i="33"/>
  <c r="O170" i="33"/>
  <c r="O169" i="33"/>
  <c r="O168" i="33"/>
  <c r="O167" i="33"/>
  <c r="O166" i="33"/>
  <c r="O165" i="33"/>
  <c r="O164" i="33"/>
  <c r="O156" i="33"/>
  <c r="O155" i="33"/>
  <c r="O154" i="33"/>
  <c r="O153" i="33"/>
  <c r="O152" i="33"/>
  <c r="O151" i="33"/>
  <c r="O150" i="33"/>
  <c r="O141" i="33"/>
  <c r="O140" i="33"/>
  <c r="O139" i="33"/>
  <c r="O138" i="33"/>
  <c r="O137" i="33"/>
  <c r="O136" i="33"/>
  <c r="O135" i="33"/>
  <c r="Y126" i="33"/>
  <c r="X126" i="33" s="1"/>
  <c r="W126" i="33"/>
  <c r="V126" i="33"/>
  <c r="U126" i="33"/>
  <c r="O126" i="33"/>
  <c r="Y125" i="33"/>
  <c r="X125" i="33" s="1"/>
  <c r="W125" i="33"/>
  <c r="V125" i="33"/>
  <c r="U125" i="33"/>
  <c r="O125" i="33"/>
  <c r="Y124" i="33"/>
  <c r="X124" i="33" s="1"/>
  <c r="W124" i="33"/>
  <c r="V124" i="33"/>
  <c r="U124" i="33"/>
  <c r="O124" i="33"/>
  <c r="Y123" i="33"/>
  <c r="X123" i="33" s="1"/>
  <c r="W123" i="33"/>
  <c r="V123" i="33"/>
  <c r="U123" i="33"/>
  <c r="O123" i="33"/>
  <c r="Y122" i="33"/>
  <c r="X122" i="33" s="1"/>
  <c r="W122" i="33"/>
  <c r="V122" i="33"/>
  <c r="U122" i="33"/>
  <c r="O122" i="33"/>
  <c r="Y121" i="33"/>
  <c r="X121" i="33" s="1"/>
  <c r="W121" i="33"/>
  <c r="V121" i="33"/>
  <c r="U121" i="33"/>
  <c r="O121" i="33"/>
  <c r="Y120" i="33"/>
  <c r="X120" i="33" s="1"/>
  <c r="W120" i="33"/>
  <c r="V120" i="33"/>
  <c r="U120" i="33"/>
  <c r="O120" i="33"/>
  <c r="Y111" i="33"/>
  <c r="X111" i="33" s="1"/>
  <c r="W111" i="33"/>
  <c r="V111" i="33"/>
  <c r="U111" i="33"/>
  <c r="O111" i="33"/>
  <c r="Y110" i="33"/>
  <c r="X110" i="33" s="1"/>
  <c r="W110" i="33"/>
  <c r="V110" i="33"/>
  <c r="U110" i="33"/>
  <c r="O110" i="33"/>
  <c r="Y109" i="33"/>
  <c r="X109" i="33" s="1"/>
  <c r="W109" i="33"/>
  <c r="V109" i="33"/>
  <c r="U109" i="33"/>
  <c r="O109" i="33"/>
  <c r="Y108" i="33"/>
  <c r="X108" i="33" s="1"/>
  <c r="W108" i="33"/>
  <c r="V108" i="33"/>
  <c r="U108" i="33"/>
  <c r="O108" i="33"/>
  <c r="Y107" i="33"/>
  <c r="X107" i="33" s="1"/>
  <c r="W107" i="33"/>
  <c r="V107" i="33"/>
  <c r="U107" i="33"/>
  <c r="O107" i="33"/>
  <c r="Y106" i="33"/>
  <c r="X106" i="33" s="1"/>
  <c r="W106" i="33"/>
  <c r="V106" i="33"/>
  <c r="U106" i="33"/>
  <c r="O106" i="33"/>
  <c r="Y105" i="33"/>
  <c r="X105" i="33" s="1"/>
  <c r="W105" i="33"/>
  <c r="V105" i="33"/>
  <c r="U105" i="33"/>
  <c r="Y81" i="33"/>
  <c r="W81" i="33"/>
  <c r="V81" i="33"/>
  <c r="U81" i="33"/>
  <c r="O81" i="33"/>
  <c r="Y80" i="33"/>
  <c r="W80" i="33"/>
  <c r="V80" i="33"/>
  <c r="U80" i="33"/>
  <c r="O80" i="33"/>
  <c r="Y79" i="33"/>
  <c r="W79" i="33"/>
  <c r="V79" i="33"/>
  <c r="U79" i="33"/>
  <c r="O79" i="33"/>
  <c r="Y78" i="33"/>
  <c r="W78" i="33"/>
  <c r="V78" i="33"/>
  <c r="U78" i="33"/>
  <c r="O78" i="33"/>
  <c r="Y77" i="33"/>
  <c r="W77" i="33"/>
  <c r="V77" i="33"/>
  <c r="U77" i="33"/>
  <c r="O77" i="33"/>
  <c r="Y76" i="33"/>
  <c r="W76" i="33"/>
  <c r="V76" i="33"/>
  <c r="U76" i="33"/>
  <c r="O76" i="33"/>
  <c r="Y75" i="33"/>
  <c r="W75" i="33"/>
  <c r="V75" i="33"/>
  <c r="U75" i="33"/>
  <c r="O75" i="33"/>
  <c r="Y66" i="33"/>
  <c r="X66" i="33" s="1"/>
  <c r="W66" i="33"/>
  <c r="V66" i="33"/>
  <c r="U66" i="33"/>
  <c r="O66" i="33"/>
  <c r="Y65" i="33"/>
  <c r="X65" i="33" s="1"/>
  <c r="W65" i="33"/>
  <c r="V65" i="33"/>
  <c r="U65" i="33"/>
  <c r="O65" i="33"/>
  <c r="Y64" i="33"/>
  <c r="X64" i="33" s="1"/>
  <c r="W64" i="33"/>
  <c r="V64" i="33"/>
  <c r="U64" i="33"/>
  <c r="O64" i="33"/>
  <c r="Y63" i="33"/>
  <c r="X63" i="33" s="1"/>
  <c r="W63" i="33"/>
  <c r="V63" i="33"/>
  <c r="U63" i="33"/>
  <c r="O63" i="33"/>
  <c r="Y62" i="33"/>
  <c r="X62" i="33" s="1"/>
  <c r="W62" i="33"/>
  <c r="V62" i="33"/>
  <c r="U62" i="33"/>
  <c r="O62" i="33"/>
  <c r="Y61" i="33"/>
  <c r="X61" i="33" s="1"/>
  <c r="W61" i="33"/>
  <c r="V61" i="33"/>
  <c r="U61" i="33"/>
  <c r="O61" i="33"/>
  <c r="Y60" i="33"/>
  <c r="X60" i="33" s="1"/>
  <c r="W60" i="33"/>
  <c r="V60" i="33"/>
  <c r="U60" i="33"/>
  <c r="O60" i="33"/>
  <c r="Y51" i="33"/>
  <c r="W51" i="33"/>
  <c r="V51" i="33"/>
  <c r="U51" i="33"/>
  <c r="O51" i="33"/>
  <c r="Y50" i="33"/>
  <c r="W50" i="33"/>
  <c r="V50" i="33"/>
  <c r="U50" i="33"/>
  <c r="O50" i="33"/>
  <c r="Y49" i="33"/>
  <c r="W49" i="33"/>
  <c r="V49" i="33"/>
  <c r="U49" i="33"/>
  <c r="O49" i="33"/>
  <c r="Y48" i="33"/>
  <c r="W48" i="33"/>
  <c r="V48" i="33"/>
  <c r="U48" i="33"/>
  <c r="O48" i="33"/>
  <c r="Y47" i="33"/>
  <c r="W47" i="33"/>
  <c r="V47" i="33"/>
  <c r="U47" i="33"/>
  <c r="O47" i="33"/>
  <c r="Y46" i="33"/>
  <c r="W46" i="33"/>
  <c r="V46" i="33"/>
  <c r="U46" i="33"/>
  <c r="O46" i="33"/>
  <c r="Y45" i="33"/>
  <c r="W45" i="33"/>
  <c r="V45" i="33"/>
  <c r="U45" i="33"/>
  <c r="O45" i="33"/>
  <c r="Y36" i="33"/>
  <c r="W36" i="33"/>
  <c r="V36" i="33"/>
  <c r="U36" i="33"/>
  <c r="O36" i="33"/>
  <c r="Y35" i="33"/>
  <c r="W35" i="33"/>
  <c r="V35" i="33"/>
  <c r="U35" i="33"/>
  <c r="O35" i="33"/>
  <c r="Y34" i="33"/>
  <c r="W34" i="33"/>
  <c r="V34" i="33"/>
  <c r="U34" i="33"/>
  <c r="O34" i="33"/>
  <c r="Y33" i="33"/>
  <c r="W33" i="33"/>
  <c r="V33" i="33"/>
  <c r="U33" i="33"/>
  <c r="O33" i="33"/>
  <c r="Y32" i="33"/>
  <c r="W32" i="33"/>
  <c r="V32" i="33"/>
  <c r="U32" i="33"/>
  <c r="X32" i="33" s="1"/>
  <c r="O32" i="33"/>
  <c r="Y31" i="33"/>
  <c r="W31" i="33"/>
  <c r="V31" i="33"/>
  <c r="U31" i="33"/>
  <c r="O31" i="33"/>
  <c r="Y30" i="33"/>
  <c r="W30" i="33"/>
  <c r="V30" i="33"/>
  <c r="U30" i="33"/>
  <c r="O30" i="33"/>
  <c r="Y26" i="33"/>
  <c r="X26" i="33" s="1"/>
  <c r="W26" i="33"/>
  <c r="V26" i="33"/>
  <c r="U26" i="33"/>
  <c r="O26" i="33"/>
  <c r="Y25" i="33"/>
  <c r="X25" i="33" s="1"/>
  <c r="W25" i="33"/>
  <c r="V25" i="33"/>
  <c r="U25" i="33"/>
  <c r="O25" i="33"/>
  <c r="Y24" i="33"/>
  <c r="X24" i="33" s="1"/>
  <c r="W24" i="33"/>
  <c r="V24" i="33"/>
  <c r="U24" i="33"/>
  <c r="O24" i="33"/>
  <c r="Y23" i="33"/>
  <c r="X23" i="33" s="1"/>
  <c r="W23" i="33"/>
  <c r="V23" i="33"/>
  <c r="U23" i="33"/>
  <c r="O23" i="33"/>
  <c r="Y22" i="33"/>
  <c r="X22" i="33" s="1"/>
  <c r="W22" i="33"/>
  <c r="V22" i="33"/>
  <c r="U22" i="33"/>
  <c r="O22" i="33"/>
  <c r="Y21" i="33"/>
  <c r="X21" i="33" s="1"/>
  <c r="W21" i="33"/>
  <c r="V21" i="33"/>
  <c r="U21" i="33"/>
  <c r="O21" i="33"/>
  <c r="Y20" i="33"/>
  <c r="X20" i="33" s="1"/>
  <c r="W20" i="33"/>
  <c r="V20" i="33"/>
  <c r="U20" i="33"/>
  <c r="O20" i="33"/>
  <c r="Y16" i="33"/>
  <c r="W16" i="33"/>
  <c r="V16" i="33"/>
  <c r="U16" i="33"/>
  <c r="O16" i="33"/>
  <c r="Y15" i="33"/>
  <c r="W15" i="33"/>
  <c r="V15" i="33"/>
  <c r="U15" i="33"/>
  <c r="O15" i="33"/>
  <c r="Y14" i="33"/>
  <c r="W14" i="33"/>
  <c r="V14" i="33"/>
  <c r="U14" i="33"/>
  <c r="O14" i="33"/>
  <c r="Y13" i="33"/>
  <c r="W13" i="33"/>
  <c r="V13" i="33"/>
  <c r="U13" i="33"/>
  <c r="O13" i="33"/>
  <c r="Y12" i="33"/>
  <c r="W12" i="33"/>
  <c r="V12" i="33"/>
  <c r="U12" i="33"/>
  <c r="O12" i="33"/>
  <c r="Y11" i="33"/>
  <c r="W11" i="33"/>
  <c r="V11" i="33"/>
  <c r="U11" i="33"/>
  <c r="Y10" i="33"/>
  <c r="W10" i="33"/>
  <c r="V10" i="33"/>
  <c r="U10" i="33"/>
  <c r="X79" i="33" l="1"/>
  <c r="X47" i="33"/>
  <c r="X14" i="33"/>
  <c r="X46" i="33"/>
  <c r="X49" i="33"/>
  <c r="X51" i="33"/>
  <c r="X31" i="33"/>
  <c r="X35" i="33"/>
  <c r="X50" i="33"/>
  <c r="X75" i="33"/>
  <c r="X11" i="33"/>
  <c r="X30" i="33"/>
  <c r="X33" i="33"/>
  <c r="X36" i="33"/>
  <c r="X76" i="33"/>
  <c r="X77" i="33"/>
  <c r="X78" i="33"/>
  <c r="X10" i="33"/>
  <c r="X15" i="33"/>
  <c r="X34" i="33"/>
  <c r="X45" i="33"/>
  <c r="X48" i="33"/>
  <c r="X80" i="33"/>
  <c r="X81" i="33"/>
  <c r="X13" i="33"/>
  <c r="X12" i="33"/>
  <c r="X16" i="33"/>
  <c r="CN43" i="52" l="1"/>
  <c r="CN37" i="52"/>
  <c r="CC43" i="52"/>
  <c r="CC37" i="52"/>
  <c r="CH37" i="52" l="1"/>
  <c r="CD37" i="52"/>
  <c r="CS43" i="52"/>
  <c r="CH43" i="52"/>
  <c r="CS37" i="52"/>
  <c r="CF37" i="52"/>
  <c r="CE37" i="52"/>
  <c r="CG37" i="52"/>
  <c r="CN24" i="52"/>
  <c r="CN18" i="52"/>
  <c r="CC24" i="52"/>
  <c r="B45" i="51" l="1"/>
  <c r="B46" i="51" s="1"/>
  <c r="B43" i="51"/>
  <c r="A3" i="51"/>
  <c r="F6" i="51" s="1"/>
  <c r="E26" i="51"/>
  <c r="A2" i="51" l="1"/>
  <c r="B50" i="51" s="1"/>
  <c r="A17" i="51" l="1"/>
  <c r="A21" i="51"/>
  <c r="A19" i="51"/>
  <c r="A22" i="51"/>
  <c r="A20" i="51"/>
  <c r="B40" i="1" l="1"/>
  <c r="B40" i="50" s="1"/>
  <c r="B67" i="50"/>
  <c r="D20" i="51" s="1"/>
  <c r="B61" i="50"/>
  <c r="F50" i="50"/>
  <c r="F49" i="50"/>
  <c r="J48" i="50"/>
  <c r="H48" i="50"/>
  <c r="F48" i="50"/>
  <c r="N45" i="50"/>
  <c r="M45" i="50"/>
  <c r="L45" i="50"/>
  <c r="K45" i="50"/>
  <c r="F45" i="50"/>
  <c r="C39" i="50"/>
  <c r="C38" i="50"/>
  <c r="C37" i="50"/>
  <c r="C36" i="50"/>
  <c r="C35" i="50"/>
  <c r="C34" i="50"/>
  <c r="C33" i="50"/>
  <c r="C32" i="50"/>
  <c r="M29" i="50"/>
  <c r="L29" i="50"/>
  <c r="K29" i="50"/>
  <c r="J29" i="50"/>
  <c r="F29" i="50"/>
  <c r="C29" i="50"/>
  <c r="F19" i="50"/>
  <c r="B19" i="50"/>
  <c r="F18" i="50"/>
  <c r="B18" i="50"/>
  <c r="B16" i="50"/>
  <c r="F11" i="50"/>
  <c r="D23" i="51" s="1"/>
  <c r="A11" i="50"/>
  <c r="F10" i="50"/>
  <c r="D17" i="51" s="1"/>
  <c r="A10" i="50"/>
  <c r="F9" i="50"/>
  <c r="D21" i="51" s="1"/>
  <c r="F6" i="50"/>
  <c r="D10" i="51" s="1"/>
  <c r="A6" i="50"/>
  <c r="F5" i="50"/>
  <c r="D9" i="51" s="1"/>
  <c r="A5" i="50"/>
  <c r="F4" i="50"/>
  <c r="D8" i="51" s="1"/>
  <c r="A4" i="50"/>
  <c r="M31" i="1"/>
  <c r="C40" i="1" l="1"/>
  <c r="C40" i="50" s="1"/>
  <c r="G40" i="1" l="1"/>
  <c r="H40" i="50" s="1"/>
  <c r="C41" i="1"/>
  <c r="C41" i="50" s="1"/>
  <c r="I15" i="1" l="1"/>
  <c r="I14" i="1"/>
  <c r="I14" i="50" l="1"/>
  <c r="I15" i="50"/>
  <c r="B58" i="1"/>
  <c r="O59" i="1"/>
  <c r="B58" i="50" l="1"/>
  <c r="J43" i="4"/>
  <c r="T41" i="4" l="1"/>
  <c r="U144" i="11" l="1"/>
  <c r="U130" i="11"/>
  <c r="U116" i="11"/>
  <c r="U103" i="11"/>
  <c r="U89" i="11"/>
  <c r="U75" i="11"/>
  <c r="U61" i="11"/>
  <c r="U38" i="11"/>
  <c r="U24" i="11"/>
  <c r="U10" i="11"/>
  <c r="S18" i="11"/>
  <c r="S19" i="11"/>
  <c r="O68" i="4"/>
  <c r="O69" i="4"/>
  <c r="O67" i="4"/>
  <c r="Q52" i="4"/>
  <c r="Q53" i="4"/>
  <c r="Q54" i="4"/>
  <c r="Q55" i="4"/>
  <c r="Q56" i="4"/>
  <c r="Q57" i="4"/>
  <c r="Q58" i="4"/>
  <c r="Q59" i="4"/>
  <c r="Q60" i="4"/>
  <c r="Q51" i="4"/>
  <c r="BL52" i="4"/>
  <c r="BN52" i="4" s="1"/>
  <c r="BL53" i="4"/>
  <c r="BN53" i="4" s="1"/>
  <c r="BL54" i="4"/>
  <c r="BL55" i="4"/>
  <c r="BN55" i="4" s="1"/>
  <c r="BL56" i="4"/>
  <c r="BN56" i="4" s="1"/>
  <c r="BQ56" i="4" s="1"/>
  <c r="BL57" i="4"/>
  <c r="BN57" i="4" s="1"/>
  <c r="BQ57" i="4" s="1"/>
  <c r="BL58" i="4"/>
  <c r="BN58" i="4" s="1"/>
  <c r="BL59" i="4"/>
  <c r="BL60" i="4"/>
  <c r="BL51" i="4"/>
  <c r="BN51" i="4" s="1"/>
  <c r="BQ51" i="4" s="1"/>
  <c r="CK48" i="4"/>
  <c r="BX48" i="4"/>
  <c r="BL40" i="4"/>
  <c r="BN40" i="4" s="1"/>
  <c r="BL48" i="4"/>
  <c r="BN48" i="4" s="1"/>
  <c r="BT34" i="4"/>
  <c r="BV33" i="4" s="1"/>
  <c r="BY33" i="4" s="1"/>
  <c r="BQ55" i="4" l="1"/>
  <c r="BN54" i="4"/>
  <c r="BQ54" i="4" s="1"/>
  <c r="BN59" i="4"/>
  <c r="BQ59" i="4" s="1"/>
  <c r="BN60" i="4"/>
  <c r="BQ60" i="4" s="1"/>
  <c r="BQ58" i="4"/>
  <c r="BQ52" i="4"/>
  <c r="BQ53" i="4"/>
  <c r="BQ48" i="4"/>
  <c r="CM48" i="4"/>
  <c r="CP48" i="4" s="1"/>
  <c r="BZ48" i="4"/>
  <c r="CC48" i="4" s="1"/>
  <c r="BQ40" i="4"/>
  <c r="BL33" i="4"/>
  <c r="BN33" i="4" l="1"/>
  <c r="BQ33" i="4" s="1"/>
  <c r="G9" i="40"/>
  <c r="G10" i="40"/>
  <c r="G11" i="40"/>
  <c r="G12" i="40"/>
  <c r="G13" i="40"/>
  <c r="G14" i="40"/>
  <c r="G15" i="40"/>
  <c r="G16" i="40"/>
  <c r="G17" i="40"/>
  <c r="G18" i="40"/>
  <c r="G19" i="40"/>
  <c r="G20" i="40"/>
  <c r="G21" i="40"/>
  <c r="G22" i="40"/>
  <c r="G23" i="40"/>
  <c r="G24" i="40"/>
  <c r="G25" i="40"/>
  <c r="G26" i="40"/>
  <c r="G27" i="40"/>
  <c r="G28" i="40"/>
  <c r="G29" i="40"/>
  <c r="G30" i="40"/>
  <c r="G31" i="40"/>
  <c r="G32" i="40"/>
  <c r="G33" i="40"/>
  <c r="G34" i="40"/>
  <c r="G35" i="40"/>
  <c r="G36" i="40"/>
  <c r="G37" i="40"/>
  <c r="G38" i="40"/>
  <c r="G39" i="40"/>
  <c r="G40" i="40"/>
  <c r="G41" i="40"/>
  <c r="G42" i="40"/>
  <c r="G43" i="40"/>
  <c r="G44" i="40"/>
  <c r="G45" i="40"/>
  <c r="G46" i="40"/>
  <c r="G47" i="40"/>
  <c r="G48" i="40"/>
  <c r="G49" i="40"/>
  <c r="G50" i="40"/>
  <c r="G51" i="40"/>
  <c r="G52" i="40"/>
  <c r="G53" i="40"/>
  <c r="G54" i="40"/>
  <c r="G55" i="40"/>
  <c r="G56" i="40"/>
  <c r="G57" i="40"/>
  <c r="G58" i="40"/>
  <c r="G59" i="40"/>
  <c r="G60" i="40"/>
  <c r="G61" i="40"/>
  <c r="G62" i="40"/>
  <c r="G63" i="40"/>
  <c r="G64" i="40"/>
  <c r="G65" i="40"/>
  <c r="G66" i="40"/>
  <c r="G67" i="40"/>
  <c r="G68" i="40"/>
  <c r="G69" i="40"/>
  <c r="G70" i="40"/>
  <c r="G71" i="40"/>
  <c r="G72" i="40"/>
  <c r="G73" i="40"/>
  <c r="G74" i="40"/>
  <c r="G75" i="40"/>
  <c r="G76" i="40"/>
  <c r="G77" i="40"/>
  <c r="G78" i="40"/>
  <c r="G79" i="40"/>
  <c r="G80" i="40"/>
  <c r="G81" i="40"/>
  <c r="G82" i="40"/>
  <c r="G83" i="40"/>
  <c r="G84" i="40"/>
  <c r="G85" i="40"/>
  <c r="G86" i="40"/>
  <c r="G87" i="40"/>
  <c r="G88" i="40"/>
  <c r="G89" i="40"/>
  <c r="G90" i="40"/>
  <c r="G91" i="40"/>
  <c r="G92" i="40"/>
  <c r="G93" i="40"/>
  <c r="G94" i="40"/>
  <c r="G95" i="40"/>
  <c r="G96" i="40"/>
  <c r="G97" i="40"/>
  <c r="G98" i="40"/>
  <c r="G99" i="40"/>
  <c r="G100" i="40"/>
  <c r="G101" i="40"/>
  <c r="G102" i="40"/>
  <c r="G103" i="40"/>
  <c r="G104" i="40"/>
  <c r="G105" i="40"/>
  <c r="G106" i="40"/>
  <c r="G107" i="40"/>
  <c r="G108" i="40"/>
  <c r="G109" i="40"/>
  <c r="G110" i="40"/>
  <c r="G8" i="40"/>
  <c r="G17" i="39"/>
  <c r="G18" i="39"/>
  <c r="G19" i="39"/>
  <c r="G20" i="39"/>
  <c r="G21" i="39"/>
  <c r="G22" i="39"/>
  <c r="G23" i="39"/>
  <c r="G24" i="39"/>
  <c r="G25" i="39"/>
  <c r="G26" i="39"/>
  <c r="G27" i="39"/>
  <c r="G28" i="39"/>
  <c r="G29" i="39"/>
  <c r="G30" i="39"/>
  <c r="G31" i="39"/>
  <c r="G32" i="39"/>
  <c r="G33" i="39"/>
  <c r="G34" i="39"/>
  <c r="G35" i="39"/>
  <c r="G36" i="39"/>
  <c r="G37" i="39"/>
  <c r="G47" i="39"/>
  <c r="G48" i="39"/>
  <c r="G49" i="39"/>
  <c r="G50" i="39"/>
  <c r="G51" i="39"/>
  <c r="G52" i="39"/>
  <c r="G53" i="39"/>
  <c r="G54" i="39"/>
  <c r="G55" i="39"/>
  <c r="G56" i="39"/>
  <c r="G57" i="39"/>
  <c r="G58" i="39"/>
  <c r="G59" i="39"/>
  <c r="G60" i="39"/>
  <c r="G61" i="39"/>
  <c r="G62" i="39"/>
  <c r="G63" i="39"/>
  <c r="G64" i="39"/>
  <c r="G65" i="39"/>
  <c r="G66" i="39"/>
  <c r="G67" i="39"/>
  <c r="G68" i="39"/>
  <c r="G69" i="39"/>
  <c r="G70" i="39"/>
  <c r="G71" i="39"/>
  <c r="G72" i="39"/>
  <c r="G73" i="39"/>
  <c r="G74" i="39"/>
  <c r="G75" i="39"/>
  <c r="G76" i="39"/>
  <c r="G77" i="39"/>
  <c r="G78" i="39"/>
  <c r="G79" i="39"/>
  <c r="G80" i="39"/>
  <c r="G81" i="39"/>
  <c r="G82" i="39"/>
  <c r="G83" i="39"/>
  <c r="G84" i="39"/>
  <c r="G85" i="39"/>
  <c r="G86" i="39"/>
  <c r="G87" i="39"/>
  <c r="G88" i="39"/>
  <c r="G89" i="39"/>
  <c r="G90" i="39"/>
  <c r="G91" i="39"/>
  <c r="G92" i="39"/>
  <c r="G93" i="39"/>
  <c r="G94" i="39"/>
  <c r="G95" i="39"/>
  <c r="G96" i="39"/>
  <c r="G97" i="39"/>
  <c r="G98" i="39"/>
  <c r="G99" i="39"/>
  <c r="G100" i="39"/>
  <c r="G101" i="39"/>
  <c r="G102" i="39"/>
  <c r="G103" i="39"/>
  <c r="G104" i="39"/>
  <c r="G105" i="39"/>
  <c r="G106" i="39"/>
  <c r="G107" i="39"/>
  <c r="G108" i="39"/>
  <c r="G109" i="39"/>
  <c r="G110" i="39"/>
  <c r="G111" i="39"/>
  <c r="G112" i="39"/>
  <c r="G113" i="39"/>
  <c r="G114" i="39"/>
  <c r="G14" i="38"/>
  <c r="G15" i="38"/>
  <c r="G16" i="38"/>
  <c r="G17" i="38"/>
  <c r="G18" i="38"/>
  <c r="G19" i="38"/>
  <c r="G20" i="38"/>
  <c r="G21" i="38"/>
  <c r="G22" i="38"/>
  <c r="G23" i="38"/>
  <c r="G24" i="38"/>
  <c r="G25" i="38"/>
  <c r="G26" i="38"/>
  <c r="G27" i="38"/>
  <c r="G28" i="38"/>
  <c r="G29" i="38"/>
  <c r="G30" i="38"/>
  <c r="G31" i="38"/>
  <c r="G32" i="38"/>
  <c r="G33" i="38"/>
  <c r="G34" i="38"/>
  <c r="G35" i="38"/>
  <c r="G36" i="38"/>
  <c r="G43" i="38"/>
  <c r="G44" i="38"/>
  <c r="G45" i="38"/>
  <c r="G46" i="38"/>
  <c r="G47" i="38"/>
  <c r="G48" i="38"/>
  <c r="G49" i="38"/>
  <c r="G50" i="38"/>
  <c r="G51" i="38"/>
  <c r="G52" i="38"/>
  <c r="G53" i="38"/>
  <c r="G54" i="38"/>
  <c r="G55" i="38"/>
  <c r="G56" i="38"/>
  <c r="G57" i="38"/>
  <c r="G58" i="38"/>
  <c r="G59" i="38"/>
  <c r="G60" i="38"/>
  <c r="G61" i="38"/>
  <c r="G62" i="38"/>
  <c r="G63" i="38"/>
  <c r="G64" i="38"/>
  <c r="G65" i="38"/>
  <c r="G66" i="38"/>
  <c r="G67" i="38"/>
  <c r="G68" i="38"/>
  <c r="G69" i="38"/>
  <c r="G70" i="38"/>
  <c r="G71" i="38"/>
  <c r="G72" i="38"/>
  <c r="G73" i="38"/>
  <c r="G74" i="38"/>
  <c r="G75" i="38"/>
  <c r="G76" i="38"/>
  <c r="G77" i="38"/>
  <c r="G78" i="38"/>
  <c r="G79" i="38"/>
  <c r="G80" i="38"/>
  <c r="G81" i="38"/>
  <c r="G82" i="38"/>
  <c r="G83" i="38"/>
  <c r="G84" i="38"/>
  <c r="G85" i="38"/>
  <c r="G86" i="38"/>
  <c r="G87" i="38"/>
  <c r="G88" i="38"/>
  <c r="G89" i="38"/>
  <c r="G90" i="38"/>
  <c r="G91" i="38"/>
  <c r="G92" i="38"/>
  <c r="G93" i="38"/>
  <c r="G94" i="38"/>
  <c r="G95" i="38"/>
  <c r="G96" i="38"/>
  <c r="G97" i="38"/>
  <c r="G98" i="38"/>
  <c r="G99" i="38"/>
  <c r="G100" i="38"/>
  <c r="G101" i="38"/>
  <c r="G102" i="38"/>
  <c r="G103" i="38"/>
  <c r="G104" i="38"/>
  <c r="G105" i="38"/>
  <c r="F9" i="39"/>
  <c r="G9" i="39" s="1"/>
  <c r="F10" i="39"/>
  <c r="G10" i="39" s="1"/>
  <c r="F11" i="39"/>
  <c r="G11" i="39" s="1"/>
  <c r="F12" i="39"/>
  <c r="G12" i="39" s="1"/>
  <c r="F13" i="39"/>
  <c r="G13" i="39" s="1"/>
  <c r="F14" i="39"/>
  <c r="G14" i="39" s="1"/>
  <c r="F15" i="39"/>
  <c r="G15" i="39" s="1"/>
  <c r="F16" i="39"/>
  <c r="G16" i="39" s="1"/>
  <c r="F17" i="39"/>
  <c r="F18" i="39"/>
  <c r="F19" i="39"/>
  <c r="F20" i="39"/>
  <c r="F21" i="39"/>
  <c r="F22" i="39"/>
  <c r="F23" i="39"/>
  <c r="F24" i="39"/>
  <c r="F25" i="39"/>
  <c r="F26" i="39"/>
  <c r="F27" i="39"/>
  <c r="F28" i="39"/>
  <c r="F29" i="39"/>
  <c r="F30" i="39"/>
  <c r="F31" i="39"/>
  <c r="F32" i="39"/>
  <c r="F33" i="39"/>
  <c r="F34" i="39"/>
  <c r="F35" i="39"/>
  <c r="F36" i="39"/>
  <c r="F37" i="39"/>
  <c r="F38" i="39"/>
  <c r="G38" i="39" s="1"/>
  <c r="F39" i="39"/>
  <c r="G39" i="39" s="1"/>
  <c r="F40" i="39"/>
  <c r="G40" i="39" s="1"/>
  <c r="F41" i="39"/>
  <c r="G41" i="39" s="1"/>
  <c r="F42" i="39"/>
  <c r="G42" i="39" s="1"/>
  <c r="F43" i="39"/>
  <c r="G43" i="39" s="1"/>
  <c r="F44" i="39"/>
  <c r="G44" i="39" s="1"/>
  <c r="F45" i="39"/>
  <c r="G45" i="39" s="1"/>
  <c r="F46" i="39"/>
  <c r="G46" i="39" s="1"/>
  <c r="F47" i="39"/>
  <c r="F48" i="39"/>
  <c r="F49" i="39"/>
  <c r="F50" i="39"/>
  <c r="F51" i="39"/>
  <c r="F52" i="39"/>
  <c r="F53" i="39"/>
  <c r="F54" i="39"/>
  <c r="F55" i="39"/>
  <c r="F56" i="39"/>
  <c r="F57" i="39"/>
  <c r="F58" i="39"/>
  <c r="F59" i="39"/>
  <c r="F60" i="39"/>
  <c r="F61" i="39"/>
  <c r="F62" i="39"/>
  <c r="F63" i="39"/>
  <c r="F64" i="39"/>
  <c r="F65" i="39"/>
  <c r="F66" i="39"/>
  <c r="F67" i="39"/>
  <c r="F68" i="39"/>
  <c r="F69" i="39"/>
  <c r="F70" i="39"/>
  <c r="F71" i="39"/>
  <c r="F72" i="39"/>
  <c r="F73" i="39"/>
  <c r="F74" i="39"/>
  <c r="F75" i="39"/>
  <c r="F76" i="39"/>
  <c r="F77" i="39"/>
  <c r="F78" i="39"/>
  <c r="F79" i="39"/>
  <c r="F80" i="39"/>
  <c r="F81" i="39"/>
  <c r="F82" i="39"/>
  <c r="F83" i="39"/>
  <c r="F84" i="39"/>
  <c r="F85" i="39"/>
  <c r="F86" i="39"/>
  <c r="F87" i="39"/>
  <c r="F88" i="39"/>
  <c r="F89" i="39"/>
  <c r="F90" i="39"/>
  <c r="F91" i="39"/>
  <c r="F92" i="39"/>
  <c r="F93" i="39"/>
  <c r="F94" i="39"/>
  <c r="F95" i="39"/>
  <c r="F96" i="39"/>
  <c r="F97" i="39"/>
  <c r="F98" i="39"/>
  <c r="F99" i="39"/>
  <c r="F100" i="39"/>
  <c r="F101" i="39"/>
  <c r="F102" i="39"/>
  <c r="F103" i="39"/>
  <c r="F104" i="39"/>
  <c r="F105" i="39"/>
  <c r="F106" i="39"/>
  <c r="F107" i="39"/>
  <c r="F108" i="39"/>
  <c r="F109" i="39"/>
  <c r="F110" i="39"/>
  <c r="F111" i="39"/>
  <c r="F112" i="39"/>
  <c r="F113" i="39"/>
  <c r="F114" i="39"/>
  <c r="H96" i="37"/>
  <c r="H97" i="37"/>
  <c r="H98" i="37"/>
  <c r="H99" i="37"/>
  <c r="H100" i="37"/>
  <c r="I16" i="37"/>
  <c r="I17" i="37"/>
  <c r="I18" i="37"/>
  <c r="I19" i="37"/>
  <c r="I20" i="37"/>
  <c r="I21" i="37"/>
  <c r="I22" i="37"/>
  <c r="I23" i="37"/>
  <c r="I24" i="37"/>
  <c r="I25" i="37"/>
  <c r="I26" i="37"/>
  <c r="I27" i="37"/>
  <c r="I28" i="37"/>
  <c r="I29" i="37"/>
  <c r="I30" i="37"/>
  <c r="I31" i="37"/>
  <c r="I32" i="37"/>
  <c r="I33" i="37"/>
  <c r="I34" i="37"/>
  <c r="I35" i="37"/>
  <c r="I43" i="37"/>
  <c r="I44" i="37"/>
  <c r="I45" i="37"/>
  <c r="I46" i="37"/>
  <c r="I47" i="37"/>
  <c r="I48" i="37"/>
  <c r="I49" i="37"/>
  <c r="I50" i="37"/>
  <c r="I51" i="37"/>
  <c r="I52" i="37"/>
  <c r="I53" i="37"/>
  <c r="I54" i="37"/>
  <c r="I55" i="37"/>
  <c r="I56" i="37"/>
  <c r="I57" i="37"/>
  <c r="I58" i="37"/>
  <c r="I59" i="37"/>
  <c r="I60" i="37"/>
  <c r="I61" i="37"/>
  <c r="I62" i="37"/>
  <c r="I63" i="37"/>
  <c r="I64" i="37"/>
  <c r="I65" i="37"/>
  <c r="I66" i="37"/>
  <c r="I67" i="37"/>
  <c r="I68" i="37"/>
  <c r="I69" i="37"/>
  <c r="I70" i="37"/>
  <c r="I71" i="37"/>
  <c r="I72" i="37"/>
  <c r="I73" i="37"/>
  <c r="I74" i="37"/>
  <c r="I75" i="37"/>
  <c r="I76" i="37"/>
  <c r="I77" i="37"/>
  <c r="I78" i="37"/>
  <c r="I79" i="37"/>
  <c r="I80" i="37"/>
  <c r="I81" i="37"/>
  <c r="I82" i="37"/>
  <c r="I83" i="37"/>
  <c r="I84" i="37"/>
  <c r="I85" i="37"/>
  <c r="I86" i="37"/>
  <c r="I87" i="37"/>
  <c r="I88" i="37"/>
  <c r="I89" i="37"/>
  <c r="I90" i="37"/>
  <c r="I91" i="37"/>
  <c r="I92" i="37"/>
  <c r="I93" i="37"/>
  <c r="I94" i="37"/>
  <c r="I95" i="37"/>
  <c r="I96" i="37"/>
  <c r="I97" i="37"/>
  <c r="I98" i="37"/>
  <c r="I99" i="37"/>
  <c r="I100" i="37"/>
  <c r="H70" i="37"/>
  <c r="H71" i="37"/>
  <c r="H72" i="37"/>
  <c r="H73" i="37"/>
  <c r="H74" i="37"/>
  <c r="H75" i="37"/>
  <c r="H76" i="37"/>
  <c r="H77" i="37"/>
  <c r="H78" i="37"/>
  <c r="H79" i="37"/>
  <c r="H80" i="37"/>
  <c r="H81" i="37"/>
  <c r="H82" i="37"/>
  <c r="H83" i="37"/>
  <c r="H84" i="37"/>
  <c r="H85" i="37"/>
  <c r="H86" i="37"/>
  <c r="H87" i="37"/>
  <c r="H88" i="37"/>
  <c r="H89" i="37"/>
  <c r="H90" i="37"/>
  <c r="H91" i="37"/>
  <c r="H92" i="37"/>
  <c r="H93" i="37"/>
  <c r="H94" i="37"/>
  <c r="H95" i="37"/>
  <c r="H97" i="40" l="1"/>
  <c r="H42" i="40"/>
  <c r="H81" i="40"/>
  <c r="H22" i="40"/>
  <c r="H65" i="40"/>
  <c r="H49" i="40"/>
  <c r="H61" i="40"/>
  <c r="H109" i="40"/>
  <c r="H77" i="40"/>
  <c r="H105" i="40"/>
  <c r="H89" i="40"/>
  <c r="H73" i="40"/>
  <c r="H57" i="40"/>
  <c r="H34" i="40"/>
  <c r="H93" i="40"/>
  <c r="H101" i="40"/>
  <c r="H85" i="40"/>
  <c r="H69" i="40"/>
  <c r="H53" i="40"/>
  <c r="H10" i="40"/>
  <c r="L10" i="40" s="1"/>
  <c r="H108" i="40"/>
  <c r="H104" i="40"/>
  <c r="H100" i="40"/>
  <c r="H96" i="40"/>
  <c r="H92" i="40"/>
  <c r="H88" i="40"/>
  <c r="H84" i="40"/>
  <c r="H80" i="40"/>
  <c r="H76" i="40"/>
  <c r="H72" i="40"/>
  <c r="H68" i="40"/>
  <c r="H64" i="40"/>
  <c r="H60" i="40"/>
  <c r="H56" i="40"/>
  <c r="H52" i="40"/>
  <c r="H48" i="40"/>
  <c r="H40" i="40"/>
  <c r="H32" i="40"/>
  <c r="H18" i="40"/>
  <c r="H11" i="40"/>
  <c r="K11" i="40" s="1"/>
  <c r="H8" i="40"/>
  <c r="L8" i="40" s="1"/>
  <c r="H107" i="40"/>
  <c r="H103" i="40"/>
  <c r="H99" i="40"/>
  <c r="H95" i="40"/>
  <c r="H91" i="40"/>
  <c r="H87" i="40"/>
  <c r="H83" i="40"/>
  <c r="H79" i="40"/>
  <c r="H75" i="40"/>
  <c r="H71" i="40"/>
  <c r="H67" i="40"/>
  <c r="H63" i="40"/>
  <c r="H59" i="40"/>
  <c r="H55" i="40"/>
  <c r="H51" i="40"/>
  <c r="H46" i="40"/>
  <c r="H38" i="40"/>
  <c r="H30" i="40"/>
  <c r="H14" i="40"/>
  <c r="L14" i="40" s="1"/>
  <c r="H110" i="40"/>
  <c r="H106" i="40"/>
  <c r="H102" i="40"/>
  <c r="H98" i="40"/>
  <c r="H94" i="40"/>
  <c r="H90" i="40"/>
  <c r="H86" i="40"/>
  <c r="H82" i="40"/>
  <c r="H78" i="40"/>
  <c r="H74" i="40"/>
  <c r="H70" i="40"/>
  <c r="H66" i="40"/>
  <c r="H62" i="40"/>
  <c r="H58" i="40"/>
  <c r="H54" i="40"/>
  <c r="H50" i="40"/>
  <c r="H44" i="40"/>
  <c r="H36" i="40"/>
  <c r="H26" i="40"/>
  <c r="H45" i="40"/>
  <c r="H41" i="40"/>
  <c r="H37" i="40"/>
  <c r="H33" i="40"/>
  <c r="H29" i="40"/>
  <c r="H25" i="40"/>
  <c r="H21" i="40"/>
  <c r="H17" i="40"/>
  <c r="H13" i="40"/>
  <c r="H9" i="40"/>
  <c r="H28" i="40"/>
  <c r="H24" i="40"/>
  <c r="H20" i="40"/>
  <c r="H16" i="40"/>
  <c r="H12" i="40"/>
  <c r="L12" i="40" s="1"/>
  <c r="H47" i="40"/>
  <c r="H43" i="40"/>
  <c r="H39" i="40"/>
  <c r="H35" i="40"/>
  <c r="H31" i="40"/>
  <c r="H27" i="40"/>
  <c r="H23" i="40"/>
  <c r="H19" i="40"/>
  <c r="H15" i="40"/>
  <c r="K10" i="40" l="1"/>
  <c r="L11" i="40"/>
  <c r="K14" i="40"/>
  <c r="K8" i="40"/>
  <c r="M8" i="40"/>
  <c r="K9" i="40"/>
  <c r="L9" i="40"/>
  <c r="K12" i="40"/>
  <c r="CR37" i="52" s="1"/>
  <c r="K13" i="40"/>
  <c r="L13" i="40"/>
  <c r="CP37" i="52" l="1"/>
  <c r="CO37" i="52"/>
  <c r="CQ37" i="52"/>
  <c r="AR9" i="33"/>
  <c r="AP9" i="33"/>
  <c r="AQ9" i="33"/>
  <c r="AO9" i="33"/>
  <c r="A7" i="1"/>
  <c r="E8" i="4"/>
  <c r="P43" i="4" l="1"/>
  <c r="F8" i="1"/>
  <c r="F8" i="50" s="1"/>
  <c r="D19" i="51" s="1"/>
  <c r="F7" i="50"/>
  <c r="D18" i="51" s="1"/>
  <c r="A7" i="50"/>
  <c r="K175" i="32"/>
  <c r="K176" i="32"/>
  <c r="K177" i="32"/>
  <c r="K178" i="32"/>
  <c r="K179" i="32"/>
  <c r="K180" i="32"/>
  <c r="K181" i="32"/>
  <c r="K182" i="32"/>
  <c r="K183" i="32"/>
  <c r="K184" i="32"/>
  <c r="K185" i="32"/>
  <c r="K186" i="32"/>
  <c r="K187" i="32"/>
  <c r="K188" i="32"/>
  <c r="K189" i="32"/>
  <c r="K190" i="32"/>
  <c r="K191" i="32"/>
  <c r="K192" i="32"/>
  <c r="K193" i="32"/>
  <c r="K194" i="32"/>
  <c r="K195" i="32"/>
  <c r="K196" i="32"/>
  <c r="K197" i="32"/>
  <c r="K201" i="32"/>
  <c r="K205" i="32"/>
  <c r="K206" i="32"/>
  <c r="K207" i="32"/>
  <c r="K208" i="32"/>
  <c r="K209" i="32"/>
  <c r="K210" i="32"/>
  <c r="K211" i="32"/>
  <c r="K212" i="32"/>
  <c r="K213" i="32"/>
  <c r="K214" i="32"/>
  <c r="K215" i="32"/>
  <c r="K216" i="32"/>
  <c r="K217" i="32"/>
  <c r="K218" i="32"/>
  <c r="K219" i="32"/>
  <c r="K220" i="32"/>
  <c r="K221" i="32"/>
  <c r="K222" i="32"/>
  <c r="K223" i="32"/>
  <c r="K224" i="32"/>
  <c r="K198" i="32"/>
  <c r="K199" i="32"/>
  <c r="K200" i="32"/>
  <c r="K202" i="32"/>
  <c r="K203" i="32"/>
  <c r="K204" i="32"/>
  <c r="J67" i="4"/>
  <c r="K67" i="4" s="1"/>
  <c r="J48" i="1" s="1"/>
  <c r="D162" i="11"/>
  <c r="D175" i="11" s="1"/>
  <c r="D188" i="11" s="1"/>
  <c r="D11" i="11"/>
  <c r="D39" i="11" s="1"/>
  <c r="D90" i="11" s="1"/>
  <c r="D131" i="11" s="1"/>
  <c r="B67" i="1"/>
  <c r="O56" i="42"/>
  <c r="O36" i="42" s="1"/>
  <c r="O37" i="42" s="1"/>
  <c r="N56" i="42"/>
  <c r="N44" i="42" s="1"/>
  <c r="N45" i="42" s="1"/>
  <c r="Q33" i="42"/>
  <c r="P33" i="42"/>
  <c r="O33" i="42"/>
  <c r="N33" i="42"/>
  <c r="M33" i="42"/>
  <c r="R10" i="42"/>
  <c r="Q1" i="42"/>
  <c r="H36" i="37"/>
  <c r="I36" i="37" s="1"/>
  <c r="H37" i="37"/>
  <c r="I37" i="37" s="1"/>
  <c r="H38" i="37"/>
  <c r="I38" i="37" s="1"/>
  <c r="H39" i="37"/>
  <c r="I39" i="37" s="1"/>
  <c r="H40" i="37"/>
  <c r="I40" i="37" s="1"/>
  <c r="H41" i="37"/>
  <c r="I41" i="37" s="1"/>
  <c r="H18" i="37"/>
  <c r="H19" i="37"/>
  <c r="H20" i="37"/>
  <c r="H21" i="37"/>
  <c r="H22" i="37"/>
  <c r="H23" i="37"/>
  <c r="H9" i="37"/>
  <c r="I9" i="37" s="1"/>
  <c r="H10" i="37"/>
  <c r="I10" i="37" s="1"/>
  <c r="H11" i="37"/>
  <c r="I11" i="37" s="1"/>
  <c r="H12" i="37"/>
  <c r="I12" i="37" s="1"/>
  <c r="H13" i="37"/>
  <c r="I13" i="37" s="1"/>
  <c r="H14" i="37"/>
  <c r="I14" i="37" s="1"/>
  <c r="H15" i="37"/>
  <c r="I15" i="37" s="1"/>
  <c r="H16" i="37"/>
  <c r="H17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42" i="37"/>
  <c r="I42" i="37" s="1"/>
  <c r="H43" i="37"/>
  <c r="H44" i="37"/>
  <c r="H45" i="37"/>
  <c r="H46" i="37"/>
  <c r="H47" i="37"/>
  <c r="H48" i="37"/>
  <c r="H49" i="37"/>
  <c r="H50" i="37"/>
  <c r="H51" i="37"/>
  <c r="H52" i="37"/>
  <c r="H53" i="37"/>
  <c r="H54" i="37"/>
  <c r="H55" i="37"/>
  <c r="H56" i="37"/>
  <c r="H57" i="37"/>
  <c r="H58" i="37"/>
  <c r="H59" i="37"/>
  <c r="H60" i="37"/>
  <c r="H61" i="37"/>
  <c r="H62" i="37"/>
  <c r="H63" i="37"/>
  <c r="H64" i="37"/>
  <c r="H65" i="37"/>
  <c r="H66" i="37"/>
  <c r="H67" i="37"/>
  <c r="H68" i="37"/>
  <c r="H69" i="37"/>
  <c r="H8" i="37"/>
  <c r="I8" i="37" s="1"/>
  <c r="B9" i="4"/>
  <c r="B8" i="4"/>
  <c r="A8" i="50" s="1"/>
  <c r="B61" i="1"/>
  <c r="K115" i="32"/>
  <c r="K116" i="32"/>
  <c r="K117" i="32"/>
  <c r="K118" i="32"/>
  <c r="K119" i="32"/>
  <c r="K120" i="32"/>
  <c r="K121" i="32"/>
  <c r="K122" i="32"/>
  <c r="K123" i="32"/>
  <c r="K124" i="32"/>
  <c r="K125" i="32"/>
  <c r="K126" i="32"/>
  <c r="K127" i="32"/>
  <c r="K128" i="32"/>
  <c r="K129" i="32"/>
  <c r="K130" i="32"/>
  <c r="K131" i="32"/>
  <c r="K132" i="32"/>
  <c r="K133" i="32"/>
  <c r="K134" i="32"/>
  <c r="K135" i="32"/>
  <c r="K136" i="32"/>
  <c r="K137" i="32"/>
  <c r="K138" i="32"/>
  <c r="K139" i="32"/>
  <c r="K140" i="32"/>
  <c r="K141" i="32"/>
  <c r="K142" i="32"/>
  <c r="K143" i="32"/>
  <c r="K144" i="32"/>
  <c r="K145" i="32"/>
  <c r="K146" i="32"/>
  <c r="K147" i="32"/>
  <c r="K148" i="32"/>
  <c r="K149" i="32"/>
  <c r="K150" i="32"/>
  <c r="K151" i="32"/>
  <c r="K152" i="32"/>
  <c r="K153" i="32"/>
  <c r="K154" i="32"/>
  <c r="K155" i="32"/>
  <c r="K156" i="32"/>
  <c r="K157" i="32"/>
  <c r="K158" i="32"/>
  <c r="K159" i="32"/>
  <c r="K160" i="32"/>
  <c r="K161" i="32"/>
  <c r="K162" i="32"/>
  <c r="K163" i="32"/>
  <c r="K164" i="32"/>
  <c r="K165" i="32"/>
  <c r="K166" i="32"/>
  <c r="K167" i="32"/>
  <c r="K168" i="32"/>
  <c r="K169" i="32"/>
  <c r="K170" i="32"/>
  <c r="K171" i="32"/>
  <c r="K172" i="32"/>
  <c r="K173" i="32"/>
  <c r="K174" i="32"/>
  <c r="B170" i="11"/>
  <c r="E186" i="11"/>
  <c r="E173" i="11"/>
  <c r="E160" i="11"/>
  <c r="E143" i="11"/>
  <c r="E129" i="11"/>
  <c r="E115" i="11"/>
  <c r="E102" i="11"/>
  <c r="E88" i="11"/>
  <c r="E74" i="11"/>
  <c r="E60" i="11"/>
  <c r="E37" i="11"/>
  <c r="E23" i="11"/>
  <c r="E9" i="11"/>
  <c r="V45" i="1"/>
  <c r="AA49" i="1" s="1"/>
  <c r="I25" i="1"/>
  <c r="N25" i="1" s="1"/>
  <c r="F50" i="1"/>
  <c r="F49" i="1"/>
  <c r="F48" i="1"/>
  <c r="H48" i="1"/>
  <c r="G48" i="1"/>
  <c r="A183" i="11"/>
  <c r="A170" i="11"/>
  <c r="A157" i="11"/>
  <c r="D186" i="11"/>
  <c r="D173" i="11"/>
  <c r="D160" i="11"/>
  <c r="J69" i="4"/>
  <c r="K69" i="4" s="1"/>
  <c r="J50" i="1" s="1"/>
  <c r="J24" i="1"/>
  <c r="J23" i="1"/>
  <c r="B25" i="1"/>
  <c r="B24" i="1"/>
  <c r="B23" i="1"/>
  <c r="I24" i="1"/>
  <c r="I23" i="1"/>
  <c r="B28" i="1"/>
  <c r="G38" i="1"/>
  <c r="G36" i="1"/>
  <c r="G34" i="1"/>
  <c r="G32" i="1"/>
  <c r="G29" i="1"/>
  <c r="H143" i="11"/>
  <c r="H129" i="11"/>
  <c r="H115" i="11"/>
  <c r="H102" i="11"/>
  <c r="H88" i="11"/>
  <c r="H74" i="11"/>
  <c r="H60" i="11"/>
  <c r="H37" i="11"/>
  <c r="H23" i="11"/>
  <c r="H9" i="11"/>
  <c r="J68" i="4"/>
  <c r="K68" i="4" s="1"/>
  <c r="J49" i="1" s="1"/>
  <c r="K52" i="4"/>
  <c r="Q18" i="52" s="1"/>
  <c r="K53" i="4"/>
  <c r="F19" i="52" s="1"/>
  <c r="K54" i="4"/>
  <c r="Q19" i="52" s="1"/>
  <c r="K55" i="4"/>
  <c r="F20" i="52" s="1"/>
  <c r="K56" i="4"/>
  <c r="Q20" i="52" s="1"/>
  <c r="K57" i="4"/>
  <c r="F21" i="52" s="1"/>
  <c r="K58" i="4"/>
  <c r="Q21" i="52" s="1"/>
  <c r="K60" i="4"/>
  <c r="Q22" i="52" s="1"/>
  <c r="K51" i="4"/>
  <c r="F18" i="52" s="1"/>
  <c r="J44" i="4"/>
  <c r="J25" i="1" s="1"/>
  <c r="F21" i="41"/>
  <c r="F20" i="41"/>
  <c r="F19" i="41"/>
  <c r="F18" i="41"/>
  <c r="F17" i="41"/>
  <c r="F16" i="41"/>
  <c r="F8" i="39"/>
  <c r="G8" i="39" s="1"/>
  <c r="G42" i="38"/>
  <c r="G41" i="38"/>
  <c r="G40" i="38"/>
  <c r="G39" i="38"/>
  <c r="G38" i="38"/>
  <c r="G37" i="38"/>
  <c r="G13" i="38"/>
  <c r="G12" i="38"/>
  <c r="G11" i="38"/>
  <c r="G10" i="38"/>
  <c r="G9" i="38"/>
  <c r="G8" i="38"/>
  <c r="F40" i="1"/>
  <c r="F40" i="50" s="1"/>
  <c r="H69" i="1"/>
  <c r="H58" i="34"/>
  <c r="H43" i="34"/>
  <c r="K3" i="34"/>
  <c r="D60" i="4" s="1"/>
  <c r="K2" i="34"/>
  <c r="K9" i="32"/>
  <c r="K15" i="32"/>
  <c r="K16" i="32"/>
  <c r="K17" i="32"/>
  <c r="K25" i="32"/>
  <c r="K26" i="32"/>
  <c r="K27" i="32"/>
  <c r="K28" i="32"/>
  <c r="K29" i="32"/>
  <c r="K30" i="32"/>
  <c r="K31" i="32"/>
  <c r="K32" i="32"/>
  <c r="K33" i="32"/>
  <c r="K34" i="32"/>
  <c r="K35" i="32"/>
  <c r="K36" i="32"/>
  <c r="K37" i="32"/>
  <c r="K38" i="32"/>
  <c r="K39" i="32"/>
  <c r="K40" i="32"/>
  <c r="K41" i="32"/>
  <c r="K42" i="32"/>
  <c r="K43" i="32"/>
  <c r="K44" i="32"/>
  <c r="K45" i="32"/>
  <c r="K46" i="32"/>
  <c r="K47" i="32"/>
  <c r="K48" i="32"/>
  <c r="K49" i="32"/>
  <c r="K50" i="32"/>
  <c r="K51" i="32"/>
  <c r="K52" i="32"/>
  <c r="K53" i="32"/>
  <c r="K54" i="32"/>
  <c r="K55" i="32"/>
  <c r="K56" i="32"/>
  <c r="K57" i="32"/>
  <c r="K58" i="32"/>
  <c r="K59" i="32"/>
  <c r="K60" i="32"/>
  <c r="K61" i="32"/>
  <c r="K62" i="32"/>
  <c r="K63" i="32"/>
  <c r="K64" i="32"/>
  <c r="K65" i="32"/>
  <c r="K66" i="32"/>
  <c r="K67" i="32"/>
  <c r="K68" i="32"/>
  <c r="K69" i="32"/>
  <c r="K70" i="32"/>
  <c r="K71" i="32"/>
  <c r="K72" i="32"/>
  <c r="K73" i="32"/>
  <c r="K74" i="32"/>
  <c r="K75" i="32"/>
  <c r="K76" i="32"/>
  <c r="K77" i="32"/>
  <c r="K78" i="32"/>
  <c r="K79" i="32"/>
  <c r="K80" i="32"/>
  <c r="K81" i="32"/>
  <c r="K82" i="32"/>
  <c r="K83" i="32"/>
  <c r="K84" i="32"/>
  <c r="K85" i="32"/>
  <c r="K86" i="32"/>
  <c r="K87" i="32"/>
  <c r="K88" i="32"/>
  <c r="K89" i="32"/>
  <c r="K90" i="32"/>
  <c r="K91" i="32"/>
  <c r="K92" i="32"/>
  <c r="K93" i="32"/>
  <c r="K94" i="32"/>
  <c r="K95" i="32"/>
  <c r="K96" i="32"/>
  <c r="K97" i="32"/>
  <c r="K98" i="32"/>
  <c r="K99" i="32"/>
  <c r="K100" i="32"/>
  <c r="K101" i="32"/>
  <c r="K102" i="32"/>
  <c r="K103" i="32"/>
  <c r="K104" i="32"/>
  <c r="K105" i="32"/>
  <c r="K106" i="32"/>
  <c r="K107" i="32"/>
  <c r="K108" i="32"/>
  <c r="K109" i="32"/>
  <c r="K110" i="32"/>
  <c r="K111" i="32"/>
  <c r="K112" i="32"/>
  <c r="K113" i="32"/>
  <c r="K114" i="32"/>
  <c r="K10" i="32"/>
  <c r="K11" i="32"/>
  <c r="K12" i="32"/>
  <c r="K13" i="32"/>
  <c r="K14" i="32"/>
  <c r="K18" i="32"/>
  <c r="K19" i="32"/>
  <c r="K20" i="32"/>
  <c r="K21" i="32"/>
  <c r="K22" i="32"/>
  <c r="K23" i="32"/>
  <c r="K24" i="32"/>
  <c r="D60" i="11"/>
  <c r="D9" i="11"/>
  <c r="D37" i="11"/>
  <c r="D74" i="11"/>
  <c r="D88" i="11"/>
  <c r="D102" i="11"/>
  <c r="D115" i="11"/>
  <c r="D23" i="11"/>
  <c r="F23" i="11" s="1"/>
  <c r="I23" i="11" s="1"/>
  <c r="D143" i="11"/>
  <c r="D129" i="11"/>
  <c r="J61" i="34"/>
  <c r="K61" i="34"/>
  <c r="J62" i="34"/>
  <c r="K62" i="34"/>
  <c r="J63" i="34"/>
  <c r="K63" i="34"/>
  <c r="J64" i="34"/>
  <c r="K64" i="34"/>
  <c r="J65" i="34"/>
  <c r="K65" i="34"/>
  <c r="J66" i="34"/>
  <c r="K66" i="34"/>
  <c r="J67" i="34"/>
  <c r="K67" i="34"/>
  <c r="J68" i="34"/>
  <c r="K68" i="34"/>
  <c r="J69" i="34"/>
  <c r="K69" i="34"/>
  <c r="J70" i="34"/>
  <c r="K70" i="34"/>
  <c r="J71" i="34"/>
  <c r="K71" i="34"/>
  <c r="J72" i="34"/>
  <c r="K72" i="34"/>
  <c r="J41" i="34"/>
  <c r="K41" i="34" s="1"/>
  <c r="J20" i="34"/>
  <c r="K20" i="34"/>
  <c r="J21" i="34"/>
  <c r="K21" i="34"/>
  <c r="J22" i="34"/>
  <c r="K22" i="34"/>
  <c r="J23" i="34"/>
  <c r="K23" i="34"/>
  <c r="J24" i="34"/>
  <c r="K24" i="34"/>
  <c r="J25" i="34"/>
  <c r="K25" i="34"/>
  <c r="J26" i="34"/>
  <c r="K26" i="34"/>
  <c r="J27" i="34"/>
  <c r="K27" i="34"/>
  <c r="J28" i="34"/>
  <c r="K28" i="34"/>
  <c r="J29" i="34"/>
  <c r="K29" i="34"/>
  <c r="J30" i="34"/>
  <c r="K30" i="34"/>
  <c r="J31" i="34"/>
  <c r="K31" i="34" s="1"/>
  <c r="J32" i="34"/>
  <c r="K32" i="34" s="1"/>
  <c r="J33" i="34"/>
  <c r="K33" i="34"/>
  <c r="J34" i="34"/>
  <c r="K34" i="34" s="1"/>
  <c r="J35" i="34"/>
  <c r="K35" i="34" s="1"/>
  <c r="J36" i="34"/>
  <c r="K36" i="34" s="1"/>
  <c r="J37" i="34"/>
  <c r="K37" i="34" s="1"/>
  <c r="J38" i="34"/>
  <c r="K38" i="34" s="1"/>
  <c r="J39" i="34"/>
  <c r="K39" i="34" s="1"/>
  <c r="J40" i="34"/>
  <c r="K40" i="34" s="1"/>
  <c r="J42" i="34"/>
  <c r="K42" i="34" s="1"/>
  <c r="J43" i="34"/>
  <c r="K43" i="34" s="1"/>
  <c r="J44" i="34"/>
  <c r="K44" i="34" s="1"/>
  <c r="J45" i="34"/>
  <c r="K45" i="34" s="1"/>
  <c r="J46" i="34"/>
  <c r="K46" i="34"/>
  <c r="J47" i="34"/>
  <c r="K47" i="34"/>
  <c r="J48" i="34"/>
  <c r="K48" i="34"/>
  <c r="J49" i="34"/>
  <c r="K49" i="34"/>
  <c r="J50" i="34"/>
  <c r="K50" i="34"/>
  <c r="J51" i="34"/>
  <c r="K51" i="34"/>
  <c r="J52" i="34"/>
  <c r="K52" i="34"/>
  <c r="J53" i="34"/>
  <c r="K53" i="34"/>
  <c r="J54" i="34"/>
  <c r="K54" i="34"/>
  <c r="J55" i="34"/>
  <c r="K55" i="34"/>
  <c r="J56" i="34"/>
  <c r="K56" i="34"/>
  <c r="J57" i="34"/>
  <c r="K57" i="34"/>
  <c r="J58" i="34"/>
  <c r="K58" i="34"/>
  <c r="J59" i="34"/>
  <c r="K59" i="34"/>
  <c r="J60" i="34"/>
  <c r="K60" i="34"/>
  <c r="J19" i="34"/>
  <c r="K19" i="34"/>
  <c r="B77" i="4"/>
  <c r="A77" i="4"/>
  <c r="B62" i="1"/>
  <c r="AG9" i="33"/>
  <c r="B15" i="4"/>
  <c r="B66" i="1" s="1"/>
  <c r="E189" i="11"/>
  <c r="F189" i="11" s="1"/>
  <c r="I189" i="11" s="1"/>
  <c r="E188" i="11"/>
  <c r="F187" i="11"/>
  <c r="I187" i="11" s="1"/>
  <c r="J187" i="11" s="1"/>
  <c r="H186" i="11"/>
  <c r="E176" i="11"/>
  <c r="F176" i="11" s="1"/>
  <c r="I176" i="11" s="1"/>
  <c r="E175" i="11"/>
  <c r="F174" i="11"/>
  <c r="I174" i="11" s="1"/>
  <c r="H173" i="11"/>
  <c r="B163" i="11"/>
  <c r="B162" i="11"/>
  <c r="B161" i="11"/>
  <c r="B160" i="11"/>
  <c r="E163" i="11"/>
  <c r="F163" i="11" s="1"/>
  <c r="I163" i="11" s="1"/>
  <c r="E162" i="11"/>
  <c r="H160" i="11"/>
  <c r="K41" i="23"/>
  <c r="G49" i="23"/>
  <c r="G48" i="23"/>
  <c r="G47" i="23"/>
  <c r="G46" i="23"/>
  <c r="G45" i="23"/>
  <c r="G44" i="23"/>
  <c r="G43" i="23"/>
  <c r="G42" i="23"/>
  <c r="F5" i="1"/>
  <c r="F6" i="1"/>
  <c r="F9" i="1"/>
  <c r="F10" i="1"/>
  <c r="F11" i="1"/>
  <c r="F4" i="1"/>
  <c r="A11" i="1"/>
  <c r="A10" i="1"/>
  <c r="A6" i="1"/>
  <c r="A5" i="1"/>
  <c r="A4" i="1"/>
  <c r="E146" i="11"/>
  <c r="E145" i="11"/>
  <c r="B140" i="11"/>
  <c r="E132" i="11"/>
  <c r="E131" i="11"/>
  <c r="B126" i="11"/>
  <c r="E118" i="11"/>
  <c r="E117" i="11"/>
  <c r="B112" i="11"/>
  <c r="E105" i="11"/>
  <c r="E104" i="11"/>
  <c r="B99" i="11"/>
  <c r="E91" i="11"/>
  <c r="E90" i="11"/>
  <c r="B85" i="11"/>
  <c r="E77" i="11"/>
  <c r="E76" i="11"/>
  <c r="B71" i="11"/>
  <c r="E63" i="11"/>
  <c r="E62" i="11"/>
  <c r="B57" i="11"/>
  <c r="F19" i="23"/>
  <c r="F20" i="23"/>
  <c r="F21" i="23"/>
  <c r="F16" i="23"/>
  <c r="F17" i="23"/>
  <c r="F18" i="23"/>
  <c r="B34" i="11"/>
  <c r="B20" i="11"/>
  <c r="B6" i="11"/>
  <c r="F69" i="1"/>
  <c r="F161" i="11"/>
  <c r="I161" i="11" s="1"/>
  <c r="E11" i="11"/>
  <c r="E12" i="11"/>
  <c r="E40" i="11"/>
  <c r="E26" i="11"/>
  <c r="F19" i="1"/>
  <c r="O19" i="1" s="1"/>
  <c r="F18" i="1"/>
  <c r="O18" i="1" s="1"/>
  <c r="E39" i="11"/>
  <c r="E25" i="11"/>
  <c r="L8" i="32" l="1"/>
  <c r="F41" i="1"/>
  <c r="F41" i="50" s="1"/>
  <c r="AP22" i="52"/>
  <c r="BO22" i="52" s="1"/>
  <c r="F173" i="11"/>
  <c r="I173" i="11" s="1"/>
  <c r="K173" i="11" s="1"/>
  <c r="F60" i="11"/>
  <c r="I60" i="11" s="1"/>
  <c r="K60" i="11" s="1"/>
  <c r="O47" i="42"/>
  <c r="O48" i="42" s="1"/>
  <c r="O50" i="42"/>
  <c r="O51" i="42" s="1"/>
  <c r="K42" i="23"/>
  <c r="F115" i="11"/>
  <c r="I115" i="11" s="1"/>
  <c r="K115" i="11" s="1"/>
  <c r="D25" i="11"/>
  <c r="F25" i="11" s="1"/>
  <c r="I25" i="11" s="1"/>
  <c r="J25" i="11" s="1"/>
  <c r="F186" i="11"/>
  <c r="I186" i="11" s="1"/>
  <c r="J186" i="11" s="1"/>
  <c r="A171" i="11"/>
  <c r="F74" i="11"/>
  <c r="I74" i="11" s="1"/>
  <c r="J74" i="11" s="1"/>
  <c r="H102" i="39"/>
  <c r="H86" i="39"/>
  <c r="H62" i="39"/>
  <c r="H106" i="39"/>
  <c r="H42" i="39"/>
  <c r="H113" i="39"/>
  <c r="H97" i="39"/>
  <c r="H81" i="39"/>
  <c r="H65" i="39"/>
  <c r="H49" i="39"/>
  <c r="H33" i="39"/>
  <c r="H17" i="39"/>
  <c r="H108" i="39"/>
  <c r="H92" i="39"/>
  <c r="H76" i="39"/>
  <c r="H60" i="39"/>
  <c r="H44" i="39"/>
  <c r="H28" i="39"/>
  <c r="H12" i="39"/>
  <c r="H87" i="39"/>
  <c r="H23" i="39"/>
  <c r="H38" i="39"/>
  <c r="H22" i="39"/>
  <c r="H98" i="39"/>
  <c r="H82" i="39"/>
  <c r="H110" i="39"/>
  <c r="H46" i="39"/>
  <c r="H114" i="39"/>
  <c r="H90" i="39"/>
  <c r="H26" i="39"/>
  <c r="H109" i="39"/>
  <c r="H93" i="39"/>
  <c r="H77" i="39"/>
  <c r="H61" i="39"/>
  <c r="H45" i="39"/>
  <c r="H29" i="39"/>
  <c r="H13" i="39"/>
  <c r="H104" i="39"/>
  <c r="H88" i="39"/>
  <c r="H72" i="39"/>
  <c r="H56" i="39"/>
  <c r="H40" i="39"/>
  <c r="H24" i="39"/>
  <c r="H8" i="39"/>
  <c r="H99" i="39"/>
  <c r="H83" i="39"/>
  <c r="H67" i="39"/>
  <c r="H51" i="39"/>
  <c r="H35" i="39"/>
  <c r="H19" i="39"/>
  <c r="H57" i="39"/>
  <c r="H25" i="39"/>
  <c r="H100" i="39"/>
  <c r="H68" i="39"/>
  <c r="H36" i="39"/>
  <c r="H20" i="39"/>
  <c r="H95" i="39"/>
  <c r="H63" i="39"/>
  <c r="H31" i="39"/>
  <c r="H69" i="39"/>
  <c r="H112" i="39"/>
  <c r="H64" i="39"/>
  <c r="H16" i="39"/>
  <c r="H75" i="39"/>
  <c r="H27" i="39"/>
  <c r="H55" i="39"/>
  <c r="H54" i="39"/>
  <c r="H66" i="39"/>
  <c r="H34" i="39"/>
  <c r="H94" i="39"/>
  <c r="H30" i="39"/>
  <c r="H50" i="39"/>
  <c r="H74" i="39"/>
  <c r="H105" i="39"/>
  <c r="H89" i="39"/>
  <c r="H73" i="39"/>
  <c r="H41" i="39"/>
  <c r="H9" i="39"/>
  <c r="H84" i="39"/>
  <c r="H52" i="39"/>
  <c r="H111" i="39"/>
  <c r="H79" i="39"/>
  <c r="H47" i="39"/>
  <c r="H15" i="39"/>
  <c r="H21" i="39"/>
  <c r="H80" i="39"/>
  <c r="H32" i="39"/>
  <c r="H91" i="39"/>
  <c r="H59" i="39"/>
  <c r="H71" i="39"/>
  <c r="H10" i="39"/>
  <c r="H70" i="39"/>
  <c r="H18" i="39"/>
  <c r="H78" i="39"/>
  <c r="H14" i="39"/>
  <c r="H58" i="39"/>
  <c r="H11" i="39"/>
  <c r="H101" i="39"/>
  <c r="H85" i="39"/>
  <c r="H53" i="39"/>
  <c r="H37" i="39"/>
  <c r="H96" i="39"/>
  <c r="H48" i="39"/>
  <c r="H107" i="39"/>
  <c r="H43" i="39"/>
  <c r="H103" i="39"/>
  <c r="H39" i="39"/>
  <c r="A8" i="1"/>
  <c r="F129" i="11"/>
  <c r="I129" i="11" s="1"/>
  <c r="J129" i="11" s="1"/>
  <c r="F9" i="11"/>
  <c r="I9" i="11" s="1"/>
  <c r="K9" i="11" s="1"/>
  <c r="H13" i="41"/>
  <c r="K13" i="41" s="1"/>
  <c r="F39" i="11"/>
  <c r="I39" i="11" s="1"/>
  <c r="J39" i="11" s="1"/>
  <c r="A9" i="50"/>
  <c r="H15" i="38"/>
  <c r="H43" i="38"/>
  <c r="H91" i="38"/>
  <c r="H103" i="38"/>
  <c r="H39" i="38"/>
  <c r="H51" i="38"/>
  <c r="H79" i="38"/>
  <c r="K12" i="38"/>
  <c r="H94" i="38"/>
  <c r="H78" i="38"/>
  <c r="H62" i="38"/>
  <c r="H46" i="38"/>
  <c r="H30" i="38"/>
  <c r="H14" i="38"/>
  <c r="H97" i="38"/>
  <c r="H81" i="38"/>
  <c r="H65" i="38"/>
  <c r="H49" i="38"/>
  <c r="H33" i="38"/>
  <c r="H17" i="38"/>
  <c r="H100" i="38"/>
  <c r="H84" i="38"/>
  <c r="H68" i="38"/>
  <c r="H52" i="38"/>
  <c r="H20" i="38"/>
  <c r="H75" i="38"/>
  <c r="H27" i="38"/>
  <c r="H71" i="38"/>
  <c r="H99" i="38"/>
  <c r="H35" i="38"/>
  <c r="H63" i="38"/>
  <c r="H90" i="38"/>
  <c r="H74" i="38"/>
  <c r="H58" i="38"/>
  <c r="H42" i="38"/>
  <c r="H26" i="38"/>
  <c r="K10" i="38"/>
  <c r="H93" i="38"/>
  <c r="H77" i="38"/>
  <c r="H61" i="38"/>
  <c r="H45" i="38"/>
  <c r="H29" i="38"/>
  <c r="K13" i="38"/>
  <c r="H96" i="38"/>
  <c r="H80" i="38"/>
  <c r="H64" i="38"/>
  <c r="H48" i="38"/>
  <c r="H32" i="38"/>
  <c r="H16" i="38"/>
  <c r="K11" i="38"/>
  <c r="H23" i="38"/>
  <c r="H83" i="38"/>
  <c r="H19" i="38"/>
  <c r="H47" i="38"/>
  <c r="H102" i="38"/>
  <c r="H86" i="38"/>
  <c r="H70" i="38"/>
  <c r="H54" i="38"/>
  <c r="H38" i="38"/>
  <c r="H22" i="38"/>
  <c r="H105" i="38"/>
  <c r="H89" i="38"/>
  <c r="H73" i="38"/>
  <c r="H57" i="38"/>
  <c r="H41" i="38"/>
  <c r="H25" i="38"/>
  <c r="K9" i="38"/>
  <c r="H92" i="38"/>
  <c r="H76" i="38"/>
  <c r="H60" i="38"/>
  <c r="H44" i="38"/>
  <c r="H28" i="38"/>
  <c r="H59" i="38"/>
  <c r="H87" i="38"/>
  <c r="H67" i="38"/>
  <c r="H55" i="38"/>
  <c r="H95" i="38"/>
  <c r="H31" i="38"/>
  <c r="H98" i="38"/>
  <c r="H82" i="38"/>
  <c r="H66" i="38"/>
  <c r="H50" i="38"/>
  <c r="H34" i="38"/>
  <c r="H18" i="38"/>
  <c r="H101" i="38"/>
  <c r="H85" i="38"/>
  <c r="H69" i="38"/>
  <c r="H53" i="38"/>
  <c r="H37" i="38"/>
  <c r="H21" i="38"/>
  <c r="H104" i="38"/>
  <c r="H88" i="38"/>
  <c r="H72" i="38"/>
  <c r="H56" i="38"/>
  <c r="H40" i="38"/>
  <c r="H24" i="38"/>
  <c r="H36" i="38"/>
  <c r="B59" i="51"/>
  <c r="B58" i="51"/>
  <c r="B57" i="51" s="1"/>
  <c r="D22" i="51" s="1"/>
  <c r="H29" i="50"/>
  <c r="H38" i="50"/>
  <c r="B24" i="50"/>
  <c r="L48" i="50"/>
  <c r="B62" i="50"/>
  <c r="L49" i="50"/>
  <c r="H32" i="50"/>
  <c r="J23" i="50"/>
  <c r="B25" i="50"/>
  <c r="L50" i="50"/>
  <c r="K25" i="50"/>
  <c r="H34" i="50"/>
  <c r="B28" i="50"/>
  <c r="J24" i="50"/>
  <c r="R23" i="1"/>
  <c r="K23" i="50"/>
  <c r="B66" i="50"/>
  <c r="H36" i="50"/>
  <c r="B23" i="50"/>
  <c r="R24" i="1"/>
  <c r="N23" i="1" s="1"/>
  <c r="U34" i="4" s="1"/>
  <c r="K24" i="50"/>
  <c r="J25" i="50"/>
  <c r="H19" i="41"/>
  <c r="H21" i="41"/>
  <c r="A126" i="11"/>
  <c r="K187" i="11"/>
  <c r="F131" i="11"/>
  <c r="I131" i="11" s="1"/>
  <c r="K131" i="11" s="1"/>
  <c r="F143" i="11"/>
  <c r="I143" i="11" s="1"/>
  <c r="J143" i="11" s="1"/>
  <c r="F88" i="11"/>
  <c r="I88" i="11" s="1"/>
  <c r="J88" i="11" s="1"/>
  <c r="K161" i="11"/>
  <c r="J161" i="11"/>
  <c r="K174" i="11"/>
  <c r="J174" i="11"/>
  <c r="F175" i="11"/>
  <c r="I175" i="11" s="1"/>
  <c r="J175" i="11" s="1"/>
  <c r="F162" i="11"/>
  <c r="I162" i="11" s="1"/>
  <c r="J162" i="11" s="1"/>
  <c r="N38" i="42"/>
  <c r="N39" i="42" s="1"/>
  <c r="N36" i="42"/>
  <c r="N37" i="42" s="1"/>
  <c r="P36" i="42" s="1"/>
  <c r="Q36" i="42" s="1"/>
  <c r="Q55" i="42" s="1"/>
  <c r="O41" i="42"/>
  <c r="O42" i="42" s="1"/>
  <c r="A184" i="11"/>
  <c r="O38" i="42"/>
  <c r="O39" i="42" s="1"/>
  <c r="D62" i="11"/>
  <c r="F62" i="11" s="1"/>
  <c r="I62" i="11" s="1"/>
  <c r="K62" i="11" s="1"/>
  <c r="F11" i="11"/>
  <c r="I11" i="11" s="1"/>
  <c r="J11" i="11" s="1"/>
  <c r="A9" i="1"/>
  <c r="A158" i="11"/>
  <c r="J70" i="37"/>
  <c r="J20" i="37"/>
  <c r="J37" i="37"/>
  <c r="J99" i="37"/>
  <c r="J91" i="37"/>
  <c r="J83" i="37"/>
  <c r="J72" i="37"/>
  <c r="J59" i="37"/>
  <c r="J39" i="37"/>
  <c r="J16" i="37"/>
  <c r="J30" i="37"/>
  <c r="J12" i="37"/>
  <c r="J69" i="37"/>
  <c r="J58" i="37"/>
  <c r="J41" i="37"/>
  <c r="J18" i="37"/>
  <c r="J100" i="37"/>
  <c r="J92" i="37"/>
  <c r="J76" i="37"/>
  <c r="J36" i="37"/>
  <c r="J43" i="37"/>
  <c r="J67" i="37"/>
  <c r="J23" i="37"/>
  <c r="J97" i="37"/>
  <c r="J89" i="37"/>
  <c r="J81" i="37"/>
  <c r="J65" i="37"/>
  <c r="J48" i="37"/>
  <c r="J32" i="37"/>
  <c r="J62" i="37"/>
  <c r="J22" i="37"/>
  <c r="J75" i="37"/>
  <c r="J74" i="37"/>
  <c r="J50" i="37"/>
  <c r="J34" i="37"/>
  <c r="J15" i="37"/>
  <c r="J98" i="37"/>
  <c r="J90" i="37"/>
  <c r="J82" i="37"/>
  <c r="J68" i="37"/>
  <c r="J55" i="37"/>
  <c r="J33" i="37"/>
  <c r="J13" i="37"/>
  <c r="J35" i="37"/>
  <c r="J80" i="37"/>
  <c r="J44" i="37"/>
  <c r="J10" i="37"/>
  <c r="J54" i="37"/>
  <c r="J19" i="37"/>
  <c r="J95" i="37"/>
  <c r="J87" i="37"/>
  <c r="J79" i="37"/>
  <c r="J64" i="37"/>
  <c r="J51" i="37"/>
  <c r="J27" i="37"/>
  <c r="J46" i="37"/>
  <c r="J14" i="37"/>
  <c r="J73" i="37"/>
  <c r="J66" i="37"/>
  <c r="J53" i="37"/>
  <c r="J29" i="37"/>
  <c r="J9" i="37"/>
  <c r="J96" i="37"/>
  <c r="J88" i="37"/>
  <c r="J60" i="37"/>
  <c r="J28" i="37"/>
  <c r="J31" i="37"/>
  <c r="J47" i="37"/>
  <c r="J11" i="37"/>
  <c r="J93" i="37"/>
  <c r="J85" i="37"/>
  <c r="J77" i="37"/>
  <c r="J56" i="37"/>
  <c r="J40" i="37"/>
  <c r="J24" i="37"/>
  <c r="J38" i="37"/>
  <c r="J8" i="37"/>
  <c r="J71" i="37"/>
  <c r="J63" i="37"/>
  <c r="J42" i="37"/>
  <c r="J26" i="37"/>
  <c r="J57" i="37"/>
  <c r="J94" i="37"/>
  <c r="J86" i="37"/>
  <c r="J78" i="37"/>
  <c r="J61" i="37"/>
  <c r="J45" i="37"/>
  <c r="J21" i="37"/>
  <c r="J49" i="37"/>
  <c r="J25" i="37"/>
  <c r="J84" i="37"/>
  <c r="J52" i="37"/>
  <c r="J17" i="37"/>
  <c r="AA48" i="1"/>
  <c r="AA45" i="1"/>
  <c r="F90" i="11"/>
  <c r="I90" i="11" s="1"/>
  <c r="K90" i="11" s="1"/>
  <c r="AA47" i="1"/>
  <c r="L45" i="34"/>
  <c r="H13" i="23"/>
  <c r="K13" i="23" s="1"/>
  <c r="L57" i="34"/>
  <c r="I48" i="1"/>
  <c r="L47" i="34"/>
  <c r="L53" i="34"/>
  <c r="P18" i="1"/>
  <c r="M18" i="1" s="1"/>
  <c r="H20" i="23"/>
  <c r="AA46" i="1"/>
  <c r="L37" i="34"/>
  <c r="O37" i="34" s="1"/>
  <c r="H16" i="41"/>
  <c r="H20" i="41"/>
  <c r="H15" i="41"/>
  <c r="K15" i="41" s="1"/>
  <c r="H18" i="41"/>
  <c r="L34" i="34"/>
  <c r="O34" i="34" s="1"/>
  <c r="L26" i="34"/>
  <c r="O26" i="34" s="1"/>
  <c r="L38" i="34"/>
  <c r="O38" i="34" s="1"/>
  <c r="L32" i="34"/>
  <c r="L70" i="34"/>
  <c r="L66" i="34"/>
  <c r="L44" i="34"/>
  <c r="L65" i="34"/>
  <c r="L51" i="34"/>
  <c r="L33" i="34"/>
  <c r="O33" i="34" s="1"/>
  <c r="L30" i="34"/>
  <c r="O30" i="34" s="1"/>
  <c r="L20" i="34"/>
  <c r="O20" i="34" s="1"/>
  <c r="L50" i="34"/>
  <c r="L71" i="34"/>
  <c r="L21" i="34"/>
  <c r="O21" i="34" s="1"/>
  <c r="L72" i="34"/>
  <c r="L58" i="34"/>
  <c r="L27" i="34"/>
  <c r="O27" i="34" s="1"/>
  <c r="L64" i="34"/>
  <c r="L29" i="34"/>
  <c r="O29" i="34" s="1"/>
  <c r="L23" i="34"/>
  <c r="O23" i="34" s="1"/>
  <c r="L25" i="34"/>
  <c r="O25" i="34" s="1"/>
  <c r="L22" i="34"/>
  <c r="O22" i="34" s="1"/>
  <c r="L55" i="34"/>
  <c r="L40" i="34"/>
  <c r="O40" i="34" s="1"/>
  <c r="L61" i="34"/>
  <c r="L36" i="34"/>
  <c r="O36" i="34" s="1"/>
  <c r="L60" i="34"/>
  <c r="L19" i="34"/>
  <c r="O19" i="34" s="1"/>
  <c r="L69" i="34"/>
  <c r="L31" i="34"/>
  <c r="O31" i="34" s="1"/>
  <c r="L62" i="34"/>
  <c r="L24" i="34"/>
  <c r="O24" i="34" s="1"/>
  <c r="L68" i="34"/>
  <c r="L54" i="34"/>
  <c r="L43" i="34"/>
  <c r="L39" i="34"/>
  <c r="O39" i="34" s="1"/>
  <c r="L42" i="34"/>
  <c r="L52" i="34"/>
  <c r="L35" i="34"/>
  <c r="O35" i="34" s="1"/>
  <c r="L63" i="34"/>
  <c r="K176" i="11"/>
  <c r="J176" i="11"/>
  <c r="J189" i="11"/>
  <c r="K189" i="11"/>
  <c r="B183" i="11"/>
  <c r="B175" i="11"/>
  <c r="B174" i="11"/>
  <c r="B176" i="11"/>
  <c r="B173" i="11"/>
  <c r="J163" i="11"/>
  <c r="K163" i="11"/>
  <c r="H19" i="23"/>
  <c r="H14" i="23"/>
  <c r="K14" i="23" s="1"/>
  <c r="L48" i="34"/>
  <c r="L49" i="34"/>
  <c r="L56" i="34"/>
  <c r="H14" i="41"/>
  <c r="K14" i="41" s="1"/>
  <c r="H17" i="41"/>
  <c r="F188" i="11"/>
  <c r="I188" i="11" s="1"/>
  <c r="K188" i="11" s="1"/>
  <c r="H21" i="23"/>
  <c r="F37" i="11"/>
  <c r="I37" i="11" s="1"/>
  <c r="J37" i="11" s="1"/>
  <c r="F102" i="11"/>
  <c r="I102" i="11" s="1"/>
  <c r="J102" i="11" s="1"/>
  <c r="F160" i="11"/>
  <c r="I160" i="11" s="1"/>
  <c r="K160" i="11" s="1"/>
  <c r="K23" i="11"/>
  <c r="J23" i="11"/>
  <c r="A140" i="11"/>
  <c r="H59" i="34"/>
  <c r="H44" i="34"/>
  <c r="J173" i="11"/>
  <c r="H17" i="23"/>
  <c r="L59" i="34"/>
  <c r="I49" i="1"/>
  <c r="R25" i="1"/>
  <c r="N47" i="42"/>
  <c r="N48" i="42" s="1"/>
  <c r="P47" i="42" s="1"/>
  <c r="Q47" i="42" s="1"/>
  <c r="H18" i="23"/>
  <c r="L46" i="34"/>
  <c r="L41" i="34"/>
  <c r="N41" i="42"/>
  <c r="N42" i="42" s="1"/>
  <c r="N50" i="42"/>
  <c r="N51" i="42" s="1"/>
  <c r="P50" i="42" s="1"/>
  <c r="Q50" i="42" s="1"/>
  <c r="L28" i="34"/>
  <c r="O28" i="34" s="1"/>
  <c r="D57" i="4" s="1"/>
  <c r="L67" i="34"/>
  <c r="O44" i="42"/>
  <c r="O45" i="42" s="1"/>
  <c r="P44" i="42" s="1"/>
  <c r="Q44" i="42" s="1"/>
  <c r="H16" i="23"/>
  <c r="H15" i="23"/>
  <c r="K15" i="23" s="1"/>
  <c r="I50" i="1"/>
  <c r="L9" i="32" l="1"/>
  <c r="T8" i="32" a="1"/>
  <c r="T8" i="32" s="1"/>
  <c r="O8" i="32" a="1"/>
  <c r="O8" i="32" s="1"/>
  <c r="S8" i="32" a="1"/>
  <c r="S8" i="32" s="1"/>
  <c r="Q8" i="32" a="1"/>
  <c r="Q8" i="32" s="1"/>
  <c r="R8" i="32" a="1"/>
  <c r="R8" i="32" s="1"/>
  <c r="P8" i="32" a="1"/>
  <c r="P8" i="32" s="1"/>
  <c r="U8" i="32" a="1"/>
  <c r="U8" i="32" s="1"/>
  <c r="D51" i="4"/>
  <c r="F32" i="1" s="1"/>
  <c r="F32" i="50" s="1"/>
  <c r="D54" i="4"/>
  <c r="F35" i="1" s="1"/>
  <c r="F35" i="50" s="1"/>
  <c r="D52" i="4"/>
  <c r="A20" i="11" s="1"/>
  <c r="D56" i="4"/>
  <c r="A85" i="11" s="1"/>
  <c r="D53" i="4"/>
  <c r="F34" i="1" s="1"/>
  <c r="F34" i="50" s="1"/>
  <c r="D58" i="4"/>
  <c r="F39" i="1" s="1"/>
  <c r="F39" i="50" s="1"/>
  <c r="D55" i="4"/>
  <c r="F36" i="1" s="1"/>
  <c r="F36" i="50" s="1"/>
  <c r="CQ43" i="52"/>
  <c r="CP43" i="52"/>
  <c r="CO43" i="52"/>
  <c r="CR43" i="52"/>
  <c r="J115" i="11"/>
  <c r="P41" i="42"/>
  <c r="Q41" i="42" s="1"/>
  <c r="J60" i="11"/>
  <c r="D76" i="11"/>
  <c r="F76" i="11" s="1"/>
  <c r="I76" i="11" s="1"/>
  <c r="K76" i="11" s="1"/>
  <c r="K39" i="11"/>
  <c r="K74" i="11"/>
  <c r="K88" i="11"/>
  <c r="K186" i="11"/>
  <c r="K190" i="11" s="1"/>
  <c r="J131" i="11"/>
  <c r="K129" i="11"/>
  <c r="J9" i="11"/>
  <c r="L9" i="39"/>
  <c r="K9" i="39"/>
  <c r="L11" i="39"/>
  <c r="K11" i="39"/>
  <c r="L13" i="39"/>
  <c r="K13" i="39"/>
  <c r="L15" i="39"/>
  <c r="K15" i="39"/>
  <c r="L8" i="39"/>
  <c r="K8" i="39"/>
  <c r="M8" i="39"/>
  <c r="L17" i="39"/>
  <c r="K17" i="39"/>
  <c r="K14" i="39"/>
  <c r="L14" i="39"/>
  <c r="K10" i="39"/>
  <c r="L10" i="39"/>
  <c r="K16" i="39"/>
  <c r="L16" i="39"/>
  <c r="K12" i="39"/>
  <c r="L12" i="39"/>
  <c r="L9" i="38"/>
  <c r="L13" i="38"/>
  <c r="M8" i="38"/>
  <c r="L8" i="38"/>
  <c r="L12" i="38"/>
  <c r="L11" i="38"/>
  <c r="L10" i="38"/>
  <c r="K14" i="38"/>
  <c r="L14" i="38"/>
  <c r="N24" i="1"/>
  <c r="U35" i="4" s="1"/>
  <c r="U36" i="4"/>
  <c r="K48" i="50"/>
  <c r="K50" i="50"/>
  <c r="K49" i="50"/>
  <c r="P38" i="42"/>
  <c r="Q38" i="42" s="1"/>
  <c r="K143" i="11"/>
  <c r="K162" i="11"/>
  <c r="K164" i="11" s="1"/>
  <c r="K175" i="11"/>
  <c r="K177" i="11" s="1"/>
  <c r="K25" i="11"/>
  <c r="A57" i="11"/>
  <c r="D104" i="11"/>
  <c r="F104" i="11" s="1"/>
  <c r="I104" i="11" s="1"/>
  <c r="J104" i="11" s="1"/>
  <c r="J90" i="11"/>
  <c r="J62" i="11"/>
  <c r="K11" i="11"/>
  <c r="J188" i="11"/>
  <c r="J190" i="11" s="1"/>
  <c r="J191" i="11" s="1"/>
  <c r="O32" i="34"/>
  <c r="K102" i="11"/>
  <c r="AA47" i="4"/>
  <c r="N15" i="37"/>
  <c r="O15" i="37"/>
  <c r="M15" i="37"/>
  <c r="O12" i="37"/>
  <c r="M12" i="37"/>
  <c r="N12" i="37"/>
  <c r="M10" i="37"/>
  <c r="N10" i="37"/>
  <c r="O10" i="37"/>
  <c r="M13" i="37"/>
  <c r="N13" i="37"/>
  <c r="O13" i="37"/>
  <c r="M9" i="37"/>
  <c r="N9" i="37"/>
  <c r="O9" i="37"/>
  <c r="O16" i="37"/>
  <c r="M16" i="37"/>
  <c r="N16" i="37"/>
  <c r="Q8" i="37"/>
  <c r="N8" i="37"/>
  <c r="M8" i="37"/>
  <c r="O8" i="37"/>
  <c r="P8" i="37"/>
  <c r="N11" i="37"/>
  <c r="M11" i="37"/>
  <c r="O11" i="37"/>
  <c r="M14" i="37"/>
  <c r="N14" i="37"/>
  <c r="O14" i="37"/>
  <c r="A6" i="11"/>
  <c r="K37" i="11"/>
  <c r="J160" i="11"/>
  <c r="J164" i="11" s="1"/>
  <c r="J165" i="11" s="1"/>
  <c r="B189" i="11"/>
  <c r="B186" i="11"/>
  <c r="B187" i="11"/>
  <c r="B188" i="11"/>
  <c r="J177" i="11"/>
  <c r="J178" i="11" s="1"/>
  <c r="F38" i="1"/>
  <c r="A99" i="11"/>
  <c r="A112" i="11" l="1"/>
  <c r="L10" i="32"/>
  <c r="O9" i="32" a="1"/>
  <c r="O9" i="32" s="1"/>
  <c r="T9" i="32" a="1"/>
  <c r="T9" i="32" s="1"/>
  <c r="Q9" i="32" a="1"/>
  <c r="Q9" i="32" s="1"/>
  <c r="P9" i="32" a="1"/>
  <c r="P9" i="32" s="1"/>
  <c r="S9" i="32" a="1"/>
  <c r="S9" i="32" s="1"/>
  <c r="R9" i="32" a="1"/>
  <c r="R9" i="32" s="1"/>
  <c r="F37" i="1"/>
  <c r="F37" i="50" s="1"/>
  <c r="A71" i="11"/>
  <c r="A34" i="11"/>
  <c r="F33" i="1"/>
  <c r="F33" i="50" s="1"/>
  <c r="CD43" i="52"/>
  <c r="CG43" i="52"/>
  <c r="CF43" i="52"/>
  <c r="CE43" i="52"/>
  <c r="DB37" i="52"/>
  <c r="D117" i="11"/>
  <c r="F117" i="11" s="1"/>
  <c r="I117" i="11" s="1"/>
  <c r="J117" i="11" s="1"/>
  <c r="DC37" i="52" a="1"/>
  <c r="DC37" i="52" s="1"/>
  <c r="DE37" i="52" a="1"/>
  <c r="DE37" i="52" s="1"/>
  <c r="DD37" i="52"/>
  <c r="J76" i="11"/>
  <c r="AE20" i="52"/>
  <c r="BO20" i="52"/>
  <c r="AP20" i="52"/>
  <c r="AE21" i="52"/>
  <c r="AE19" i="52"/>
  <c r="AP18" i="52"/>
  <c r="BO18" i="52"/>
  <c r="AE18" i="52"/>
  <c r="BO21" i="52"/>
  <c r="AP21" i="52"/>
  <c r="BO19" i="52"/>
  <c r="AP19" i="52"/>
  <c r="AA24" i="1"/>
  <c r="AA23" i="1"/>
  <c r="F38" i="50"/>
  <c r="J166" i="11"/>
  <c r="J167" i="11" s="1"/>
  <c r="J168" i="11" s="1"/>
  <c r="J169" i="11" s="1"/>
  <c r="P67" i="4" s="1"/>
  <c r="L48" i="1" s="1"/>
  <c r="K117" i="11"/>
  <c r="K104" i="11"/>
  <c r="D145" i="11"/>
  <c r="F145" i="11" s="1"/>
  <c r="I145" i="11" s="1"/>
  <c r="J179" i="11"/>
  <c r="J180" i="11" s="1"/>
  <c r="J181" i="11" s="1"/>
  <c r="J182" i="11" s="1"/>
  <c r="P68" i="4" s="1"/>
  <c r="L49" i="1" s="1"/>
  <c r="O17" i="37"/>
  <c r="J192" i="11"/>
  <c r="J193" i="11" s="1"/>
  <c r="J194" i="11" s="1"/>
  <c r="J195" i="11" s="1"/>
  <c r="P69" i="4" s="1"/>
  <c r="L50" i="1" s="1"/>
  <c r="L11" i="32" l="1"/>
  <c r="P10" i="32" a="1"/>
  <c r="P10" i="32" s="1"/>
  <c r="T10" i="32" a="1"/>
  <c r="T10" i="32" s="1"/>
  <c r="O10" i="32" a="1"/>
  <c r="O10" i="32" s="1"/>
  <c r="S10" i="32" a="1"/>
  <c r="S10" i="32" s="1"/>
  <c r="Q10" i="32" a="1"/>
  <c r="Q10" i="32" s="1"/>
  <c r="R10" i="32" a="1"/>
  <c r="R10" i="32" s="1"/>
  <c r="P42" i="4"/>
  <c r="DF37" i="52"/>
  <c r="AA41" i="4" s="1"/>
  <c r="AA42" i="4" s="1"/>
  <c r="S44" i="4" s="1"/>
  <c r="B78" i="4" s="1"/>
  <c r="P44" i="4"/>
  <c r="I44" i="4" s="1"/>
  <c r="AA25" i="1"/>
  <c r="N50" i="50"/>
  <c r="N48" i="50"/>
  <c r="N49" i="50"/>
  <c r="J145" i="11"/>
  <c r="K145" i="11"/>
  <c r="L12" i="32" l="1"/>
  <c r="S11" i="32" a="1"/>
  <c r="S11" i="32" s="1"/>
  <c r="R11" i="32" a="1"/>
  <c r="R11" i="32" s="1"/>
  <c r="O11" i="32" a="1"/>
  <c r="O11" i="32" s="1"/>
  <c r="Q11" i="32" a="1"/>
  <c r="Q11" i="32" s="1"/>
  <c r="T11" i="32" a="1"/>
  <c r="T11" i="32" s="1"/>
  <c r="P11" i="32" a="1"/>
  <c r="P11" i="32" s="1"/>
  <c r="H35" i="4"/>
  <c r="F16" i="1" s="1"/>
  <c r="M23" i="1"/>
  <c r="V34" i="4" s="1"/>
  <c r="O57" i="1"/>
  <c r="O58" i="1"/>
  <c r="B57" i="1" s="1"/>
  <c r="CO18" i="52" l="1"/>
  <c r="CQ18" i="52"/>
  <c r="CQ24" i="52"/>
  <c r="CO24" i="52"/>
  <c r="CP24" i="52"/>
  <c r="CP18" i="52"/>
  <c r="CR24" i="52"/>
  <c r="CR18" i="52"/>
  <c r="CD18" i="52"/>
  <c r="CF18" i="52"/>
  <c r="CF24" i="52"/>
  <c r="CD24" i="52"/>
  <c r="CG24" i="52"/>
  <c r="CG18" i="52"/>
  <c r="CE24" i="52"/>
  <c r="CE18" i="52"/>
  <c r="L13" i="32"/>
  <c r="T12" i="32" a="1"/>
  <c r="T12" i="32" s="1"/>
  <c r="S12" i="32" a="1"/>
  <c r="S12" i="32" s="1"/>
  <c r="Q12" i="32" a="1"/>
  <c r="Q12" i="32" s="1"/>
  <c r="P12" i="32" a="1"/>
  <c r="P12" i="32" s="1"/>
  <c r="R12" i="32" a="1"/>
  <c r="R12" i="32" s="1"/>
  <c r="O12" i="32" a="1"/>
  <c r="O12" i="32" s="1"/>
  <c r="G16" i="1"/>
  <c r="G16" i="50" s="1"/>
  <c r="F16" i="50"/>
  <c r="H16" i="1"/>
  <c r="H16" i="50" s="1"/>
  <c r="Q10" i="11"/>
  <c r="B57" i="50"/>
  <c r="B56" i="1"/>
  <c r="CH24" i="52" l="1"/>
  <c r="J33" i="4" s="1"/>
  <c r="CH18" i="52"/>
  <c r="H33" i="4" s="1"/>
  <c r="L33" i="4" s="1"/>
  <c r="F14" i="1" s="1"/>
  <c r="F14" i="50" s="1"/>
  <c r="CS24" i="52"/>
  <c r="J34" i="4" s="1"/>
  <c r="CS18" i="52"/>
  <c r="H34" i="4" s="1"/>
  <c r="L34" i="4" s="1"/>
  <c r="L14" i="32"/>
  <c r="S13" i="32" a="1"/>
  <c r="S13" i="32" s="1"/>
  <c r="O13" i="32" a="1"/>
  <c r="O13" i="32" s="1"/>
  <c r="Q13" i="32" a="1"/>
  <c r="Q13" i="32" s="1"/>
  <c r="P13" i="32" a="1"/>
  <c r="P13" i="32" s="1"/>
  <c r="R13" i="32" a="1"/>
  <c r="R13" i="32" s="1"/>
  <c r="T13" i="32" a="1"/>
  <c r="T13" i="32" s="1"/>
  <c r="I16" i="1"/>
  <c r="I16" i="50" s="1"/>
  <c r="B56" i="50"/>
  <c r="AR10" i="33"/>
  <c r="B55" i="1" s="1"/>
  <c r="B55" i="50" s="1"/>
  <c r="AG10" i="33"/>
  <c r="F30" i="52" s="1"/>
  <c r="AO10" i="33"/>
  <c r="G30" i="52" s="1"/>
  <c r="AD11" i="33"/>
  <c r="AP10" i="33"/>
  <c r="AQ10" i="33"/>
  <c r="S14" i="32" l="1" a="1"/>
  <c r="S14" i="32" s="1"/>
  <c r="R14" i="32" a="1"/>
  <c r="R14" i="32" s="1"/>
  <c r="O14" i="32" a="1"/>
  <c r="O14" i="32" s="1"/>
  <c r="Q14" i="32" a="1"/>
  <c r="Q14" i="32" s="1"/>
  <c r="Q15" i="32" s="1"/>
  <c r="H14" i="1" s="1"/>
  <c r="H14" i="50" s="1"/>
  <c r="T14" i="32" a="1"/>
  <c r="T14" i="32" s="1"/>
  <c r="T15" i="32" s="1"/>
  <c r="H15" i="1" s="1"/>
  <c r="H15" i="50" s="1"/>
  <c r="P14" i="32" a="1"/>
  <c r="P14" i="32" s="1"/>
  <c r="F15" i="1"/>
  <c r="CP28" i="52"/>
  <c r="F15" i="50" s="1"/>
  <c r="AO11" i="33"/>
  <c r="G31" i="52" s="1"/>
  <c r="AQ11" i="33"/>
  <c r="AD12" i="33"/>
  <c r="AG11" i="33"/>
  <c r="F31" i="52" s="1"/>
  <c r="AP11" i="33"/>
  <c r="AJ2" i="11" s="1"/>
  <c r="AQ12" i="33" l="1"/>
  <c r="AO12" i="33"/>
  <c r="G32" i="52" s="1"/>
  <c r="AG12" i="33"/>
  <c r="F32" i="52" s="1"/>
  <c r="AP12" i="33"/>
  <c r="AD13" i="33"/>
  <c r="AJ3" i="11" l="1"/>
  <c r="AN2" i="11"/>
  <c r="AD14" i="33"/>
  <c r="AP13" i="33"/>
  <c r="AQ13" i="33"/>
  <c r="AG13" i="33"/>
  <c r="AO13" i="33"/>
  <c r="G33" i="52" s="1"/>
  <c r="AJ4" i="11" l="1"/>
  <c r="AN3" i="11"/>
  <c r="AO14" i="33"/>
  <c r="G34" i="52" s="1"/>
  <c r="AP14" i="33"/>
  <c r="AN4" i="11" s="1"/>
  <c r="AG14" i="33"/>
  <c r="F34" i="52" s="1"/>
  <c r="AQ14" i="33"/>
  <c r="AD15" i="33"/>
  <c r="F33" i="52"/>
  <c r="U118" i="11"/>
  <c r="U12" i="11"/>
  <c r="U91" i="11"/>
  <c r="U26" i="11"/>
  <c r="U63" i="11"/>
  <c r="U132" i="11" l="1"/>
  <c r="AO15" i="33"/>
  <c r="G35" i="52" s="1"/>
  <c r="AG15" i="33"/>
  <c r="AP15" i="33"/>
  <c r="AQ15" i="33"/>
  <c r="AD16" i="33"/>
  <c r="U40" i="11"/>
  <c r="U146" i="11"/>
  <c r="U77" i="11"/>
  <c r="U105" i="11"/>
  <c r="F35" i="52" l="1"/>
  <c r="AQ16" i="33"/>
  <c r="AG16" i="33"/>
  <c r="F36" i="52" s="1"/>
  <c r="AO16" i="33"/>
  <c r="G36" i="52" s="1"/>
  <c r="AP16" i="33"/>
  <c r="AI20" i="52" l="1"/>
  <c r="G20" i="52"/>
  <c r="U18" i="52"/>
  <c r="BS19" i="52"/>
  <c r="BS22" i="52"/>
  <c r="AG19" i="52"/>
  <c r="R20" i="52"/>
  <c r="AR21" i="52"/>
  <c r="G22" i="52"/>
  <c r="T20" i="52"/>
  <c r="J21" i="52"/>
  <c r="AT20" i="52"/>
  <c r="J20" i="52"/>
  <c r="S20" i="52"/>
  <c r="S18" i="52"/>
  <c r="H21" i="52"/>
  <c r="BR19" i="52"/>
  <c r="BR21" i="52"/>
  <c r="AS19" i="52"/>
  <c r="AQ21" i="52"/>
  <c r="R19" i="52"/>
  <c r="BR20" i="52"/>
  <c r="BP19" i="52"/>
  <c r="AF20" i="52"/>
  <c r="J19" i="52"/>
  <c r="S21" i="52"/>
  <c r="G19" i="52"/>
  <c r="AI19" i="52"/>
  <c r="AF22" i="52"/>
  <c r="I21" i="52"/>
  <c r="AR20" i="52"/>
  <c r="AH18" i="52"/>
  <c r="S22" i="52"/>
  <c r="G18" i="52"/>
  <c r="T18" i="52"/>
  <c r="BR22" i="52"/>
  <c r="AR18" i="52"/>
  <c r="AQ20" i="52"/>
  <c r="AQ19" i="52"/>
  <c r="AG21" i="52"/>
  <c r="BS18" i="52"/>
  <c r="R22" i="52"/>
  <c r="R21" i="52"/>
  <c r="AQ18" i="52"/>
  <c r="AS18" i="52"/>
  <c r="AG18" i="52"/>
  <c r="I22" i="52"/>
  <c r="AR19" i="52"/>
  <c r="AR22" i="52"/>
  <c r="U21" i="52"/>
  <c r="AH22" i="52"/>
  <c r="U22" i="52"/>
  <c r="U20" i="52"/>
  <c r="H18" i="52"/>
  <c r="AI21" i="52"/>
  <c r="I19" i="52"/>
  <c r="H19" i="52"/>
  <c r="G21" i="52"/>
  <c r="BR18" i="52"/>
  <c r="BS20" i="52"/>
  <c r="AH19" i="52"/>
  <c r="AS22" i="52"/>
  <c r="AI22" i="52"/>
  <c r="J22" i="52"/>
  <c r="AF18" i="52"/>
  <c r="I18" i="52"/>
  <c r="AF19" i="52"/>
  <c r="BQ21" i="52"/>
  <c r="AT18" i="52"/>
  <c r="H20" i="52"/>
  <c r="S19" i="52"/>
  <c r="H22" i="52"/>
  <c r="R18" i="52"/>
  <c r="AS20" i="52"/>
  <c r="T22" i="52"/>
  <c r="AG22" i="52"/>
  <c r="I20" i="52"/>
  <c r="AT22" i="52"/>
  <c r="BP21" i="52"/>
  <c r="AH20" i="52"/>
  <c r="J18" i="52"/>
  <c r="BQ19" i="52"/>
  <c r="BQ20" i="52"/>
  <c r="BP20" i="52"/>
  <c r="T19" i="52"/>
  <c r="BP18" i="52"/>
  <c r="T21" i="52"/>
  <c r="AT19" i="52"/>
  <c r="BS21" i="52"/>
  <c r="BP22" i="52"/>
  <c r="AQ22" i="52"/>
  <c r="AS21" i="52"/>
  <c r="BQ22" i="52"/>
  <c r="AH21" i="52"/>
  <c r="BQ18" i="52"/>
  <c r="AI18" i="52"/>
  <c r="U19" i="52"/>
  <c r="AT21" i="52"/>
  <c r="AF21" i="52"/>
  <c r="AG20" i="52"/>
  <c r="K22" i="52" l="1"/>
  <c r="L59" i="4" s="1"/>
  <c r="BT20" i="52"/>
  <c r="D91" i="11" s="1"/>
  <c r="F91" i="11" s="1"/>
  <c r="I91" i="11" s="1"/>
  <c r="J91" i="11" s="1"/>
  <c r="V20" i="52"/>
  <c r="L56" i="4" s="1"/>
  <c r="O56" i="4" s="1"/>
  <c r="AJ21" i="52"/>
  <c r="D103" i="11" s="1"/>
  <c r="F103" i="11" s="1"/>
  <c r="I103" i="11" s="1"/>
  <c r="K103" i="11" s="1"/>
  <c r="K18" i="52"/>
  <c r="L51" i="4" s="1"/>
  <c r="BT19" i="52"/>
  <c r="D63" i="11" s="1"/>
  <c r="F63" i="11" s="1"/>
  <c r="I63" i="11" s="1"/>
  <c r="K63" i="11" s="1"/>
  <c r="V22" i="52"/>
  <c r="L60" i="4" s="1"/>
  <c r="AU20" i="52"/>
  <c r="D89" i="11" s="1"/>
  <c r="F89" i="11" s="1"/>
  <c r="I89" i="11" s="1"/>
  <c r="K89" i="11" s="1"/>
  <c r="AU22" i="52"/>
  <c r="D144" i="11" s="1"/>
  <c r="F144" i="11" s="1"/>
  <c r="I144" i="11" s="1"/>
  <c r="K144" i="11" s="1"/>
  <c r="AU19" i="52"/>
  <c r="D61" i="11" s="1"/>
  <c r="F61" i="11" s="1"/>
  <c r="I61" i="11" s="1"/>
  <c r="J61" i="11" s="1"/>
  <c r="BT21" i="52"/>
  <c r="D118" i="11" s="1"/>
  <c r="F118" i="11" s="1"/>
  <c r="I118" i="11" s="1"/>
  <c r="J118" i="11" s="1"/>
  <c r="K21" i="52"/>
  <c r="L57" i="4" s="1"/>
  <c r="BD21" i="52" s="1"/>
  <c r="V19" i="52"/>
  <c r="L54" i="4" s="1"/>
  <c r="AJ19" i="52"/>
  <c r="D38" i="11" s="1"/>
  <c r="F38" i="11" s="1"/>
  <c r="I38" i="11" s="1"/>
  <c r="BT22" i="52"/>
  <c r="D146" i="11" s="1"/>
  <c r="F146" i="11" s="1"/>
  <c r="I146" i="11" s="1"/>
  <c r="AJ18" i="52"/>
  <c r="D10" i="11" s="1"/>
  <c r="F10" i="11" s="1"/>
  <c r="I10" i="11" s="1"/>
  <c r="AU21" i="52"/>
  <c r="D116" i="11" s="1"/>
  <c r="F116" i="11" s="1"/>
  <c r="I116" i="11" s="1"/>
  <c r="AJ20" i="52"/>
  <c r="D75" i="11" s="1"/>
  <c r="F75" i="11" s="1"/>
  <c r="I75" i="11" s="1"/>
  <c r="K20" i="52"/>
  <c r="L55" i="4" s="1"/>
  <c r="BD20" i="52" s="1"/>
  <c r="K19" i="52"/>
  <c r="L53" i="4" s="1"/>
  <c r="BD19" i="52" s="1"/>
  <c r="V18" i="52"/>
  <c r="L52" i="4" s="1"/>
  <c r="AJ22" i="52"/>
  <c r="D130" i="11" s="1"/>
  <c r="F130" i="11" s="1"/>
  <c r="I130" i="11" s="1"/>
  <c r="V21" i="52"/>
  <c r="L58" i="4" s="1"/>
  <c r="BT18" i="52"/>
  <c r="D26" i="11" s="1"/>
  <c r="F26" i="11" s="1"/>
  <c r="I26" i="11" s="1"/>
  <c r="AU18" i="52"/>
  <c r="D24" i="11" s="1"/>
  <c r="F24" i="11" s="1"/>
  <c r="I24" i="11" s="1"/>
  <c r="O51" i="4" l="1"/>
  <c r="K32" i="50" s="1"/>
  <c r="BD18" i="52"/>
  <c r="BG21" i="52"/>
  <c r="BE21" i="52"/>
  <c r="BH21" i="52"/>
  <c r="BF21" i="52"/>
  <c r="BF20" i="52"/>
  <c r="BG20" i="52"/>
  <c r="BH20" i="52"/>
  <c r="BE20" i="52"/>
  <c r="BG19" i="52"/>
  <c r="BE19" i="52"/>
  <c r="BF19" i="52"/>
  <c r="BH19" i="52"/>
  <c r="A141" i="11"/>
  <c r="Q145" i="11" s="1"/>
  <c r="H41" i="1"/>
  <c r="J41" i="50"/>
  <c r="O60" i="4"/>
  <c r="I41" i="1" s="1"/>
  <c r="K41" i="50" s="1"/>
  <c r="BD22" i="52"/>
  <c r="A127" i="11"/>
  <c r="Q130" i="11" s="1"/>
  <c r="J40" i="50"/>
  <c r="O59" i="4"/>
  <c r="I40" i="1" s="1"/>
  <c r="K40" i="50" s="1"/>
  <c r="H40" i="1"/>
  <c r="J103" i="11"/>
  <c r="J144" i="11"/>
  <c r="H37" i="1"/>
  <c r="H32" i="1"/>
  <c r="J32" i="50"/>
  <c r="A86" i="11"/>
  <c r="Q89" i="11" s="1"/>
  <c r="J37" i="50"/>
  <c r="K91" i="11"/>
  <c r="K92" i="11" s="1"/>
  <c r="K61" i="11"/>
  <c r="K64" i="11" s="1"/>
  <c r="J63" i="11"/>
  <c r="J64" i="11" s="1"/>
  <c r="J65" i="11" s="1"/>
  <c r="J89" i="11"/>
  <c r="J92" i="11" s="1"/>
  <c r="J93" i="11" s="1"/>
  <c r="K118" i="11"/>
  <c r="J24" i="11"/>
  <c r="K24" i="11"/>
  <c r="J38" i="11"/>
  <c r="K38" i="11"/>
  <c r="J130" i="11"/>
  <c r="K130" i="11"/>
  <c r="J10" i="11"/>
  <c r="K10" i="11"/>
  <c r="H38" i="1"/>
  <c r="A100" i="11"/>
  <c r="Q103" i="11" s="1"/>
  <c r="J38" i="50"/>
  <c r="O57" i="4"/>
  <c r="K38" i="50" s="1"/>
  <c r="A113" i="11"/>
  <c r="Q116" i="11" s="1"/>
  <c r="O58" i="4"/>
  <c r="J39" i="50"/>
  <c r="H39" i="1"/>
  <c r="J75" i="11"/>
  <c r="K75" i="11"/>
  <c r="J26" i="11"/>
  <c r="K26" i="11"/>
  <c r="J116" i="11"/>
  <c r="J119" i="11" s="1"/>
  <c r="J120" i="11" s="1"/>
  <c r="K116" i="11"/>
  <c r="H35" i="1"/>
  <c r="J35" i="50"/>
  <c r="O54" i="4"/>
  <c r="K35" i="50" s="1"/>
  <c r="A58" i="11"/>
  <c r="Q61" i="11" s="1"/>
  <c r="I37" i="1"/>
  <c r="K37" i="50"/>
  <c r="A21" i="11"/>
  <c r="Q24" i="11" s="1"/>
  <c r="J33" i="50"/>
  <c r="H33" i="1"/>
  <c r="O52" i="4"/>
  <c r="H34" i="1"/>
  <c r="J34" i="50"/>
  <c r="A35" i="11"/>
  <c r="Q38" i="11" s="1"/>
  <c r="O53" i="4"/>
  <c r="H36" i="1"/>
  <c r="J36" i="50"/>
  <c r="A72" i="11"/>
  <c r="Q75" i="11" s="1"/>
  <c r="O55" i="4"/>
  <c r="K146" i="11"/>
  <c r="K147" i="11" s="1"/>
  <c r="J146" i="11"/>
  <c r="I32" i="1" l="1"/>
  <c r="BI20" i="52"/>
  <c r="D77" i="11" s="1"/>
  <c r="F77" i="11" s="1"/>
  <c r="I77" i="11" s="1"/>
  <c r="K77" i="11" s="1"/>
  <c r="K78" i="11" s="1"/>
  <c r="BI19" i="52"/>
  <c r="D40" i="11" s="1"/>
  <c r="F40" i="11" s="1"/>
  <c r="I40" i="11" s="1"/>
  <c r="J40" i="11" s="1"/>
  <c r="J41" i="11" s="1"/>
  <c r="J42" i="11" s="1"/>
  <c r="BI21" i="52"/>
  <c r="D105" i="11" s="1"/>
  <c r="F105" i="11" s="1"/>
  <c r="I105" i="11" s="1"/>
  <c r="J105" i="11" s="1"/>
  <c r="J106" i="11" s="1"/>
  <c r="J107" i="11" s="1"/>
  <c r="BF18" i="52"/>
  <c r="BE18" i="52"/>
  <c r="BH18" i="52"/>
  <c r="BG18" i="52"/>
  <c r="BG22" i="52"/>
  <c r="BF22" i="52"/>
  <c r="BE22" i="52"/>
  <c r="BH22" i="52"/>
  <c r="J147" i="11"/>
  <c r="J148" i="11" s="1"/>
  <c r="J149" i="11" s="1"/>
  <c r="J150" i="11" s="1"/>
  <c r="J151" i="11" s="1"/>
  <c r="P60" i="4" s="1"/>
  <c r="K41" i="1" s="1"/>
  <c r="W41" i="1" s="1"/>
  <c r="X41" i="1" s="1"/>
  <c r="K27" i="11"/>
  <c r="J27" i="11"/>
  <c r="J28" i="11" s="1"/>
  <c r="J94" i="11"/>
  <c r="J95" i="11" s="1"/>
  <c r="J96" i="11" s="1"/>
  <c r="P56" i="4" s="1"/>
  <c r="M37" i="50" s="1"/>
  <c r="K119" i="11"/>
  <c r="J121" i="11" s="1"/>
  <c r="J122" i="11" s="1"/>
  <c r="J123" i="11" s="1"/>
  <c r="P58" i="4" s="1"/>
  <c r="J66" i="11"/>
  <c r="J67" i="11" s="1"/>
  <c r="J68" i="11" s="1"/>
  <c r="P54" i="4" s="1"/>
  <c r="M35" i="50" s="1"/>
  <c r="I38" i="1"/>
  <c r="I35" i="1"/>
  <c r="K36" i="50"/>
  <c r="I36" i="1"/>
  <c r="K34" i="50"/>
  <c r="I34" i="1"/>
  <c r="K33" i="50"/>
  <c r="I33" i="1"/>
  <c r="K39" i="50"/>
  <c r="I39" i="1"/>
  <c r="K105" i="11" l="1"/>
  <c r="K106" i="11" s="1"/>
  <c r="K40" i="11"/>
  <c r="K41" i="11" s="1"/>
  <c r="J43" i="11" s="1"/>
  <c r="J44" i="11" s="1"/>
  <c r="J45" i="11" s="1"/>
  <c r="P53" i="4" s="1"/>
  <c r="J77" i="11"/>
  <c r="J78" i="11" s="1"/>
  <c r="J79" i="11" s="1"/>
  <c r="J80" i="11" s="1"/>
  <c r="J81" i="11" s="1"/>
  <c r="J82" i="11" s="1"/>
  <c r="P55" i="4" s="1"/>
  <c r="M36" i="50" s="1"/>
  <c r="BI18" i="52"/>
  <c r="D12" i="11" s="1"/>
  <c r="F12" i="11" s="1"/>
  <c r="I12" i="11" s="1"/>
  <c r="K12" i="11" s="1"/>
  <c r="K13" i="11" s="1"/>
  <c r="J108" i="11"/>
  <c r="J109" i="11" s="1"/>
  <c r="J110" i="11" s="1"/>
  <c r="P57" i="4" s="1"/>
  <c r="M38" i="50" s="1"/>
  <c r="BI22" i="52"/>
  <c r="D132" i="11" s="1"/>
  <c r="F132" i="11" s="1"/>
  <c r="I132" i="11" s="1"/>
  <c r="K132" i="11" s="1"/>
  <c r="K133" i="11" s="1"/>
  <c r="M41" i="50"/>
  <c r="J29" i="11"/>
  <c r="K30" i="11" s="1"/>
  <c r="K37" i="1"/>
  <c r="W37" i="1" s="1"/>
  <c r="X37" i="1" s="1"/>
  <c r="K35" i="1"/>
  <c r="W35" i="1" s="1"/>
  <c r="X35" i="1" s="1"/>
  <c r="K39" i="1"/>
  <c r="W39" i="1" s="1"/>
  <c r="X39" i="1" s="1"/>
  <c r="M39" i="50"/>
  <c r="J12" i="11" l="1"/>
  <c r="J13" i="11" s="1"/>
  <c r="J14" i="11" s="1"/>
  <c r="J15" i="11" s="1"/>
  <c r="J16" i="11" s="1"/>
  <c r="J17" i="11" s="1"/>
  <c r="P51" i="4" s="1"/>
  <c r="K34" i="1"/>
  <c r="W34" i="1" s="1"/>
  <c r="X34" i="1" s="1"/>
  <c r="Y34" i="1" s="1"/>
  <c r="Z34" i="1" s="1"/>
  <c r="M34" i="50"/>
  <c r="J132" i="11"/>
  <c r="J133" i="11" s="1"/>
  <c r="J134" i="11" s="1"/>
  <c r="J135" i="11" s="1"/>
  <c r="J136" i="11" s="1"/>
  <c r="J137" i="11" s="1"/>
  <c r="P59" i="4" s="1"/>
  <c r="K40" i="1" s="1"/>
  <c r="M40" i="50" s="1"/>
  <c r="K36" i="1"/>
  <c r="W36" i="1" s="1"/>
  <c r="X36" i="1" s="1"/>
  <c r="Y36" i="1" s="1"/>
  <c r="Z36" i="1" s="1"/>
  <c r="K38" i="1"/>
  <c r="W38" i="1" s="1"/>
  <c r="X38" i="1" s="1"/>
  <c r="Y38" i="1" s="1"/>
  <c r="Z38" i="1" s="1"/>
  <c r="J30" i="11"/>
  <c r="J31" i="11" s="1"/>
  <c r="P52" i="4" s="1"/>
  <c r="K33" i="1" s="1"/>
  <c r="W33" i="1" s="1"/>
  <c r="X33" i="1" s="1"/>
  <c r="M32" i="50" l="1"/>
  <c r="K32" i="1"/>
  <c r="W32" i="1" s="1"/>
  <c r="X32" i="1" s="1"/>
  <c r="Y32" i="1" s="1"/>
  <c r="Z32" i="1" s="1"/>
  <c r="W40" i="1"/>
  <c r="X40" i="1" s="1"/>
  <c r="Y40" i="1" s="1"/>
  <c r="Z40" i="1" s="1"/>
  <c r="M33" i="50"/>
  <c r="AA32" i="1" l="1"/>
  <c r="AB32" i="1" s="1"/>
  <c r="M32" i="1" s="1"/>
  <c r="K69" i="1" s="1"/>
  <c r="J69" i="1" s="1"/>
  <c r="W34" i="4" s="1"/>
  <c r="A2" i="4" l="1"/>
  <c r="A2" i="1" s="1"/>
  <c r="A2" i="50" s="1"/>
  <c r="L69" i="1"/>
  <c r="A2" i="11" l="1"/>
  <c r="B64" i="1"/>
  <c r="B64" i="50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I2" authorId="0" shapeId="0" xr:uid="{00000000-0006-0000-0200-000001000000}">
      <text>
        <r>
          <rPr>
            <sz val="16"/>
            <color indexed="81"/>
            <rFont val="Tahoma"/>
            <family val="2"/>
          </rPr>
          <t xml:space="preserve">KLIK atau PICIK ENABLE CONTENT, KETIKA PERUBAHAN TABEL PADA PENYELIA DAN YANTEK TIDAK BERFUNGSI </t>
        </r>
        <r>
          <rPr>
            <sz val="14"/>
            <color indexed="81"/>
            <rFont val="Tahoma"/>
            <family val="2"/>
          </rPr>
          <t xml:space="preserve">
</t>
        </r>
      </text>
    </comment>
    <comment ref="AA41" authorId="0" shapeId="0" xr:uid="{4C6032F6-807E-446C-852F-A13805480264}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MENENTUKAN NILAI SCORING UNTUK MENENTUKAN KETERANGAN DIBAWAH INI
</t>
        </r>
      </text>
    </comment>
    <comment ref="U43" authorId="0" shapeId="0" xr:uid="{D26EF17A-FE3A-4186-B1AF-7B6123B9808D}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rumus mirip arus bocor</t>
        </r>
      </text>
    </comment>
    <comment ref="AA43" authorId="0" shapeId="0" xr:uid="{43652FE2-DCFD-439D-9C06-570276D36DD1}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digunakan jika input NC nilai arus terkoreksinya &lt;= 100 mikro ampere</t>
        </r>
      </text>
    </comment>
    <comment ref="AA44" authorId="0" shapeId="0" xr:uid="{093ED310-5E82-44EC-AFCC-9728AC919B40}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digunakan jika tidak ada grounding ruangan dan arus bocor posisi "-"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</author>
  </authors>
  <commentList>
    <comment ref="O58" authorId="0" shapeId="0" xr:uid="{C159FDB6-41A2-4D88-A6FD-5861157A4DBC}">
      <text>
        <r>
          <rPr>
            <b/>
            <sz val="9"/>
            <color indexed="81"/>
            <rFont val="Tahoma"/>
            <family val="2"/>
          </rPr>
          <t>A:</t>
        </r>
        <r>
          <rPr>
            <sz val="9"/>
            <color indexed="81"/>
            <rFont val="Tahoma"/>
            <family val="2"/>
          </rPr>
          <t xml:space="preserve">
Menentukan ketika kosong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PC-PK</author>
  </authors>
  <commentList>
    <comment ref="D22" authorId="0" shapeId="0" xr:uid="{28D1ADC8-CF72-44BE-9476-4C4A0150C160}">
      <text>
        <r>
          <rPr>
            <b/>
            <sz val="9"/>
            <color indexed="81"/>
            <rFont val="Tahoma"/>
            <family val="2"/>
          </rPr>
          <t>PC-PK:</t>
        </r>
        <r>
          <rPr>
            <sz val="9"/>
            <color indexed="81"/>
            <rFont val="Tahoma"/>
            <family val="2"/>
          </rPr>
          <t xml:space="preserve">
CONTOH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<sst xmlns="http://schemas.openxmlformats.org/spreadsheetml/2006/main" count="2819" uniqueCount="863">
  <si>
    <t>T.LK 014-18/ REV : 1</t>
  </si>
  <si>
    <t>Baik</t>
  </si>
  <si>
    <t/>
  </si>
  <si>
    <t>LEMBAR KERJA KALIBRASI BLOOD PRESSURE MONITOR</t>
  </si>
  <si>
    <r>
      <t xml:space="preserve">Nomor sertifikat </t>
    </r>
    <r>
      <rPr>
        <sz val="13"/>
        <rFont val="Calibri"/>
        <family val="2"/>
      </rPr>
      <t xml:space="preserve">□ </t>
    </r>
    <r>
      <rPr>
        <sz val="13"/>
        <rFont val="Arial"/>
        <family val="2"/>
      </rPr>
      <t>/ Nomor surat keterangan □ : 9 / …....... / ….. - ….. / E - …....... DL / DT</t>
    </r>
  </si>
  <si>
    <t>Tidak Baik</t>
  </si>
  <si>
    <t>Merek</t>
  </si>
  <si>
    <t>:</t>
  </si>
  <si>
    <t>Model/ tipe</t>
  </si>
  <si>
    <t>Nomor seri</t>
  </si>
  <si>
    <t>Resolusi alat</t>
  </si>
  <si>
    <t>mmHg (sistole; diastole)</t>
  </si>
  <si>
    <t>bpm (heart rate)</t>
  </si>
  <si>
    <t>Tanggal kalibrasi</t>
  </si>
  <si>
    <t>Tempat kalibrasi</t>
  </si>
  <si>
    <t>Nama ruang</t>
  </si>
  <si>
    <t>Petugas kalibrasi</t>
  </si>
  <si>
    <t xml:space="preserve">Pemeriksaan Fisik            </t>
  </si>
  <si>
    <t>Baik   □   /    Tidak Baik  □</t>
  </si>
  <si>
    <t xml:space="preserve">Pengujian Fungsi       </t>
  </si>
  <si>
    <t>Klasifikasi</t>
  </si>
  <si>
    <t>Bayi □  /   Anak □   /    Dewasa  □</t>
  </si>
  <si>
    <t>I. Kondisi ruang</t>
  </si>
  <si>
    <t>Parameter</t>
  </si>
  <si>
    <t>Pembacaan standar</t>
  </si>
  <si>
    <t>awal</t>
  </si>
  <si>
    <t>akhir</t>
  </si>
  <si>
    <t xml:space="preserve">Suhu </t>
  </si>
  <si>
    <t>°C</t>
  </si>
  <si>
    <t>Kelembaban</t>
  </si>
  <si>
    <t>% RH</t>
  </si>
  <si>
    <t>Tegangan jala jala</t>
  </si>
  <si>
    <t>Volt</t>
  </si>
  <si>
    <t xml:space="preserve">II.     </t>
  </si>
  <si>
    <t>Pemeriksaan kondisi fisik dan fungsi alat</t>
  </si>
  <si>
    <t>SKOR</t>
  </si>
  <si>
    <t>1. Pemeriksaan fisik : Baik □ /  Tidak baik □</t>
  </si>
  <si>
    <t>2. Pengujian fungsi    : Baik □ /  Tidak baik □</t>
  </si>
  <si>
    <t>III. Pengujian keselamatan listrik</t>
  </si>
  <si>
    <t>No</t>
  </si>
  <si>
    <t>Hasil ukur</t>
  </si>
  <si>
    <t>Ambang batas yang diijinkan</t>
  </si>
  <si>
    <t>Resistansi isolasi</t>
  </si>
  <si>
    <t>MΩ</t>
  </si>
  <si>
    <t>&gt; 2 MΩ</t>
  </si>
  <si>
    <t>Ω</t>
  </si>
  <si>
    <t>≤ 0.2 Ω</t>
  </si>
  <si>
    <t xml:space="preserve">Arus bocor peralatan untuk peralatan elektromedik kelas I </t>
  </si>
  <si>
    <t>μA</t>
  </si>
  <si>
    <t>≤ 500 µA</t>
  </si>
  <si>
    <t xml:space="preserve">Arus bocor peralatan untuk peralatan elektromedik kelas II </t>
  </si>
  <si>
    <t>≤ 100 µA</t>
  </si>
  <si>
    <t>IV. Pengujian kinerja</t>
  </si>
  <si>
    <t>A. Blood pressure monitor</t>
  </si>
  <si>
    <t>Setting standar</t>
  </si>
  <si>
    <t>Penunjukan alat (mmHg)</t>
  </si>
  <si>
    <t>Toleransi (mmHg)</t>
  </si>
  <si>
    <t xml:space="preserve">Bayi  □ </t>
  </si>
  <si>
    <t xml:space="preserve">Anak  □ </t>
  </si>
  <si>
    <t xml:space="preserve">Dewasa  □ </t>
  </si>
  <si>
    <t>Sistole (mmHg)</t>
  </si>
  <si>
    <t>………</t>
  </si>
  <si>
    <r>
      <rPr>
        <sz val="12"/>
        <rFont val="Calibri"/>
        <family val="2"/>
      </rPr>
      <t>±</t>
    </r>
    <r>
      <rPr>
        <sz val="12"/>
        <rFont val="Arial"/>
        <family val="2"/>
      </rPr>
      <t xml:space="preserve"> 5</t>
    </r>
  </si>
  <si>
    <t>Diastole (mmHg)</t>
  </si>
  <si>
    <t>Heart rate (bpm)</t>
  </si>
  <si>
    <t>200 □</t>
  </si>
  <si>
    <t>170 □</t>
  </si>
  <si>
    <t>160 □</t>
  </si>
  <si>
    <t>150 □</t>
  </si>
  <si>
    <t>100 □</t>
  </si>
  <si>
    <t>B. Heart rate (bpm)</t>
  </si>
  <si>
    <t>SCORE BPM &gt;=70 H</t>
  </si>
  <si>
    <t>Setting standar (bpm)</t>
  </si>
  <si>
    <t>Setting standar sistole (mmHg)</t>
  </si>
  <si>
    <t>Setting standar diastole  (mmHg)</t>
  </si>
  <si>
    <t>Penunjukan alat (bpm)</t>
  </si>
  <si>
    <t>Toleransi</t>
  </si>
  <si>
    <t>Bayi</t>
  </si>
  <si>
    <t>Anak</t>
  </si>
  <si>
    <t>Dewasa</t>
  </si>
  <si>
    <t>Heart rate</t>
  </si>
  <si>
    <r>
      <rPr>
        <sz val="12"/>
        <color theme="1"/>
        <rFont val="Calibri"/>
        <family val="2"/>
      </rPr>
      <t>±</t>
    </r>
    <r>
      <rPr>
        <sz val="12"/>
        <color theme="1"/>
        <rFont val="Arial"/>
        <family val="2"/>
      </rPr>
      <t xml:space="preserve"> 10%</t>
    </r>
  </si>
  <si>
    <t>m2</t>
  </si>
  <si>
    <t xml:space="preserve">V. Keterangan : </t>
  </si>
  <si>
    <r>
      <t xml:space="preserve">NC : …........ </t>
    </r>
    <r>
      <rPr>
        <sz val="12"/>
        <rFont val="Calibri"/>
        <family val="2"/>
      </rPr>
      <t>µa; G  □  NG  □</t>
    </r>
  </si>
  <si>
    <t>..................................................................</t>
  </si>
  <si>
    <t>VI. Alat ukur yang digunakan :</t>
  </si>
  <si>
    <t>Handheld NIBP Simulator, Merek : ACCUPULSE PLUS, Model : AH-2, SN : HH12080309  □</t>
  </si>
  <si>
    <t>7.9.2020</t>
  </si>
  <si>
    <t>No.</t>
  </si>
  <si>
    <t>Tanggal</t>
  </si>
  <si>
    <t>Revisi</t>
  </si>
  <si>
    <t>Awal</t>
  </si>
  <si>
    <t>Akhir</t>
  </si>
  <si>
    <t>T.LK 014-18/ REV : 0</t>
  </si>
  <si>
    <t>Tegangan jala-jala jika diberi strip (-) menghasilkan value</t>
  </si>
  <si>
    <t>INPUT DATA KALIBRASI BLOOD PRESSURE MONITOR</t>
  </si>
  <si>
    <t>OMRON</t>
  </si>
  <si>
    <t>HEM-8712</t>
  </si>
  <si>
    <t>-</t>
  </si>
  <si>
    <t>mmHg (sistole; diastole), Resolusi alat :</t>
  </si>
  <si>
    <t>Muhammad Zaenuri Sugiasmoro</t>
  </si>
  <si>
    <t>Metode kerja</t>
  </si>
  <si>
    <t>MK 014-18</t>
  </si>
  <si>
    <t>Penunjukan standar</t>
  </si>
  <si>
    <t>Penunjukan standar Awal</t>
  </si>
  <si>
    <t>Penunjukan standar akhir</t>
  </si>
  <si>
    <t>Nilai rata - rata</t>
  </si>
  <si>
    <t xml:space="preserve">terkoreksi </t>
  </si>
  <si>
    <t>terkoreksi</t>
  </si>
  <si>
    <t>Lansia</t>
  </si>
  <si>
    <t xml:space="preserve">Kelembaban </t>
  </si>
  <si>
    <t>Tegangan jala-jala :</t>
  </si>
  <si>
    <t>, Tegangan jala-jala terkoreksi :</t>
  </si>
  <si>
    <t>II. Pemeriksaan kondisi fisik dan fungsi alat</t>
  </si>
  <si>
    <t>Pemeriksaan fisik</t>
  </si>
  <si>
    <t>Pengujian fungsi</t>
  </si>
  <si>
    <t>III. Pengujian Keselamatan Listrik</t>
  </si>
  <si>
    <t>NC</t>
  </si>
  <si>
    <t>HASIL</t>
  </si>
  <si>
    <t>Hasil Ukur</t>
  </si>
  <si>
    <t>Hasil Ukur Terkoreksi</t>
  </si>
  <si>
    <t>Ambang Batas yang Diijinkan</t>
  </si>
  <si>
    <t>NG_TIDAK ADA GROUNDING RUANGAN</t>
  </si>
  <si>
    <t xml:space="preserve">IV. Pengujian Kinerja </t>
  </si>
  <si>
    <t xml:space="preserve">A. Blood pressure monitor </t>
  </si>
  <si>
    <t xml:space="preserve">Parameter                                        </t>
  </si>
  <si>
    <t>Setting Standar  (mmHg)</t>
  </si>
  <si>
    <t>Setting heart rate (bpm)</t>
  </si>
  <si>
    <t>Penunjukan Alat (mmHg)</t>
  </si>
  <si>
    <t xml:space="preserve">Nilai rata- rata </t>
  </si>
  <si>
    <t>Nilai rata- rata terkoreksi</t>
  </si>
  <si>
    <t>Koreksi</t>
  </si>
  <si>
    <t xml:space="preserve">Repeatability           </t>
  </si>
  <si>
    <t>Terbaca</t>
  </si>
  <si>
    <t>PENTING</t>
  </si>
  <si>
    <t xml:space="preserve">Sistole </t>
  </si>
  <si>
    <t>YANTEK</t>
  </si>
  <si>
    <t>Diastole</t>
  </si>
  <si>
    <t xml:space="preserve">B. Heart rate </t>
  </si>
  <si>
    <t>Setting sistole (mmHg)</t>
  </si>
  <si>
    <t>Setting diastole (mmHg)</t>
  </si>
  <si>
    <t>Penunjukan Alat (bpm)</t>
  </si>
  <si>
    <t>Koreksi relatif</t>
  </si>
  <si>
    <t>Catu daya menggunakan baterai</t>
  </si>
  <si>
    <t>IV.</t>
  </si>
  <si>
    <t>Alat Ukur Yang Digunakan</t>
  </si>
  <si>
    <t>Electrical Safety Analyzer, Merek : FLUKE, Model : ESA615, SN : 2853078</t>
  </si>
  <si>
    <t>KLO KOSONG ISINYA :</t>
  </si>
  <si>
    <t>LOGIKA</t>
  </si>
  <si>
    <t>PARAMETER</t>
  </si>
  <si>
    <t>[ G ]</t>
  </si>
  <si>
    <t>[ NO ]</t>
  </si>
  <si>
    <t>[ NC ]</t>
  </si>
  <si>
    <t>[ G/NG ]</t>
  </si>
  <si>
    <t>KETERANGAN</t>
  </si>
  <si>
    <t>G_NO KELUAR_NC KELUAR_MERAH (TANPA ALAT BANTU)</t>
  </si>
  <si>
    <t>√</t>
  </si>
  <si>
    <t>G</t>
  </si>
  <si>
    <t>G_NO KELUAR_NC MASUK_HIJAU (TANPA ALAT BANTU)</t>
  </si>
  <si>
    <t>Gket</t>
  </si>
  <si>
    <t>Alat tidak boleh digunakan pada instalasi tanpa dilengkapi grounding</t>
  </si>
  <si>
    <t>G_NO MASUK_HIJAU (TANPA ALAT BANTU)</t>
  </si>
  <si>
    <t>NG_NO KELUAR_MERAH (DENGAN ALAT BANTU)</t>
  </si>
  <si>
    <t>NGket</t>
  </si>
  <si>
    <t>Tidak terdapat grounding di ruangan</t>
  </si>
  <si>
    <t>NG_NO MASUK_HIJAU (DENGAN ALAT BANTU)</t>
  </si>
  <si>
    <t>HASIL :</t>
  </si>
  <si>
    <t>SOAL NO DAN NC :</t>
  </si>
  <si>
    <t>PERUBAHAN TITIK 200 DAN 150</t>
  </si>
  <si>
    <t>PA</t>
  </si>
  <si>
    <t>A</t>
  </si>
  <si>
    <t>B</t>
  </si>
  <si>
    <t>C</t>
  </si>
  <si>
    <t>UNCERTAINTY BUDGET</t>
  </si>
  <si>
    <t>BLOOD PRESSURE MONITOR</t>
  </si>
  <si>
    <t>mmHg</t>
  </si>
  <si>
    <t>Component</t>
  </si>
  <si>
    <t>Units</t>
  </si>
  <si>
    <t>Distribusi</t>
  </si>
  <si>
    <t>u</t>
  </si>
  <si>
    <t>Divisor</t>
  </si>
  <si>
    <r>
      <t>u</t>
    </r>
    <r>
      <rPr>
        <b/>
        <i/>
        <vertAlign val="subscript"/>
        <sz val="12"/>
        <rFont val="Calibri"/>
        <family val="2"/>
        <scheme val="minor"/>
      </rPr>
      <t>i</t>
    </r>
  </si>
  <si>
    <r>
      <t>c</t>
    </r>
    <r>
      <rPr>
        <b/>
        <i/>
        <vertAlign val="subscript"/>
        <sz val="12"/>
        <rFont val="Calibri"/>
        <family val="2"/>
        <scheme val="minor"/>
      </rPr>
      <t>i</t>
    </r>
  </si>
  <si>
    <r>
      <t>v</t>
    </r>
    <r>
      <rPr>
        <b/>
        <i/>
        <vertAlign val="subscript"/>
        <sz val="12"/>
        <rFont val="Calibri"/>
        <family val="2"/>
        <scheme val="minor"/>
      </rPr>
      <t>i</t>
    </r>
  </si>
  <si>
    <r>
      <t>(u</t>
    </r>
    <r>
      <rPr>
        <b/>
        <i/>
        <vertAlign val="subscript"/>
        <sz val="12"/>
        <rFont val="Calibri"/>
        <family val="2"/>
        <scheme val="minor"/>
      </rPr>
      <t>i</t>
    </r>
    <r>
      <rPr>
        <b/>
        <i/>
        <sz val="12"/>
        <rFont val="Calibri"/>
        <family val="2"/>
        <scheme val="minor"/>
      </rPr>
      <t>c</t>
    </r>
    <r>
      <rPr>
        <b/>
        <i/>
        <vertAlign val="subscript"/>
        <sz val="12"/>
        <rFont val="Calibri"/>
        <family val="2"/>
        <scheme val="minor"/>
      </rPr>
      <t>i</t>
    </r>
    <r>
      <rPr>
        <b/>
        <i/>
        <sz val="12"/>
        <rFont val="Calibri"/>
        <family val="2"/>
        <scheme val="minor"/>
      </rPr>
      <t>)</t>
    </r>
  </si>
  <si>
    <r>
      <t>( u</t>
    </r>
    <r>
      <rPr>
        <b/>
        <i/>
        <vertAlign val="subscript"/>
        <sz val="12"/>
        <rFont val="Calibri"/>
        <family val="2"/>
        <scheme val="minor"/>
      </rPr>
      <t>i</t>
    </r>
    <r>
      <rPr>
        <b/>
        <i/>
        <sz val="12"/>
        <rFont val="Calibri"/>
        <family val="2"/>
        <scheme val="minor"/>
      </rPr>
      <t>c</t>
    </r>
    <r>
      <rPr>
        <b/>
        <i/>
        <vertAlign val="subscript"/>
        <sz val="12"/>
        <rFont val="Calibri"/>
        <family val="2"/>
        <scheme val="minor"/>
      </rPr>
      <t>i</t>
    </r>
    <r>
      <rPr>
        <b/>
        <i/>
        <sz val="12"/>
        <rFont val="Calibri"/>
        <family val="2"/>
        <scheme val="minor"/>
      </rPr>
      <t xml:space="preserve"> ) ^ 2</t>
    </r>
  </si>
  <si>
    <r>
      <t>(u</t>
    </r>
    <r>
      <rPr>
        <b/>
        <vertAlign val="subscript"/>
        <sz val="12"/>
        <rFont val="Calibri"/>
        <family val="2"/>
        <scheme val="minor"/>
      </rPr>
      <t>i</t>
    </r>
    <r>
      <rPr>
        <b/>
        <sz val="12"/>
        <rFont val="Calibri"/>
        <family val="2"/>
        <scheme val="minor"/>
      </rPr>
      <t>c</t>
    </r>
    <r>
      <rPr>
        <b/>
        <vertAlign val="subscript"/>
        <sz val="12"/>
        <rFont val="Calibri"/>
        <family val="2"/>
        <scheme val="minor"/>
      </rPr>
      <t>i</t>
    </r>
    <r>
      <rPr>
        <b/>
        <sz val="12"/>
        <rFont val="Calibri"/>
        <family val="2"/>
        <scheme val="minor"/>
      </rPr>
      <t>)^4/v</t>
    </r>
    <r>
      <rPr>
        <b/>
        <vertAlign val="subscript"/>
        <sz val="12"/>
        <rFont val="Calibri"/>
        <family val="2"/>
        <scheme val="minor"/>
      </rPr>
      <t>i</t>
    </r>
  </si>
  <si>
    <t>Repeatability</t>
  </si>
  <si>
    <t>Normal</t>
  </si>
  <si>
    <t xml:space="preserve">Sertifikat standar </t>
  </si>
  <si>
    <t>Daya Baca Operator UUT</t>
  </si>
  <si>
    <t>Rectangular</t>
  </si>
  <si>
    <t>Drift</t>
  </si>
  <si>
    <t xml:space="preserve">Sums </t>
  </si>
  <si>
    <r>
      <t>Combined Standard uncertainty, u</t>
    </r>
    <r>
      <rPr>
        <i/>
        <vertAlign val="subscript"/>
        <sz val="12"/>
        <rFont val="Calibri"/>
        <family val="2"/>
        <scheme val="minor"/>
      </rPr>
      <t xml:space="preserve">c  </t>
    </r>
  </si>
  <si>
    <t>Effective degree of freedom</t>
  </si>
  <si>
    <t>Coverage factor, k, for for CL 95 %</t>
  </si>
  <si>
    <r>
      <t>Expanded uncertainty, U = k u</t>
    </r>
    <r>
      <rPr>
        <i/>
        <vertAlign val="subscript"/>
        <sz val="12"/>
        <rFont val="Calibri"/>
        <family val="2"/>
        <scheme val="minor"/>
      </rPr>
      <t>c</t>
    </r>
    <r>
      <rPr>
        <i/>
        <sz val="12"/>
        <rFont val="Calibri"/>
        <family val="2"/>
        <scheme val="minor"/>
      </rPr>
      <t xml:space="preserve">,           (mmHg) </t>
    </r>
  </si>
  <si>
    <t>HEART RATE</t>
  </si>
  <si>
    <t>bpm</t>
  </si>
  <si>
    <t>BPM</t>
  </si>
  <si>
    <t>HASIL KALIBRASI BLOOD PRESSURE MONITOR</t>
  </si>
  <si>
    <t>Dani Firmanto</t>
  </si>
  <si>
    <t>Supriyanto</t>
  </si>
  <si>
    <t>I.</t>
  </si>
  <si>
    <t>Kondisi ruang</t>
  </si>
  <si>
    <t xml:space="preserve">1. Suhu                                                                        </t>
  </si>
  <si>
    <t xml:space="preserve">2. Kelembaban                                                            </t>
  </si>
  <si>
    <t>3. Tegangan jala jala</t>
  </si>
  <si>
    <t>Pemeriksaan Kondisi Fisik dan Fungsi Alat</t>
  </si>
  <si>
    <t>1. Pemeriksaan fisik</t>
  </si>
  <si>
    <t>: BAIK</t>
  </si>
  <si>
    <t>≤</t>
  </si>
  <si>
    <t>2. Pengujian fungsi</t>
  </si>
  <si>
    <t xml:space="preserve">III. </t>
  </si>
  <si>
    <t>Pengujian keselamatan listrik</t>
  </si>
  <si>
    <t xml:space="preserve">IV. </t>
  </si>
  <si>
    <t>Pengujian kinerja</t>
  </si>
  <si>
    <t>Setting standar (mmHg)</t>
  </si>
  <si>
    <t xml:space="preserve">Penunjukan alat                           (mmHg)                     </t>
  </si>
  <si>
    <t xml:space="preserve">Koreksi    (mmHg)                          </t>
  </si>
  <si>
    <r>
      <t xml:space="preserve">Ketidakpastian pengukuran    </t>
    </r>
    <r>
      <rPr>
        <sz val="12"/>
        <rFont val="Calibri"/>
        <family val="2"/>
      </rPr>
      <t>±</t>
    </r>
    <r>
      <rPr>
        <sz val="12"/>
        <rFont val="Calibri"/>
        <family val="2"/>
        <scheme val="minor"/>
      </rPr>
      <t xml:space="preserve">(mmHg)                       </t>
    </r>
  </si>
  <si>
    <t>|K| + |U95|</t>
  </si>
  <si>
    <r>
      <rPr>
        <sz val="12"/>
        <rFont val="Calibri"/>
        <family val="2"/>
      </rPr>
      <t xml:space="preserve">± </t>
    </r>
    <r>
      <rPr>
        <sz val="12"/>
        <rFont val="Calibri"/>
        <family val="2"/>
        <scheme val="minor"/>
      </rPr>
      <t>5</t>
    </r>
  </si>
  <si>
    <t>JANGAN DIDELETTE</t>
  </si>
  <si>
    <t>M2</t>
  </si>
  <si>
    <t>Penunjukan alat               (bpm)</t>
  </si>
  <si>
    <t>Koreksi relatif (%)</t>
  </si>
  <si>
    <t>Toleransi                         (%)</t>
  </si>
  <si>
    <t xml:space="preserve">Ketidakpastian pengukuran                         (%)                          </t>
  </si>
  <si>
    <r>
      <rPr>
        <sz val="12"/>
        <rFont val="Calibri"/>
        <family val="2"/>
      </rPr>
      <t xml:space="preserve">± </t>
    </r>
    <r>
      <rPr>
        <sz val="12"/>
        <rFont val="Calibri"/>
        <family val="2"/>
        <scheme val="minor"/>
      </rPr>
      <t xml:space="preserve">10 </t>
    </r>
  </si>
  <si>
    <t>V.</t>
  </si>
  <si>
    <t>Keterangan</t>
  </si>
  <si>
    <t>Ketidakpastian pengukuran sistole dan diastole pada tingkat kepercayaan 95 % dengan k = 2.</t>
  </si>
  <si>
    <r>
      <t xml:space="preserve">Ketidakpastian pengukuran </t>
    </r>
    <r>
      <rPr>
        <i/>
        <sz val="12"/>
        <rFont val="Calibri"/>
        <family val="2"/>
        <scheme val="minor"/>
      </rPr>
      <t>heart rate</t>
    </r>
    <r>
      <rPr>
        <sz val="12"/>
        <rFont val="Calibri"/>
        <family val="2"/>
        <scheme val="minor"/>
      </rPr>
      <t xml:space="preserve"> diperoleh dari ketidakpastian tipe A dan tipe B</t>
    </r>
  </si>
  <si>
    <t xml:space="preserve">VI. </t>
  </si>
  <si>
    <t>Alat ukur yang digunakan</t>
  </si>
  <si>
    <t xml:space="preserve">VII. </t>
  </si>
  <si>
    <t>Kesimpulan</t>
  </si>
  <si>
    <t xml:space="preserve">VIII. </t>
  </si>
  <si>
    <t>Nama</t>
  </si>
  <si>
    <t>Paraf</t>
  </si>
  <si>
    <t>LABEL</t>
  </si>
  <si>
    <t>BOBOT (%)</t>
  </si>
  <si>
    <t xml:space="preserve">Dibuat </t>
  </si>
  <si>
    <t xml:space="preserve">Penyelia   </t>
  </si>
  <si>
    <t>Pengujian Kinerja</t>
  </si>
  <si>
    <t xml:space="preserve">± 10 </t>
  </si>
  <si>
    <r>
      <t xml:space="preserve">Ketidakpastian Pengukuran </t>
    </r>
    <r>
      <rPr>
        <i/>
        <sz val="12"/>
        <rFont val="Arial"/>
        <family val="2"/>
      </rPr>
      <t>Sistole dan diastole</t>
    </r>
    <r>
      <rPr>
        <sz val="12"/>
        <rFont val="Arial"/>
        <family val="2"/>
      </rPr>
      <t xml:space="preserve"> pada Tingkat Kepercayaan 95 % dengan k = 2.</t>
    </r>
  </si>
  <si>
    <r>
      <t xml:space="preserve">Ketidakpastian Pengukuran </t>
    </r>
    <r>
      <rPr>
        <i/>
        <sz val="12"/>
        <rFont val="Arial"/>
        <family val="2"/>
      </rPr>
      <t>heart rate</t>
    </r>
    <r>
      <rPr>
        <sz val="12"/>
        <rFont val="Arial"/>
        <family val="2"/>
      </rPr>
      <t xml:space="preserve"> diperoleh dari ketidakpastian tipe A dan tipe B</t>
    </r>
  </si>
  <si>
    <t>Menyetujui,</t>
  </si>
  <si>
    <t>Kepala Instalasi Laboratorium</t>
  </si>
  <si>
    <t>Pengujian dan Kalibrasi</t>
  </si>
  <si>
    <t>NIP 198008062010121001</t>
  </si>
  <si>
    <t>Electrical Safety Analyzer, Merek : FLUKE, Model : ESA620, SN : 1837056</t>
  </si>
  <si>
    <t xml:space="preserve">Electrical Safety Analyzer, Merek : FLUKE, Model : ESA620, SN : 1834020 </t>
  </si>
  <si>
    <t>Electrical Safety Analyzer, Merek : FLUKE, Model : ESA615, SN : 2853077</t>
  </si>
  <si>
    <t>Electrical Safety Analyzer, Merek : FLUKE, Model : ESA615, SN : 3148907</t>
  </si>
  <si>
    <t xml:space="preserve">Digital Thermohygrobarometer, Merek : Greisinger, Model : GFT 200, SN : 34903046 </t>
  </si>
  <si>
    <t>Electrical Safety Analyzer, Merek : FLUKE, Model : ESA615, SN : 3148908</t>
  </si>
  <si>
    <t xml:space="preserve">Electrical Safety Analyzer, Merek : FLUKE, Model : ESA615, SN : 3699030 </t>
  </si>
  <si>
    <t>Digital Thermohygrobarometer, Merek : Greisinger, Model : GFTB 200, SN : 34903050</t>
  </si>
  <si>
    <t>Digital Thermohygrobarometer, Merek : EXTECH, Model : SD700, SN : A.100609</t>
  </si>
  <si>
    <t>Digital Thermohygrobarometer, Merek : EXTECH, Model : SD700, SN : A.100611</t>
  </si>
  <si>
    <t>Digital Thermohygrobarometer, Merek : EXTECH, Model : SD700, SN : A.100605</t>
  </si>
  <si>
    <t>ALAT YANG DIGUNAKAN</t>
  </si>
  <si>
    <t xml:space="preserve">Electrical Safety Analyzer, Merek : FLUKE, Model : ESA620 (1837056) </t>
  </si>
  <si>
    <t xml:space="preserve">Electrical Safety Analyzer, Merek : FLUKE, Model : ESA620 (1834020) </t>
  </si>
  <si>
    <t xml:space="preserve">Electrical Safety Analyzer, Merek : FLUKE, Model : ESA615 (2853077) </t>
  </si>
  <si>
    <t xml:space="preserve">Electrical Safety Analyzer, Merek : FLUKE, Model : ESA615 (2853078) </t>
  </si>
  <si>
    <t>PA VAC</t>
  </si>
  <si>
    <t xml:space="preserve">koreksi </t>
  </si>
  <si>
    <t>TAHUN :</t>
  </si>
  <si>
    <t>KETELUSURAN</t>
  </si>
  <si>
    <t>P1</t>
  </si>
  <si>
    <t>P2</t>
  </si>
  <si>
    <t>P3</t>
  </si>
  <si>
    <t xml:space="preserve">Electrical Safety Analyzer, Merek : FLUKE, Model : ESA615 (3148907) </t>
  </si>
  <si>
    <t xml:space="preserve">Electrical Safety Analyzer, Merek : FLUKE, Model : ESA615 (3148908) </t>
  </si>
  <si>
    <t xml:space="preserve">Electrical Safety Analyzer, Merek : FLUKE, Model : ESA615 (3699030) </t>
  </si>
  <si>
    <t xml:space="preserve">2. Electrical Safety Analyzer, Merek : FLUKE, Model : ESA620 (1837056) </t>
  </si>
  <si>
    <t xml:space="preserve">2. Electrical Safety Analyzer, Merek : FLUKE, Model : ESA620 (1834020) </t>
  </si>
  <si>
    <t xml:space="preserve">2. Electrical Safety Analyzer, Merek : FLUKE, Model : ESA615 (2853077) </t>
  </si>
  <si>
    <r>
      <t xml:space="preserve">PA ( </t>
    </r>
    <r>
      <rPr>
        <b/>
        <sz val="10"/>
        <rFont val="Calibri"/>
        <family val="2"/>
      </rPr>
      <t>μ</t>
    </r>
    <r>
      <rPr>
        <b/>
        <sz val="10"/>
        <rFont val="Times New Roman"/>
        <family val="1"/>
      </rPr>
      <t>A )</t>
    </r>
  </si>
  <si>
    <t>PA ( uA )</t>
  </si>
  <si>
    <t xml:space="preserve">2. Electrical Safety Analyzer, Merek : FLUKE, Model : ESA615 (2853078) </t>
  </si>
  <si>
    <t xml:space="preserve">2. Electrical Safety Analyzer, Merek : FLUKE, Model : ESA615 (3148907) </t>
  </si>
  <si>
    <t xml:space="preserve">2. Electrical Safety Analyzer, Merek : FLUKE, Model : ESA615 (3148908) </t>
  </si>
  <si>
    <t xml:space="preserve">2. Electrical Safety Analyzer, Merek : FLUKE, Model : ESA615 (3699030) </t>
  </si>
  <si>
    <t>PA ( MΩ )</t>
  </si>
  <si>
    <t>PA ( Ω )</t>
  </si>
  <si>
    <t xml:space="preserve">KESIMPULAN : </t>
  </si>
  <si>
    <t>KESIMPULAN</t>
  </si>
  <si>
    <t>SIMBOL</t>
  </si>
  <si>
    <t>Nomor Sertifikat : 1 /</t>
  </si>
  <si>
    <t>Alat yang dikalibrasi dalam batas toleransi dan dinyatakan LAIK PAKAI, dimana hasil atau skor akhir sama dengan atau melampaui 70% berdasarkan Keputusan Direktur Jenderal Pelayanan Kesehatan No : HK.02.02/V/0412/2020</t>
  </si>
  <si>
    <t>Nomor Surat Keterangan : 1 / M -</t>
  </si>
  <si>
    <t>Alat yang dikalibrasi melebihi batas toleransi dan dinyatakan TIDAK LAIK PAKAI, dimana hasil atau skor akhir dibawah 70% berdasarkan Keputusan Direktur Jenderal Pelayanan Kesehatan No : HK.02.02/V/0412/2020</t>
  </si>
  <si>
    <t>RANGGA</t>
  </si>
  <si>
    <t>CHAIRUL HUDA</t>
  </si>
  <si>
    <t>Jenis tensimeter :</t>
  </si>
  <si>
    <t>JENIS TENSIMETER :</t>
  </si>
  <si>
    <t>≤ 500 μA</t>
  </si>
  <si>
    <t>DEWASA</t>
  </si>
  <si>
    <t>TENSIMETER DEWASA</t>
  </si>
  <si>
    <t>60, 120, 150</t>
  </si>
  <si>
    <t>≤ 100 μA</t>
  </si>
  <si>
    <t>TENSIMETER ANAK</t>
  </si>
  <si>
    <t>50, 120, 150</t>
  </si>
  <si>
    <t>TENSIMETER BAYI</t>
  </si>
  <si>
    <t>30, 60, 80</t>
  </si>
  <si>
    <t>ANAK</t>
  </si>
  <si>
    <t>BAYI</t>
  </si>
  <si>
    <t>KOLOM KETERANGAN :</t>
  </si>
  <si>
    <t>Achmad Fauzan Adzim</t>
  </si>
  <si>
    <t>Choirul Huda</t>
  </si>
  <si>
    <t>Dany Firmanto</t>
  </si>
  <si>
    <t>Donny Martha</t>
  </si>
  <si>
    <t>Fatimah Novrianisa</t>
  </si>
  <si>
    <t>Fikry Faradinna</t>
  </si>
  <si>
    <t>Gusti Arya Dinata</t>
  </si>
  <si>
    <t>Hamdan Syarif</t>
  </si>
  <si>
    <t>Hary Ernanto</t>
  </si>
  <si>
    <t>Isra Mahensa</t>
  </si>
  <si>
    <t>Muhammad Arrizal Septiawan</t>
  </si>
  <si>
    <t>Muhammad Iqbal Saiful Rahman</t>
  </si>
  <si>
    <t>Muhammad Irfan Husnuzhzhan</t>
  </si>
  <si>
    <t>Rangga Setya Hantoko</t>
  </si>
  <si>
    <t>Septia Khairunnisa</t>
  </si>
  <si>
    <t>Taufik Priawan</t>
  </si>
  <si>
    <t>Venna Filosofia</t>
  </si>
  <si>
    <t>Wardimanul Abrar</t>
  </si>
  <si>
    <t>Nomor sertifikat : 9 /</t>
  </si>
  <si>
    <t>Nomor surat keterangan : 9 / M -</t>
  </si>
  <si>
    <t>Titik ukur atas permintaan pelanggan</t>
  </si>
  <si>
    <t>ACUAN ISI NOMOR SERTIFIKAT :</t>
  </si>
  <si>
    <t>PILIH JENIS SERTIFIKAT</t>
  </si>
  <si>
    <t xml:space="preserve">Nomor Sertifikat : </t>
  </si>
  <si>
    <t xml:space="preserve">Nomor Surat Keterangan : </t>
  </si>
  <si>
    <t>tanggal</t>
  </si>
  <si>
    <t>Tidak baik</t>
  </si>
  <si>
    <t>PA  (°C)</t>
  </si>
  <si>
    <t>koreksi  (°C)</t>
  </si>
  <si>
    <t>U(sh)</t>
  </si>
  <si>
    <t>PA(%RH)</t>
  </si>
  <si>
    <t>Koreksi  (%RH)</t>
  </si>
  <si>
    <t>U(kb)</t>
  </si>
  <si>
    <t>31.1.2020</t>
  </si>
  <si>
    <t>max =</t>
  </si>
  <si>
    <t>9.9.2019</t>
  </si>
  <si>
    <t>27.3.2019</t>
  </si>
  <si>
    <t>22.7.2020</t>
  </si>
  <si>
    <t>Digital Thermohygrobarometer, Merek : Greisinger, Model : GFTB 200, SN : 34903334</t>
  </si>
  <si>
    <t xml:space="preserve">Digital Pressure Meter, Merek : Fluke Biomedical, Model : DPM 4-2G  (1831021) </t>
  </si>
  <si>
    <t xml:space="preserve">Digital Pressure Meter, Merek : Fluke Biomedical, Model : DPM 4-2G  (1831023) </t>
  </si>
  <si>
    <t>INDUK FILE</t>
  </si>
  <si>
    <t xml:space="preserve">Digital Pressure Meter, Merek : Fluke Biomedical, Model : DPM 4-2H  (3191005) </t>
  </si>
  <si>
    <t>SERTIFIKAT TERBARU</t>
  </si>
  <si>
    <t xml:space="preserve">Universal Biometer, Merek : BIO-TEK, Model : DPM 3  (126143) </t>
  </si>
  <si>
    <t>NAIK</t>
  </si>
  <si>
    <t>TURUN</t>
  </si>
  <si>
    <t xml:space="preserve">Parameter Tester, Merek : Fluke, Model : DPM2 Plus  (9490021) </t>
  </si>
  <si>
    <t>koreksi</t>
  </si>
  <si>
    <t>U95</t>
  </si>
  <si>
    <t>14.11.2019</t>
  </si>
  <si>
    <t>Turun Terbaru</t>
  </si>
  <si>
    <t>DRIFT TURUN</t>
  </si>
  <si>
    <t>U95 Turun terbaru</t>
  </si>
  <si>
    <r>
      <t xml:space="preserve">Hasil pengujian kinerja </t>
    </r>
    <r>
      <rPr>
        <i/>
        <sz val="10"/>
        <rFont val="Times New Roman"/>
        <family val="1"/>
      </rPr>
      <t>blood pressure monitor</t>
    </r>
    <r>
      <rPr>
        <sz val="10"/>
        <rFont val="Times New Roman"/>
        <family val="1"/>
      </rPr>
      <t xml:space="preserve"> tertelusur ke satuan SI melalui SEAWARD</t>
    </r>
  </si>
  <si>
    <t xml:space="preserve">Handheld NIBP Simulator, Merek : ACCUPULSE PLUS, Model : AH-2  (HH12080311) </t>
  </si>
  <si>
    <t xml:space="preserve">Digital Pressure, Merek : Fluke Biomedical, Model : DPM 4-1H  (3505042) </t>
  </si>
  <si>
    <t xml:space="preserve">Digital Pressure, Merek : Fluke Biomedical, Model : DPM 4-1H  (3534043) </t>
  </si>
  <si>
    <t xml:space="preserve">Digital Pressure, Merek : Fluke Biomedical, Model : DPM 4-1H  (3506049) </t>
  </si>
  <si>
    <t xml:space="preserve">Digital Pressure, Merek : Fluke Biomedical, Model : DPM 4-1H  (3505041) </t>
  </si>
  <si>
    <t>(1/3)*U95</t>
  </si>
  <si>
    <t xml:space="preserve">Digital Pressure Meter, Merek : Fluke Biomedical, Model : DPM 4-2G  (4414016) </t>
  </si>
  <si>
    <t xml:space="preserve">Digital Pressure Meter, Merek : Fluke Biomedical, Model : DPM 4-2G  (4414018) </t>
  </si>
  <si>
    <t xml:space="preserve">Digital Pressure, Merek : Fluke Biomedical, Model : DPM 4-2H  (3787040) </t>
  </si>
  <si>
    <t>Digital Pressure Gauge, Merek : Time Electronic, Model : TEG-CV 4b-0.025 (211H15050010)</t>
  </si>
  <si>
    <t>22.1.2018</t>
  </si>
  <si>
    <r>
      <t xml:space="preserve">Hasil pengujian kinerja </t>
    </r>
    <r>
      <rPr>
        <i/>
        <sz val="10"/>
        <rFont val="Times New Roman"/>
        <family val="1"/>
      </rPr>
      <t>blood pressure monitor</t>
    </r>
    <r>
      <rPr>
        <sz val="10"/>
        <rFont val="Times New Roman"/>
        <family val="1"/>
      </rPr>
      <t xml:space="preserve"> tertelusur ke satuan SI melalui PT. KALIMAN (LK-032-IDN)</t>
    </r>
  </si>
  <si>
    <t>11.2.2020</t>
  </si>
  <si>
    <t>9.3.2017</t>
  </si>
  <si>
    <t>21.2.2018</t>
  </si>
  <si>
    <t>Hasil pengujian kebocoran dan kalibrasi akurasi tekanan tertelusur ke satuan SI melalui PT. KALIMAN (LK-032-IDN)</t>
  </si>
  <si>
    <t>22.1.208</t>
  </si>
  <si>
    <t>6.9.2019</t>
  </si>
  <si>
    <t>11.11.2020</t>
  </si>
  <si>
    <t>Digital Thermohygrobarometer, Merek : EXTECH, Model : SD700, SN : A.100586</t>
  </si>
  <si>
    <t>Digital Thermohygrobarometer, Merek : EXTECH, Model : SD700, SN : A.100616</t>
  </si>
  <si>
    <t>Digital Thermohygrobarometer, Merek : EXTECH, Model : SD700, SN : A.100618</t>
  </si>
  <si>
    <t>12.11.2020</t>
  </si>
  <si>
    <t>Digital Thermohygrobarometer, Merek : EXTECH, Model : SD700, SN : A.100617</t>
  </si>
  <si>
    <t>29.3.2021</t>
  </si>
  <si>
    <t>Digital Thermohygrobarometer, Merek : EXTECH, Model : SD700, SN : A.100615</t>
  </si>
  <si>
    <t>3 Januari 2022</t>
  </si>
  <si>
    <t>Menambahkan sertifikat thermohygrometer EXTECH 586, 616, 618, 617, 615</t>
  </si>
  <si>
    <t>Menambahkan Tanggal penerimaan alat</t>
  </si>
  <si>
    <r>
      <t xml:space="preserve">Tanggal penerimaan alat    </t>
    </r>
    <r>
      <rPr>
        <sz val="8"/>
        <rFont val="Arial"/>
        <family val="2"/>
      </rPr>
      <t xml:space="preserve"> </t>
    </r>
    <r>
      <rPr>
        <sz val="12"/>
        <rFont val="Arial"/>
        <family val="2"/>
      </rPr>
      <t xml:space="preserve"> :   </t>
    </r>
  </si>
  <si>
    <t>Tanggal penerimaan alat</t>
  </si>
  <si>
    <t>4.1.2022</t>
  </si>
  <si>
    <t xml:space="preserve"> visual basic pada penyelia dan pelanggan</t>
  </si>
  <si>
    <t>membenahi visual basic penyelia s36 dan pelanggan p37 beserta turunannya</t>
  </si>
  <si>
    <t>80 □  70 □   60 □</t>
  </si>
  <si>
    <r>
      <t xml:space="preserve">80 </t>
    </r>
    <r>
      <rPr>
        <sz val="13"/>
        <rFont val="Calibri"/>
        <family val="2"/>
      </rPr>
      <t>□</t>
    </r>
    <r>
      <rPr>
        <sz val="13"/>
        <rFont val="Arial"/>
        <family val="2"/>
      </rPr>
      <t xml:space="preserve">  70 □   60 □</t>
    </r>
  </si>
  <si>
    <t>tegangan jala jala terkoreksi tidak bisa (-)</t>
  </si>
  <si>
    <t>tegangan jala jala terkoreksi sudah bisa diketik (-)</t>
  </si>
  <si>
    <t>Choirul Huda, S.Tr. Kes</t>
  </si>
  <si>
    <t>SERTIFIKAT LAMA</t>
  </si>
  <si>
    <t>SERTIFIKAT TENGAH</t>
  </si>
  <si>
    <t>Turun Tengah</t>
  </si>
  <si>
    <t>Turun Lama</t>
  </si>
  <si>
    <t>5.2.2021</t>
  </si>
  <si>
    <t>4.6.2021</t>
  </si>
  <si>
    <t>1.4.2021</t>
  </si>
  <si>
    <r>
      <t xml:space="preserve">Hasil pengujian kinerja </t>
    </r>
    <r>
      <rPr>
        <i/>
        <sz val="10"/>
        <rFont val="Times New Roman"/>
        <family val="1"/>
      </rPr>
      <t>blood pressure monitor</t>
    </r>
    <r>
      <rPr>
        <sz val="10"/>
        <rFont val="Times New Roman"/>
        <family val="1"/>
      </rPr>
      <t xml:space="preserve"> tertelusur ke satuan SI melalui PT. KALIMAN</t>
    </r>
  </si>
  <si>
    <t>27.7.2020</t>
  </si>
  <si>
    <t>Hasil pengujian keselamatan listrik tertelusur ke Satuan SI melalui PT. Kaliman</t>
  </si>
  <si>
    <t>31.5.2021</t>
  </si>
  <si>
    <t xml:space="preserve">Hasil pengujian keselamatan listrik tertelusur ke Satuan SI melalui PT. Kaliman </t>
  </si>
  <si>
    <t>8.6.2021</t>
  </si>
  <si>
    <t>Electrical Safety Analyzer, Merek : FLUKE, Model : ESA615, SN : 4669058</t>
  </si>
  <si>
    <t>Electrical Safety Analyzer, Merek : FLUKE, Model : ESA615, SN : 4670010</t>
  </si>
  <si>
    <t>6.4.2021</t>
  </si>
  <si>
    <t>Electrical Safety Analyzer, Merek : FLUKE, Model : ESA615, SN : 3263027</t>
  </si>
  <si>
    <t>31.1.2021</t>
  </si>
  <si>
    <t>update sertifikat kelistrikan safety analyzer</t>
  </si>
  <si>
    <t>sudah update</t>
  </si>
  <si>
    <t>menambah max U95 pada tegangan</t>
  </si>
  <si>
    <t>IF(I26="OL";20;IF(I26="-";0;IF(I26&lt;=R26;20;0)))</t>
  </si>
  <si>
    <t>posisi G (arus bocor (&gt;=500) nilai 0) + Resistansi isolasi nilai 10 + Resistansi pembumian protektif  nilai 10 sehingga total nilai 0</t>
  </si>
  <si>
    <t>Rangga</t>
  </si>
  <si>
    <t>2.2.2022</t>
  </si>
  <si>
    <t>DIMAN</t>
  </si>
  <si>
    <t xml:space="preserve">posisi G (arus bocor (&gt;=500) nilai 0) + Resistansi isolasi nilai 2.5 + Resistansi pembumian protektif  nilai 2.5 </t>
  </si>
  <si>
    <t>Penunjukan standar awal</t>
  </si>
  <si>
    <t>Sertifikat 2.6.2021</t>
  </si>
  <si>
    <t>average</t>
  </si>
  <si>
    <t>suhu</t>
  </si>
  <si>
    <t>kelembaban</t>
  </si>
  <si>
    <t>x1</t>
  </si>
  <si>
    <t>y1</t>
  </si>
  <si>
    <t>x2</t>
  </si>
  <si>
    <t>y2</t>
  </si>
  <si>
    <t>x</t>
  </si>
  <si>
    <t>y</t>
  </si>
  <si>
    <t>average terkoreksi</t>
  </si>
  <si>
    <t>2.6.2021</t>
  </si>
  <si>
    <t>Tegangan</t>
  </si>
  <si>
    <t>Sertifikat 31.5.2021</t>
  </si>
  <si>
    <t>Tegangan terkoreksi</t>
  </si>
  <si>
    <t>Resistansi PE</t>
  </si>
  <si>
    <t>Arus Bocor</t>
  </si>
  <si>
    <t>X2</t>
  </si>
  <si>
    <t>Y2</t>
  </si>
  <si>
    <t>Sertifikat 1.4.2021, 12L-0534</t>
  </si>
  <si>
    <t>50-100</t>
  </si>
  <si>
    <t>100-150</t>
  </si>
  <si>
    <t>150-200</t>
  </si>
  <si>
    <t>RENTANG</t>
  </si>
  <si>
    <t>INTERPOLASI</t>
  </si>
  <si>
    <t>X RATA TERKOREKSI</t>
  </si>
  <si>
    <t xml:space="preserve">X RATA TERKOREKSI </t>
  </si>
  <si>
    <t>DRIFT</t>
  </si>
  <si>
    <t>belum divalidasi rumus excell setelah perubahan</t>
  </si>
  <si>
    <t>sudah divalidasi rumus excell</t>
  </si>
  <si>
    <t>3.2.2022</t>
  </si>
  <si>
    <t>Sertifikat terbaru BP-SIM 12L-0536 koreksi naik</t>
  </si>
  <si>
    <t>Sertifikat terbaru BP-SIM 12L-0536 koreksi turun</t>
  </si>
  <si>
    <t>23.6.2021</t>
  </si>
  <si>
    <t>31.8.2021</t>
  </si>
  <si>
    <t>Update sertifikat Thermohygrometer (KIMO 15062875; 14082463; 15062873) (Greisinger 34903053; 34903051) (EXTECH A.100615;</t>
  </si>
  <si>
    <t>10.2.2020</t>
  </si>
  <si>
    <t>25.3.2019</t>
  </si>
  <si>
    <t>SERTIFIKAT KALIBRASI</t>
  </si>
  <si>
    <t>Bulan</t>
  </si>
  <si>
    <t xml:space="preserve">                                                                 </t>
  </si>
  <si>
    <t>Agustus</t>
  </si>
  <si>
    <t xml:space="preserve">Nama Alat            : </t>
  </si>
  <si>
    <t>Timbangan Dewasa</t>
  </si>
  <si>
    <t xml:space="preserve">Nomor Order           : </t>
  </si>
  <si>
    <t>Model / Tipe</t>
  </si>
  <si>
    <t>Nomor Seri</t>
  </si>
  <si>
    <t>Kapasitas</t>
  </si>
  <si>
    <t>Resolusi</t>
  </si>
  <si>
    <t>Nama Pemilik      :</t>
  </si>
  <si>
    <t xml:space="preserve">Identitas Pemilik     : </t>
  </si>
  <si>
    <t>Alamat Pemilik</t>
  </si>
  <si>
    <t>Tanggal Penerimaan Alat</t>
  </si>
  <si>
    <t>Laboratorium Kalibrasi LPFK Banjarbaru</t>
  </si>
  <si>
    <t>Metode Kerja</t>
  </si>
  <si>
    <t>Banjarbaru,</t>
  </si>
  <si>
    <t>Kepala Loka Pengamanan</t>
  </si>
  <si>
    <t>Fasilitas Kesehatan Banjarbaru</t>
  </si>
  <si>
    <t>Yuni Irmawati, SKM., MA</t>
  </si>
  <si>
    <t>NIP 197806222002122001</t>
  </si>
  <si>
    <t>Nama Alat</t>
  </si>
  <si>
    <t>Kode Alat</t>
  </si>
  <si>
    <t>Kode MK</t>
  </si>
  <si>
    <t>Suction Pump</t>
  </si>
  <si>
    <t>T.S - 046 - 18 / REV : 1</t>
  </si>
  <si>
    <t>MK 046 - 18</t>
  </si>
  <si>
    <t>Januari</t>
  </si>
  <si>
    <t>Analitical Balance</t>
  </si>
  <si>
    <t>GM.S - 004-18 / REV : 1</t>
  </si>
  <si>
    <t>MK 004 - 18</t>
  </si>
  <si>
    <t xml:space="preserve">Februari </t>
  </si>
  <si>
    <t>Anasthesi Ventilator</t>
  </si>
  <si>
    <t>FV. S - 09 / REV : 0</t>
  </si>
  <si>
    <t>FV.MK - 09</t>
  </si>
  <si>
    <t xml:space="preserve">Maret </t>
  </si>
  <si>
    <t>Audiometer</t>
  </si>
  <si>
    <t>OA.S - 007-18 / REV : 1</t>
  </si>
  <si>
    <t>MK 007 - 18</t>
  </si>
  <si>
    <t xml:space="preserve">April </t>
  </si>
  <si>
    <t>Autoclave</t>
  </si>
  <si>
    <t>SH.S - 01 / REV : 0</t>
  </si>
  <si>
    <t>SH.MK - 01</t>
  </si>
  <si>
    <t>Mei</t>
  </si>
  <si>
    <t>Baby Incubator</t>
  </si>
  <si>
    <t>SH.S - 02 / REV : 0</t>
  </si>
  <si>
    <t>SH.MK - 02</t>
  </si>
  <si>
    <t>Juni</t>
  </si>
  <si>
    <t>Patient Monitor</t>
  </si>
  <si>
    <t>KL.S - 05 / REV : 0</t>
  </si>
  <si>
    <t>KL.MK - 05</t>
  </si>
  <si>
    <t xml:space="preserve">Juli </t>
  </si>
  <si>
    <t>Blood Bank</t>
  </si>
  <si>
    <t>SH.S - 03 / REV : 0</t>
  </si>
  <si>
    <t>SH.MK - 03</t>
  </si>
  <si>
    <t>Blood Pressure Monitor</t>
  </si>
  <si>
    <t>T.S 014-18 / REV : 1</t>
  </si>
  <si>
    <t>MK 014 - 18</t>
  </si>
  <si>
    <t>September</t>
  </si>
  <si>
    <t>Centrifuge</t>
  </si>
  <si>
    <t>WF.S - 016-18 / REV : 0</t>
  </si>
  <si>
    <t>MK 016 - 18</t>
  </si>
  <si>
    <t xml:space="preserve">Oktober </t>
  </si>
  <si>
    <t>Centrifuge Refrigerator</t>
  </si>
  <si>
    <t>November</t>
  </si>
  <si>
    <t>CPAP</t>
  </si>
  <si>
    <t>FV.S 017-18 / REV : 0</t>
  </si>
  <si>
    <t>MK 017-18</t>
  </si>
  <si>
    <t>Desember</t>
  </si>
  <si>
    <t>CTG</t>
  </si>
  <si>
    <t>OA.S - 015-18 / REV : 1</t>
  </si>
  <si>
    <t>MK 015 - 18</t>
  </si>
  <si>
    <t>Defibrillator</t>
  </si>
  <si>
    <t>KL.S - 03 / REV : 0</t>
  </si>
  <si>
    <t>KL.MK - 03</t>
  </si>
  <si>
    <t>Defibrillator Monitor</t>
  </si>
  <si>
    <t>KL.S - 14 / REV : 0</t>
  </si>
  <si>
    <t>KL.MK - 14</t>
  </si>
  <si>
    <t>Defibrillator with ECG</t>
  </si>
  <si>
    <t>Dental Unit</t>
  </si>
  <si>
    <t>GM.S - 03 / REV : 0</t>
  </si>
  <si>
    <t>GM.MK - 03</t>
  </si>
  <si>
    <t>Fetal Doppler</t>
  </si>
  <si>
    <t>OA.S - 024 - 18 / REV : 1</t>
  </si>
  <si>
    <t>MK 024 - 18</t>
  </si>
  <si>
    <t>Electrocardiograph</t>
  </si>
  <si>
    <t>KL.S - 020-18 / REV : 0</t>
  </si>
  <si>
    <t>MK 020 - 18</t>
  </si>
  <si>
    <t>EEG</t>
  </si>
  <si>
    <t>KL.S - 021-18 / REV : 1</t>
  </si>
  <si>
    <t>MK 021 - 18</t>
  </si>
  <si>
    <t>Elektro Stimulator</t>
  </si>
  <si>
    <t>KL.S - 11 / REV : 0</t>
  </si>
  <si>
    <t>KL.MK - 11</t>
  </si>
  <si>
    <t>Electrosurgery Unit</t>
  </si>
  <si>
    <t>KL.S - 06 / REV : 0</t>
  </si>
  <si>
    <t>KL.MK - 06</t>
  </si>
  <si>
    <t>Examination Lamp</t>
  </si>
  <si>
    <t>OA.S - 04 / REV : 0</t>
  </si>
  <si>
    <t>OA.MK - 04</t>
  </si>
  <si>
    <t>Flowmeter</t>
  </si>
  <si>
    <t>FV.S - 025-18 / REV : 0</t>
  </si>
  <si>
    <t>MK 025 - 18</t>
  </si>
  <si>
    <t>Hemodialisa</t>
  </si>
  <si>
    <t>FV.S - 12 / REV : 0</t>
  </si>
  <si>
    <t>FV.MK - 12</t>
  </si>
  <si>
    <t>Head Lamp</t>
  </si>
  <si>
    <t>OA.S - 011 / REV : 0</t>
  </si>
  <si>
    <t>OA.MK - 011</t>
  </si>
  <si>
    <t>Heart Rate Monitor</t>
  </si>
  <si>
    <t>Infant Warmer</t>
  </si>
  <si>
    <t>SH.S - 04 / REV : 0</t>
  </si>
  <si>
    <t>SH.MK - 04</t>
  </si>
  <si>
    <t>Infusion Pump</t>
  </si>
  <si>
    <t>FV.S - 027-18 / REV : 0</t>
  </si>
  <si>
    <t>MK 027-18</t>
  </si>
  <si>
    <t>Inkubator Laboratorium</t>
  </si>
  <si>
    <t>SH.S - 028 - 18 / REV : 1</t>
  </si>
  <si>
    <t>MK 028 - 18</t>
  </si>
  <si>
    <t>Laboratorium Refrigerator</t>
  </si>
  <si>
    <t>SH.S - 07 / REV : 0</t>
  </si>
  <si>
    <t>SH.MK - 07</t>
  </si>
  <si>
    <t>Rotator</t>
  </si>
  <si>
    <t>WF.S - 040-18 / REV : 1</t>
  </si>
  <si>
    <t>MK 040-18</t>
  </si>
  <si>
    <t>Lampu Operasi (Ceiling Type)</t>
  </si>
  <si>
    <t>OA.S - 029-18 / REV : 0</t>
  </si>
  <si>
    <t>MK 029 - 18</t>
  </si>
  <si>
    <t>Lampu Operasi (Mobile Type)</t>
  </si>
  <si>
    <t>OA.S - 06 / REV : 0</t>
  </si>
  <si>
    <t>OA.MK - 06 (IEC 60601 - 2 41)</t>
  </si>
  <si>
    <t>Anesthesi Unit</t>
  </si>
  <si>
    <t>FV.S - 07 / REV : 0</t>
  </si>
  <si>
    <t>FV.MK - 07</t>
  </si>
  <si>
    <t>Mikropipet Fixed</t>
  </si>
  <si>
    <t>FV.S - 114-19 / REV : 0</t>
  </si>
  <si>
    <t>MK 114 - 2019</t>
  </si>
  <si>
    <t>Mikropipet Variable</t>
  </si>
  <si>
    <t>FV.S - 13 / REV : 0</t>
  </si>
  <si>
    <t>FV.MK - 13</t>
  </si>
  <si>
    <t>Nebulizer</t>
  </si>
  <si>
    <t>FV.S - 035-18 / REV : 0</t>
  </si>
  <si>
    <t>MK 035 - 18</t>
  </si>
  <si>
    <t>Oxygen Concentrator</t>
  </si>
  <si>
    <t>FV.S - 037-18 / REV : 0</t>
  </si>
  <si>
    <t>MK 037 - 18</t>
  </si>
  <si>
    <t>Oven</t>
  </si>
  <si>
    <t>SH.S - 036-18 /REV : 0</t>
  </si>
  <si>
    <t>MK 036 - 18</t>
  </si>
  <si>
    <t>Phototherapy</t>
  </si>
  <si>
    <t>OA.S - 038-18 / REV : 0</t>
  </si>
  <si>
    <t>MK 038 - 18</t>
  </si>
  <si>
    <t>Pulse Oxymeter</t>
  </si>
  <si>
    <t>OA.S - 041-18 / REV : 1</t>
  </si>
  <si>
    <t>MK 041-18</t>
  </si>
  <si>
    <t>Short Wave Diathermi</t>
  </si>
  <si>
    <t>Sphygmomanometer</t>
  </si>
  <si>
    <t>T.S - 042 - 18 / REV : 1</t>
  </si>
  <si>
    <t>MK 042 - 18</t>
  </si>
  <si>
    <t>Spirometer</t>
  </si>
  <si>
    <t>FV.S - 04 / REV : 0</t>
  </si>
  <si>
    <t>FV.MK - 04</t>
  </si>
  <si>
    <t>Sterilisator Basah</t>
  </si>
  <si>
    <t>SH.LHU - 08 / REV.0</t>
  </si>
  <si>
    <t>SH.MK - 08</t>
  </si>
  <si>
    <t>Sterilisator Kering</t>
  </si>
  <si>
    <t>SH.S - 044-18 / REV : 1</t>
  </si>
  <si>
    <t>MK 044 - 18</t>
  </si>
  <si>
    <t>Suction Thorax</t>
  </si>
  <si>
    <t>Syringe Pump</t>
  </si>
  <si>
    <t>FV.S - 047-18 / REV : 0</t>
  </si>
  <si>
    <t>MK 047 - 18</t>
  </si>
  <si>
    <t>Thermometer Klinik</t>
  </si>
  <si>
    <t>SH.S - 11 / REV : 0</t>
  </si>
  <si>
    <t>SH.MK - 11</t>
  </si>
  <si>
    <t>Timbangan Bayi</t>
  </si>
  <si>
    <t>GM.S - 051-18 / REV : 0</t>
  </si>
  <si>
    <t>MK 051-18</t>
  </si>
  <si>
    <t>Traction Unit</t>
  </si>
  <si>
    <t>GM.S - 07 / REV : 1</t>
  </si>
  <si>
    <t>GM.MK - 07</t>
  </si>
  <si>
    <t>Treadmill</t>
  </si>
  <si>
    <t>WF.S - 054-18 / REV : 1</t>
  </si>
  <si>
    <t>MK 054 - 18</t>
  </si>
  <si>
    <t>Treadmill with ECG</t>
  </si>
  <si>
    <t>Ultrasound Therapy</t>
  </si>
  <si>
    <t>KL.MK - 10</t>
  </si>
  <si>
    <t>USG</t>
  </si>
  <si>
    <t>OA.S - 065 - 18 / REV : 0</t>
  </si>
  <si>
    <t>MK 065 - 18</t>
  </si>
  <si>
    <t>UV Lamp</t>
  </si>
  <si>
    <t>UV Sterilizer</t>
  </si>
  <si>
    <t>OA.S - 067 - 18 / REV : 0</t>
  </si>
  <si>
    <t>MK 067 - 18</t>
  </si>
  <si>
    <t>Vacuum Extractor</t>
  </si>
  <si>
    <t>Vaporizer</t>
  </si>
  <si>
    <t>FV.S - 08 / REV : 0</t>
  </si>
  <si>
    <t>FV.MK - 08 (ECRI 436 - 20010301)</t>
  </si>
  <si>
    <t>Ventilator</t>
  </si>
  <si>
    <t>FV.S - 10 / REV : 0</t>
  </si>
  <si>
    <t>FV.MK - 10</t>
  </si>
  <si>
    <t>Wall Suction</t>
  </si>
  <si>
    <t>T.S - 04 / REV : 0</t>
  </si>
  <si>
    <t>T.MK - 04 (ECRI 459 - 20010301)</t>
  </si>
  <si>
    <t>Water Bath</t>
  </si>
  <si>
    <t>SH.S - 09 / REV : 0</t>
  </si>
  <si>
    <t>SK.MK - 09</t>
  </si>
  <si>
    <t>Mikropipet Multi Channel</t>
  </si>
  <si>
    <t>Parafin Bath</t>
  </si>
  <si>
    <t>Stirrer</t>
  </si>
  <si>
    <t>Medical Freezer</t>
  </si>
  <si>
    <t>Blood Warmer</t>
  </si>
  <si>
    <t>SH.S - 081 - 2019 / REV :0</t>
  </si>
  <si>
    <t>MK 081 - 2019</t>
  </si>
  <si>
    <r>
      <t>Defibrillator with ECG with SPO</t>
    </r>
    <r>
      <rPr>
        <sz val="11"/>
        <color theme="1"/>
        <rFont val="Calibri"/>
        <family val="2"/>
      </rPr>
      <t>₂</t>
    </r>
  </si>
  <si>
    <t>Bedside Monitor with Defibrillator</t>
  </si>
  <si>
    <t>KL. S - 14 / REV : 0</t>
  </si>
  <si>
    <t>HFNC</t>
  </si>
  <si>
    <t>FV.S - 14 / REV : 0</t>
  </si>
  <si>
    <t>FV.MK - 14</t>
  </si>
  <si>
    <t>GM.S - 141-2019 / REV : 0</t>
  </si>
  <si>
    <t>MK 141 - 19</t>
  </si>
  <si>
    <t>Menambahkan sheet Sertifikat</t>
  </si>
  <si>
    <t>11.2.2022</t>
  </si>
  <si>
    <t>tegangan jala jala pada maksimal U95 tidak bisa (-)</t>
  </si>
  <si>
    <t>sudah bisa (-) pada maksimal U95</t>
  </si>
  <si>
    <t>14.2.2022</t>
  </si>
  <si>
    <t xml:space="preserve"> MΩ</t>
  </si>
  <si>
    <t xml:space="preserve"> Ω</t>
  </si>
  <si>
    <r>
      <rPr>
        <sz val="10"/>
        <color theme="1"/>
        <rFont val="Calibri"/>
        <family val="2"/>
      </rPr>
      <t xml:space="preserve"> µ</t>
    </r>
    <r>
      <rPr>
        <sz val="10"/>
        <color theme="1"/>
        <rFont val="Arial"/>
        <family val="2"/>
      </rPr>
      <t>a</t>
    </r>
  </si>
  <si>
    <t>NO</t>
  </si>
  <si>
    <t>TERKOREKSI</t>
  </si>
  <si>
    <t>Kelas I</t>
  </si>
  <si>
    <t>Input NC</t>
  </si>
  <si>
    <t>KETERANGAN :</t>
  </si>
  <si>
    <t>Resistansi pembumian protektif (kabel dapat dilepas)</t>
  </si>
  <si>
    <t>Resistansi pembumian protektif (kabel tidak dapat dilepas)</t>
  </si>
  <si>
    <t>≤ 0.3 Ω</t>
  </si>
  <si>
    <t>Di sarankan ganti manset</t>
  </si>
  <si>
    <t xml:space="preserve">Resistansi pembumian protektif </t>
  </si>
  <si>
    <t>Menjadi Resistansi pembumian protektif (kabel dapat dilepas) dan Resistansi pembumian protektif (kabel tidak dapat dilepas)</t>
  </si>
  <si>
    <t>4.3.2021</t>
  </si>
  <si>
    <t>2.3.2022</t>
  </si>
  <si>
    <t>Menjadi : Resistansi pembumian protektif (kabel dapat dilepas) ≤ 0.2 Ω dan Resistansi pembumian protektif (kabel tidak dapat dilepas) ≤ 0.3 Ω</t>
  </si>
  <si>
    <t>Hasil ukur pada input data misal 3 µA dalam satu cell</t>
  </si>
  <si>
    <t>menjadi 3 µA terpisah menjadi 1 cell untuk 3 dan µA</t>
  </si>
  <si>
    <t>kolom keterangan : catu daya baterai dan tidak terdapat grounding ruangan</t>
  </si>
  <si>
    <t>Menjadi : Alat tidak boleh digunakan pada instalasi tanpa dilengkapi grounding, Tidak terdapat grounding di ruangan, Catu daya menggunakan baterai</t>
  </si>
  <si>
    <t>Penggunaan  Catu daya menggunakan baterai ketika aktif akan menghilangkan keterangan diatasnya</t>
  </si>
  <si>
    <t>4.3.2022</t>
  </si>
  <si>
    <t>Satuan pada hasil ukur LH : MΩ, Ω, µa</t>
  </si>
  <si>
    <t>berubah menjadi otomatis contoh : IF(Q24="-","",IF(Q24="NC","",IF(Q24="OL","",IF(Q24="OR",""," MΩ"))))</t>
  </si>
  <si>
    <t>Misal : T.LK 014-18/ REV : 1</t>
  </si>
  <si>
    <t>menjadi :T.014-18 pada semua sheet</t>
  </si>
  <si>
    <t>±</t>
  </si>
  <si>
    <t xml:space="preserve"> °C</t>
  </si>
  <si>
    <t xml:space="preserve"> %RH</t>
  </si>
  <si>
    <t xml:space="preserve">  Volt</t>
  </si>
  <si>
    <t xml:space="preserve"> °C,  %RH,   Volt</t>
  </si>
  <si>
    <t>di buat terpisah dan menggunakan concatenate</t>
  </si>
  <si>
    <t>10-COUNTBLANK(H32:H41)</t>
  </si>
  <si>
    <t>7.3.2022</t>
  </si>
  <si>
    <t>sheet anak bayi dewasa dalam 1 sheet</t>
  </si>
  <si>
    <t>sheet bertambah sheet bayi, sheet anak, sheet dewasa</t>
  </si>
  <si>
    <t xml:space="preserve">format excell xlsm untuk visual basic </t>
  </si>
  <si>
    <t>dirubah menjadi xlsx untuk excell</t>
  </si>
  <si>
    <t>Jalan ABC</t>
  </si>
  <si>
    <t>NOMOR ORDER</t>
  </si>
  <si>
    <t>KUNCI KOP SERTIFIKAT</t>
  </si>
  <si>
    <t>PENENTU KOP SERTIFIKAT</t>
  </si>
  <si>
    <t>BAHAN</t>
  </si>
  <si>
    <t>SERTIFIKAT PENGUJIAN</t>
  </si>
  <si>
    <t>BAHAN RUANGAN &amp; PENANGGUNG JAWAB</t>
  </si>
  <si>
    <t>NAMA RUANGAN PADA INPUT DATA</t>
  </si>
  <si>
    <t>MENAMBAH 1 TAHUN SEBELUMNYA</t>
  </si>
  <si>
    <t>MERUBAH DARI ANGKA KE HURUF</t>
  </si>
  <si>
    <t>HASIL KALIBRASI</t>
  </si>
  <si>
    <t>BAHAN GABUNGAN</t>
  </si>
  <si>
    <t xml:space="preserve">Laik Pakai, disarankan untuk dikalibrasi ulang pada tanggal </t>
  </si>
  <si>
    <t xml:space="preserve">Laik Pakai, disarankan untuk diuji ulang pada tanggal </t>
  </si>
  <si>
    <t>OA.014-18</t>
  </si>
  <si>
    <t>Muhammad Alpian Hadi</t>
  </si>
  <si>
    <t>KUNCI :</t>
  </si>
  <si>
    <t>H68+(FORECAST(H68,INDEX('DATA 1'!$C$6:$C$14,MATCH(H68,'DATA 1'!$B$6:$B$14,1)):INDEX('DATA 1'!$C$6:$C$14,MATCH(H68,'DATA 1'!$B$6:$B$14,1)+1),INDEX('DATA 1'!$B$6:$B$14,MATCH(H68,'DATA 1'!$B$6:$B$14,1)):INDEX('DATA 1'!$B$6:$B$14,MATCH(H68,'DATA 1'!$B$6:$B$14,1)+1)))</t>
  </si>
  <si>
    <t>BAB : INTERPOLASI PENGHASIL NILAI RATA RATA TERKOREKSI</t>
  </si>
  <si>
    <t>UNCERTAINTY BUDGET  (SERTIFIKAT STANDAR)</t>
  </si>
  <si>
    <t>UNCERTAINTY BUDGET  (DRIFT)</t>
  </si>
  <si>
    <t>KONDISI SUHU RUANG</t>
  </si>
  <si>
    <t>KOREKSI SUHU AWAL</t>
  </si>
  <si>
    <t>KOREKSI KELEMBABAN AWAL</t>
  </si>
  <si>
    <t>X</t>
  </si>
  <si>
    <t>Y1</t>
  </si>
  <si>
    <t>X1</t>
  </si>
  <si>
    <t>INTERPOLASI (Y)</t>
  </si>
  <si>
    <t>KOREKSI SUHU AKHIR</t>
  </si>
  <si>
    <t>INTERPOLASI KOREKSI SYSTOLE</t>
  </si>
  <si>
    <t>INTERPOLASI KOREKSI DIASTOLE</t>
  </si>
  <si>
    <t>INTERPOLASI U95 SYSTOLE</t>
  </si>
  <si>
    <t>INTERPOLASI U95 DIASTOLE</t>
  </si>
  <si>
    <t>DRIFT SYSTOLE</t>
  </si>
  <si>
    <t>DRIFT DIASTOLE</t>
  </si>
  <si>
    <t>BAB : SUHU KELEMBABABAN TEKANAN</t>
  </si>
  <si>
    <t>KOREKSI TEGANGAN JALA JALA (Volt)</t>
  </si>
  <si>
    <t>KOREKSI RESISTANCE  ( Ω )</t>
  </si>
  <si>
    <t>KOREKSI EARTH LEAKAGE ( uA ) UNTUK INPUT NC</t>
  </si>
  <si>
    <t>KOREKSI PROTECTIVE EARTH (PE)  ( MΩ )</t>
  </si>
  <si>
    <t>KOREKSI EARTH LEAKAGE ( uA )</t>
  </si>
  <si>
    <t>1/3XU95</t>
  </si>
  <si>
    <t>21.4.2017</t>
  </si>
  <si>
    <t>Hasil pengujian kebocoran dan kalibrasi akurasi tekanan tertelusur ke satuan SI melalui CALTEK PTE LTD</t>
  </si>
  <si>
    <t>5.3.2018</t>
  </si>
  <si>
    <t>Digital Thermohygrometer, Merek : KIMO, Model : KH-210-AO, SN : 15062875</t>
  </si>
  <si>
    <t>Digital Thermohygrometer, Merek : KIMO, Model : KH-210-AO, SN : 15062874</t>
  </si>
  <si>
    <t>Digital Thermohygrometer, Merek : KIMO, Model : KH-210-AO, SN : 14082463</t>
  </si>
  <si>
    <t>Digital Thermohygrometer, Merek : KIMO, Model : KH-210-AO, SN : 15062872</t>
  </si>
  <si>
    <t>Digital Thermohygrobarometer, Merek : Greisinger, Model : GFTB 200, SN : 34903051</t>
  </si>
  <si>
    <t>Digital Thermohygrometer, Merek : Sekonic, Model : ST-50A, SN : HE 01 - 203004</t>
  </si>
  <si>
    <t>9.3.2022</t>
  </si>
  <si>
    <t xml:space="preserve">Vital Signs Simulator, Merek : Rigel, Model : UNI-SIM, SN : 05J-0804  □ 45K-1036   □  45K-1059   □ </t>
  </si>
  <si>
    <t xml:space="preserve">Digital Thermohygrometer, Merek : KIMO, Model : KH-210-AO, SN : 15062875, 15062874, 14082463, 15062872, 15062873 </t>
  </si>
  <si>
    <t>Digital Thermohygrobarometer, Merek : Greisinger, Model : GFTB 200, SN : 34903051, 34903053, 34904091, 34903334, 34903050</t>
  </si>
  <si>
    <t>Digital Thermohygrometer, Merek : Sekonic, Model : ST - 50A, SN : HE 21-000670, HE 21-000669</t>
  </si>
  <si>
    <t>Digital Thermohygrobarometer, Merek : EXTECH, Model : SD700, SN : A.100609, A.100611, A.100605, A.100586, A.100616, A.100618, A.100617, A.100615</t>
  </si>
  <si>
    <t xml:space="preserve">Electrical Safety Analyzer, Merek : FLUKE, Model : ESA620, SN : 1837056, 1834020 </t>
  </si>
  <si>
    <t>Electrical Safety Analyzer, Merek : FLUKE, Model : ESA615, SN : 2853077, 2853078, 3148907,  3148908, 3699030, 4669058, 4670010</t>
  </si>
  <si>
    <t>Y</t>
  </si>
  <si>
    <t>SERTIFIKAT NIBP</t>
  </si>
  <si>
    <t>T.LK 014-18/REV:1</t>
  </si>
  <si>
    <t>Hasil pengujian kebocoran dan kalibrasi akurasi tekanan tertelusur ke satuan SI melalui Fluke Biomedical</t>
  </si>
  <si>
    <t>23.2.2021 certifikat bawaan alat fluke</t>
  </si>
  <si>
    <t>17.5.2022</t>
  </si>
  <si>
    <t>7.4.2022</t>
  </si>
  <si>
    <t>update sertifikat BPM : 45K-1036 (7.3.2022), 45K-1059 (11.2.2022),  A.100605 (2.3.2022), A.100609 (4.3.2022), A.100611 (4.3.2022), 4669058 (9.3.2022), 2853077 (9.3.2022), 4670010 (11.2.2022), 3699030 (11.2.2022), 3148908 (11.2.2022), 3148907 (8.6.2021)</t>
  </si>
  <si>
    <t>8.4.2022</t>
  </si>
  <si>
    <t>update nama petugas kalibrasi</t>
  </si>
  <si>
    <t>update sertifikat prosim8 sn : 3217028, 3188428, 5353015</t>
  </si>
  <si>
    <t>Vital Signs Simulator, Merek : FLUKE, Model : ProSim8, SN : 3217028  □ 3188428   □  5353015   □</t>
  </si>
  <si>
    <t>NIBP Simulator, Merek : Rigel, Model : BP-SIM, SN : 12L-0534 □  12L-0536 □</t>
  </si>
  <si>
    <r>
      <t xml:space="preserve">√   |   X   </t>
    </r>
    <r>
      <rPr>
        <b/>
        <vertAlign val="superscript"/>
        <sz val="8"/>
        <rFont val="Arial"/>
        <family val="2"/>
      </rPr>
      <t>*G-lingkari</t>
    </r>
    <r>
      <rPr>
        <b/>
        <sz val="12"/>
        <rFont val="Arial"/>
        <family val="2"/>
      </rPr>
      <t xml:space="preserve">  Alat tidak boleh digunakan pada instalasi tanpa dilengkapi grounding</t>
    </r>
  </si>
  <si>
    <r>
      <t xml:space="preserve">√   |   X   </t>
    </r>
    <r>
      <rPr>
        <b/>
        <vertAlign val="superscript"/>
        <sz val="8"/>
        <rFont val="Arial"/>
        <family val="2"/>
      </rPr>
      <t>*NG-lingkari</t>
    </r>
    <r>
      <rPr>
        <b/>
        <sz val="12"/>
        <rFont val="Arial"/>
        <family val="2"/>
      </rPr>
      <t xml:space="preserve">  Tidak terdapat grounding di ruangan</t>
    </r>
  </si>
  <si>
    <r>
      <t xml:space="preserve">√   |   X   </t>
    </r>
    <r>
      <rPr>
        <b/>
        <vertAlign val="superscript"/>
        <sz val="8"/>
        <rFont val="Arial"/>
        <family val="2"/>
      </rPr>
      <t>*NG-lingkari</t>
    </r>
    <r>
      <rPr>
        <b/>
        <sz val="12"/>
        <rFont val="Arial"/>
        <family val="2"/>
      </rPr>
      <t xml:space="preserve">  Catu daya menggunakan baterai</t>
    </r>
  </si>
  <si>
    <t>sheet LH prosim8 sn : 5353015 keterangan Ketidakpastian Pengukuran Sistole dan diastole pada Tingkat Kepercayaan 95 % dengan k = 2 di tiadakan</t>
  </si>
  <si>
    <t>Menambahkan T.LHK, T.LP, T.UB, T.ID, T.LK</t>
  </si>
  <si>
    <t>18.5.2022</t>
  </si>
  <si>
    <t>revisi jarak suhu dan kelembaban LH dan memperbesar ukuran menjadi 65%</t>
  </si>
  <si>
    <t>Rev 28 : 18.5.2022</t>
  </si>
  <si>
    <t>4.10.2022</t>
  </si>
  <si>
    <t>sheet thermohygrometer rumus O8 : INDEX($B$8:$H$224;$L8;$P$4) bikin error pada software laragon janawi</t>
  </si>
  <si>
    <t>sheet thermohygrometer rumus O8 : INDEX(B8:B224;MATCH(ID!$B$89;$I$8:$I$224;0))</t>
  </si>
  <si>
    <t>LARAGON</t>
  </si>
  <si>
    <r>
      <t>U</t>
    </r>
    <r>
      <rPr>
        <vertAlign val="subscript"/>
        <sz val="12"/>
        <rFont val="Calibri"/>
        <family val="2"/>
        <scheme val="minor"/>
      </rPr>
      <t>95</t>
    </r>
  </si>
  <si>
    <t>3 Januari 2023</t>
  </si>
  <si>
    <t xml:space="preserve"> </t>
  </si>
  <si>
    <t>IF(INDEX(VOLT!$N$8:$N$14;MATCH(CC37;VOLT!$M$8:$M$14;1)+1-1)=0;0.000001;INDEX(VOLT!$N$8:$N$14;MATCH(CC37;VOLT!$M$8:$M$14;1)))</t>
  </si>
  <si>
    <t>Handheld NIBP Simulator, Merek : ACCUPULSE PLUS, Model : AH-2, SN : HH12080309</t>
  </si>
  <si>
    <t>Handheld NIBP Simulator, Merek : ACCUPULSE PLUS, Model : AH-2  (HH12080311)</t>
  </si>
  <si>
    <t>2 / II - 20 / E - 015.38 DL</t>
  </si>
  <si>
    <t>Digital Thermohygrometer, Merek : KIMO, Model : KH-210-AO, SN : 15062873</t>
  </si>
  <si>
    <t>Digital Thermohygrobarometer, Merek : Greisinger, Model : GFTB 200, SN : 34904091</t>
  </si>
  <si>
    <t>Digital Thermohygrobarometer, Merek : Greisinger, Model : GFTB 200, SN : 34903053</t>
  </si>
  <si>
    <t>Digital Thermohygrobarometer, Merek : Greisinger, Model : GFTB 200, SN : 34903046</t>
  </si>
  <si>
    <t>Vital Sign Simulator, Merek : Fluke, Model : Prosim 8, SN : 3188428</t>
  </si>
  <si>
    <t>Vital Sign Simulator, Merek : Fluke, Model : Prosim 8, SN : 3217028</t>
  </si>
  <si>
    <t>Vital Sign Simulator, Merek : Fluke, Model : Prosim 8, SN : 5353015</t>
  </si>
  <si>
    <t>Vital Sign Simulator, Merek : RIGEL, Model : UNI-SiM, SN : 45K-1036</t>
  </si>
  <si>
    <t>Vital Sign Simulator, Merek : RIGEL, Model : UNI-SiM, SN : 45K-1059</t>
  </si>
  <si>
    <t>Vital Sign Simulator, Merek : RIGEL, Model : UNI-SiM, SN : 05J-0804</t>
  </si>
  <si>
    <t>NIBP Simulator, Merek : RIGEL, Model : BP - SIM, SN : 12L-0534</t>
  </si>
  <si>
    <t>NIBP Simulator, Merek : RIGEL, Model : BP - SIM, SN : 12L-0536</t>
  </si>
  <si>
    <t>Digital Thermohygrometer, Merek : Sekonic, Model : ST-50A, SN : HE 21-000669</t>
  </si>
  <si>
    <t>Digital Thermohygrometer, Merek : Sekonic, Model : ST-50A, SN : HE 21-000670</t>
  </si>
  <si>
    <t>Electrical Safety Analyzer, Merek : Fluke, Model : ESA 615, SN : 2853077</t>
  </si>
  <si>
    <t>Electrical Safety Analyzer, Merek : Fluke, Model : ESA 615, SN : 2853078</t>
  </si>
  <si>
    <t>Electrical Safety Analyzer, Merek : Fluke, Model : ESA 615, SN : 3148907</t>
  </si>
  <si>
    <t>Electrical Safety Analyzer, Merek : Fluke, Model : ESA 615, SN : 3148908</t>
  </si>
  <si>
    <t>Electrical Safety Analyzer, Merek : Fluke, Model : ESA 615, SN : 3699030</t>
  </si>
  <si>
    <t>Electrical Safety Analyzer, Merek : Fluke, Model : ESA 615, SN : 4669058</t>
  </si>
  <si>
    <t>Electrical Safety Analyzer, Merek : Fluke, Model : ESA 615, SN : 4670010</t>
  </si>
  <si>
    <t>Electrical Safety Analyzer, Merek : Fluke, Model : ESA 620, SN : 1834020</t>
  </si>
  <si>
    <t>Electrical Safety Analyzer, Merek : Fluke, Model : ESA 620, SN : 1837056</t>
  </si>
  <si>
    <t>Vital Sign Simulator, Merek : FLUKE, Model : ProSim 8, SN : 5353015</t>
  </si>
  <si>
    <t>Vital Sign Simulator, Merek : Rigel, Model : UNI-SIM, SN : 45K-1059</t>
  </si>
  <si>
    <t>Vital Sign Simulator, Merek : Rigel, Model : UNI-SIM, SN : 45K-1036</t>
  </si>
  <si>
    <t>Vital Sign Simulator, Merek : Rigel, Model : UNI-SIM, SN : 05J-0804</t>
  </si>
  <si>
    <t>NIBP Simulator, Merek : Rigel, Model : BP - SIM, SN : 12L-0536</t>
  </si>
  <si>
    <t>NIBP Simulator, Merek : Rigel, Model : BP - SIM, SN : 44L-1084</t>
  </si>
  <si>
    <t>NIBP Simulator, Merek : Rigel, Model : BP - SIM, SN : 06L-0610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</si>
</sst>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164" formatCode="0.0"/>
    <numFmt numFmtId="165" formatCode="0.0000"/>
    <numFmt numFmtId="166" formatCode="0.00\ \°\C"/>
    <numFmt numFmtId="167" formatCode="0.000"/>
    <numFmt numFmtId="168" formatCode="0.000000000"/>
    <numFmt numFmtId="169" formatCode="\±\ 0%"/>
    <numFmt numFmtId="170" formatCode="\±\ 0\ &quot;mmHg&quot;"/>
    <numFmt numFmtId="171" formatCode="0.000000"/>
    <numFmt numFmtId="172" formatCode="0.0\ \ &quot;% &quot;"/>
    <numFmt numFmtId="173" formatCode="0\ \ &quot;mmHg, BPM &quot;"/>
    <numFmt numFmtId="174" formatCode="0.0\ \ &quot;μA&quot;"/>
    <numFmt numFmtId="175" formatCode="\≥\ 0\ &quot;MΩ&quot;"/>
    <numFmt numFmtId="176" formatCode="\≤\ 0.0\ \Ω"/>
    <numFmt numFmtId="177" formatCode="0.0\ &quot;μA&quot;"/>
    <numFmt numFmtId="178" formatCode="\≤\ 0\ \µ\A"/>
    <numFmt numFmtId="179" formatCode="#.##0"/>
    <numFmt numFmtId="180" formatCode="&quot;NC&quot;\ 0"/>
    <numFmt numFmtId="181" formatCode="&quot;NO&quot;\ 0.0"/>
    <numFmt numFmtId="182" formatCode="dd/mm/yyyy;@"/>
    <numFmt numFmtId="183" formatCode="[$-421]dd\ mmmm\ yyyy;@"/>
    <numFmt numFmtId="184" formatCode="&quot;max U95 :&quot;\ 0.00"/>
    <numFmt numFmtId="185" formatCode="[$-C09]d\ mmmm\ yyyy;@"/>
    <numFmt numFmtId="186" formatCode="0\ &quot;BPM&quot;"/>
  </numFmts>
  <fonts count="141" x14ac:knownFonts="1">
    <font>
      <sz val="10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Times New Roman"/>
      <family val="1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b/>
      <u/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u/>
      <sz val="12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Times New Roman"/>
      <family val="1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8"/>
      <color theme="1"/>
      <name val="Tahoma"/>
      <family val="2"/>
    </font>
    <font>
      <sz val="8"/>
      <name val="Tahoma"/>
      <family val="2"/>
    </font>
    <font>
      <b/>
      <sz val="8"/>
      <name val="Tahoma"/>
      <family val="2"/>
    </font>
    <font>
      <b/>
      <sz val="8"/>
      <color theme="1"/>
      <name val="Tahoma"/>
      <family val="2"/>
    </font>
    <font>
      <b/>
      <u/>
      <sz val="14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3"/>
      <color theme="1"/>
      <name val="Calibri"/>
      <family val="2"/>
      <scheme val="minor"/>
    </font>
    <font>
      <b/>
      <sz val="10"/>
      <color theme="1"/>
      <name val="Arial"/>
      <family val="2"/>
    </font>
    <font>
      <sz val="12"/>
      <color theme="1"/>
      <name val="Calibri"/>
      <family val="2"/>
    </font>
    <font>
      <b/>
      <u/>
      <sz val="10"/>
      <color theme="1"/>
      <name val="Arial"/>
      <family val="2"/>
    </font>
    <font>
      <sz val="8"/>
      <color theme="0"/>
      <name val="Calibri"/>
      <family val="2"/>
      <scheme val="minor"/>
    </font>
    <font>
      <b/>
      <i/>
      <sz val="12"/>
      <name val="Calibri"/>
      <family val="2"/>
      <scheme val="minor"/>
    </font>
    <font>
      <b/>
      <i/>
      <vertAlign val="subscript"/>
      <sz val="12"/>
      <name val="Calibri"/>
      <family val="2"/>
      <scheme val="minor"/>
    </font>
    <font>
      <b/>
      <vertAlign val="subscript"/>
      <sz val="12"/>
      <name val="Calibri"/>
      <family val="2"/>
      <scheme val="minor"/>
    </font>
    <font>
      <i/>
      <sz val="12"/>
      <name val="Calibri"/>
      <family val="2"/>
      <scheme val="minor"/>
    </font>
    <font>
      <i/>
      <vertAlign val="subscript"/>
      <sz val="12"/>
      <name val="Calibri"/>
      <family val="2"/>
      <scheme val="minor"/>
    </font>
    <font>
      <sz val="11"/>
      <name val="Times New Roman"/>
      <family val="1"/>
    </font>
    <font>
      <b/>
      <i/>
      <sz val="10"/>
      <name val="Arial"/>
      <family val="2"/>
    </font>
    <font>
      <sz val="12"/>
      <color theme="0"/>
      <name val="Calibri"/>
      <family val="2"/>
      <scheme val="minor"/>
    </font>
    <font>
      <sz val="11"/>
      <name val="Arial"/>
      <family val="2"/>
    </font>
    <font>
      <sz val="9"/>
      <color theme="1"/>
      <name val="Calibri"/>
      <family val="2"/>
      <scheme val="minor"/>
    </font>
    <font>
      <b/>
      <sz val="28"/>
      <color theme="1"/>
      <name val="Wingdings 2"/>
      <family val="1"/>
      <charset val="2"/>
    </font>
    <font>
      <b/>
      <sz val="10"/>
      <name val="Calibri"/>
      <family val="2"/>
    </font>
    <font>
      <b/>
      <u/>
      <sz val="14"/>
      <color rgb="FFFF0000"/>
      <name val="Arial"/>
      <family val="2"/>
    </font>
    <font>
      <sz val="8"/>
      <name val="Times New Roman"/>
      <family val="1"/>
    </font>
    <font>
      <b/>
      <sz val="8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C00000"/>
      <name val="Arial"/>
      <family val="2"/>
    </font>
    <font>
      <b/>
      <sz val="10"/>
      <color rgb="FF00B0F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Times New Roman"/>
      <family val="1"/>
    </font>
    <font>
      <sz val="10"/>
      <color rgb="FF00B0F0"/>
      <name val="Arial"/>
      <family val="2"/>
    </font>
    <font>
      <sz val="12"/>
      <color theme="1"/>
      <name val="Arial"/>
      <family val="2"/>
    </font>
    <font>
      <sz val="13"/>
      <name val="Arial"/>
      <family val="2"/>
    </font>
    <font>
      <i/>
      <sz val="13"/>
      <color theme="1"/>
      <name val="Arial"/>
      <family val="2"/>
    </font>
    <font>
      <sz val="12"/>
      <name val="Arial"/>
      <family val="2"/>
    </font>
    <font>
      <vertAlign val="superscript"/>
      <sz val="12"/>
      <name val="Arial"/>
      <family val="2"/>
    </font>
    <font>
      <u/>
      <sz val="14"/>
      <name val="Arial"/>
      <family val="2"/>
    </font>
    <font>
      <b/>
      <sz val="12"/>
      <name val="Arial"/>
      <family val="2"/>
    </font>
    <font>
      <b/>
      <sz val="12"/>
      <color theme="1"/>
      <name val="Arial"/>
      <family val="2"/>
    </font>
    <font>
      <b/>
      <sz val="8"/>
      <name val="Arial"/>
      <family val="2"/>
    </font>
    <font>
      <sz val="12"/>
      <color rgb="FFFF000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u/>
      <sz val="14"/>
      <color theme="1"/>
      <name val="Arial"/>
      <family val="2"/>
    </font>
    <font>
      <sz val="13"/>
      <color theme="1"/>
      <name val="Arial"/>
      <family val="2"/>
    </font>
    <font>
      <sz val="12"/>
      <color theme="0"/>
      <name val="Arial"/>
      <family val="2"/>
    </font>
    <font>
      <u/>
      <sz val="14"/>
      <color theme="1"/>
      <name val="Arial"/>
      <family val="2"/>
    </font>
    <font>
      <u/>
      <sz val="12"/>
      <color theme="1"/>
      <name val="Arial"/>
      <family val="2"/>
    </font>
    <font>
      <sz val="8"/>
      <color rgb="FFFF0000"/>
      <name val="Arial"/>
      <family val="2"/>
    </font>
    <font>
      <sz val="8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indexed="81"/>
      <name val="Tahoma"/>
      <family val="2"/>
    </font>
    <font>
      <sz val="16"/>
      <color indexed="81"/>
      <name val="Tahoma"/>
      <family val="2"/>
    </font>
    <font>
      <sz val="13"/>
      <name val="Calibri"/>
      <family val="2"/>
    </font>
    <font>
      <b/>
      <sz val="11"/>
      <name val="Arial"/>
      <family val="2"/>
    </font>
    <font>
      <b/>
      <vertAlign val="superscript"/>
      <sz val="12"/>
      <name val="Calibri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name val="Times New Roman"/>
      <family val="1"/>
    </font>
    <font>
      <i/>
      <sz val="10"/>
      <name val="Arial"/>
      <family val="2"/>
    </font>
    <font>
      <sz val="10"/>
      <name val="Calibri"/>
      <family val="2"/>
    </font>
    <font>
      <b/>
      <i/>
      <sz val="10"/>
      <color rgb="FFFF0000"/>
      <name val="Arial"/>
      <family val="2"/>
    </font>
    <font>
      <sz val="12"/>
      <color rgb="FFFF0000"/>
      <name val="Arial"/>
      <family val="2"/>
    </font>
    <font>
      <i/>
      <sz val="10"/>
      <name val="Times New Roman"/>
      <family val="1"/>
    </font>
    <font>
      <i/>
      <sz val="12"/>
      <name val="Arial"/>
      <family val="2"/>
    </font>
    <font>
      <sz val="12"/>
      <name val="Calibri"/>
      <family val="2"/>
    </font>
    <font>
      <sz val="6"/>
      <name val="Arial"/>
      <family val="2"/>
    </font>
    <font>
      <b/>
      <vertAlign val="superscript"/>
      <sz val="8"/>
      <name val="Calibri"/>
      <family val="2"/>
    </font>
    <font>
      <sz val="11"/>
      <color theme="1"/>
      <name val="Arial"/>
      <family val="2"/>
    </font>
    <font>
      <sz val="10"/>
      <color rgb="FFFF0000"/>
      <name val="Arial"/>
      <family val="2"/>
    </font>
    <font>
      <b/>
      <sz val="12"/>
      <color rgb="FF00B050"/>
      <name val="Calibri"/>
      <family val="2"/>
      <scheme val="minor"/>
    </font>
    <font>
      <sz val="7"/>
      <name val="Arial"/>
      <family val="2"/>
    </font>
    <font>
      <b/>
      <sz val="10"/>
      <color rgb="FF00B050"/>
      <name val="Arial"/>
      <family val="2"/>
    </font>
    <font>
      <b/>
      <sz val="12"/>
      <color rgb="FF002060"/>
      <name val="Arial"/>
      <family val="2"/>
    </font>
    <font>
      <b/>
      <sz val="14"/>
      <name val="Arial"/>
      <family val="2"/>
    </font>
    <font>
      <b/>
      <vertAlign val="superscript"/>
      <sz val="8"/>
      <name val="Arial"/>
      <family val="2"/>
    </font>
    <font>
      <b/>
      <i/>
      <sz val="10"/>
      <color theme="1"/>
      <name val="Arial"/>
      <family val="2"/>
    </font>
    <font>
      <sz val="10"/>
      <color rgb="FFFF0000"/>
      <name val="Calibri"/>
      <family val="2"/>
    </font>
    <font>
      <sz val="10"/>
      <color rgb="FFFF0000"/>
      <name val="Times New Roman"/>
      <family val="1"/>
    </font>
    <font>
      <sz val="10"/>
      <color theme="1"/>
      <name val="Times New Roman"/>
      <family val="1"/>
    </font>
    <font>
      <b/>
      <sz val="22"/>
      <color theme="1"/>
      <name val="Calibri"/>
      <family val="2"/>
      <scheme val="minor"/>
    </font>
    <font>
      <b/>
      <sz val="48"/>
      <color rgb="FFFF0000"/>
      <name val="Wingdings 2"/>
      <family val="1"/>
      <charset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24"/>
      <name val="Times New Roman"/>
      <family val="1"/>
    </font>
    <font>
      <sz val="10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imes New Roman"/>
      <family val="1"/>
    </font>
    <font>
      <sz val="9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0"/>
      <color theme="0" tint="-0.34998626667073579"/>
      <name val="Arial"/>
      <family val="2"/>
    </font>
    <font>
      <sz val="10"/>
      <color theme="1"/>
      <name val="Calibri"/>
      <family val="2"/>
    </font>
    <font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5" tint="-0.249977111117893"/>
      <name val="Arial"/>
      <family val="2"/>
    </font>
    <font>
      <sz val="11"/>
      <color theme="5" tint="-0.249977111117893"/>
      <name val="Times New Roman"/>
      <family val="1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2"/>
      <name val="Times New Roman"/>
      <family val="1"/>
    </font>
    <font>
      <b/>
      <sz val="16"/>
      <name val="Tahoma"/>
      <family val="2"/>
    </font>
    <font>
      <sz val="13"/>
      <color rgb="FFFF0000"/>
      <name val="Arial"/>
      <family val="2"/>
    </font>
    <font>
      <b/>
      <u/>
      <sz val="12"/>
      <name val="Calibri"/>
      <family val="2"/>
      <scheme val="minor"/>
    </font>
    <font>
      <b/>
      <i/>
      <sz val="13"/>
      <name val="Calibri"/>
      <family val="2"/>
      <scheme val="minor"/>
    </font>
    <font>
      <b/>
      <sz val="14"/>
      <name val="Wingdings 2"/>
      <family val="1"/>
      <charset val="2"/>
    </font>
    <font>
      <b/>
      <sz val="14"/>
      <name val="Calibri"/>
      <family val="2"/>
      <scheme val="minor"/>
    </font>
    <font>
      <vertAlign val="subscript"/>
      <sz val="12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u/>
      <sz val="14"/>
      <name val="Arial"/>
      <family val="2"/>
    </font>
    <font>
      <sz val="10"/>
      <name val="Tahoma"/>
      <family val="2"/>
    </font>
    <font>
      <sz val="6"/>
      <name val="Tahoma"/>
      <family val="2"/>
    </font>
    <font>
      <sz val="8"/>
      <name val="Arial"/>
    </font>
    <font>
      <b/>
      <sz val="11"/>
      <color rgb="FFFF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4472C4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 style="medium">
        <color indexed="64"/>
      </bottom>
      <diagonal/>
    </border>
    <border>
      <left style="thin">
        <color indexed="64"/>
      </left>
      <right style="medium">
        <color theme="1"/>
      </right>
      <top/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/>
      <bottom/>
      <diagonal/>
    </border>
    <border>
      <left style="medium">
        <color theme="1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460">
    <xf numFmtId="0" fontId="0" fillId="0" borderId="0" xfId="0"/>
    <xf numFmtId="1" fontId="0" fillId="0" borderId="0" xfId="0" applyNumberFormat="1" applyProtection="1">
      <protection hidden="1"/>
    </xf>
    <xf numFmtId="1" fontId="6" fillId="0" borderId="1" xfId="0" applyNumberFormat="1" applyFont="1" applyBorder="1" applyAlignment="1" applyProtection="1">
      <alignment horizontal="center"/>
      <protection hidden="1"/>
    </xf>
    <xf numFmtId="1" fontId="3" fillId="0" borderId="12" xfId="0" applyNumberFormat="1" applyFont="1" applyBorder="1" applyAlignment="1" applyProtection="1">
      <alignment horizontal="left"/>
      <protection hidden="1"/>
    </xf>
    <xf numFmtId="1" fontId="0" fillId="4" borderId="0" xfId="0" applyNumberFormat="1" applyFill="1" applyProtection="1">
      <protection hidden="1"/>
    </xf>
    <xf numFmtId="1" fontId="3" fillId="0" borderId="12" xfId="0" applyNumberFormat="1" applyFont="1" applyBorder="1" applyProtection="1">
      <protection hidden="1"/>
    </xf>
    <xf numFmtId="164" fontId="5" fillId="0" borderId="1" xfId="0" applyNumberFormat="1" applyFont="1" applyBorder="1" applyAlignment="1" applyProtection="1">
      <alignment horizontal="right"/>
      <protection hidden="1"/>
    </xf>
    <xf numFmtId="1" fontId="0" fillId="3" borderId="0" xfId="0" applyNumberFormat="1" applyFill="1" applyProtection="1">
      <protection hidden="1"/>
    </xf>
    <xf numFmtId="164" fontId="0" fillId="4" borderId="0" xfId="0" applyNumberFormat="1" applyFill="1" applyProtection="1">
      <protection hidden="1"/>
    </xf>
    <xf numFmtId="164" fontId="17" fillId="5" borderId="1" xfId="3" applyNumberFormat="1" applyFont="1" applyFill="1" applyBorder="1" applyAlignment="1" applyProtection="1">
      <alignment horizontal="center" vertical="center" wrapText="1"/>
      <protection hidden="1"/>
    </xf>
    <xf numFmtId="164" fontId="18" fillId="5" borderId="1" xfId="0" applyNumberFormat="1" applyFont="1" applyFill="1" applyBorder="1" applyAlignment="1" applyProtection="1">
      <alignment horizontal="center"/>
      <protection hidden="1"/>
    </xf>
    <xf numFmtId="0" fontId="18" fillId="0" borderId="0" xfId="0" applyFont="1" applyProtection="1">
      <protection hidden="1"/>
    </xf>
    <xf numFmtId="0" fontId="19" fillId="0" borderId="1" xfId="0" applyFont="1" applyBorder="1" applyAlignment="1" applyProtection="1">
      <alignment horizontal="center"/>
      <protection hidden="1"/>
    </xf>
    <xf numFmtId="0" fontId="20" fillId="3" borderId="1" xfId="0" applyFont="1" applyFill="1" applyBorder="1" applyAlignment="1" applyProtection="1">
      <alignment horizontal="center"/>
      <protection hidden="1"/>
    </xf>
    <xf numFmtId="0" fontId="18" fillId="0" borderId="1" xfId="0" applyFont="1" applyBorder="1" applyProtection="1">
      <protection hidden="1"/>
    </xf>
    <xf numFmtId="0" fontId="18" fillId="0" borderId="0" xfId="0" applyFont="1" applyAlignment="1" applyProtection="1">
      <alignment horizontal="right"/>
      <protection hidden="1"/>
    </xf>
    <xf numFmtId="0" fontId="18" fillId="4" borderId="0" xfId="0" applyFont="1" applyFill="1" applyProtection="1">
      <protection hidden="1"/>
    </xf>
    <xf numFmtId="0" fontId="18" fillId="6" borderId="0" xfId="0" applyFont="1" applyFill="1" applyProtection="1">
      <protection hidden="1"/>
    </xf>
    <xf numFmtId="0" fontId="18" fillId="3" borderId="0" xfId="0" applyFont="1" applyFill="1" applyProtection="1">
      <protection hidden="1"/>
    </xf>
    <xf numFmtId="164" fontId="18" fillId="0" borderId="1" xfId="0" applyNumberFormat="1" applyFont="1" applyBorder="1" applyProtection="1">
      <protection hidden="1"/>
    </xf>
    <xf numFmtId="0" fontId="29" fillId="0" borderId="0" xfId="0" applyFont="1" applyAlignment="1">
      <alignment vertical="center"/>
    </xf>
    <xf numFmtId="0" fontId="26" fillId="0" borderId="0" xfId="0" applyFont="1"/>
    <xf numFmtId="0" fontId="29" fillId="4" borderId="1" xfId="0" applyFont="1" applyFill="1" applyBorder="1" applyAlignment="1">
      <alignment vertical="center"/>
    </xf>
    <xf numFmtId="1" fontId="3" fillId="0" borderId="1" xfId="0" applyNumberFormat="1" applyFont="1" applyBorder="1" applyProtection="1">
      <protection hidden="1"/>
    </xf>
    <xf numFmtId="1" fontId="3" fillId="0" borderId="1" xfId="0" applyNumberFormat="1" applyFont="1" applyBorder="1" applyAlignment="1" applyProtection="1">
      <alignment horizontal="left"/>
      <protection hidden="1"/>
    </xf>
    <xf numFmtId="1" fontId="5" fillId="0" borderId="1" xfId="0" applyNumberFormat="1" applyFont="1" applyBorder="1" applyAlignment="1" applyProtection="1">
      <alignment horizontal="center"/>
      <protection hidden="1"/>
    </xf>
    <xf numFmtId="0" fontId="19" fillId="0" borderId="3" xfId="0" applyFont="1" applyBorder="1" applyAlignment="1" applyProtection="1">
      <alignment vertical="center"/>
      <protection hidden="1"/>
    </xf>
    <xf numFmtId="0" fontId="18" fillId="0" borderId="1" xfId="0" applyFont="1" applyBorder="1" applyAlignment="1" applyProtection="1">
      <alignment horizontal="center"/>
      <protection hidden="1"/>
    </xf>
    <xf numFmtId="164" fontId="17" fillId="0" borderId="1" xfId="3" applyNumberFormat="1" applyFont="1" applyBorder="1" applyAlignment="1" applyProtection="1">
      <alignment horizontal="right" vertical="center"/>
      <protection hidden="1"/>
    </xf>
    <xf numFmtId="0" fontId="18" fillId="0" borderId="1" xfId="0" applyFont="1" applyBorder="1" applyAlignment="1" applyProtection="1">
      <alignment horizontal="right"/>
      <protection hidden="1"/>
    </xf>
    <xf numFmtId="164" fontId="17" fillId="0" borderId="1" xfId="3" applyNumberFormat="1" applyFont="1" applyBorder="1" applyAlignment="1" applyProtection="1">
      <alignment horizontal="right" vertical="center" wrapText="1"/>
      <protection hidden="1"/>
    </xf>
    <xf numFmtId="0" fontId="19" fillId="0" borderId="1" xfId="0" applyFont="1" applyBorder="1" applyAlignment="1" applyProtection="1">
      <alignment horizontal="center" vertical="center"/>
      <protection hidden="1"/>
    </xf>
    <xf numFmtId="1" fontId="5" fillId="3" borderId="0" xfId="0" applyNumberFormat="1" applyFont="1" applyFill="1" applyProtection="1">
      <protection hidden="1"/>
    </xf>
    <xf numFmtId="1" fontId="28" fillId="0" borderId="0" xfId="0" applyNumberFormat="1" applyFont="1" applyProtection="1">
      <protection hidden="1"/>
    </xf>
    <xf numFmtId="1" fontId="0" fillId="9" borderId="0" xfId="0" applyNumberFormat="1" applyFill="1" applyProtection="1">
      <protection hidden="1"/>
    </xf>
    <xf numFmtId="0" fontId="40" fillId="0" borderId="0" xfId="0" applyFont="1"/>
    <xf numFmtId="164" fontId="0" fillId="9" borderId="0" xfId="0" applyNumberFormat="1" applyFill="1" applyProtection="1">
      <protection hidden="1"/>
    </xf>
    <xf numFmtId="0" fontId="5" fillId="0" borderId="0" xfId="0" applyFont="1"/>
    <xf numFmtId="1" fontId="3" fillId="6" borderId="1" xfId="0" applyNumberFormat="1" applyFont="1" applyFill="1" applyBorder="1" applyAlignment="1" applyProtection="1">
      <alignment horizontal="left"/>
      <protection hidden="1"/>
    </xf>
    <xf numFmtId="1" fontId="0" fillId="0" borderId="0" xfId="0" applyNumberFormat="1" applyAlignment="1" applyProtection="1">
      <alignment horizontal="center"/>
      <protection hidden="1"/>
    </xf>
    <xf numFmtId="1" fontId="6" fillId="3" borderId="0" xfId="0" applyNumberFormat="1" applyFont="1" applyFill="1" applyProtection="1">
      <protection hidden="1"/>
    </xf>
    <xf numFmtId="1" fontId="15" fillId="0" borderId="1" xfId="0" applyNumberFormat="1" applyFont="1" applyBorder="1" applyAlignment="1" applyProtection="1">
      <alignment horizontal="center"/>
      <protection hidden="1"/>
    </xf>
    <xf numFmtId="0" fontId="46" fillId="0" borderId="0" xfId="0" applyFont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1" fontId="14" fillId="9" borderId="1" xfId="0" applyNumberFormat="1" applyFont="1" applyFill="1" applyBorder="1" applyAlignment="1" applyProtection="1">
      <alignment horizontal="center"/>
      <protection hidden="1"/>
    </xf>
    <xf numFmtId="1" fontId="15" fillId="4" borderId="1" xfId="0" applyNumberFormat="1" applyFont="1" applyFill="1" applyBorder="1" applyAlignment="1" applyProtection="1">
      <alignment horizontal="center"/>
      <protection hidden="1"/>
    </xf>
    <xf numFmtId="1" fontId="7" fillId="0" borderId="3" xfId="0" applyNumberFormat="1" applyFont="1" applyBorder="1" applyAlignment="1" applyProtection="1">
      <alignment horizontal="center" vertical="center"/>
      <protection hidden="1"/>
    </xf>
    <xf numFmtId="1" fontId="14" fillId="4" borderId="1" xfId="0" applyNumberFormat="1" applyFont="1" applyFill="1" applyBorder="1" applyAlignment="1" applyProtection="1">
      <alignment horizontal="center"/>
      <protection hidden="1"/>
    </xf>
    <xf numFmtId="1" fontId="47" fillId="0" borderId="1" xfId="0" applyNumberFormat="1" applyFont="1" applyBorder="1" applyAlignment="1" applyProtection="1">
      <alignment horizontal="center"/>
      <protection hidden="1"/>
    </xf>
    <xf numFmtId="164" fontId="48" fillId="0" borderId="1" xfId="0" applyNumberFormat="1" applyFont="1" applyBorder="1" applyAlignment="1" applyProtection="1">
      <alignment horizontal="right"/>
      <protection hidden="1"/>
    </xf>
    <xf numFmtId="164" fontId="48" fillId="0" borderId="0" xfId="0" applyNumberFormat="1" applyFont="1" applyAlignment="1" applyProtection="1">
      <alignment horizontal="right"/>
      <protection hidden="1"/>
    </xf>
    <xf numFmtId="164" fontId="49" fillId="0" borderId="1" xfId="0" applyNumberFormat="1" applyFont="1" applyBorder="1" applyAlignment="1" applyProtection="1">
      <alignment horizontal="right"/>
      <protection hidden="1"/>
    </xf>
    <xf numFmtId="164" fontId="50" fillId="4" borderId="1" xfId="0" applyNumberFormat="1" applyFont="1" applyFill="1" applyBorder="1" applyAlignment="1" applyProtection="1">
      <alignment horizontal="right"/>
      <protection hidden="1"/>
    </xf>
    <xf numFmtId="164" fontId="49" fillId="0" borderId="10" xfId="0" applyNumberFormat="1" applyFont="1" applyBorder="1" applyAlignment="1" applyProtection="1">
      <alignment horizontal="right"/>
      <protection hidden="1"/>
    </xf>
    <xf numFmtId="164" fontId="5" fillId="9" borderId="1" xfId="0" applyNumberFormat="1" applyFont="1" applyFill="1" applyBorder="1" applyAlignment="1" applyProtection="1">
      <alignment horizontal="right"/>
      <protection hidden="1"/>
    </xf>
    <xf numFmtId="164" fontId="49" fillId="4" borderId="1" xfId="0" applyNumberFormat="1" applyFont="1" applyFill="1" applyBorder="1" applyAlignment="1" applyProtection="1">
      <alignment horizontal="right"/>
      <protection hidden="1"/>
    </xf>
    <xf numFmtId="1" fontId="5" fillId="0" borderId="1" xfId="0" applyNumberFormat="1" applyFont="1" applyBorder="1" applyProtection="1">
      <protection hidden="1"/>
    </xf>
    <xf numFmtId="2" fontId="5" fillId="0" borderId="1" xfId="0" applyNumberFormat="1" applyFont="1" applyBorder="1" applyAlignment="1" applyProtection="1">
      <alignment horizontal="right"/>
      <protection hidden="1"/>
    </xf>
    <xf numFmtId="1" fontId="28" fillId="4" borderId="0" xfId="0" applyNumberFormat="1" applyFont="1" applyFill="1" applyProtection="1">
      <protection hidden="1"/>
    </xf>
    <xf numFmtId="1" fontId="47" fillId="3" borderId="2" xfId="0" applyNumberFormat="1" applyFont="1" applyFill="1" applyBorder="1" applyAlignment="1" applyProtection="1">
      <alignment vertical="center"/>
      <protection hidden="1"/>
    </xf>
    <xf numFmtId="1" fontId="3" fillId="9" borderId="0" xfId="0" quotePrefix="1" applyNumberFormat="1" applyFont="1" applyFill="1" applyAlignment="1" applyProtection="1">
      <alignment horizontal="left" vertical="center"/>
      <protection hidden="1"/>
    </xf>
    <xf numFmtId="164" fontId="50" fillId="0" borderId="1" xfId="0" applyNumberFormat="1" applyFont="1" applyBorder="1" applyAlignment="1" applyProtection="1">
      <alignment horizontal="right"/>
      <protection hidden="1"/>
    </xf>
    <xf numFmtId="164" fontId="50" fillId="0" borderId="10" xfId="0" applyNumberFormat="1" applyFont="1" applyBorder="1" applyAlignment="1" applyProtection="1">
      <alignment horizontal="right"/>
      <protection hidden="1"/>
    </xf>
    <xf numFmtId="1" fontId="28" fillId="0" borderId="0" xfId="0" applyNumberFormat="1" applyFont="1" applyAlignment="1" applyProtection="1">
      <alignment horizontal="center"/>
      <protection hidden="1"/>
    </xf>
    <xf numFmtId="164" fontId="5" fillId="4" borderId="1" xfId="0" applyNumberFormat="1" applyFont="1" applyFill="1" applyBorder="1" applyAlignment="1" applyProtection="1">
      <alignment horizontal="right"/>
      <protection hidden="1"/>
    </xf>
    <xf numFmtId="164" fontId="5" fillId="4" borderId="15" xfId="0" applyNumberFormat="1" applyFont="1" applyFill="1" applyBorder="1" applyAlignment="1" applyProtection="1">
      <alignment horizontal="right"/>
      <protection hidden="1"/>
    </xf>
    <xf numFmtId="164" fontId="5" fillId="9" borderId="15" xfId="0" applyNumberFormat="1" applyFont="1" applyFill="1" applyBorder="1" applyAlignment="1" applyProtection="1">
      <alignment horizontal="right"/>
      <protection hidden="1"/>
    </xf>
    <xf numFmtId="164" fontId="49" fillId="6" borderId="10" xfId="0" applyNumberFormat="1" applyFont="1" applyFill="1" applyBorder="1" applyAlignment="1" applyProtection="1">
      <alignment horizontal="right"/>
      <protection hidden="1"/>
    </xf>
    <xf numFmtId="1" fontId="28" fillId="0" borderId="1" xfId="0" applyNumberFormat="1" applyFont="1" applyBorder="1" applyAlignment="1" applyProtection="1">
      <alignment horizontal="center"/>
      <protection hidden="1"/>
    </xf>
    <xf numFmtId="164" fontId="0" fillId="9" borderId="1" xfId="0" applyNumberFormat="1" applyFill="1" applyBorder="1" applyProtection="1">
      <protection hidden="1"/>
    </xf>
    <xf numFmtId="164" fontId="3" fillId="4" borderId="1" xfId="0" applyNumberFormat="1" applyFont="1" applyFill="1" applyBorder="1" applyAlignment="1" applyProtection="1">
      <alignment horizontal="right"/>
      <protection hidden="1"/>
    </xf>
    <xf numFmtId="164" fontId="3" fillId="9" borderId="15" xfId="0" applyNumberFormat="1" applyFont="1" applyFill="1" applyBorder="1" applyAlignment="1" applyProtection="1">
      <alignment horizontal="right"/>
      <protection hidden="1"/>
    </xf>
    <xf numFmtId="164" fontId="3" fillId="4" borderId="15" xfId="0" applyNumberFormat="1" applyFont="1" applyFill="1" applyBorder="1" applyAlignment="1" applyProtection="1">
      <alignment horizontal="right"/>
      <protection hidden="1"/>
    </xf>
    <xf numFmtId="1" fontId="28" fillId="3" borderId="1" xfId="0" applyNumberFormat="1" applyFont="1" applyFill="1" applyBorder="1" applyAlignment="1" applyProtection="1">
      <alignment horizontal="center"/>
      <protection hidden="1"/>
    </xf>
    <xf numFmtId="164" fontId="0" fillId="9" borderId="13" xfId="0" applyNumberFormat="1" applyFill="1" applyBorder="1" applyProtection="1">
      <protection hidden="1"/>
    </xf>
    <xf numFmtId="164" fontId="3" fillId="4" borderId="13" xfId="0" applyNumberFormat="1" applyFont="1" applyFill="1" applyBorder="1" applyAlignment="1" applyProtection="1">
      <alignment horizontal="right"/>
      <protection hidden="1"/>
    </xf>
    <xf numFmtId="1" fontId="28" fillId="3" borderId="11" xfId="0" applyNumberFormat="1" applyFont="1" applyFill="1" applyBorder="1" applyProtection="1">
      <protection hidden="1"/>
    </xf>
    <xf numFmtId="1" fontId="3" fillId="9" borderId="0" xfId="0" quotePrefix="1" applyNumberFormat="1" applyFont="1" applyFill="1" applyAlignment="1" applyProtection="1">
      <alignment horizontal="center" vertical="center"/>
      <protection hidden="1"/>
    </xf>
    <xf numFmtId="1" fontId="45" fillId="7" borderId="1" xfId="0" quotePrefix="1" applyNumberFormat="1" applyFont="1" applyFill="1" applyBorder="1" applyAlignment="1" applyProtection="1">
      <alignment horizontal="left" vertical="center"/>
      <protection hidden="1"/>
    </xf>
    <xf numFmtId="1" fontId="45" fillId="8" borderId="1" xfId="0" quotePrefix="1" applyNumberFormat="1" applyFont="1" applyFill="1" applyBorder="1" applyAlignment="1" applyProtection="1">
      <alignment horizontal="left" vertical="center"/>
      <protection hidden="1"/>
    </xf>
    <xf numFmtId="164" fontId="3" fillId="9" borderId="1" xfId="0" applyNumberFormat="1" applyFont="1" applyFill="1" applyBorder="1" applyAlignment="1" applyProtection="1">
      <alignment horizontal="right"/>
      <protection hidden="1"/>
    </xf>
    <xf numFmtId="164" fontId="51" fillId="4" borderId="1" xfId="0" applyNumberFormat="1" applyFont="1" applyFill="1" applyBorder="1" applyAlignment="1" applyProtection="1">
      <alignment horizontal="right"/>
      <protection hidden="1"/>
    </xf>
    <xf numFmtId="1" fontId="47" fillId="0" borderId="1" xfId="0" quotePrefix="1" applyNumberFormat="1" applyFont="1" applyBorder="1" applyAlignment="1" applyProtection="1">
      <alignment horizontal="center"/>
      <protection hidden="1"/>
    </xf>
    <xf numFmtId="1" fontId="3" fillId="9" borderId="1" xfId="0" quotePrefix="1" applyNumberFormat="1" applyFont="1" applyFill="1" applyBorder="1" applyAlignment="1" applyProtection="1">
      <alignment horizontal="center"/>
      <protection hidden="1"/>
    </xf>
    <xf numFmtId="1" fontId="3" fillId="4" borderId="1" xfId="0" quotePrefix="1" applyNumberFormat="1" applyFont="1" applyFill="1" applyBorder="1" applyAlignment="1" applyProtection="1">
      <alignment horizontal="center"/>
      <protection hidden="1"/>
    </xf>
    <xf numFmtId="1" fontId="28" fillId="3" borderId="0" xfId="0" applyNumberFormat="1" applyFont="1" applyFill="1" applyProtection="1">
      <protection hidden="1"/>
    </xf>
    <xf numFmtId="164" fontId="49" fillId="3" borderId="10" xfId="0" applyNumberFormat="1" applyFont="1" applyFill="1" applyBorder="1" applyAlignment="1" applyProtection="1">
      <alignment horizontal="right"/>
      <protection hidden="1"/>
    </xf>
    <xf numFmtId="164" fontId="3" fillId="9" borderId="1" xfId="0" quotePrefix="1" applyNumberFormat="1" applyFont="1" applyFill="1" applyBorder="1" applyAlignment="1" applyProtection="1">
      <alignment horizontal="right"/>
      <protection hidden="1"/>
    </xf>
    <xf numFmtId="164" fontId="49" fillId="9" borderId="1" xfId="0" applyNumberFormat="1" applyFont="1" applyFill="1" applyBorder="1" applyAlignment="1" applyProtection="1">
      <alignment horizontal="right"/>
      <protection hidden="1"/>
    </xf>
    <xf numFmtId="1" fontId="52" fillId="0" borderId="0" xfId="0" applyNumberFormat="1" applyFont="1" applyProtection="1">
      <protection hidden="1"/>
    </xf>
    <xf numFmtId="2" fontId="5" fillId="9" borderId="1" xfId="0" applyNumberFormat="1" applyFont="1" applyFill="1" applyBorder="1" applyAlignment="1" applyProtection="1">
      <alignment horizontal="right"/>
      <protection hidden="1"/>
    </xf>
    <xf numFmtId="171" fontId="0" fillId="0" borderId="0" xfId="0" applyNumberFormat="1" applyProtection="1">
      <protection hidden="1"/>
    </xf>
    <xf numFmtId="0" fontId="9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18" fillId="0" borderId="11" xfId="0" applyFont="1" applyBorder="1" applyProtection="1">
      <protection hidden="1"/>
    </xf>
    <xf numFmtId="0" fontId="0" fillId="0" borderId="0" xfId="0" applyAlignment="1">
      <alignment horizontal="center"/>
    </xf>
    <xf numFmtId="2" fontId="26" fillId="3" borderId="0" xfId="0" applyNumberFormat="1" applyFont="1" applyFill="1" applyAlignment="1">
      <alignment horizontal="center" vertical="center"/>
    </xf>
    <xf numFmtId="0" fontId="56" fillId="3" borderId="0" xfId="0" applyFont="1" applyFill="1" applyAlignment="1" applyProtection="1">
      <alignment vertical="center"/>
      <protection locked="0"/>
    </xf>
    <xf numFmtId="0" fontId="9" fillId="8" borderId="1" xfId="0" applyFont="1" applyFill="1" applyBorder="1" applyAlignment="1">
      <alignment horizontal="center" vertical="center"/>
    </xf>
    <xf numFmtId="0" fontId="23" fillId="8" borderId="30" xfId="0" applyFont="1" applyFill="1" applyBorder="1" applyAlignment="1" applyProtection="1">
      <alignment vertical="center"/>
      <protection locked="0"/>
    </xf>
    <xf numFmtId="0" fontId="2" fillId="3" borderId="1" xfId="0" applyFont="1" applyFill="1" applyBorder="1" applyAlignment="1" applyProtection="1">
      <alignment vertical="center"/>
      <protection locked="0"/>
    </xf>
    <xf numFmtId="0" fontId="23" fillId="8" borderId="31" xfId="0" applyFont="1" applyFill="1" applyBorder="1" applyAlignment="1" applyProtection="1">
      <alignment vertical="center"/>
      <protection locked="0"/>
    </xf>
    <xf numFmtId="1" fontId="2" fillId="3" borderId="1" xfId="0" applyNumberFormat="1" applyFont="1" applyFill="1" applyBorder="1" applyAlignment="1" applyProtection="1">
      <alignment horizontal="right" vertical="center"/>
      <protection locked="0"/>
    </xf>
    <xf numFmtId="3" fontId="2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9" fillId="3" borderId="3" xfId="4" applyFont="1" applyFill="1" applyBorder="1" applyAlignment="1">
      <alignment horizontal="left" vertical="center"/>
    </xf>
    <xf numFmtId="164" fontId="9" fillId="3" borderId="15" xfId="0" applyNumberFormat="1" applyFont="1" applyFill="1" applyBorder="1" applyAlignment="1">
      <alignment horizontal="center" vertical="center"/>
    </xf>
    <xf numFmtId="164" fontId="9" fillId="3" borderId="13" xfId="0" applyNumberFormat="1" applyFont="1" applyFill="1" applyBorder="1" applyAlignment="1">
      <alignment horizontal="center" vertical="center"/>
    </xf>
    <xf numFmtId="1" fontId="9" fillId="3" borderId="3" xfId="0" applyNumberFormat="1" applyFont="1" applyFill="1" applyBorder="1" applyAlignment="1">
      <alignment horizontal="center" vertical="center"/>
    </xf>
    <xf numFmtId="164" fontId="9" fillId="3" borderId="1" xfId="0" applyNumberFormat="1" applyFont="1" applyFill="1" applyBorder="1" applyAlignment="1">
      <alignment horizontal="center"/>
    </xf>
    <xf numFmtId="1" fontId="9" fillId="3" borderId="0" xfId="0" applyNumberFormat="1" applyFont="1" applyFill="1" applyAlignment="1">
      <alignment horizontal="right"/>
    </xf>
    <xf numFmtId="1" fontId="9" fillId="3" borderId="0" xfId="0" applyNumberFormat="1" applyFont="1" applyFill="1"/>
    <xf numFmtId="164" fontId="9" fillId="3" borderId="0" xfId="0" applyNumberFormat="1" applyFont="1" applyFill="1"/>
    <xf numFmtId="164" fontId="2" fillId="3" borderId="0" xfId="0" applyNumberFormat="1" applyFont="1" applyFill="1" applyAlignment="1">
      <alignment vertical="center"/>
    </xf>
    <xf numFmtId="1" fontId="53" fillId="3" borderId="0" xfId="0" applyNumberFormat="1" applyFont="1" applyFill="1" applyProtection="1">
      <protection locked="0"/>
    </xf>
    <xf numFmtId="0" fontId="56" fillId="0" borderId="0" xfId="0" applyFont="1" applyAlignment="1" applyProtection="1">
      <alignment vertical="center"/>
      <protection locked="0"/>
    </xf>
    <xf numFmtId="164" fontId="70" fillId="3" borderId="0" xfId="0" applyNumberFormat="1" applyFont="1" applyFill="1" applyAlignment="1">
      <alignment horizontal="left"/>
    </xf>
    <xf numFmtId="164" fontId="69" fillId="3" borderId="0" xfId="0" applyNumberFormat="1" applyFont="1" applyFill="1" applyAlignment="1">
      <alignment horizontal="left"/>
    </xf>
    <xf numFmtId="0" fontId="2" fillId="3" borderId="1" xfId="0" applyFont="1" applyFill="1" applyBorder="1" applyAlignment="1">
      <alignment vertical="center"/>
    </xf>
    <xf numFmtId="173" fontId="9" fillId="3" borderId="0" xfId="0" applyNumberFormat="1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40" fillId="3" borderId="0" xfId="0" applyFont="1" applyFill="1" applyAlignment="1">
      <alignment vertical="center"/>
    </xf>
    <xf numFmtId="0" fontId="79" fillId="3" borderId="0" xfId="0" applyFont="1" applyFill="1" applyAlignment="1">
      <alignment horizontal="right" vertical="center"/>
    </xf>
    <xf numFmtId="0" fontId="9" fillId="3" borderId="3" xfId="0" applyFont="1" applyFill="1" applyBorder="1" applyAlignment="1">
      <alignment vertical="center"/>
    </xf>
    <xf numFmtId="0" fontId="9" fillId="3" borderId="15" xfId="0" applyFont="1" applyFill="1" applyBorder="1" applyAlignment="1">
      <alignment vertical="center"/>
    </xf>
    <xf numFmtId="164" fontId="9" fillId="3" borderId="15" xfId="0" quotePrefix="1" applyNumberFormat="1" applyFont="1" applyFill="1" applyBorder="1" applyAlignment="1">
      <alignment horizontal="right" vertical="center" wrapText="1"/>
    </xf>
    <xf numFmtId="0" fontId="9" fillId="3" borderId="13" xfId="0" applyFont="1" applyFill="1" applyBorder="1" applyAlignment="1">
      <alignment horizontal="left" vertical="center" wrapText="1"/>
    </xf>
    <xf numFmtId="0" fontId="40" fillId="4" borderId="1" xfId="0" applyFont="1" applyFill="1" applyBorder="1" applyAlignment="1">
      <alignment vertical="center"/>
    </xf>
    <xf numFmtId="167" fontId="9" fillId="3" borderId="15" xfId="0" quotePrefix="1" applyNumberFormat="1" applyFont="1" applyFill="1" applyBorder="1" applyAlignment="1">
      <alignment horizontal="right" vertical="center" wrapText="1"/>
    </xf>
    <xf numFmtId="2" fontId="50" fillId="4" borderId="1" xfId="0" applyNumberFormat="1" applyFont="1" applyFill="1" applyBorder="1" applyAlignment="1" applyProtection="1">
      <alignment horizontal="right"/>
      <protection hidden="1"/>
    </xf>
    <xf numFmtId="2" fontId="49" fillId="4" borderId="1" xfId="0" applyNumberFormat="1" applyFont="1" applyFill="1" applyBorder="1" applyAlignment="1" applyProtection="1">
      <alignment horizontal="right"/>
      <protection hidden="1"/>
    </xf>
    <xf numFmtId="0" fontId="9" fillId="3" borderId="11" xfId="4" applyFont="1" applyFill="1" applyBorder="1" applyAlignment="1">
      <alignment horizontal="left" vertical="center"/>
    </xf>
    <xf numFmtId="164" fontId="9" fillId="3" borderId="11" xfId="0" applyNumberFormat="1" applyFont="1" applyFill="1" applyBorder="1" applyAlignment="1">
      <alignment horizontal="center" vertical="center"/>
    </xf>
    <xf numFmtId="1" fontId="9" fillId="3" borderId="11" xfId="0" applyNumberFormat="1" applyFont="1" applyFill="1" applyBorder="1" applyAlignment="1">
      <alignment horizontal="center" vertical="center"/>
    </xf>
    <xf numFmtId="164" fontId="62" fillId="3" borderId="11" xfId="0" applyNumberFormat="1" applyFont="1" applyFill="1" applyBorder="1" applyAlignment="1">
      <alignment horizontal="center"/>
    </xf>
    <xf numFmtId="164" fontId="9" fillId="3" borderId="11" xfId="0" applyNumberFormat="1" applyFont="1" applyFill="1" applyBorder="1" applyAlignment="1">
      <alignment horizontal="center"/>
    </xf>
    <xf numFmtId="170" fontId="9" fillId="3" borderId="0" xfId="4" applyNumberFormat="1" applyFont="1" applyFill="1" applyAlignment="1">
      <alignment horizontal="center" vertical="center"/>
    </xf>
    <xf numFmtId="0" fontId="9" fillId="3" borderId="0" xfId="4" applyFont="1" applyFill="1" applyAlignment="1">
      <alignment horizontal="left" vertical="center"/>
    </xf>
    <xf numFmtId="164" fontId="9" fillId="3" borderId="0" xfId="0" applyNumberFormat="1" applyFont="1" applyFill="1" applyAlignment="1">
      <alignment horizontal="center" vertical="center"/>
    </xf>
    <xf numFmtId="1" fontId="9" fillId="3" borderId="0" xfId="0" applyNumberFormat="1" applyFont="1" applyFill="1" applyAlignment="1">
      <alignment horizontal="center" vertical="center"/>
    </xf>
    <xf numFmtId="164" fontId="62" fillId="3" borderId="0" xfId="0" applyNumberFormat="1" applyFont="1" applyFill="1" applyAlignment="1">
      <alignment horizontal="center"/>
    </xf>
    <xf numFmtId="164" fontId="9" fillId="3" borderId="0" xfId="0" applyNumberFormat="1" applyFont="1" applyFill="1" applyAlignment="1">
      <alignment horizontal="center"/>
    </xf>
    <xf numFmtId="164" fontId="9" fillId="3" borderId="1" xfId="4" applyNumberFormat="1" applyFont="1" applyFill="1" applyBorder="1" applyAlignment="1">
      <alignment horizontal="center" vertical="center"/>
    </xf>
    <xf numFmtId="164" fontId="76" fillId="0" borderId="1" xfId="4" applyNumberFormat="1" applyFont="1" applyBorder="1" applyAlignment="1">
      <alignment horizontal="right" vertical="center"/>
    </xf>
    <xf numFmtId="170" fontId="9" fillId="3" borderId="11" xfId="4" applyNumberFormat="1" applyFont="1" applyFill="1" applyBorder="1" applyAlignment="1">
      <alignment horizontal="center" vertical="center"/>
    </xf>
    <xf numFmtId="0" fontId="5" fillId="3" borderId="0" xfId="0" applyFont="1" applyFill="1"/>
    <xf numFmtId="0" fontId="56" fillId="3" borderId="0" xfId="0" applyFont="1" applyFill="1" applyAlignment="1">
      <alignment vertical="center"/>
    </xf>
    <xf numFmtId="0" fontId="56" fillId="3" borderId="3" xfId="0" applyFont="1" applyFill="1" applyBorder="1" applyAlignment="1">
      <alignment vertical="center"/>
    </xf>
    <xf numFmtId="0" fontId="56" fillId="3" borderId="15" xfId="0" applyFont="1" applyFill="1" applyBorder="1" applyAlignment="1">
      <alignment vertical="center"/>
    </xf>
    <xf numFmtId="0" fontId="53" fillId="3" borderId="0" xfId="0" applyFont="1" applyFill="1" applyAlignment="1">
      <alignment vertical="center"/>
    </xf>
    <xf numFmtId="0" fontId="55" fillId="3" borderId="0" xfId="0" applyFont="1" applyFill="1" applyAlignment="1">
      <alignment horizontal="center" vertical="center"/>
    </xf>
    <xf numFmtId="0" fontId="56" fillId="3" borderId="0" xfId="4" applyFont="1" applyFill="1" applyAlignment="1">
      <alignment vertical="center"/>
    </xf>
    <xf numFmtId="0" fontId="56" fillId="3" borderId="0" xfId="4" applyFont="1" applyFill="1" applyAlignment="1">
      <alignment horizontal="right" vertical="center"/>
    </xf>
    <xf numFmtId="0" fontId="56" fillId="3" borderId="28" xfId="4" applyFont="1" applyFill="1" applyBorder="1" applyAlignment="1">
      <alignment horizontal="left" vertical="center"/>
    </xf>
    <xf numFmtId="0" fontId="53" fillId="3" borderId="28" xfId="0" applyFont="1" applyFill="1" applyBorder="1" applyAlignment="1">
      <alignment vertical="center"/>
    </xf>
    <xf numFmtId="0" fontId="56" fillId="3" borderId="29" xfId="4" applyFont="1" applyFill="1" applyBorder="1" applyAlignment="1">
      <alignment horizontal="left" vertical="center"/>
    </xf>
    <xf numFmtId="0" fontId="53" fillId="3" borderId="29" xfId="0" applyFont="1" applyFill="1" applyBorder="1" applyAlignment="1">
      <alignment vertical="center"/>
    </xf>
    <xf numFmtId="0" fontId="56" fillId="3" borderId="29" xfId="4" quotePrefix="1" applyFont="1" applyFill="1" applyBorder="1" applyAlignment="1">
      <alignment horizontal="left" vertical="center"/>
    </xf>
    <xf numFmtId="0" fontId="53" fillId="3" borderId="0" xfId="0" applyFont="1" applyFill="1" applyAlignment="1">
      <alignment horizontal="left" vertical="center"/>
    </xf>
    <xf numFmtId="0" fontId="56" fillId="3" borderId="0" xfId="4" applyFont="1" applyFill="1"/>
    <xf numFmtId="173" fontId="53" fillId="3" borderId="0" xfId="0" applyNumberFormat="1" applyFont="1" applyFill="1" applyAlignment="1">
      <alignment horizontal="left" vertical="center"/>
    </xf>
    <xf numFmtId="166" fontId="53" fillId="3" borderId="0" xfId="0" applyNumberFormat="1" applyFont="1" applyFill="1" applyAlignment="1">
      <alignment horizontal="left" vertical="center"/>
    </xf>
    <xf numFmtId="0" fontId="53" fillId="3" borderId="0" xfId="0" applyFont="1" applyFill="1" applyAlignment="1">
      <alignment horizontal="right" vertical="center"/>
    </xf>
    <xf numFmtId="164" fontId="53" fillId="3" borderId="0" xfId="0" applyNumberFormat="1" applyFont="1" applyFill="1" applyAlignment="1">
      <alignment horizontal="left" vertical="center"/>
    </xf>
    <xf numFmtId="0" fontId="53" fillId="3" borderId="7" xfId="0" applyFont="1" applyFill="1" applyBorder="1" applyAlignment="1">
      <alignment vertical="center"/>
    </xf>
    <xf numFmtId="0" fontId="26" fillId="3" borderId="0" xfId="0" applyFont="1" applyFill="1" applyAlignment="1">
      <alignment horizontal="center" vertical="center"/>
    </xf>
    <xf numFmtId="0" fontId="53" fillId="3" borderId="1" xfId="0" applyFont="1" applyFill="1" applyBorder="1" applyAlignment="1">
      <alignment vertical="center"/>
    </xf>
    <xf numFmtId="164" fontId="53" fillId="3" borderId="0" xfId="0" applyNumberFormat="1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77" fillId="3" borderId="1" xfId="0" applyFont="1" applyFill="1" applyBorder="1" applyAlignment="1">
      <alignment horizontal="center" vertical="center" wrapText="1"/>
    </xf>
    <xf numFmtId="0" fontId="78" fillId="3" borderId="1" xfId="0" applyFont="1" applyFill="1" applyBorder="1" applyAlignment="1">
      <alignment horizontal="center" vertical="center"/>
    </xf>
    <xf numFmtId="1" fontId="53" fillId="3" borderId="0" xfId="0" applyNumberFormat="1" applyFont="1" applyFill="1" applyAlignment="1">
      <alignment horizontal="center" vertical="center"/>
    </xf>
    <xf numFmtId="0" fontId="53" fillId="3" borderId="0" xfId="0" applyFont="1" applyFill="1" applyAlignment="1">
      <alignment horizontal="center" vertical="center"/>
    </xf>
    <xf numFmtId="0" fontId="89" fillId="3" borderId="1" xfId="0" applyFont="1" applyFill="1" applyBorder="1" applyAlignment="1">
      <alignment horizontal="center" vertical="center" wrapText="1"/>
    </xf>
    <xf numFmtId="164" fontId="56" fillId="3" borderId="0" xfId="0" applyNumberFormat="1" applyFont="1" applyFill="1" applyAlignment="1">
      <alignment horizontal="left" vertical="center"/>
    </xf>
    <xf numFmtId="0" fontId="53" fillId="3" borderId="2" xfId="0" applyFont="1" applyFill="1" applyBorder="1" applyAlignment="1">
      <alignment vertical="center"/>
    </xf>
    <xf numFmtId="0" fontId="56" fillId="3" borderId="6" xfId="0" applyFont="1" applyFill="1" applyBorder="1" applyAlignment="1">
      <alignment horizontal="center"/>
    </xf>
    <xf numFmtId="170" fontId="56" fillId="3" borderId="0" xfId="4" applyNumberFormat="1" applyFont="1" applyFill="1" applyAlignment="1">
      <alignment horizontal="center" vertical="center"/>
    </xf>
    <xf numFmtId="0" fontId="56" fillId="3" borderId="14" xfId="0" applyFont="1" applyFill="1" applyBorder="1" applyAlignment="1">
      <alignment horizontal="center"/>
    </xf>
    <xf numFmtId="169" fontId="56" fillId="3" borderId="0" xfId="4" quotePrefix="1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1" fillId="3" borderId="0" xfId="0" applyFont="1" applyFill="1" applyAlignment="1">
      <alignment horizontal="center" vertical="center"/>
    </xf>
    <xf numFmtId="0" fontId="56" fillId="3" borderId="9" xfId="0" applyFont="1" applyFill="1" applyBorder="1" applyAlignment="1">
      <alignment horizontal="center"/>
    </xf>
    <xf numFmtId="0" fontId="26" fillId="3" borderId="0" xfId="0" applyFont="1" applyFill="1" applyAlignment="1">
      <alignment vertical="center" wrapText="1"/>
    </xf>
    <xf numFmtId="0" fontId="60" fillId="3" borderId="0" xfId="0" applyFont="1" applyFill="1" applyAlignment="1">
      <alignment vertical="center"/>
    </xf>
    <xf numFmtId="0" fontId="56" fillId="3" borderId="0" xfId="0" applyFont="1" applyFill="1" applyAlignment="1">
      <alignment horizontal="center" vertical="center"/>
    </xf>
    <xf numFmtId="0" fontId="56" fillId="3" borderId="0" xfId="0" applyFont="1" applyFill="1" applyAlignment="1">
      <alignment horizontal="right" vertical="center" wrapText="1"/>
    </xf>
    <xf numFmtId="0" fontId="57" fillId="3" borderId="0" xfId="0" applyFont="1" applyFill="1" applyAlignment="1">
      <alignment horizontal="right" vertical="center" wrapText="1"/>
    </xf>
    <xf numFmtId="0" fontId="66" fillId="3" borderId="0" xfId="0" applyFont="1" applyFill="1" applyAlignment="1">
      <alignment vertical="center"/>
    </xf>
    <xf numFmtId="0" fontId="53" fillId="3" borderId="5" xfId="0" applyFont="1" applyFill="1" applyBorder="1" applyAlignment="1">
      <alignment vertical="center"/>
    </xf>
    <xf numFmtId="0" fontId="56" fillId="0" borderId="0" xfId="0" applyFont="1" applyAlignment="1">
      <alignment horizontal="left"/>
    </xf>
    <xf numFmtId="0" fontId="53" fillId="3" borderId="10" xfId="0" applyFont="1" applyFill="1" applyBorder="1" applyAlignment="1">
      <alignment vertical="center"/>
    </xf>
    <xf numFmtId="0" fontId="24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76" fillId="3" borderId="0" xfId="0" applyFont="1" applyFill="1" applyAlignment="1">
      <alignment vertical="center" wrapText="1"/>
    </xf>
    <xf numFmtId="0" fontId="24" fillId="3" borderId="0" xfId="0" applyFont="1" applyFill="1" applyAlignment="1">
      <alignment vertical="center"/>
    </xf>
    <xf numFmtId="0" fontId="2" fillId="3" borderId="0" xfId="0" applyFont="1" applyFill="1" applyAlignment="1">
      <alignment horizontal="right" vertical="center"/>
    </xf>
    <xf numFmtId="1" fontId="10" fillId="3" borderId="4" xfId="0" applyNumberFormat="1" applyFont="1" applyFill="1" applyBorder="1"/>
    <xf numFmtId="1" fontId="10" fillId="3" borderId="9" xfId="0" applyNumberFormat="1" applyFont="1" applyFill="1" applyBorder="1"/>
    <xf numFmtId="1" fontId="39" fillId="3" borderId="0" xfId="0" applyNumberFormat="1" applyFont="1" applyFill="1" applyAlignment="1">
      <alignment horizontal="left"/>
    </xf>
    <xf numFmtId="164" fontId="31" fillId="3" borderId="0" xfId="0" applyNumberFormat="1" applyFont="1" applyFill="1" applyAlignment="1">
      <alignment horizontal="right"/>
    </xf>
    <xf numFmtId="1" fontId="31" fillId="3" borderId="0" xfId="0" applyNumberFormat="1" applyFont="1" applyFill="1"/>
    <xf numFmtId="1" fontId="32" fillId="3" borderId="16" xfId="0" applyNumberFormat="1" applyFont="1" applyFill="1" applyBorder="1" applyAlignment="1">
      <alignment horizontal="center" wrapText="1"/>
    </xf>
    <xf numFmtId="1" fontId="10" fillId="3" borderId="16" xfId="0" applyNumberFormat="1" applyFont="1" applyFill="1" applyBorder="1" applyAlignment="1">
      <alignment horizontal="center" wrapText="1"/>
    </xf>
    <xf numFmtId="1" fontId="10" fillId="3" borderId="0" xfId="0" applyNumberFormat="1" applyFont="1" applyFill="1"/>
    <xf numFmtId="1" fontId="9" fillId="3" borderId="16" xfId="0" applyNumberFormat="1" applyFont="1" applyFill="1" applyBorder="1" applyAlignment="1">
      <alignment horizontal="left" wrapText="1"/>
    </xf>
    <xf numFmtId="1" fontId="9" fillId="3" borderId="16" xfId="0" applyNumberFormat="1" applyFont="1" applyFill="1" applyBorder="1" applyAlignment="1">
      <alignment horizontal="center"/>
    </xf>
    <xf numFmtId="1" fontId="9" fillId="3" borderId="16" xfId="0" applyNumberFormat="1" applyFont="1" applyFill="1" applyBorder="1" applyAlignment="1">
      <alignment horizontal="center" wrapText="1"/>
    </xf>
    <xf numFmtId="165" fontId="9" fillId="3" borderId="16" xfId="0" applyNumberFormat="1" applyFont="1" applyFill="1" applyBorder="1" applyAlignment="1">
      <alignment horizontal="right" wrapText="1"/>
    </xf>
    <xf numFmtId="1" fontId="9" fillId="3" borderId="16" xfId="0" applyNumberFormat="1" applyFont="1" applyFill="1" applyBorder="1" applyAlignment="1">
      <alignment horizontal="right" wrapText="1"/>
    </xf>
    <xf numFmtId="168" fontId="9" fillId="3" borderId="16" xfId="0" applyNumberFormat="1" applyFont="1" applyFill="1" applyBorder="1" applyAlignment="1">
      <alignment horizontal="right" wrapText="1"/>
    </xf>
    <xf numFmtId="1" fontId="10" fillId="3" borderId="0" xfId="0" applyNumberFormat="1" applyFont="1" applyFill="1" applyAlignment="1">
      <alignment horizontal="center" vertical="top" wrapText="1"/>
    </xf>
    <xf numFmtId="1" fontId="9" fillId="3" borderId="16" xfId="0" applyNumberFormat="1" applyFont="1" applyFill="1" applyBorder="1" applyAlignment="1">
      <alignment horizontal="left"/>
    </xf>
    <xf numFmtId="165" fontId="9" fillId="3" borderId="0" xfId="0" applyNumberFormat="1" applyFont="1" applyFill="1"/>
    <xf numFmtId="1" fontId="9" fillId="3" borderId="17" xfId="0" applyNumberFormat="1" applyFont="1" applyFill="1" applyBorder="1" applyAlignment="1">
      <alignment horizontal="left" wrapText="1"/>
    </xf>
    <xf numFmtId="168" fontId="35" fillId="3" borderId="16" xfId="0" applyNumberFormat="1" applyFont="1" applyFill="1" applyBorder="1" applyAlignment="1">
      <alignment horizontal="right" wrapText="1"/>
    </xf>
    <xf numFmtId="1" fontId="9" fillId="3" borderId="0" xfId="0" applyNumberFormat="1" applyFont="1" applyFill="1" applyAlignment="1">
      <alignment horizontal="left" wrapText="1"/>
    </xf>
    <xf numFmtId="164" fontId="35" fillId="3" borderId="16" xfId="0" applyNumberFormat="1" applyFont="1" applyFill="1" applyBorder="1" applyAlignment="1">
      <alignment horizontal="right" wrapText="1"/>
    </xf>
    <xf numFmtId="1" fontId="35" fillId="3" borderId="0" xfId="0" applyNumberFormat="1" applyFont="1" applyFill="1" applyAlignment="1">
      <alignment horizontal="left" wrapText="1"/>
    </xf>
    <xf numFmtId="172" fontId="35" fillId="3" borderId="0" xfId="0" applyNumberFormat="1" applyFont="1" applyFill="1" applyAlignment="1">
      <alignment horizontal="right" wrapText="1"/>
    </xf>
    <xf numFmtId="168" fontId="9" fillId="3" borderId="0" xfId="0" applyNumberFormat="1" applyFont="1" applyFill="1" applyAlignment="1">
      <alignment horizontal="right" wrapText="1"/>
    </xf>
    <xf numFmtId="168" fontId="35" fillId="3" borderId="0" xfId="0" applyNumberFormat="1" applyFont="1" applyFill="1" applyAlignment="1">
      <alignment horizontal="right" wrapText="1"/>
    </xf>
    <xf numFmtId="1" fontId="10" fillId="3" borderId="3" xfId="0" applyNumberFormat="1" applyFont="1" applyFill="1" applyBorder="1" applyAlignment="1">
      <alignment horizontal="right" wrapText="1"/>
    </xf>
    <xf numFmtId="1" fontId="10" fillId="3" borderId="13" xfId="0" applyNumberFormat="1" applyFont="1" applyFill="1" applyBorder="1" applyAlignment="1">
      <alignment horizontal="left" wrapText="1"/>
    </xf>
    <xf numFmtId="1" fontId="39" fillId="3" borderId="0" xfId="0" applyNumberFormat="1" applyFont="1" applyFill="1" applyAlignment="1">
      <alignment horizontal="left" wrapText="1"/>
    </xf>
    <xf numFmtId="2" fontId="9" fillId="3" borderId="0" xfId="0" applyNumberFormat="1" applyFont="1" applyFill="1"/>
    <xf numFmtId="167" fontId="9" fillId="3" borderId="0" xfId="0" applyNumberFormat="1" applyFont="1" applyFill="1"/>
    <xf numFmtId="168" fontId="9" fillId="3" borderId="16" xfId="0" applyNumberFormat="1" applyFont="1" applyFill="1" applyBorder="1"/>
    <xf numFmtId="165" fontId="35" fillId="3" borderId="16" xfId="0" applyNumberFormat="1" applyFont="1" applyFill="1" applyBorder="1" applyAlignment="1">
      <alignment horizontal="right" wrapText="1"/>
    </xf>
    <xf numFmtId="167" fontId="9" fillId="3" borderId="16" xfId="0" applyNumberFormat="1" applyFont="1" applyFill="1" applyBorder="1" applyAlignment="1">
      <alignment horizontal="right" wrapText="1"/>
    </xf>
    <xf numFmtId="167" fontId="9" fillId="3" borderId="1" xfId="0" applyNumberFormat="1" applyFont="1" applyFill="1" applyBorder="1"/>
    <xf numFmtId="172" fontId="9" fillId="3" borderId="0" xfId="0" applyNumberFormat="1" applyFont="1" applyFill="1"/>
    <xf numFmtId="1" fontId="2" fillId="3" borderId="0" xfId="0" applyNumberFormat="1" applyFont="1" applyFill="1" applyAlignment="1" applyProtection="1">
      <alignment vertical="center"/>
      <protection locked="0"/>
    </xf>
    <xf numFmtId="0" fontId="23" fillId="3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24" fillId="2" borderId="0" xfId="0" applyFont="1" applyFill="1" applyAlignment="1">
      <alignment horizontal="center" vertical="center"/>
    </xf>
    <xf numFmtId="0" fontId="41" fillId="0" borderId="0" xfId="0" applyFont="1" applyAlignment="1">
      <alignment horizontal="right" vertical="center"/>
    </xf>
    <xf numFmtId="0" fontId="41" fillId="0" borderId="0" xfId="0" applyFon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3" fillId="0" borderId="0" xfId="0" applyFont="1" applyAlignment="1">
      <alignment horizontal="center" vertical="center"/>
    </xf>
    <xf numFmtId="0" fontId="25" fillId="3" borderId="0" xfId="0" quotePrefix="1" applyFont="1" applyFill="1" applyAlignment="1">
      <alignment horizontal="center" vertical="center"/>
    </xf>
    <xf numFmtId="0" fontId="40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right"/>
    </xf>
    <xf numFmtId="0" fontId="9" fillId="3" borderId="0" xfId="0" applyFont="1" applyFill="1" applyAlignment="1">
      <alignment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71" fillId="3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vertical="center"/>
    </xf>
    <xf numFmtId="0" fontId="2" fillId="3" borderId="13" xfId="0" applyFont="1" applyFill="1" applyBorder="1" applyAlignment="1">
      <alignment vertical="center"/>
    </xf>
    <xf numFmtId="0" fontId="9" fillId="3" borderId="0" xfId="0" applyFont="1" applyFill="1" applyAlignment="1">
      <alignment horizontal="center" vertical="center" wrapText="1"/>
    </xf>
    <xf numFmtId="0" fontId="5" fillId="0" borderId="1" xfId="0" applyFont="1" applyBorder="1"/>
    <xf numFmtId="179" fontId="5" fillId="3" borderId="1" xfId="0" applyNumberFormat="1" applyFont="1" applyFill="1" applyBorder="1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53" fillId="3" borderId="15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41" fillId="0" borderId="11" xfId="0" applyFont="1" applyBorder="1" applyAlignment="1">
      <alignment horizontal="right" vertical="center"/>
    </xf>
    <xf numFmtId="0" fontId="24" fillId="0" borderId="1" xfId="0" applyFont="1" applyBorder="1" applyAlignment="1">
      <alignment horizontal="center" vertical="top" wrapText="1"/>
    </xf>
    <xf numFmtId="0" fontId="24" fillId="0" borderId="12" xfId="0" applyFont="1" applyBorder="1" applyAlignment="1">
      <alignment horizontal="center" vertical="top"/>
    </xf>
    <xf numFmtId="0" fontId="2" fillId="0" borderId="4" xfId="0" quotePrefix="1" applyFont="1" applyBorder="1" applyAlignment="1">
      <alignment vertical="center"/>
    </xf>
    <xf numFmtId="167" fontId="42" fillId="0" borderId="12" xfId="0" applyNumberFormat="1" applyFont="1" applyBorder="1" applyAlignment="1">
      <alignment vertical="center"/>
    </xf>
    <xf numFmtId="0" fontId="62" fillId="0" borderId="0" xfId="0" applyFont="1" applyAlignment="1">
      <alignment vertical="center"/>
    </xf>
    <xf numFmtId="0" fontId="13" fillId="0" borderId="0" xfId="0" applyFont="1"/>
    <xf numFmtId="0" fontId="2" fillId="0" borderId="0" xfId="0" applyFont="1" applyAlignment="1">
      <alignment horizontal="left"/>
    </xf>
    <xf numFmtId="0" fontId="53" fillId="2" borderId="0" xfId="0" applyFont="1" applyFill="1"/>
    <xf numFmtId="0" fontId="53" fillId="0" borderId="0" xfId="0" applyFont="1"/>
    <xf numFmtId="0" fontId="13" fillId="3" borderId="0" xfId="0" applyFont="1" applyFill="1"/>
    <xf numFmtId="0" fontId="60" fillId="0" borderId="0" xfId="0" applyFont="1" applyAlignment="1">
      <alignment horizontal="left"/>
    </xf>
    <xf numFmtId="0" fontId="60" fillId="0" borderId="0" xfId="0" applyFont="1"/>
    <xf numFmtId="0" fontId="24" fillId="0" borderId="0" xfId="0" applyFont="1"/>
    <xf numFmtId="0" fontId="53" fillId="0" borderId="0" xfId="0" applyFont="1" applyAlignment="1">
      <alignment horizontal="left"/>
    </xf>
    <xf numFmtId="0" fontId="60" fillId="3" borderId="0" xfId="0" applyFont="1" applyFill="1" applyAlignment="1">
      <alignment horizontal="left" vertical="center"/>
    </xf>
    <xf numFmtId="0" fontId="56" fillId="3" borderId="0" xfId="0" applyFont="1" applyFill="1" applyAlignment="1">
      <alignment vertical="center" wrapText="1"/>
    </xf>
    <xf numFmtId="0" fontId="60" fillId="3" borderId="2" xfId="0" applyFont="1" applyFill="1" applyBorder="1" applyAlignment="1">
      <alignment vertical="center"/>
    </xf>
    <xf numFmtId="0" fontId="56" fillId="3" borderId="3" xfId="4" applyFont="1" applyFill="1" applyBorder="1" applyAlignment="1">
      <alignment horizontal="left"/>
    </xf>
    <xf numFmtId="164" fontId="56" fillId="3" borderId="15" xfId="0" applyNumberFormat="1" applyFont="1" applyFill="1" applyBorder="1" applyAlignment="1">
      <alignment horizontal="center"/>
    </xf>
    <xf numFmtId="164" fontId="56" fillId="3" borderId="13" xfId="0" applyNumberFormat="1" applyFont="1" applyFill="1" applyBorder="1" applyAlignment="1">
      <alignment horizontal="center"/>
    </xf>
    <xf numFmtId="2" fontId="53" fillId="3" borderId="0" xfId="0" applyNumberFormat="1" applyFont="1" applyFill="1" applyAlignment="1">
      <alignment horizontal="right" vertical="center"/>
    </xf>
    <xf numFmtId="0" fontId="2" fillId="2" borderId="0" xfId="0" applyFont="1" applyFill="1"/>
    <xf numFmtId="0" fontId="53" fillId="3" borderId="6" xfId="0" applyFont="1" applyFill="1" applyBorder="1" applyAlignment="1">
      <alignment vertical="center"/>
    </xf>
    <xf numFmtId="0" fontId="53" fillId="3" borderId="14" xfId="0" applyFont="1" applyFill="1" applyBorder="1" applyAlignment="1">
      <alignment vertical="center"/>
    </xf>
    <xf numFmtId="0" fontId="53" fillId="2" borderId="0" xfId="0" applyFont="1" applyFill="1" applyAlignment="1">
      <alignment horizontal="left"/>
    </xf>
    <xf numFmtId="0" fontId="9" fillId="3" borderId="0" xfId="1" applyFont="1" applyFill="1" applyAlignment="1">
      <alignment vertical="center"/>
    </xf>
    <xf numFmtId="0" fontId="10" fillId="3" borderId="0" xfId="1" applyFont="1" applyFill="1" applyAlignment="1">
      <alignment vertical="center"/>
    </xf>
    <xf numFmtId="0" fontId="56" fillId="3" borderId="0" xfId="1" applyFont="1" applyFill="1" applyAlignment="1">
      <alignment vertical="center"/>
    </xf>
    <xf numFmtId="0" fontId="56" fillId="0" borderId="0" xfId="0" applyFont="1" applyAlignment="1">
      <alignment vertical="center"/>
    </xf>
    <xf numFmtId="0" fontId="4" fillId="0" borderId="0" xfId="0" applyFont="1" applyAlignment="1">
      <alignment horizontal="right"/>
    </xf>
    <xf numFmtId="0" fontId="62" fillId="0" borderId="0" xfId="0" applyFont="1"/>
    <xf numFmtId="0" fontId="84" fillId="2" borderId="0" xfId="0" applyFont="1" applyFill="1" applyAlignment="1">
      <alignment horizontal="left"/>
    </xf>
    <xf numFmtId="0" fontId="6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88" fillId="0" borderId="0" xfId="0" applyFont="1"/>
    <xf numFmtId="1" fontId="88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88" fillId="0" borderId="0" xfId="0" applyFont="1" applyAlignment="1">
      <alignment horizontal="left"/>
    </xf>
    <xf numFmtId="0" fontId="18" fillId="0" borderId="0" xfId="0" applyFont="1"/>
    <xf numFmtId="0" fontId="19" fillId="0" borderId="1" xfId="0" applyFont="1" applyBorder="1" applyAlignment="1">
      <alignment horizontal="center"/>
    </xf>
    <xf numFmtId="1" fontId="7" fillId="7" borderId="1" xfId="0" applyNumberFormat="1" applyFont="1" applyFill="1" applyBorder="1" applyAlignment="1">
      <alignment horizontal="center"/>
    </xf>
    <xf numFmtId="1" fontId="7" fillId="0" borderId="1" xfId="0" applyNumberFormat="1" applyFont="1" applyBorder="1" applyAlignment="1">
      <alignment horizontal="center"/>
    </xf>
    <xf numFmtId="1" fontId="7" fillId="3" borderId="1" xfId="0" applyNumberFormat="1" applyFont="1" applyFill="1" applyBorder="1" applyAlignment="1">
      <alignment vertical="center"/>
    </xf>
    <xf numFmtId="1" fontId="5" fillId="0" borderId="1" xfId="0" applyNumberFormat="1" applyFont="1" applyBorder="1" applyAlignment="1">
      <alignment horizontal="center"/>
    </xf>
    <xf numFmtId="0" fontId="18" fillId="0" borderId="1" xfId="0" applyFont="1" applyBorder="1"/>
    <xf numFmtId="0" fontId="0" fillId="0" borderId="0" xfId="0" quotePrefix="1"/>
    <xf numFmtId="0" fontId="19" fillId="0" borderId="0" xfId="0" applyFont="1"/>
    <xf numFmtId="167" fontId="18" fillId="0" borderId="1" xfId="0" applyNumberFormat="1" applyFont="1" applyBorder="1"/>
    <xf numFmtId="2" fontId="18" fillId="0" borderId="1" xfId="0" applyNumberFormat="1" applyFont="1" applyBorder="1"/>
    <xf numFmtId="0" fontId="30" fillId="0" borderId="0" xfId="0" applyFont="1"/>
    <xf numFmtId="0" fontId="28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left" vertical="top" wrapText="1"/>
    </xf>
    <xf numFmtId="0" fontId="82" fillId="4" borderId="1" xfId="0" quotePrefix="1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top"/>
    </xf>
    <xf numFmtId="0" fontId="26" fillId="4" borderId="0" xfId="0" applyFont="1" applyFill="1"/>
    <xf numFmtId="0" fontId="26" fillId="6" borderId="0" xfId="0" applyFont="1" applyFill="1"/>
    <xf numFmtId="0" fontId="9" fillId="3" borderId="1" xfId="0" applyFont="1" applyFill="1" applyBorder="1" applyAlignment="1">
      <alignment vertical="center"/>
    </xf>
    <xf numFmtId="1" fontId="26" fillId="4" borderId="0" xfId="0" applyNumberFormat="1" applyFont="1" applyFill="1"/>
    <xf numFmtId="0" fontId="2" fillId="3" borderId="1" xfId="0" applyFont="1" applyFill="1" applyBorder="1"/>
    <xf numFmtId="1" fontId="26" fillId="3" borderId="0" xfId="0" applyNumberFormat="1" applyFont="1" applyFill="1"/>
    <xf numFmtId="0" fontId="26" fillId="3" borderId="0" xfId="0" applyFont="1" applyFill="1"/>
    <xf numFmtId="0" fontId="30" fillId="4" borderId="1" xfId="0" applyFont="1" applyFill="1" applyBorder="1"/>
    <xf numFmtId="0" fontId="26" fillId="4" borderId="1" xfId="0" applyFont="1" applyFill="1" applyBorder="1"/>
    <xf numFmtId="0" fontId="26" fillId="0" borderId="0" xfId="0" quotePrefix="1" applyFont="1"/>
    <xf numFmtId="0" fontId="21" fillId="3" borderId="0" xfId="0" applyFont="1" applyFill="1" applyAlignment="1">
      <alignment vertical="center"/>
    </xf>
    <xf numFmtId="0" fontId="27" fillId="4" borderId="0" xfId="0" applyFont="1" applyFill="1" applyAlignment="1">
      <alignment vertical="center"/>
    </xf>
    <xf numFmtId="0" fontId="2" fillId="4" borderId="0" xfId="0" applyFont="1" applyFill="1" applyAlignment="1">
      <alignment vertical="top"/>
    </xf>
    <xf numFmtId="0" fontId="22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63" fillId="3" borderId="0" xfId="0" applyFont="1" applyFill="1" applyAlignment="1">
      <alignment vertical="top"/>
    </xf>
    <xf numFmtId="0" fontId="62" fillId="3" borderId="0" xfId="0" applyFont="1" applyFill="1" applyAlignment="1">
      <alignment horizontal="left" vertical="top"/>
    </xf>
    <xf numFmtId="0" fontId="2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vertical="center"/>
    </xf>
    <xf numFmtId="164" fontId="71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3" xfId="4" applyBorder="1" applyAlignment="1">
      <alignment horizontal="center" vertical="center"/>
    </xf>
    <xf numFmtId="179" fontId="40" fillId="3" borderId="1" xfId="0" applyNumberFormat="1" applyFont="1" applyFill="1" applyBorder="1" applyAlignment="1">
      <alignment horizontal="center" vertical="center"/>
    </xf>
    <xf numFmtId="0" fontId="90" fillId="3" borderId="1" xfId="0" applyFont="1" applyFill="1" applyBorder="1" applyAlignment="1">
      <alignment horizontal="center" vertical="center"/>
    </xf>
    <xf numFmtId="0" fontId="65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53" fillId="3" borderId="3" xfId="0" applyFont="1" applyFill="1" applyBorder="1" applyAlignment="1">
      <alignment vertical="center"/>
    </xf>
    <xf numFmtId="164" fontId="53" fillId="3" borderId="13" xfId="0" applyNumberFormat="1" applyFont="1" applyFill="1" applyBorder="1" applyAlignment="1">
      <alignment horizontal="center" vertical="center"/>
    </xf>
    <xf numFmtId="1" fontId="7" fillId="7" borderId="1" xfId="0" applyNumberFormat="1" applyFont="1" applyFill="1" applyBorder="1" applyAlignment="1" applyProtection="1">
      <alignment horizontal="center"/>
      <protection hidden="1"/>
    </xf>
    <xf numFmtId="1" fontId="7" fillId="0" borderId="1" xfId="0" applyNumberFormat="1" applyFont="1" applyBorder="1" applyAlignment="1" applyProtection="1">
      <alignment horizontal="center"/>
      <protection hidden="1"/>
    </xf>
    <xf numFmtId="1" fontId="7" fillId="3" borderId="1" xfId="0" applyNumberFormat="1" applyFont="1" applyFill="1" applyBorder="1" applyAlignment="1" applyProtection="1">
      <alignment vertical="center"/>
      <protection hidden="1"/>
    </xf>
    <xf numFmtId="0" fontId="80" fillId="7" borderId="21" xfId="4" applyFont="1" applyFill="1" applyBorder="1" applyAlignment="1">
      <alignment vertical="center"/>
    </xf>
    <xf numFmtId="0" fontId="81" fillId="0" borderId="22" xfId="0" applyFont="1" applyBorder="1" applyAlignment="1">
      <alignment horizontal="center" vertical="center"/>
    </xf>
    <xf numFmtId="0" fontId="38" fillId="6" borderId="22" xfId="0" applyFont="1" applyFill="1" applyBorder="1" applyAlignment="1">
      <alignment horizontal="center" vertical="center"/>
    </xf>
    <xf numFmtId="0" fontId="82" fillId="3" borderId="32" xfId="0" applyFont="1" applyFill="1" applyBorder="1" applyAlignment="1" applyProtection="1">
      <alignment vertical="top" wrapText="1"/>
      <protection locked="0"/>
    </xf>
    <xf numFmtId="0" fontId="5" fillId="7" borderId="21" xfId="4" applyFill="1" applyBorder="1" applyAlignment="1">
      <alignment vertical="center"/>
    </xf>
    <xf numFmtId="2" fontId="0" fillId="0" borderId="22" xfId="0" applyNumberFormat="1" applyBorder="1" applyAlignment="1">
      <alignment horizontal="center" vertical="center"/>
    </xf>
    <xf numFmtId="0" fontId="82" fillId="3" borderId="33" xfId="0" applyFont="1" applyFill="1" applyBorder="1" applyAlignment="1" applyProtection="1">
      <alignment vertical="top" wrapText="1"/>
      <protection locked="0"/>
    </xf>
    <xf numFmtId="0" fontId="0" fillId="7" borderId="21" xfId="0" applyFill="1" applyBorder="1" applyAlignment="1">
      <alignment vertical="center"/>
    </xf>
    <xf numFmtId="0" fontId="0" fillId="7" borderId="25" xfId="0" applyFill="1" applyBorder="1" applyAlignment="1">
      <alignment vertical="center"/>
    </xf>
    <xf numFmtId="0" fontId="50" fillId="11" borderId="34" xfId="0" applyFont="1" applyFill="1" applyBorder="1" applyAlignment="1">
      <alignment vertical="center"/>
    </xf>
    <xf numFmtId="2" fontId="50" fillId="11" borderId="15" xfId="0" applyNumberFormat="1" applyFont="1" applyFill="1" applyBorder="1" applyAlignment="1">
      <alignment horizontal="center" vertical="center"/>
    </xf>
    <xf numFmtId="1" fontId="51" fillId="0" borderId="1" xfId="0" applyNumberFormat="1" applyFont="1" applyBorder="1" applyAlignment="1" applyProtection="1">
      <alignment horizontal="left"/>
      <protection hidden="1"/>
    </xf>
    <xf numFmtId="0" fontId="0" fillId="0" borderId="34" xfId="0" applyBorder="1" applyAlignment="1">
      <alignment vertical="center"/>
    </xf>
    <xf numFmtId="2" fontId="0" fillId="0" borderId="15" xfId="0" applyNumberFormat="1" applyBorder="1" applyAlignment="1">
      <alignment horizontal="center" vertical="center"/>
    </xf>
    <xf numFmtId="0" fontId="38" fillId="0" borderId="22" xfId="0" applyFont="1" applyBorder="1" applyAlignment="1">
      <alignment horizontal="center" vertical="center"/>
    </xf>
    <xf numFmtId="0" fontId="5" fillId="0" borderId="0" xfId="0" quotePrefix="1" applyFont="1"/>
    <xf numFmtId="0" fontId="80" fillId="7" borderId="1" xfId="4" applyFont="1" applyFill="1" applyBorder="1" applyAlignment="1">
      <alignment vertical="center"/>
    </xf>
    <xf numFmtId="0" fontId="81" fillId="0" borderId="1" xfId="0" applyFont="1" applyBorder="1" applyAlignment="1">
      <alignment horizontal="center" vertical="center"/>
    </xf>
    <xf numFmtId="0" fontId="38" fillId="6" borderId="1" xfId="0" applyFont="1" applyFill="1" applyBorder="1" applyAlignment="1">
      <alignment horizontal="center" vertical="center"/>
    </xf>
    <xf numFmtId="0" fontId="5" fillId="7" borderId="1" xfId="4" applyFill="1" applyBorder="1" applyAlignment="1">
      <alignment vertical="center"/>
    </xf>
    <xf numFmtId="0" fontId="82" fillId="3" borderId="15" xfId="0" applyFont="1" applyFill="1" applyBorder="1" applyProtection="1">
      <protection locked="0"/>
    </xf>
    <xf numFmtId="2" fontId="0" fillId="0" borderId="1" xfId="0" applyNumberFormat="1" applyBorder="1" applyAlignment="1">
      <alignment horizontal="center" vertical="center"/>
    </xf>
    <xf numFmtId="0" fontId="0" fillId="7" borderId="1" xfId="0" applyFill="1" applyBorder="1" applyAlignment="1">
      <alignment vertical="center"/>
    </xf>
    <xf numFmtId="0" fontId="37" fillId="7" borderId="21" xfId="4" applyFont="1" applyFill="1" applyBorder="1" applyAlignment="1">
      <alignment vertical="center"/>
    </xf>
    <xf numFmtId="0" fontId="91" fillId="0" borderId="0" xfId="0" applyFont="1"/>
    <xf numFmtId="0" fontId="2" fillId="3" borderId="12" xfId="0" applyFont="1" applyFill="1" applyBorder="1" applyAlignment="1">
      <alignment vertical="center"/>
    </xf>
    <xf numFmtId="0" fontId="62" fillId="3" borderId="12" xfId="0" applyFont="1" applyFill="1" applyBorder="1" applyAlignment="1">
      <alignment vertical="center"/>
    </xf>
    <xf numFmtId="0" fontId="2" fillId="0" borderId="12" xfId="0" applyFont="1" applyBorder="1"/>
    <xf numFmtId="0" fontId="2" fillId="0" borderId="4" xfId="0" applyFont="1" applyBorder="1"/>
    <xf numFmtId="0" fontId="6" fillId="0" borderId="0" xfId="0" applyFont="1" applyAlignment="1">
      <alignment horizontal="center"/>
    </xf>
    <xf numFmtId="0" fontId="71" fillId="3" borderId="1" xfId="0" applyFont="1" applyFill="1" applyBorder="1" applyAlignment="1">
      <alignment vertic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2" fillId="6" borderId="1" xfId="0" applyFont="1" applyFill="1" applyBorder="1"/>
    <xf numFmtId="0" fontId="5" fillId="4" borderId="0" xfId="0" applyFont="1" applyFill="1"/>
    <xf numFmtId="0" fontId="92" fillId="3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/>
    </xf>
    <xf numFmtId="0" fontId="5" fillId="5" borderId="1" xfId="0" applyFont="1" applyFill="1" applyBorder="1"/>
    <xf numFmtId="0" fontId="56" fillId="5" borderId="1" xfId="0" applyFont="1" applyFill="1" applyBorder="1" applyAlignment="1" applyProtection="1">
      <alignment vertical="center" wrapText="1"/>
      <protection locked="0"/>
    </xf>
    <xf numFmtId="0" fontId="56" fillId="5" borderId="1" xfId="0" applyFont="1" applyFill="1" applyBorder="1" applyAlignment="1" applyProtection="1">
      <alignment vertical="center"/>
      <protection locked="0"/>
    </xf>
    <xf numFmtId="0" fontId="56" fillId="6" borderId="1" xfId="0" applyFont="1" applyFill="1" applyBorder="1" applyAlignment="1" applyProtection="1">
      <alignment vertical="center"/>
      <protection locked="0"/>
    </xf>
    <xf numFmtId="0" fontId="92" fillId="0" borderId="1" xfId="0" applyFont="1" applyBorder="1"/>
    <xf numFmtId="0" fontId="24" fillId="3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wrapText="1"/>
    </xf>
    <xf numFmtId="0" fontId="0" fillId="3" borderId="0" xfId="0" applyFill="1"/>
    <xf numFmtId="0" fontId="93" fillId="3" borderId="0" xfId="0" applyFont="1" applyFill="1"/>
    <xf numFmtId="0" fontId="92" fillId="3" borderId="30" xfId="0" applyFont="1" applyFill="1" applyBorder="1"/>
    <xf numFmtId="0" fontId="5" fillId="3" borderId="35" xfId="0" applyFont="1" applyFill="1" applyBorder="1"/>
    <xf numFmtId="0" fontId="5" fillId="5" borderId="35" xfId="0" applyFont="1" applyFill="1" applyBorder="1"/>
    <xf numFmtId="180" fontId="5" fillId="5" borderId="35" xfId="0" applyNumberFormat="1" applyFont="1" applyFill="1" applyBorder="1" applyAlignment="1">
      <alignment horizontal="center"/>
    </xf>
    <xf numFmtId="0" fontId="0" fillId="5" borderId="35" xfId="0" applyFill="1" applyBorder="1"/>
    <xf numFmtId="0" fontId="5" fillId="5" borderId="36" xfId="0" applyFont="1" applyFill="1" applyBorder="1" applyAlignment="1">
      <alignment horizontal="left"/>
    </xf>
    <xf numFmtId="0" fontId="94" fillId="3" borderId="37" xfId="0" applyFont="1" applyFill="1" applyBorder="1" applyAlignment="1">
      <alignment horizontal="left"/>
    </xf>
    <xf numFmtId="0" fontId="5" fillId="3" borderId="38" xfId="0" applyFont="1" applyFill="1" applyBorder="1"/>
    <xf numFmtId="0" fontId="5" fillId="5" borderId="38" xfId="0" applyFont="1" applyFill="1" applyBorder="1" applyAlignment="1">
      <alignment horizontal="left"/>
    </xf>
    <xf numFmtId="0" fontId="0" fillId="5" borderId="38" xfId="0" applyFill="1" applyBorder="1"/>
    <xf numFmtId="0" fontId="0" fillId="5" borderId="39" xfId="0" applyFill="1" applyBorder="1"/>
    <xf numFmtId="0" fontId="92" fillId="3" borderId="30" xfId="0" applyFont="1" applyFill="1" applyBorder="1" applyAlignment="1">
      <alignment vertical="center"/>
    </xf>
    <xf numFmtId="0" fontId="0" fillId="3" borderId="35" xfId="0" applyFill="1" applyBorder="1"/>
    <xf numFmtId="0" fontId="94" fillId="3" borderId="31" xfId="0" applyFont="1" applyFill="1" applyBorder="1"/>
    <xf numFmtId="0" fontId="0" fillId="5" borderId="0" xfId="0" applyFill="1"/>
    <xf numFmtId="0" fontId="5" fillId="5" borderId="40" xfId="0" applyFont="1" applyFill="1" applyBorder="1" applyAlignment="1">
      <alignment horizontal="left"/>
    </xf>
    <xf numFmtId="0" fontId="94" fillId="3" borderId="37" xfId="0" applyFont="1" applyFill="1" applyBorder="1"/>
    <xf numFmtId="0" fontId="0" fillId="3" borderId="38" xfId="0" applyFill="1" applyBorder="1"/>
    <xf numFmtId="0" fontId="5" fillId="5" borderId="39" xfId="0" applyFont="1" applyFill="1" applyBorder="1" applyAlignment="1">
      <alignment horizontal="left"/>
    </xf>
    <xf numFmtId="0" fontId="71" fillId="3" borderId="30" xfId="0" applyFont="1" applyFill="1" applyBorder="1" applyAlignment="1">
      <alignment vertical="center"/>
    </xf>
    <xf numFmtId="0" fontId="0" fillId="0" borderId="35" xfId="0" applyBorder="1"/>
    <xf numFmtId="0" fontId="5" fillId="6" borderId="35" xfId="0" applyFont="1" applyFill="1" applyBorder="1"/>
    <xf numFmtId="180" fontId="5" fillId="6" borderId="35" xfId="0" applyNumberFormat="1" applyFont="1" applyFill="1" applyBorder="1" applyAlignment="1">
      <alignment horizontal="center"/>
    </xf>
    <xf numFmtId="0" fontId="0" fillId="6" borderId="35" xfId="0" applyFill="1" applyBorder="1"/>
    <xf numFmtId="0" fontId="5" fillId="6" borderId="36" xfId="0" applyFont="1" applyFill="1" applyBorder="1" applyAlignment="1">
      <alignment horizontal="left"/>
    </xf>
    <xf numFmtId="0" fontId="0" fillId="0" borderId="31" xfId="0" applyBorder="1"/>
    <xf numFmtId="0" fontId="0" fillId="6" borderId="0" xfId="0" applyFill="1"/>
    <xf numFmtId="0" fontId="5" fillId="6" borderId="40" xfId="0" applyFont="1" applyFill="1" applyBorder="1" applyAlignment="1">
      <alignment horizontal="left"/>
    </xf>
    <xf numFmtId="0" fontId="0" fillId="0" borderId="37" xfId="0" applyBorder="1"/>
    <xf numFmtId="0" fontId="0" fillId="0" borderId="38" xfId="0" applyBorder="1"/>
    <xf numFmtId="0" fontId="0" fillId="6" borderId="38" xfId="0" applyFill="1" applyBorder="1"/>
    <xf numFmtId="0" fontId="5" fillId="6" borderId="39" xfId="0" applyFont="1" applyFill="1" applyBorder="1" applyAlignment="1">
      <alignment horizontal="left"/>
    </xf>
    <xf numFmtId="0" fontId="5" fillId="5" borderId="0" xfId="0" applyFont="1" applyFill="1"/>
    <xf numFmtId="0" fontId="0" fillId="0" borderId="39" xfId="0" applyBorder="1"/>
    <xf numFmtId="0" fontId="94" fillId="3" borderId="31" xfId="0" applyFont="1" applyFill="1" applyBorder="1" applyAlignment="1">
      <alignment horizontal="left"/>
    </xf>
    <xf numFmtId="0" fontId="5" fillId="5" borderId="0" xfId="0" applyFont="1" applyFill="1" applyAlignment="1">
      <alignment horizontal="left"/>
    </xf>
    <xf numFmtId="0" fontId="0" fillId="5" borderId="40" xfId="0" applyFill="1" applyBorder="1"/>
    <xf numFmtId="0" fontId="6" fillId="0" borderId="41" xfId="0" applyFont="1" applyBorder="1"/>
    <xf numFmtId="0" fontId="0" fillId="0" borderId="42" xfId="0" applyBorder="1"/>
    <xf numFmtId="0" fontId="0" fillId="0" borderId="43" xfId="0" applyBorder="1"/>
    <xf numFmtId="0" fontId="6" fillId="0" borderId="44" xfId="0" applyFont="1" applyBorder="1" applyAlignment="1">
      <alignment horizontal="center"/>
    </xf>
    <xf numFmtId="0" fontId="0" fillId="3" borderId="42" xfId="0" applyFill="1" applyBorder="1"/>
    <xf numFmtId="181" fontId="5" fillId="5" borderId="42" xfId="0" applyNumberFormat="1" applyFont="1" applyFill="1" applyBorder="1" applyAlignment="1">
      <alignment horizontal="center"/>
    </xf>
    <xf numFmtId="180" fontId="5" fillId="5" borderId="45" xfId="0" applyNumberFormat="1" applyFont="1" applyFill="1" applyBorder="1" applyAlignment="1">
      <alignment horizontal="center"/>
    </xf>
    <xf numFmtId="0" fontId="95" fillId="0" borderId="0" xfId="0" applyFont="1"/>
    <xf numFmtId="0" fontId="9" fillId="3" borderId="1" xfId="0" applyFont="1" applyFill="1" applyBorder="1" applyAlignment="1">
      <alignment horizontal="center" vertical="center"/>
    </xf>
    <xf numFmtId="0" fontId="58" fillId="3" borderId="0" xfId="0" applyFont="1" applyFill="1" applyAlignment="1">
      <alignment vertical="center"/>
    </xf>
    <xf numFmtId="0" fontId="9" fillId="3" borderId="0" xfId="0" applyFont="1" applyFill="1" applyAlignment="1" applyProtection="1">
      <alignment vertical="center"/>
      <protection locked="0"/>
    </xf>
    <xf numFmtId="0" fontId="53" fillId="3" borderId="12" xfId="0" applyFont="1" applyFill="1" applyBorder="1" applyAlignment="1">
      <alignment vertical="center"/>
    </xf>
    <xf numFmtId="0" fontId="6" fillId="0" borderId="12" xfId="0" applyFont="1" applyBorder="1" applyAlignment="1">
      <alignment horizontal="center" vertical="center"/>
    </xf>
    <xf numFmtId="0" fontId="5" fillId="0" borderId="12" xfId="4" applyBorder="1" applyAlignment="1">
      <alignment horizontal="center" vertical="center"/>
    </xf>
    <xf numFmtId="182" fontId="1" fillId="0" borderId="1" xfId="2" applyNumberFormat="1" applyFont="1" applyBorder="1" applyAlignment="1">
      <alignment horizontal="center" vertical="center"/>
    </xf>
    <xf numFmtId="183" fontId="5" fillId="0" borderId="1" xfId="0" applyNumberFormat="1" applyFont="1" applyBorder="1" applyAlignment="1">
      <alignment horizontal="center" vertical="center"/>
    </xf>
    <xf numFmtId="183" fontId="26" fillId="0" borderId="1" xfId="0" applyNumberFormat="1" applyFont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3" fillId="3" borderId="0" xfId="0" applyFont="1" applyFill="1" applyAlignment="1">
      <alignment horizontal="center" vertical="center" wrapText="1"/>
    </xf>
    <xf numFmtId="0" fontId="56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1" fontId="35" fillId="3" borderId="19" xfId="0" applyNumberFormat="1" applyFont="1" applyFill="1" applyBorder="1" applyAlignment="1">
      <alignment horizontal="left" wrapText="1"/>
    </xf>
    <xf numFmtId="1" fontId="35" fillId="3" borderId="20" xfId="0" applyNumberFormat="1" applyFont="1" applyFill="1" applyBorder="1" applyAlignment="1">
      <alignment horizontal="left" wrapText="1"/>
    </xf>
    <xf numFmtId="1" fontId="35" fillId="3" borderId="18" xfId="0" applyNumberFormat="1" applyFont="1" applyFill="1" applyBorder="1" applyAlignment="1">
      <alignment horizontal="left" wrapText="1"/>
    </xf>
    <xf numFmtId="0" fontId="60" fillId="2" borderId="0" xfId="0" applyFont="1" applyFill="1" applyAlignment="1">
      <alignment horizontal="left"/>
    </xf>
    <xf numFmtId="167" fontId="2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1" fontId="2" fillId="3" borderId="0" xfId="0" applyNumberFormat="1" applyFont="1" applyFill="1" applyAlignment="1">
      <alignment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3" borderId="6" xfId="0" applyFont="1" applyFill="1" applyBorder="1" applyAlignment="1">
      <alignment vertical="center"/>
    </xf>
    <xf numFmtId="0" fontId="2" fillId="3" borderId="14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2" fontId="2" fillId="2" borderId="0" xfId="0" applyNumberFormat="1" applyFont="1" applyFill="1" applyAlignment="1">
      <alignment horizontal="center" vertical="center"/>
    </xf>
    <xf numFmtId="2" fontId="2" fillId="2" borderId="11" xfId="0" applyNumberFormat="1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14" fontId="2" fillId="0" borderId="1" xfId="2" applyNumberFormat="1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2" fillId="0" borderId="0" xfId="0" applyFont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164" fontId="2" fillId="3" borderId="0" xfId="0" applyNumberFormat="1" applyFont="1" applyFill="1" applyAlignment="1">
      <alignment horizontal="left" vertical="center" wrapText="1"/>
    </xf>
    <xf numFmtId="164" fontId="2" fillId="3" borderId="0" xfId="0" applyNumberFormat="1" applyFont="1" applyFill="1" applyAlignment="1">
      <alignment horizontal="right" vertical="center"/>
    </xf>
    <xf numFmtId="0" fontId="2" fillId="2" borderId="11" xfId="0" applyFont="1" applyFill="1" applyBorder="1"/>
    <xf numFmtId="2" fontId="2" fillId="2" borderId="11" xfId="0" applyNumberFormat="1" applyFont="1" applyFill="1" applyBorder="1" applyAlignment="1">
      <alignment horizontal="center"/>
    </xf>
    <xf numFmtId="0" fontId="2" fillId="0" borderId="11" xfId="0" applyFont="1" applyBorder="1"/>
    <xf numFmtId="2" fontId="2" fillId="2" borderId="0" xfId="0" applyNumberFormat="1" applyFont="1" applyFill="1" applyAlignment="1">
      <alignment horizontal="center"/>
    </xf>
    <xf numFmtId="0" fontId="2" fillId="3" borderId="0" xfId="0" applyFont="1" applyFill="1" applyProtection="1">
      <protection locked="0"/>
    </xf>
    <xf numFmtId="0" fontId="2" fillId="2" borderId="0" xfId="0" applyFont="1" applyFill="1" applyAlignment="1">
      <alignment vertical="top" wrapText="1"/>
    </xf>
    <xf numFmtId="164" fontId="2" fillId="0" borderId="0" xfId="0" applyNumberFormat="1" applyFont="1"/>
    <xf numFmtId="164" fontId="17" fillId="5" borderId="1" xfId="3" applyNumberFormat="1" applyFont="1" applyFill="1" applyBorder="1" applyAlignment="1">
      <alignment horizontal="center" vertical="center" wrapText="1"/>
    </xf>
    <xf numFmtId="164" fontId="17" fillId="0" borderId="1" xfId="3" applyNumberFormat="1" applyFont="1" applyBorder="1" applyAlignment="1">
      <alignment horizontal="right" vertical="center"/>
    </xf>
    <xf numFmtId="0" fontId="18" fillId="6" borderId="0" xfId="0" applyFont="1" applyFill="1"/>
    <xf numFmtId="164" fontId="18" fillId="5" borderId="1" xfId="0" applyNumberFormat="1" applyFont="1" applyFill="1" applyBorder="1" applyAlignment="1">
      <alignment horizontal="center"/>
    </xf>
    <xf numFmtId="0" fontId="18" fillId="0" borderId="1" xfId="0" applyFont="1" applyBorder="1" applyAlignment="1">
      <alignment horizontal="right"/>
    </xf>
    <xf numFmtId="164" fontId="18" fillId="0" borderId="1" xfId="0" applyNumberFormat="1" applyFont="1" applyBorder="1" applyAlignment="1">
      <alignment horizontal="right"/>
    </xf>
    <xf numFmtId="1" fontId="28" fillId="12" borderId="0" xfId="0" applyNumberFormat="1" applyFont="1" applyFill="1" applyProtection="1">
      <protection hidden="1"/>
    </xf>
    <xf numFmtId="1" fontId="0" fillId="12" borderId="0" xfId="0" applyNumberFormat="1" applyFill="1" applyProtection="1">
      <protection hidden="1"/>
    </xf>
    <xf numFmtId="1" fontId="15" fillId="12" borderId="1" xfId="0" applyNumberFormat="1" applyFont="1" applyFill="1" applyBorder="1" applyAlignment="1" applyProtection="1">
      <alignment horizontal="center"/>
      <protection hidden="1"/>
    </xf>
    <xf numFmtId="1" fontId="14" fillId="12" borderId="1" xfId="0" applyNumberFormat="1" applyFont="1" applyFill="1" applyBorder="1" applyAlignment="1" applyProtection="1">
      <alignment horizontal="center"/>
      <protection hidden="1"/>
    </xf>
    <xf numFmtId="1" fontId="47" fillId="12" borderId="1" xfId="0" applyNumberFormat="1" applyFont="1" applyFill="1" applyBorder="1" applyAlignment="1" applyProtection="1">
      <alignment horizontal="center"/>
      <protection hidden="1"/>
    </xf>
    <xf numFmtId="1" fontId="47" fillId="12" borderId="2" xfId="0" applyNumberFormat="1" applyFont="1" applyFill="1" applyBorder="1" applyAlignment="1" applyProtection="1">
      <alignment vertical="center"/>
      <protection hidden="1"/>
    </xf>
    <xf numFmtId="1" fontId="3" fillId="12" borderId="2" xfId="0" quotePrefix="1" applyNumberFormat="1" applyFont="1" applyFill="1" applyBorder="1" applyAlignment="1" applyProtection="1">
      <alignment horizontal="left" vertical="center"/>
      <protection hidden="1"/>
    </xf>
    <xf numFmtId="1" fontId="3" fillId="12" borderId="0" xfId="0" quotePrefix="1" applyNumberFormat="1" applyFont="1" applyFill="1" applyAlignment="1" applyProtection="1">
      <alignment horizontal="left" vertical="center"/>
      <protection hidden="1"/>
    </xf>
    <xf numFmtId="1" fontId="28" fillId="12" borderId="0" xfId="0" applyNumberFormat="1" applyFont="1" applyFill="1" applyAlignment="1" applyProtection="1">
      <alignment horizontal="center"/>
      <protection hidden="1"/>
    </xf>
    <xf numFmtId="164" fontId="0" fillId="12" borderId="0" xfId="0" applyNumberFormat="1" applyFill="1" applyProtection="1">
      <protection hidden="1"/>
    </xf>
    <xf numFmtId="1" fontId="28" fillId="12" borderId="1" xfId="0" applyNumberFormat="1" applyFont="1" applyFill="1" applyBorder="1" applyAlignment="1" applyProtection="1">
      <alignment horizontal="center"/>
      <protection hidden="1"/>
    </xf>
    <xf numFmtId="164" fontId="0" fillId="12" borderId="1" xfId="0" applyNumberFormat="1" applyFill="1" applyBorder="1" applyProtection="1">
      <protection hidden="1"/>
    </xf>
    <xf numFmtId="164" fontId="0" fillId="12" borderId="13" xfId="0" applyNumberFormat="1" applyFill="1" applyBorder="1" applyProtection="1">
      <protection hidden="1"/>
    </xf>
    <xf numFmtId="1" fontId="28" fillId="12" borderId="11" xfId="0" applyNumberFormat="1" applyFont="1" applyFill="1" applyBorder="1" applyProtection="1">
      <protection hidden="1"/>
    </xf>
    <xf numFmtId="1" fontId="0" fillId="12" borderId="11" xfId="0" applyNumberFormat="1" applyFill="1" applyBorder="1" applyProtection="1">
      <protection hidden="1"/>
    </xf>
    <xf numFmtId="164" fontId="3" fillId="12" borderId="1" xfId="0" applyNumberFormat="1" applyFont="1" applyFill="1" applyBorder="1" applyAlignment="1" applyProtection="1">
      <alignment horizontal="right"/>
      <protection hidden="1"/>
    </xf>
    <xf numFmtId="1" fontId="47" fillId="12" borderId="1" xfId="0" quotePrefix="1" applyNumberFormat="1" applyFont="1" applyFill="1" applyBorder="1" applyAlignment="1" applyProtection="1">
      <alignment horizontal="center"/>
      <protection hidden="1"/>
    </xf>
    <xf numFmtId="1" fontId="3" fillId="12" borderId="1" xfId="0" quotePrefix="1" applyNumberFormat="1" applyFont="1" applyFill="1" applyBorder="1" applyAlignment="1" applyProtection="1">
      <alignment horizontal="center"/>
      <protection hidden="1"/>
    </xf>
    <xf numFmtId="164" fontId="3" fillId="12" borderId="1" xfId="0" quotePrefix="1" applyNumberFormat="1" applyFont="1" applyFill="1" applyBorder="1" applyAlignment="1" applyProtection="1">
      <alignment horizontal="right"/>
      <protection hidden="1"/>
    </xf>
    <xf numFmtId="164" fontId="0" fillId="13" borderId="0" xfId="0" applyNumberFormat="1" applyFill="1" applyProtection="1">
      <protection hidden="1"/>
    </xf>
    <xf numFmtId="1" fontId="0" fillId="13" borderId="0" xfId="0" applyNumberFormat="1" applyFill="1" applyProtection="1">
      <protection hidden="1"/>
    </xf>
    <xf numFmtId="1" fontId="3" fillId="13" borderId="7" xfId="0" applyNumberFormat="1" applyFont="1" applyFill="1" applyBorder="1" applyAlignment="1" applyProtection="1">
      <alignment horizontal="center" vertical="center"/>
      <protection hidden="1"/>
    </xf>
    <xf numFmtId="1" fontId="15" fillId="13" borderId="1" xfId="0" applyNumberFormat="1" applyFont="1" applyFill="1" applyBorder="1" applyAlignment="1" applyProtection="1">
      <alignment horizontal="center"/>
      <protection hidden="1"/>
    </xf>
    <xf numFmtId="1" fontId="14" fillId="13" borderId="1" xfId="0" applyNumberFormat="1" applyFont="1" applyFill="1" applyBorder="1" applyAlignment="1" applyProtection="1">
      <alignment horizontal="center"/>
      <protection hidden="1"/>
    </xf>
    <xf numFmtId="164" fontId="50" fillId="13" borderId="1" xfId="0" applyNumberFormat="1" applyFont="1" applyFill="1" applyBorder="1" applyAlignment="1" applyProtection="1">
      <alignment horizontal="right"/>
      <protection hidden="1"/>
    </xf>
    <xf numFmtId="164" fontId="5" fillId="13" borderId="1" xfId="0" applyNumberFormat="1" applyFont="1" applyFill="1" applyBorder="1" applyAlignment="1" applyProtection="1">
      <alignment horizontal="right"/>
      <protection hidden="1"/>
    </xf>
    <xf numFmtId="164" fontId="5" fillId="13" borderId="15" xfId="0" applyNumberFormat="1" applyFont="1" applyFill="1" applyBorder="1" applyAlignment="1" applyProtection="1">
      <alignment horizontal="right"/>
      <protection hidden="1"/>
    </xf>
    <xf numFmtId="164" fontId="3" fillId="13" borderId="15" xfId="0" applyNumberFormat="1" applyFont="1" applyFill="1" applyBorder="1" applyAlignment="1" applyProtection="1">
      <alignment horizontal="right"/>
      <protection hidden="1"/>
    </xf>
    <xf numFmtId="164" fontId="51" fillId="13" borderId="15" xfId="0" applyNumberFormat="1" applyFont="1" applyFill="1" applyBorder="1" applyAlignment="1" applyProtection="1">
      <alignment horizontal="right"/>
      <protection hidden="1"/>
    </xf>
    <xf numFmtId="1" fontId="3" fillId="13" borderId="1" xfId="0" quotePrefix="1" applyNumberFormat="1" applyFont="1" applyFill="1" applyBorder="1" applyAlignment="1" applyProtection="1">
      <alignment horizontal="center"/>
      <protection hidden="1"/>
    </xf>
    <xf numFmtId="164" fontId="28" fillId="13" borderId="1" xfId="0" applyNumberFormat="1" applyFont="1" applyFill="1" applyBorder="1" applyAlignment="1" applyProtection="1">
      <alignment horizontal="right"/>
      <protection hidden="1"/>
    </xf>
    <xf numFmtId="1" fontId="7" fillId="12" borderId="1" xfId="0" applyNumberFormat="1" applyFont="1" applyFill="1" applyBorder="1" applyAlignment="1" applyProtection="1">
      <alignment horizontal="center"/>
      <protection hidden="1"/>
    </xf>
    <xf numFmtId="1" fontId="7" fillId="6" borderId="1" xfId="0" applyNumberFormat="1" applyFont="1" applyFill="1" applyBorder="1" applyAlignment="1" applyProtection="1">
      <alignment vertical="center"/>
      <protection hidden="1"/>
    </xf>
    <xf numFmtId="2" fontId="81" fillId="0" borderId="22" xfId="0" applyNumberFormat="1" applyFont="1" applyBorder="1" applyAlignment="1">
      <alignment horizontal="center" vertical="center"/>
    </xf>
    <xf numFmtId="2" fontId="81" fillId="12" borderId="22" xfId="0" applyNumberFormat="1" applyFont="1" applyFill="1" applyBorder="1" applyAlignment="1">
      <alignment horizontal="center" vertical="center"/>
    </xf>
    <xf numFmtId="1" fontId="3" fillId="10" borderId="1" xfId="0" applyNumberFormat="1" applyFont="1" applyFill="1" applyBorder="1" applyAlignment="1" applyProtection="1">
      <alignment horizontal="left"/>
      <protection hidden="1"/>
    </xf>
    <xf numFmtId="0" fontId="26" fillId="3" borderId="34" xfId="0" applyFont="1" applyFill="1" applyBorder="1" applyAlignment="1">
      <alignment vertical="center"/>
    </xf>
    <xf numFmtId="2" fontId="26" fillId="3" borderId="15" xfId="0" applyNumberFormat="1" applyFont="1" applyFill="1" applyBorder="1" applyAlignment="1">
      <alignment horizontal="center" vertical="center"/>
    </xf>
    <xf numFmtId="0" fontId="0" fillId="0" borderId="46" xfId="0" applyBorder="1"/>
    <xf numFmtId="1" fontId="51" fillId="10" borderId="1" xfId="0" applyNumberFormat="1" applyFont="1" applyFill="1" applyBorder="1" applyAlignment="1" applyProtection="1">
      <alignment horizontal="left"/>
      <protection hidden="1"/>
    </xf>
    <xf numFmtId="2" fontId="0" fillId="12" borderId="15" xfId="0" applyNumberFormat="1" applyFill="1" applyBorder="1" applyAlignment="1">
      <alignment horizontal="center" vertical="center"/>
    </xf>
    <xf numFmtId="0" fontId="91" fillId="11" borderId="34" xfId="0" applyFont="1" applyFill="1" applyBorder="1" applyAlignment="1">
      <alignment vertical="center"/>
    </xf>
    <xf numFmtId="2" fontId="91" fillId="11" borderId="15" xfId="0" applyNumberFormat="1" applyFont="1" applyFill="1" applyBorder="1" applyAlignment="1">
      <alignment horizontal="center" vertical="center"/>
    </xf>
    <xf numFmtId="0" fontId="98" fillId="6" borderId="1" xfId="0" applyFont="1" applyFill="1" applyBorder="1" applyAlignment="1">
      <alignment horizontal="center" vertical="center"/>
    </xf>
    <xf numFmtId="0" fontId="99" fillId="3" borderId="15" xfId="0" applyFont="1" applyFill="1" applyBorder="1" applyProtection="1">
      <protection locked="0"/>
    </xf>
    <xf numFmtId="1" fontId="100" fillId="10" borderId="1" xfId="0" applyNumberFormat="1" applyFont="1" applyFill="1" applyBorder="1" applyAlignment="1" applyProtection="1">
      <alignment horizontal="left"/>
      <protection hidden="1"/>
    </xf>
    <xf numFmtId="2" fontId="0" fillId="12" borderId="0" xfId="0" applyNumberFormat="1" applyFill="1"/>
    <xf numFmtId="1" fontId="101" fillId="10" borderId="1" xfId="0" applyNumberFormat="1" applyFont="1" applyFill="1" applyBorder="1" applyAlignment="1" applyProtection="1">
      <alignment horizontal="left"/>
      <protection hidden="1"/>
    </xf>
    <xf numFmtId="0" fontId="83" fillId="6" borderId="1" xfId="0" applyFont="1" applyFill="1" applyBorder="1" applyAlignment="1">
      <alignment horizontal="center" vertical="center"/>
    </xf>
    <xf numFmtId="0" fontId="50" fillId="11" borderId="47" xfId="0" applyFont="1" applyFill="1" applyBorder="1" applyAlignment="1">
      <alignment vertical="center"/>
    </xf>
    <xf numFmtId="2" fontId="50" fillId="11" borderId="1" xfId="0" applyNumberFormat="1" applyFont="1" applyFill="1" applyBorder="1"/>
    <xf numFmtId="0" fontId="0" fillId="6" borderId="1" xfId="0" applyFill="1" applyBorder="1"/>
    <xf numFmtId="0" fontId="0" fillId="0" borderId="1" xfId="0" applyBorder="1"/>
    <xf numFmtId="167" fontId="18" fillId="0" borderId="1" xfId="0" applyNumberFormat="1" applyFont="1" applyBorder="1" applyProtection="1">
      <protection hidden="1"/>
    </xf>
    <xf numFmtId="184" fontId="18" fillId="0" borderId="11" xfId="0" applyNumberFormat="1" applyFont="1" applyBorder="1" applyProtection="1">
      <protection hidden="1"/>
    </xf>
    <xf numFmtId="0" fontId="38" fillId="10" borderId="22" xfId="0" applyFont="1" applyFill="1" applyBorder="1" applyAlignment="1">
      <alignment horizontal="center" vertical="center"/>
    </xf>
    <xf numFmtId="0" fontId="91" fillId="11" borderId="25" xfId="0" applyFont="1" applyFill="1" applyBorder="1" applyAlignment="1">
      <alignment vertical="center"/>
    </xf>
    <xf numFmtId="167" fontId="50" fillId="11" borderId="26" xfId="0" applyNumberFormat="1" applyFont="1" applyFill="1" applyBorder="1" applyAlignment="1">
      <alignment horizontal="center" vertical="center"/>
    </xf>
    <xf numFmtId="0" fontId="83" fillId="10" borderId="22" xfId="0" applyFont="1" applyFill="1" applyBorder="1" applyAlignment="1">
      <alignment horizontal="center" vertical="center"/>
    </xf>
    <xf numFmtId="0" fontId="0" fillId="7" borderId="0" xfId="0" applyFill="1"/>
    <xf numFmtId="0" fontId="0" fillId="10" borderId="0" xfId="0" applyFill="1"/>
    <xf numFmtId="167" fontId="0" fillId="0" borderId="22" xfId="0" applyNumberFormat="1" applyBorder="1" applyAlignment="1">
      <alignment horizontal="center" vertical="center"/>
    </xf>
    <xf numFmtId="167" fontId="0" fillId="0" borderId="27" xfId="0" applyNumberFormat="1" applyBorder="1" applyAlignment="1">
      <alignment horizontal="center" vertical="center"/>
    </xf>
    <xf numFmtId="167" fontId="50" fillId="0" borderId="26" xfId="0" applyNumberFormat="1" applyFon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91" fillId="7" borderId="21" xfId="0" applyFont="1" applyFill="1" applyBorder="1" applyAlignment="1">
      <alignment vertical="center"/>
    </xf>
    <xf numFmtId="0" fontId="83" fillId="0" borderId="22" xfId="0" applyFont="1" applyBorder="1" applyAlignment="1">
      <alignment horizontal="center" vertical="center"/>
    </xf>
    <xf numFmtId="0" fontId="83" fillId="10" borderId="1" xfId="0" applyFont="1" applyFill="1" applyBorder="1" applyAlignment="1">
      <alignment horizontal="center" vertical="center"/>
    </xf>
    <xf numFmtId="167" fontId="0" fillId="0" borderId="26" xfId="0" applyNumberFormat="1" applyBorder="1" applyAlignment="1">
      <alignment horizontal="center" vertical="center"/>
    </xf>
    <xf numFmtId="0" fontId="38" fillId="10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vertical="center"/>
    </xf>
    <xf numFmtId="2" fontId="28" fillId="3" borderId="1" xfId="0" applyNumberFormat="1" applyFont="1" applyFill="1" applyBorder="1" applyAlignment="1">
      <alignment horizontal="center" vertical="center"/>
    </xf>
    <xf numFmtId="0" fontId="98" fillId="10" borderId="1" xfId="0" applyFont="1" applyFill="1" applyBorder="1" applyAlignment="1">
      <alignment horizontal="center" vertical="center"/>
    </xf>
    <xf numFmtId="0" fontId="38" fillId="8" borderId="1" xfId="0" applyFont="1" applyFill="1" applyBorder="1" applyAlignment="1">
      <alignment horizontal="center" vertical="center"/>
    </xf>
    <xf numFmtId="0" fontId="98" fillId="3" borderId="1" xfId="0" applyFont="1" applyFill="1" applyBorder="1" applyAlignment="1">
      <alignment horizontal="center" vertical="center"/>
    </xf>
    <xf numFmtId="1" fontId="7" fillId="0" borderId="1" xfId="0" applyNumberFormat="1" applyFont="1" applyBorder="1" applyAlignment="1" applyProtection="1">
      <alignment horizontal="right"/>
      <protection hidden="1"/>
    </xf>
    <xf numFmtId="0" fontId="37" fillId="7" borderId="1" xfId="4" applyFont="1" applyFill="1" applyBorder="1" applyAlignment="1">
      <alignment vertical="center"/>
    </xf>
    <xf numFmtId="0" fontId="91" fillId="11" borderId="0" xfId="0" applyFont="1" applyFill="1" applyAlignment="1">
      <alignment vertical="center"/>
    </xf>
    <xf numFmtId="167" fontId="91" fillId="11" borderId="0" xfId="0" applyNumberFormat="1" applyFont="1" applyFill="1" applyAlignment="1">
      <alignment horizontal="right" vertical="center"/>
    </xf>
    <xf numFmtId="0" fontId="83" fillId="0" borderId="0" xfId="0" applyFont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0" xfId="0" applyFill="1" applyAlignment="1">
      <alignment vertical="center"/>
    </xf>
    <xf numFmtId="1" fontId="3" fillId="0" borderId="5" xfId="0" applyNumberFormat="1" applyFont="1" applyBorder="1" applyAlignment="1" applyProtection="1">
      <alignment horizontal="left"/>
      <protection hidden="1"/>
    </xf>
    <xf numFmtId="0" fontId="0" fillId="7" borderId="1" xfId="0" applyFill="1" applyBorder="1"/>
    <xf numFmtId="164" fontId="0" fillId="0" borderId="1" xfId="0" applyNumberFormat="1" applyBorder="1" applyAlignment="1">
      <alignment horizontal="right" vertical="center"/>
    </xf>
    <xf numFmtId="0" fontId="38" fillId="0" borderId="1" xfId="0" applyFont="1" applyBorder="1" applyAlignment="1">
      <alignment horizontal="center" vertical="center"/>
    </xf>
    <xf numFmtId="0" fontId="91" fillId="0" borderId="1" xfId="0" applyFont="1" applyBorder="1"/>
    <xf numFmtId="1" fontId="3" fillId="0" borderId="10" xfId="0" applyNumberFormat="1" applyFont="1" applyBorder="1" applyAlignment="1" applyProtection="1">
      <alignment horizontal="left"/>
      <protection hidden="1"/>
    </xf>
    <xf numFmtId="0" fontId="83" fillId="0" borderId="1" xfId="0" applyFont="1" applyBorder="1" applyAlignment="1">
      <alignment horizontal="center" vertical="center"/>
    </xf>
    <xf numFmtId="167" fontId="0" fillId="0" borderId="1" xfId="0" applyNumberFormat="1" applyBorder="1" applyAlignment="1">
      <alignment horizontal="right" vertical="center"/>
    </xf>
    <xf numFmtId="1" fontId="3" fillId="0" borderId="7" xfId="0" applyNumberFormat="1" applyFont="1" applyBorder="1" applyAlignment="1" applyProtection="1">
      <alignment horizontal="left"/>
      <protection hidden="1"/>
    </xf>
    <xf numFmtId="0" fontId="91" fillId="10" borderId="0" xfId="0" applyFont="1" applyFill="1"/>
    <xf numFmtId="0" fontId="98" fillId="10" borderId="22" xfId="0" applyFont="1" applyFill="1" applyBorder="1" applyAlignment="1">
      <alignment horizontal="center" vertical="center"/>
    </xf>
    <xf numFmtId="167" fontId="7" fillId="0" borderId="1" xfId="0" applyNumberFormat="1" applyFont="1" applyBorder="1" applyAlignment="1" applyProtection="1">
      <alignment horizontal="right"/>
      <protection hidden="1"/>
    </xf>
    <xf numFmtId="167" fontId="5" fillId="0" borderId="1" xfId="0" applyNumberFormat="1" applyFont="1" applyBorder="1" applyAlignment="1">
      <alignment horizontal="right" vertical="center"/>
    </xf>
    <xf numFmtId="167" fontId="28" fillId="0" borderId="1" xfId="0" applyNumberFormat="1" applyFont="1" applyBorder="1" applyAlignment="1">
      <alignment horizontal="right" vertical="center"/>
    </xf>
    <xf numFmtId="0" fontId="26" fillId="7" borderId="1" xfId="0" applyFont="1" applyFill="1" applyBorder="1"/>
    <xf numFmtId="167" fontId="26" fillId="3" borderId="1" xfId="0" applyNumberFormat="1" applyFont="1" applyFill="1" applyBorder="1" applyAlignment="1">
      <alignment horizontal="right"/>
    </xf>
    <xf numFmtId="0" fontId="50" fillId="7" borderId="1" xfId="0" applyFont="1" applyFill="1" applyBorder="1"/>
    <xf numFmtId="167" fontId="50" fillId="11" borderId="1" xfId="0" applyNumberFormat="1" applyFont="1" applyFill="1" applyBorder="1" applyAlignment="1">
      <alignment horizontal="right"/>
    </xf>
    <xf numFmtId="0" fontId="0" fillId="10" borderId="1" xfId="0" applyFill="1" applyBorder="1"/>
    <xf numFmtId="0" fontId="50" fillId="7" borderId="0" xfId="0" applyFont="1" applyFill="1"/>
    <xf numFmtId="167" fontId="50" fillId="3" borderId="0" xfId="0" applyNumberFormat="1" applyFont="1" applyFill="1" applyAlignment="1">
      <alignment horizontal="right"/>
    </xf>
    <xf numFmtId="1" fontId="51" fillId="3" borderId="7" xfId="0" applyNumberFormat="1" applyFont="1" applyFill="1" applyBorder="1" applyAlignment="1" applyProtection="1">
      <alignment horizontal="left"/>
      <protection hidden="1"/>
    </xf>
    <xf numFmtId="1" fontId="51" fillId="3" borderId="1" xfId="0" applyNumberFormat="1" applyFont="1" applyFill="1" applyBorder="1" applyAlignment="1" applyProtection="1">
      <alignment horizontal="left"/>
      <protection hidden="1"/>
    </xf>
    <xf numFmtId="167" fontId="5" fillId="10" borderId="22" xfId="0" applyNumberFormat="1" applyFont="1" applyFill="1" applyBorder="1" applyAlignment="1">
      <alignment horizontal="right" vertical="center"/>
    </xf>
    <xf numFmtId="167" fontId="0" fillId="0" borderId="0" xfId="0" applyNumberFormat="1" applyAlignment="1">
      <alignment horizontal="right"/>
    </xf>
    <xf numFmtId="0" fontId="26" fillId="7" borderId="1" xfId="0" applyFont="1" applyFill="1" applyBorder="1" applyAlignment="1">
      <alignment vertical="center"/>
    </xf>
    <xf numFmtId="167" fontId="26" fillId="0" borderId="1" xfId="0" applyNumberFormat="1" applyFont="1" applyBorder="1" applyAlignment="1">
      <alignment horizontal="right" vertical="center"/>
    </xf>
    <xf numFmtId="0" fontId="98" fillId="0" borderId="1" xfId="0" applyFont="1" applyBorder="1" applyAlignment="1">
      <alignment horizontal="center" vertical="center"/>
    </xf>
    <xf numFmtId="167" fontId="26" fillId="0" borderId="1" xfId="0" applyNumberFormat="1" applyFont="1" applyBorder="1" applyAlignment="1">
      <alignment horizontal="right"/>
    </xf>
    <xf numFmtId="0" fontId="26" fillId="0" borderId="1" xfId="0" applyFont="1" applyBorder="1"/>
    <xf numFmtId="0" fontId="5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167" fontId="0" fillId="0" borderId="1" xfId="0" applyNumberFormat="1" applyBorder="1" applyAlignment="1">
      <alignment horizontal="right"/>
    </xf>
    <xf numFmtId="0" fontId="5" fillId="7" borderId="0" xfId="0" applyFont="1" applyFill="1" applyAlignment="1">
      <alignment vertical="center"/>
    </xf>
    <xf numFmtId="167" fontId="5" fillId="0" borderId="0" xfId="0" applyNumberFormat="1" applyFont="1" applyAlignment="1">
      <alignment horizontal="right"/>
    </xf>
    <xf numFmtId="1" fontId="3" fillId="10" borderId="0" xfId="0" applyNumberFormat="1" applyFont="1" applyFill="1" applyAlignment="1" applyProtection="1">
      <alignment horizontal="left"/>
      <protection hidden="1"/>
    </xf>
    <xf numFmtId="167" fontId="26" fillId="0" borderId="0" xfId="0" applyNumberFormat="1" applyFont="1" applyAlignment="1">
      <alignment horizontal="right"/>
    </xf>
    <xf numFmtId="1" fontId="3" fillId="0" borderId="14" xfId="0" applyNumberFormat="1" applyFont="1" applyBorder="1" applyAlignment="1" applyProtection="1">
      <alignment horizontal="left"/>
      <protection hidden="1"/>
    </xf>
    <xf numFmtId="1" fontId="3" fillId="0" borderId="9" xfId="0" applyNumberFormat="1" applyFont="1" applyBorder="1" applyAlignment="1" applyProtection="1">
      <alignment horizontal="left"/>
      <protection hidden="1"/>
    </xf>
    <xf numFmtId="0" fontId="26" fillId="7" borderId="1" xfId="0" applyFont="1" applyFill="1" applyBorder="1" applyAlignment="1">
      <alignment horizontal="right"/>
    </xf>
    <xf numFmtId="0" fontId="50" fillId="10" borderId="1" xfId="0" applyFont="1" applyFill="1" applyBorder="1"/>
    <xf numFmtId="0" fontId="50" fillId="7" borderId="1" xfId="0" applyFont="1" applyFill="1" applyBorder="1" applyAlignment="1">
      <alignment vertical="center"/>
    </xf>
    <xf numFmtId="167" fontId="50" fillId="0" borderId="1" xfId="0" applyNumberFormat="1" applyFont="1" applyBorder="1" applyAlignment="1">
      <alignment horizontal="right"/>
    </xf>
    <xf numFmtId="0" fontId="18" fillId="0" borderId="11" xfId="0" applyFont="1" applyBorder="1"/>
    <xf numFmtId="0" fontId="26" fillId="8" borderId="1" xfId="0" applyFont="1" applyFill="1" applyBorder="1" applyAlignment="1">
      <alignment horizontal="left" vertical="center" wrapText="1"/>
    </xf>
    <xf numFmtId="0" fontId="26" fillId="0" borderId="1" xfId="0" applyFont="1" applyBorder="1" applyAlignment="1">
      <alignment horizontal="center" vertical="center"/>
    </xf>
    <xf numFmtId="0" fontId="58" fillId="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left" vertical="center" wrapText="1"/>
    </xf>
    <xf numFmtId="0" fontId="26" fillId="8" borderId="1" xfId="0" applyFont="1" applyFill="1" applyBorder="1" applyAlignment="1">
      <alignment horizontal="center" vertical="center"/>
    </xf>
    <xf numFmtId="0" fontId="26" fillId="1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 applyProtection="1">
      <alignment horizontal="right" vertical="center"/>
      <protection locked="0"/>
    </xf>
    <xf numFmtId="0" fontId="13" fillId="3" borderId="13" xfId="0" applyFont="1" applyFill="1" applyBorder="1" applyAlignment="1" applyProtection="1">
      <alignment horizontal="left" vertical="center"/>
      <protection locked="0"/>
    </xf>
    <xf numFmtId="0" fontId="2" fillId="3" borderId="13" xfId="0" applyFont="1" applyFill="1" applyBorder="1" applyAlignment="1" applyProtection="1">
      <alignment horizontal="left" vertical="center"/>
      <protection locked="0"/>
    </xf>
    <xf numFmtId="0" fontId="2" fillId="3" borderId="15" xfId="0" applyFont="1" applyFill="1" applyBorder="1" applyAlignment="1" applyProtection="1">
      <alignment horizontal="right" vertical="center"/>
      <protection locked="0"/>
    </xf>
    <xf numFmtId="1" fontId="10" fillId="3" borderId="1" xfId="0" applyNumberFormat="1" applyFont="1" applyFill="1" applyBorder="1"/>
    <xf numFmtId="1" fontId="10" fillId="3" borderId="0" xfId="0" applyNumberFormat="1" applyFont="1" applyFill="1" applyAlignment="1">
      <alignment horizontal="left"/>
    </xf>
    <xf numFmtId="1" fontId="9" fillId="3" borderId="0" xfId="0" applyNumberFormat="1" applyFont="1" applyFill="1" applyAlignment="1">
      <alignment horizontal="center"/>
    </xf>
    <xf numFmtId="1" fontId="10" fillId="3" borderId="0" xfId="0" applyNumberFormat="1" applyFont="1" applyFill="1" applyAlignment="1">
      <alignment horizontal="center"/>
    </xf>
    <xf numFmtId="1" fontId="10" fillId="3" borderId="1" xfId="0" applyNumberFormat="1" applyFont="1" applyFill="1" applyBorder="1" applyAlignment="1">
      <alignment horizontal="left"/>
    </xf>
    <xf numFmtId="2" fontId="10" fillId="3" borderId="1" xfId="0" applyNumberFormat="1" applyFont="1" applyFill="1" applyBorder="1"/>
    <xf numFmtId="167" fontId="10" fillId="3" borderId="0" xfId="0" applyNumberFormat="1" applyFont="1" applyFill="1"/>
    <xf numFmtId="167" fontId="10" fillId="3" borderId="1" xfId="0" applyNumberFormat="1" applyFont="1" applyFill="1" applyBorder="1"/>
    <xf numFmtId="1" fontId="9" fillId="3" borderId="0" xfId="0" applyNumberFormat="1" applyFont="1" applyFill="1" applyAlignment="1">
      <alignment horizontal="left"/>
    </xf>
    <xf numFmtId="165" fontId="9" fillId="3" borderId="0" xfId="0" applyNumberFormat="1" applyFont="1" applyFill="1" applyAlignment="1">
      <alignment horizontal="left"/>
    </xf>
    <xf numFmtId="2" fontId="13" fillId="3" borderId="13" xfId="0" applyNumberFormat="1" applyFont="1" applyFill="1" applyBorder="1" applyAlignment="1" applyProtection="1">
      <alignment horizontal="left" vertical="center"/>
      <protection locked="0"/>
    </xf>
    <xf numFmtId="0" fontId="16" fillId="0" borderId="15" xfId="0" applyFont="1" applyBorder="1" applyAlignment="1">
      <alignment vertical="center"/>
    </xf>
    <xf numFmtId="0" fontId="56" fillId="15" borderId="1" xfId="0" applyFont="1" applyFill="1" applyBorder="1" applyAlignment="1">
      <alignment horizontal="center" vertical="center"/>
    </xf>
    <xf numFmtId="14" fontId="18" fillId="5" borderId="6" xfId="0" quotePrefix="1" applyNumberFormat="1" applyFont="1" applyFill="1" applyBorder="1" applyAlignment="1" applyProtection="1">
      <alignment horizontal="left" vertical="center"/>
      <protection hidden="1"/>
    </xf>
    <xf numFmtId="1" fontId="3" fillId="5" borderId="15" xfId="0" quotePrefix="1" applyNumberFormat="1" applyFont="1" applyFill="1" applyBorder="1" applyAlignment="1" applyProtection="1">
      <alignment horizontal="left" vertical="center"/>
      <protection hidden="1"/>
    </xf>
    <xf numFmtId="14" fontId="18" fillId="5" borderId="6" xfId="0" quotePrefix="1" applyNumberFormat="1" applyFont="1" applyFill="1" applyBorder="1" applyAlignment="1">
      <alignment horizontal="left" vertical="center"/>
    </xf>
    <xf numFmtId="14" fontId="18" fillId="6" borderId="6" xfId="0" quotePrefix="1" applyNumberFormat="1" applyFont="1" applyFill="1" applyBorder="1" applyAlignment="1">
      <alignment horizontal="left" vertical="center"/>
    </xf>
    <xf numFmtId="0" fontId="5" fillId="0" borderId="0" xfId="4"/>
    <xf numFmtId="0" fontId="37" fillId="16" borderId="1" xfId="4" applyFont="1" applyFill="1" applyBorder="1"/>
    <xf numFmtId="0" fontId="37" fillId="16" borderId="3" xfId="4" applyFont="1" applyFill="1" applyBorder="1"/>
    <xf numFmtId="0" fontId="37" fillId="0" borderId="0" xfId="4" applyFont="1"/>
    <xf numFmtId="0" fontId="37" fillId="17" borderId="16" xfId="4" applyFont="1" applyFill="1" applyBorder="1"/>
    <xf numFmtId="0" fontId="114" fillId="0" borderId="1" xfId="4" applyFont="1" applyBorder="1"/>
    <xf numFmtId="0" fontId="114" fillId="0" borderId="1" xfId="4" applyFont="1" applyBorder="1" applyAlignment="1">
      <alignment horizontal="left"/>
    </xf>
    <xf numFmtId="0" fontId="5" fillId="0" borderId="16" xfId="4" applyBorder="1"/>
    <xf numFmtId="17" fontId="5" fillId="0" borderId="0" xfId="4" quotePrefix="1" applyNumberFormat="1"/>
    <xf numFmtId="0" fontId="114" fillId="0" borderId="0" xfId="4" applyFont="1"/>
    <xf numFmtId="0" fontId="114" fillId="0" borderId="0" xfId="4" applyFont="1" applyAlignment="1">
      <alignment horizontal="left"/>
    </xf>
    <xf numFmtId="0" fontId="5" fillId="0" borderId="0" xfId="4" quotePrefix="1"/>
    <xf numFmtId="0" fontId="5" fillId="12" borderId="1" xfId="0" applyFont="1" applyFill="1" applyBorder="1" applyAlignment="1">
      <alignment horizontal="left" vertical="center"/>
    </xf>
    <xf numFmtId="0" fontId="26" fillId="12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 wrapText="1"/>
    </xf>
    <xf numFmtId="0" fontId="26" fillId="8" borderId="1" xfId="0" applyFont="1" applyFill="1" applyBorder="1" applyAlignment="1">
      <alignment horizontal="left" vertical="center"/>
    </xf>
    <xf numFmtId="0" fontId="5" fillId="13" borderId="1" xfId="0" applyFont="1" applyFill="1" applyBorder="1" applyAlignment="1">
      <alignment horizontal="center" vertical="center"/>
    </xf>
    <xf numFmtId="0" fontId="26" fillId="0" borderId="1" xfId="0" applyFont="1" applyBorder="1" applyProtection="1">
      <protection hidden="1"/>
    </xf>
    <xf numFmtId="0" fontId="2" fillId="3" borderId="1" xfId="0" applyFont="1" applyFill="1" applyBorder="1" applyProtection="1">
      <protection hidden="1"/>
    </xf>
    <xf numFmtId="0" fontId="2" fillId="3" borderId="13" xfId="0" applyFont="1" applyFill="1" applyBorder="1" applyAlignment="1">
      <alignment horizontal="center" vertical="center"/>
    </xf>
    <xf numFmtId="167" fontId="2" fillId="3" borderId="13" xfId="0" applyNumberFormat="1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left" vertical="center" wrapText="1"/>
    </xf>
    <xf numFmtId="183" fontId="26" fillId="0" borderId="10" xfId="0" applyNumberFormat="1" applyFont="1" applyBorder="1" applyAlignment="1">
      <alignment horizontal="center" vertical="center"/>
    </xf>
    <xf numFmtId="164" fontId="53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9" fillId="0" borderId="0" xfId="0" applyFont="1" applyAlignment="1">
      <alignment horizontal="center" vertical="center"/>
    </xf>
    <xf numFmtId="0" fontId="5" fillId="0" borderId="0" xfId="5"/>
    <xf numFmtId="0" fontId="5" fillId="0" borderId="0" xfId="5" applyAlignment="1" applyProtection="1">
      <alignment wrapText="1"/>
      <protection hidden="1"/>
    </xf>
    <xf numFmtId="0" fontId="5" fillId="0" borderId="0" xfId="5" applyProtection="1">
      <protection locked="0"/>
    </xf>
    <xf numFmtId="0" fontId="108" fillId="0" borderId="0" xfId="5" applyFont="1" applyAlignment="1">
      <alignment horizontal="center" vertical="center" wrapText="1"/>
    </xf>
    <xf numFmtId="0" fontId="6" fillId="0" borderId="0" xfId="5" applyFont="1" applyProtection="1">
      <protection locked="0"/>
    </xf>
    <xf numFmtId="0" fontId="110" fillId="0" borderId="3" xfId="5" applyFont="1" applyBorder="1" applyAlignment="1">
      <alignment horizontal="left" vertical="top" wrapText="1"/>
    </xf>
    <xf numFmtId="0" fontId="110" fillId="0" borderId="13" xfId="5" applyFont="1" applyBorder="1" applyAlignment="1">
      <alignment horizontal="left" vertical="top" wrapText="1"/>
    </xf>
    <xf numFmtId="0" fontId="5" fillId="0" borderId="0" xfId="5" applyAlignment="1">
      <alignment horizontal="left" vertical="top"/>
    </xf>
    <xf numFmtId="0" fontId="110" fillId="0" borderId="13" xfId="5" applyFont="1" applyBorder="1" applyAlignment="1">
      <alignment horizontal="left" vertical="top"/>
    </xf>
    <xf numFmtId="0" fontId="110" fillId="0" borderId="0" xfId="5" applyFont="1" applyAlignment="1">
      <alignment vertical="center" wrapText="1"/>
    </xf>
    <xf numFmtId="0" fontId="110" fillId="0" borderId="0" xfId="5" applyFont="1" applyAlignment="1">
      <alignment horizontal="center" vertical="center" wrapText="1"/>
    </xf>
    <xf numFmtId="0" fontId="112" fillId="0" borderId="0" xfId="5" applyFont="1"/>
    <xf numFmtId="0" fontId="110" fillId="0" borderId="0" xfId="5" applyFont="1" applyAlignment="1" applyProtection="1">
      <alignment horizontal="center" vertical="center" wrapText="1"/>
      <protection locked="0"/>
    </xf>
    <xf numFmtId="1" fontId="110" fillId="0" borderId="0" xfId="5" quotePrefix="1" applyNumberFormat="1" applyFont="1" applyAlignment="1" applyProtection="1">
      <alignment horizontal="left"/>
      <protection locked="0"/>
    </xf>
    <xf numFmtId="0" fontId="110" fillId="0" borderId="0" xfId="5" applyFont="1" applyProtection="1">
      <protection locked="0"/>
    </xf>
    <xf numFmtId="1" fontId="109" fillId="0" borderId="0" xfId="5" quotePrefix="1" applyNumberFormat="1" applyFont="1" applyProtection="1">
      <protection locked="0"/>
    </xf>
    <xf numFmtId="0" fontId="112" fillId="0" borderId="0" xfId="5" applyFont="1" applyProtection="1">
      <protection locked="0"/>
    </xf>
    <xf numFmtId="186" fontId="110" fillId="0" borderId="0" xfId="5" quotePrefix="1" applyNumberFormat="1" applyFont="1" applyAlignment="1" applyProtection="1">
      <alignment horizontal="left"/>
      <protection locked="0"/>
    </xf>
    <xf numFmtId="2" fontId="109" fillId="0" borderId="0" xfId="5" quotePrefix="1" applyNumberFormat="1" applyFont="1" applyProtection="1">
      <protection locked="0"/>
    </xf>
    <xf numFmtId="0" fontId="5" fillId="0" borderId="0" xfId="5" applyAlignment="1">
      <alignment vertical="top" wrapText="1"/>
    </xf>
    <xf numFmtId="0" fontId="110" fillId="0" borderId="3" xfId="5" applyFont="1" applyBorder="1" applyAlignment="1">
      <alignment vertical="top"/>
    </xf>
    <xf numFmtId="0" fontId="110" fillId="0" borderId="13" xfId="5" applyFont="1" applyBorder="1" applyAlignment="1" applyProtection="1">
      <alignment vertical="top" wrapText="1"/>
      <protection locked="0"/>
    </xf>
    <xf numFmtId="0" fontId="110" fillId="0" borderId="13" xfId="5" applyFont="1" applyBorder="1" applyAlignment="1" applyProtection="1">
      <alignment vertical="top"/>
      <protection locked="0"/>
    </xf>
    <xf numFmtId="0" fontId="113" fillId="0" borderId="0" xfId="5" applyFont="1" applyAlignment="1">
      <alignment vertical="top"/>
    </xf>
    <xf numFmtId="0" fontId="110" fillId="0" borderId="0" xfId="5" applyFont="1" applyAlignment="1" applyProtection="1">
      <alignment horizontal="center" vertical="top" wrapText="1"/>
      <protection locked="0"/>
    </xf>
    <xf numFmtId="0" fontId="104" fillId="0" borderId="0" xfId="5" applyFont="1" applyAlignment="1">
      <alignment horizontal="center"/>
    </xf>
    <xf numFmtId="0" fontId="105" fillId="0" borderId="0" xfId="5" applyFont="1"/>
    <xf numFmtId="0" fontId="110" fillId="0" borderId="0" xfId="5" applyFont="1" applyAlignment="1">
      <alignment horizontal="center" vertical="top" wrapText="1"/>
    </xf>
    <xf numFmtId="0" fontId="110" fillId="0" borderId="0" xfId="5" applyFont="1" applyAlignment="1">
      <alignment vertical="top" wrapText="1"/>
    </xf>
    <xf numFmtId="0" fontId="110" fillId="0" borderId="0" xfId="5" applyFont="1" applyAlignment="1">
      <alignment horizontal="justify" vertical="center" wrapText="1"/>
    </xf>
    <xf numFmtId="0" fontId="47" fillId="0" borderId="0" xfId="5" applyFont="1" applyAlignment="1">
      <alignment vertical="center"/>
    </xf>
    <xf numFmtId="0" fontId="5" fillId="0" borderId="30" xfId="5" applyBorder="1"/>
    <xf numFmtId="0" fontId="121" fillId="0" borderId="36" xfId="5" applyFont="1" applyBorder="1"/>
    <xf numFmtId="0" fontId="5" fillId="0" borderId="31" xfId="5" applyBorder="1"/>
    <xf numFmtId="0" fontId="5" fillId="0" borderId="40" xfId="5" applyBorder="1"/>
    <xf numFmtId="0" fontId="5" fillId="0" borderId="31" xfId="5" applyBorder="1" applyAlignment="1">
      <alignment wrapText="1"/>
    </xf>
    <xf numFmtId="0" fontId="5" fillId="0" borderId="40" xfId="5" applyBorder="1" applyAlignment="1">
      <alignment wrapText="1"/>
    </xf>
    <xf numFmtId="0" fontId="121" fillId="0" borderId="40" xfId="5" applyFont="1" applyBorder="1"/>
    <xf numFmtId="0" fontId="114" fillId="0" borderId="40" xfId="5" applyFont="1" applyBorder="1" applyAlignment="1">
      <alignment horizontal="left" wrapText="1"/>
    </xf>
    <xf numFmtId="0" fontId="5" fillId="0" borderId="0" xfId="5" applyAlignment="1">
      <alignment wrapText="1"/>
    </xf>
    <xf numFmtId="0" fontId="114" fillId="0" borderId="31" xfId="5" applyFont="1" applyBorder="1" applyAlignment="1">
      <alignment wrapText="1"/>
    </xf>
    <xf numFmtId="183" fontId="114" fillId="0" borderId="40" xfId="5" applyNumberFormat="1" applyFont="1" applyBorder="1" applyAlignment="1">
      <alignment horizontal="left"/>
    </xf>
    <xf numFmtId="183" fontId="5" fillId="0" borderId="40" xfId="5" applyNumberFormat="1" applyBorder="1"/>
    <xf numFmtId="0" fontId="122" fillId="0" borderId="40" xfId="5" applyFont="1" applyBorder="1" applyAlignment="1">
      <alignment horizontal="left" wrapText="1"/>
    </xf>
    <xf numFmtId="0" fontId="114" fillId="0" borderId="40" xfId="5" applyFont="1" applyBorder="1" applyAlignment="1">
      <alignment wrapText="1"/>
    </xf>
    <xf numFmtId="0" fontId="114" fillId="0" borderId="31" xfId="5" applyFont="1" applyBorder="1"/>
    <xf numFmtId="0" fontId="114" fillId="0" borderId="37" xfId="5" applyFont="1" applyBorder="1"/>
    <xf numFmtId="0" fontId="114" fillId="0" borderId="39" xfId="5" applyFont="1" applyBorder="1" applyAlignment="1">
      <alignment wrapText="1"/>
    </xf>
    <xf numFmtId="2" fontId="123" fillId="0" borderId="0" xfId="0" applyNumberFormat="1" applyFont="1" applyAlignment="1">
      <alignment vertical="center"/>
    </xf>
    <xf numFmtId="2" fontId="16" fillId="3" borderId="1" xfId="0" applyNumberFormat="1" applyFont="1" applyFill="1" applyBorder="1" applyAlignment="1" applyProtection="1">
      <alignment vertical="center"/>
      <protection locked="0"/>
    </xf>
    <xf numFmtId="2" fontId="123" fillId="0" borderId="31" xfId="0" applyNumberFormat="1" applyFont="1" applyBorder="1" applyAlignment="1">
      <alignment vertical="center"/>
    </xf>
    <xf numFmtId="2" fontId="123" fillId="0" borderId="0" xfId="0" applyNumberFormat="1" applyFont="1" applyAlignment="1">
      <alignment horizontal="center" vertical="center"/>
    </xf>
    <xf numFmtId="2" fontId="123" fillId="0" borderId="40" xfId="0" applyNumberFormat="1" applyFont="1" applyBorder="1" applyAlignment="1">
      <alignment vertical="center"/>
    </xf>
    <xf numFmtId="2" fontId="124" fillId="0" borderId="31" xfId="0" applyNumberFormat="1" applyFont="1" applyBorder="1" applyAlignment="1">
      <alignment vertical="center"/>
    </xf>
    <xf numFmtId="2" fontId="124" fillId="0" borderId="0" xfId="0" applyNumberFormat="1" applyFont="1" applyAlignment="1">
      <alignment horizontal="center" vertical="center"/>
    </xf>
    <xf numFmtId="2" fontId="124" fillId="0" borderId="40" xfId="0" applyNumberFormat="1" applyFont="1" applyBorder="1" applyAlignment="1">
      <alignment vertical="center"/>
    </xf>
    <xf numFmtId="2" fontId="124" fillId="0" borderId="0" xfId="0" applyNumberFormat="1" applyFont="1" applyAlignment="1">
      <alignment vertical="center"/>
    </xf>
    <xf numFmtId="2" fontId="123" fillId="12" borderId="0" xfId="0" applyNumberFormat="1" applyFont="1" applyFill="1" applyAlignment="1">
      <alignment vertical="center"/>
    </xf>
    <xf numFmtId="2" fontId="16" fillId="12" borderId="0" xfId="0" applyNumberFormat="1" applyFont="1" applyFill="1" applyAlignment="1" applyProtection="1">
      <alignment vertical="center"/>
      <protection locked="0"/>
    </xf>
    <xf numFmtId="2" fontId="16" fillId="12" borderId="0" xfId="0" applyNumberFormat="1" applyFont="1" applyFill="1" applyAlignment="1" applyProtection="1">
      <alignment horizontal="right" vertical="center"/>
      <protection hidden="1"/>
    </xf>
    <xf numFmtId="2" fontId="16" fillId="3" borderId="0" xfId="0" applyNumberFormat="1" applyFont="1" applyFill="1" applyAlignment="1" applyProtection="1">
      <alignment horizontal="center" vertical="center" wrapText="1"/>
      <protection locked="0"/>
    </xf>
    <xf numFmtId="2" fontId="125" fillId="12" borderId="0" xfId="0" applyNumberFormat="1" applyFont="1" applyFill="1" applyAlignment="1" applyProtection="1">
      <alignment vertical="center"/>
      <protection locked="0"/>
    </xf>
    <xf numFmtId="2" fontId="16" fillId="0" borderId="0" xfId="0" applyNumberFormat="1" applyFont="1" applyAlignment="1" applyProtection="1">
      <alignment horizontal="right" vertical="center"/>
      <protection hidden="1"/>
    </xf>
    <xf numFmtId="2" fontId="123" fillId="0" borderId="37" xfId="0" applyNumberFormat="1" applyFont="1" applyBorder="1" applyAlignment="1">
      <alignment vertical="center"/>
    </xf>
    <xf numFmtId="2" fontId="123" fillId="0" borderId="38" xfId="0" applyNumberFormat="1" applyFont="1" applyBorder="1" applyAlignment="1">
      <alignment vertical="center"/>
    </xf>
    <xf numFmtId="2" fontId="123" fillId="0" borderId="39" xfId="0" applyNumberFormat="1" applyFont="1" applyBorder="1" applyAlignment="1">
      <alignment vertical="center"/>
    </xf>
    <xf numFmtId="2" fontId="16" fillId="3" borderId="0" xfId="0" applyNumberFormat="1" applyFont="1" applyFill="1" applyAlignment="1" applyProtection="1">
      <alignment vertical="center"/>
      <protection locked="0"/>
    </xf>
    <xf numFmtId="2" fontId="16" fillId="3" borderId="38" xfId="0" applyNumberFormat="1" applyFont="1" applyFill="1" applyBorder="1" applyAlignment="1" applyProtection="1">
      <alignment vertical="center"/>
      <protection locked="0"/>
    </xf>
    <xf numFmtId="2" fontId="16" fillId="0" borderId="38" xfId="0" applyNumberFormat="1" applyFont="1" applyBorder="1" applyAlignment="1" applyProtection="1">
      <alignment horizontal="right" vertical="center"/>
      <protection hidden="1"/>
    </xf>
    <xf numFmtId="2" fontId="16" fillId="3" borderId="38" xfId="0" applyNumberFormat="1" applyFont="1" applyFill="1" applyBorder="1" applyAlignment="1" applyProtection="1">
      <alignment horizontal="center" vertical="center" wrapText="1"/>
      <protection locked="0"/>
    </xf>
    <xf numFmtId="165" fontId="9" fillId="12" borderId="1" xfId="0" applyNumberFormat="1" applyFont="1" applyFill="1" applyBorder="1"/>
    <xf numFmtId="167" fontId="16" fillId="3" borderId="0" xfId="0" applyNumberFormat="1" applyFont="1" applyFill="1" applyAlignment="1" applyProtection="1">
      <alignment horizontal="center" vertical="center" wrapText="1"/>
      <protection locked="0"/>
    </xf>
    <xf numFmtId="2" fontId="123" fillId="3" borderId="0" xfId="0" applyNumberFormat="1" applyFont="1" applyFill="1" applyAlignment="1">
      <alignment vertical="center"/>
    </xf>
    <xf numFmtId="0" fontId="0" fillId="0" borderId="0" xfId="0" applyAlignment="1">
      <alignment horizontal="right"/>
    </xf>
    <xf numFmtId="0" fontId="18" fillId="4" borderId="0" xfId="0" applyFont="1" applyFill="1"/>
    <xf numFmtId="0" fontId="18" fillId="4" borderId="6" xfId="0" quotePrefix="1" applyFont="1" applyFill="1" applyBorder="1" applyAlignment="1">
      <alignment horizontal="left" vertical="center"/>
    </xf>
    <xf numFmtId="164" fontId="17" fillId="0" borderId="1" xfId="3" applyNumberFormat="1" applyFont="1" applyBorder="1" applyAlignment="1">
      <alignment horizontal="right" vertical="center" wrapText="1"/>
    </xf>
    <xf numFmtId="1" fontId="45" fillId="5" borderId="15" xfId="0" quotePrefix="1" applyNumberFormat="1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/>
    </xf>
    <xf numFmtId="1" fontId="3" fillId="5" borderId="15" xfId="0" quotePrefix="1" applyNumberFormat="1" applyFont="1" applyFill="1" applyBorder="1" applyAlignment="1">
      <alignment horizontal="left" vertical="center"/>
    </xf>
    <xf numFmtId="164" fontId="18" fillId="0" borderId="1" xfId="0" applyNumberFormat="1" applyFont="1" applyBorder="1"/>
    <xf numFmtId="0" fontId="18" fillId="8" borderId="6" xfId="0" quotePrefix="1" applyFont="1" applyFill="1" applyBorder="1" applyAlignment="1">
      <alignment horizontal="left" vertical="center"/>
    </xf>
    <xf numFmtId="164" fontId="3" fillId="0" borderId="1" xfId="0" quotePrefix="1" applyNumberFormat="1" applyFont="1" applyBorder="1" applyAlignment="1">
      <alignment horizontal="right"/>
    </xf>
    <xf numFmtId="14" fontId="18" fillId="8" borderId="6" xfId="0" quotePrefix="1" applyNumberFormat="1" applyFont="1" applyFill="1" applyBorder="1" applyAlignment="1">
      <alignment horizontal="left" vertical="center"/>
    </xf>
    <xf numFmtId="1" fontId="3" fillId="8" borderId="15" xfId="0" quotePrefix="1" applyNumberFormat="1" applyFont="1" applyFill="1" applyBorder="1" applyAlignment="1">
      <alignment horizontal="left" vertical="center"/>
    </xf>
    <xf numFmtId="0" fontId="18" fillId="0" borderId="1" xfId="0" applyFont="1" applyBorder="1" applyAlignment="1">
      <alignment horizontal="left"/>
    </xf>
    <xf numFmtId="1" fontId="18" fillId="5" borderId="15" xfId="0" quotePrefix="1" applyNumberFormat="1" applyFont="1" applyFill="1" applyBorder="1" applyAlignment="1">
      <alignment horizontal="left" vertical="center"/>
    </xf>
    <xf numFmtId="14" fontId="18" fillId="4" borderId="6" xfId="0" quotePrefix="1" applyNumberFormat="1" applyFont="1" applyFill="1" applyBorder="1" applyAlignment="1">
      <alignment horizontal="left" vertical="center"/>
    </xf>
    <xf numFmtId="14" fontId="18" fillId="4" borderId="1" xfId="0" quotePrefix="1" applyNumberFormat="1" applyFont="1" applyFill="1" applyBorder="1" applyAlignment="1">
      <alignment horizontal="left" vertical="center"/>
    </xf>
    <xf numFmtId="164" fontId="17" fillId="0" borderId="3" xfId="3" applyNumberFormat="1" applyFont="1" applyBorder="1" applyAlignment="1">
      <alignment horizontal="right" vertical="center"/>
    </xf>
    <xf numFmtId="2" fontId="81" fillId="12" borderId="3" xfId="0" applyNumberFormat="1" applyFont="1" applyFill="1" applyBorder="1" applyAlignment="1">
      <alignment horizontal="center" vertical="center"/>
    </xf>
    <xf numFmtId="1" fontId="126" fillId="8" borderId="1" xfId="0" applyNumberFormat="1" applyFont="1" applyFill="1" applyBorder="1" applyAlignment="1" applyProtection="1">
      <alignment horizontal="center"/>
      <protection hidden="1"/>
    </xf>
    <xf numFmtId="1" fontId="126" fillId="8" borderId="1" xfId="0" applyNumberFormat="1" applyFont="1" applyFill="1" applyBorder="1" applyAlignment="1" applyProtection="1">
      <alignment vertical="center"/>
      <protection hidden="1"/>
    </xf>
    <xf numFmtId="1" fontId="7" fillId="8" borderId="1" xfId="0" applyNumberFormat="1" applyFont="1" applyFill="1" applyBorder="1" applyAlignment="1" applyProtection="1">
      <alignment horizontal="center"/>
      <protection hidden="1"/>
    </xf>
    <xf numFmtId="1" fontId="7" fillId="8" borderId="1" xfId="0" applyNumberFormat="1" applyFont="1" applyFill="1" applyBorder="1" applyAlignment="1" applyProtection="1">
      <alignment vertical="center"/>
      <protection hidden="1"/>
    </xf>
    <xf numFmtId="164" fontId="91" fillId="0" borderId="22" xfId="0" applyNumberFormat="1" applyFont="1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26" fillId="7" borderId="25" xfId="0" applyFont="1" applyFill="1" applyBorder="1" applyAlignment="1">
      <alignment vertical="center"/>
    </xf>
    <xf numFmtId="164" fontId="28" fillId="3" borderId="26" xfId="0" applyNumberFormat="1" applyFont="1" applyFill="1" applyBorder="1" applyAlignment="1">
      <alignment horizontal="center" vertical="center"/>
    </xf>
    <xf numFmtId="0" fontId="91" fillId="11" borderId="0" xfId="0" applyFont="1" applyFill="1"/>
    <xf numFmtId="167" fontId="91" fillId="11" borderId="0" xfId="0" applyNumberFormat="1" applyFont="1" applyFill="1"/>
    <xf numFmtId="2" fontId="91" fillId="0" borderId="22" xfId="0" applyNumberFormat="1" applyFont="1" applyBorder="1" applyAlignment="1">
      <alignment horizontal="center" vertical="center"/>
    </xf>
    <xf numFmtId="164" fontId="0" fillId="0" borderId="27" xfId="0" applyNumberFormat="1" applyBorder="1" applyAlignment="1">
      <alignment horizontal="center" vertical="center"/>
    </xf>
    <xf numFmtId="0" fontId="98" fillId="3" borderId="22" xfId="0" applyFont="1" applyFill="1" applyBorder="1" applyAlignment="1">
      <alignment horizontal="center" vertical="center"/>
    </xf>
    <xf numFmtId="1" fontId="101" fillId="3" borderId="1" xfId="0" applyNumberFormat="1" applyFont="1" applyFill="1" applyBorder="1" applyAlignment="1" applyProtection="1">
      <alignment horizontal="left"/>
      <protection hidden="1"/>
    </xf>
    <xf numFmtId="164" fontId="91" fillId="0" borderId="0" xfId="0" applyNumberFormat="1" applyFont="1" applyAlignment="1">
      <alignment horizontal="center"/>
    </xf>
    <xf numFmtId="164" fontId="81" fillId="0" borderId="1" xfId="0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28" fillId="3" borderId="26" xfId="0" applyNumberFormat="1" applyFont="1" applyFill="1" applyBorder="1" applyAlignment="1">
      <alignment horizontal="center" vertical="center"/>
    </xf>
    <xf numFmtId="0" fontId="50" fillId="11" borderId="1" xfId="0" applyFont="1" applyFill="1" applyBorder="1" applyAlignment="1">
      <alignment vertical="center"/>
    </xf>
    <xf numFmtId="2" fontId="50" fillId="11" borderId="1" xfId="0" applyNumberFormat="1" applyFont="1" applyFill="1" applyBorder="1" applyAlignment="1">
      <alignment horizontal="center" vertical="center"/>
    </xf>
    <xf numFmtId="164" fontId="50" fillId="11" borderId="26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center"/>
    </xf>
    <xf numFmtId="167" fontId="0" fillId="0" borderId="22" xfId="0" applyNumberFormat="1" applyBorder="1" applyAlignment="1">
      <alignment horizontal="right" vertical="center"/>
    </xf>
    <xf numFmtId="1" fontId="110" fillId="8" borderId="1" xfId="0" applyNumberFormat="1" applyFont="1" applyFill="1" applyBorder="1" applyAlignment="1" applyProtection="1">
      <alignment horizontal="center"/>
      <protection hidden="1"/>
    </xf>
    <xf numFmtId="1" fontId="110" fillId="8" borderId="1" xfId="0" applyNumberFormat="1" applyFont="1" applyFill="1" applyBorder="1" applyAlignment="1" applyProtection="1">
      <alignment horizontal="right"/>
      <protection hidden="1"/>
    </xf>
    <xf numFmtId="1" fontId="110" fillId="8" borderId="1" xfId="0" applyNumberFormat="1" applyFont="1" applyFill="1" applyBorder="1" applyAlignment="1" applyProtection="1">
      <alignment vertical="center"/>
      <protection hidden="1"/>
    </xf>
    <xf numFmtId="164" fontId="5" fillId="0" borderId="1" xfId="0" applyNumberFormat="1" applyFont="1" applyBorder="1" applyAlignment="1">
      <alignment horizontal="right" vertical="center"/>
    </xf>
    <xf numFmtId="0" fontId="0" fillId="0" borderId="1" xfId="0" applyBorder="1" applyAlignment="1">
      <alignment horizontal="right"/>
    </xf>
    <xf numFmtId="164" fontId="0" fillId="0" borderId="0" xfId="0" applyNumberFormat="1" applyAlignment="1">
      <alignment horizontal="right" vertical="center"/>
    </xf>
    <xf numFmtId="164" fontId="5" fillId="0" borderId="22" xfId="0" applyNumberFormat="1" applyFont="1" applyBorder="1" applyAlignment="1">
      <alignment horizontal="right" vertical="center"/>
    </xf>
    <xf numFmtId="164" fontId="0" fillId="0" borderId="22" xfId="0" applyNumberFormat="1" applyBorder="1" applyAlignment="1">
      <alignment horizontal="right" vertical="center"/>
    </xf>
    <xf numFmtId="164" fontId="0" fillId="0" borderId="24" xfId="0" applyNumberFormat="1" applyBorder="1" applyAlignment="1">
      <alignment horizontal="right" vertical="center"/>
    </xf>
    <xf numFmtId="164" fontId="91" fillId="11" borderId="0" xfId="0" applyNumberFormat="1" applyFont="1" applyFill="1" applyAlignment="1">
      <alignment horizontal="right" vertical="center"/>
    </xf>
    <xf numFmtId="167" fontId="110" fillId="8" borderId="1" xfId="0" applyNumberFormat="1" applyFont="1" applyFill="1" applyBorder="1" applyAlignment="1" applyProtection="1">
      <alignment horizontal="right"/>
      <protection hidden="1"/>
    </xf>
    <xf numFmtId="167" fontId="5" fillId="10" borderId="1" xfId="0" applyNumberFormat="1" applyFont="1" applyFill="1" applyBorder="1" applyAlignment="1">
      <alignment horizontal="right" vertical="center"/>
    </xf>
    <xf numFmtId="0" fontId="28" fillId="7" borderId="1" xfId="0" applyFont="1" applyFill="1" applyBorder="1"/>
    <xf numFmtId="167" fontId="28" fillId="3" borderId="1" xfId="0" applyNumberFormat="1" applyFont="1" applyFill="1" applyBorder="1" applyAlignment="1">
      <alignment horizontal="right"/>
    </xf>
    <xf numFmtId="167" fontId="26" fillId="10" borderId="1" xfId="0" applyNumberFormat="1" applyFont="1" applyFill="1" applyBorder="1" applyAlignment="1">
      <alignment horizontal="right" vertical="center"/>
    </xf>
    <xf numFmtId="0" fontId="91" fillId="7" borderId="1" xfId="0" applyFont="1" applyFill="1" applyBorder="1"/>
    <xf numFmtId="1" fontId="47" fillId="10" borderId="1" xfId="0" applyNumberFormat="1" applyFont="1" applyFill="1" applyBorder="1" applyAlignment="1" applyProtection="1">
      <alignment horizontal="left"/>
      <protection hidden="1"/>
    </xf>
    <xf numFmtId="167" fontId="50" fillId="3" borderId="1" xfId="0" applyNumberFormat="1" applyFont="1" applyFill="1" applyBorder="1" applyAlignment="1">
      <alignment horizontal="right"/>
    </xf>
    <xf numFmtId="1" fontId="51" fillId="10" borderId="7" xfId="0" applyNumberFormat="1" applyFont="1" applyFill="1" applyBorder="1" applyAlignment="1" applyProtection="1">
      <alignment horizontal="left"/>
      <protection hidden="1"/>
    </xf>
    <xf numFmtId="2" fontId="123" fillId="0" borderId="1" xfId="0" applyNumberFormat="1" applyFont="1" applyBorder="1" applyAlignment="1">
      <alignment horizontal="center" vertical="center"/>
    </xf>
    <xf numFmtId="2" fontId="123" fillId="0" borderId="1" xfId="0" applyNumberFormat="1" applyFont="1" applyBorder="1" applyAlignment="1">
      <alignment vertical="center"/>
    </xf>
    <xf numFmtId="1" fontId="53" fillId="0" borderId="0" xfId="0" applyNumberFormat="1" applyFont="1" applyProtection="1">
      <protection locked="0"/>
    </xf>
    <xf numFmtId="1" fontId="53" fillId="0" borderId="0" xfId="0" applyNumberFormat="1" applyFont="1" applyAlignment="1" applyProtection="1">
      <alignment horizontal="left"/>
      <protection locked="0"/>
    </xf>
    <xf numFmtId="0" fontId="56" fillId="0" borderId="3" xfId="4" applyFont="1" applyBorder="1" applyAlignment="1" applyProtection="1">
      <alignment horizontal="left"/>
      <protection locked="0"/>
    </xf>
    <xf numFmtId="164" fontId="56" fillId="0" borderId="15" xfId="0" applyNumberFormat="1" applyFont="1" applyBorder="1" applyAlignment="1" applyProtection="1">
      <alignment horizontal="center"/>
      <protection locked="0"/>
    </xf>
    <xf numFmtId="164" fontId="56" fillId="0" borderId="13" xfId="0" applyNumberFormat="1" applyFont="1" applyBorder="1" applyAlignment="1" applyProtection="1">
      <alignment horizontal="center"/>
      <protection locked="0"/>
    </xf>
    <xf numFmtId="0" fontId="56" fillId="3" borderId="12" xfId="4" applyFont="1" applyFill="1" applyBorder="1" applyAlignment="1">
      <alignment horizontal="left" vertical="center"/>
    </xf>
    <xf numFmtId="0" fontId="56" fillId="3" borderId="8" xfId="4" applyFont="1" applyFill="1" applyBorder="1" applyAlignment="1">
      <alignment horizontal="left" vertical="center"/>
    </xf>
    <xf numFmtId="0" fontId="54" fillId="3" borderId="1" xfId="0" applyFont="1" applyFill="1" applyBorder="1" applyAlignment="1">
      <alignment horizontal="center" vertical="center"/>
    </xf>
    <xf numFmtId="0" fontId="26" fillId="3" borderId="0" xfId="0" applyFont="1" applyFill="1" applyAlignment="1">
      <alignment horizontal="center" vertical="center" wrapText="1"/>
    </xf>
    <xf numFmtId="0" fontId="56" fillId="3" borderId="0" xfId="0" applyFont="1" applyFill="1" applyAlignment="1">
      <alignment horizontal="left" vertical="center"/>
    </xf>
    <xf numFmtId="0" fontId="53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left" vertical="center"/>
    </xf>
    <xf numFmtId="0" fontId="56" fillId="3" borderId="5" xfId="0" applyFont="1" applyFill="1" applyBorder="1" applyAlignment="1">
      <alignment horizontal="center"/>
    </xf>
    <xf numFmtId="0" fontId="56" fillId="3" borderId="10" xfId="0" applyFont="1" applyFill="1" applyBorder="1" applyAlignment="1">
      <alignment horizontal="center"/>
    </xf>
    <xf numFmtId="0" fontId="56" fillId="3" borderId="7" xfId="0" applyFont="1" applyFill="1" applyBorder="1" applyAlignment="1">
      <alignment horizontal="center"/>
    </xf>
    <xf numFmtId="0" fontId="53" fillId="3" borderId="1" xfId="0" applyFont="1" applyFill="1" applyBorder="1" applyAlignment="1">
      <alignment horizontal="center" vertical="center"/>
    </xf>
    <xf numFmtId="0" fontId="79" fillId="3" borderId="1" xfId="0" applyFont="1" applyFill="1" applyBorder="1" applyAlignment="1">
      <alignment horizontal="center" vertical="center"/>
    </xf>
    <xf numFmtId="0" fontId="56" fillId="3" borderId="0" xfId="0" applyFont="1" applyFill="1" applyAlignment="1">
      <alignment horizontal="center" vertical="center" wrapText="1"/>
    </xf>
    <xf numFmtId="0" fontId="53" fillId="3" borderId="12" xfId="0" applyFont="1" applyFill="1" applyBorder="1" applyAlignment="1">
      <alignment horizontal="center" vertical="center"/>
    </xf>
    <xf numFmtId="1" fontId="53" fillId="3" borderId="0" xfId="0" applyNumberFormat="1" applyFont="1" applyFill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 vertical="center"/>
      <protection locked="0"/>
    </xf>
    <xf numFmtId="0" fontId="2" fillId="0" borderId="3" xfId="0" applyFont="1" applyBorder="1" applyAlignment="1">
      <alignment horizontal="center" vertical="center"/>
    </xf>
    <xf numFmtId="0" fontId="24" fillId="2" borderId="0" xfId="0" applyFont="1" applyFill="1" applyAlignment="1">
      <alignment horizontal="left" vertical="center"/>
    </xf>
    <xf numFmtId="0" fontId="67" fillId="3" borderId="0" xfId="0" applyFont="1" applyFill="1" applyAlignment="1">
      <alignment vertical="center"/>
    </xf>
    <xf numFmtId="0" fontId="53" fillId="3" borderId="0" xfId="0" quotePrefix="1" applyFont="1" applyFill="1" applyAlignment="1">
      <alignment vertical="center"/>
    </xf>
    <xf numFmtId="0" fontId="55" fillId="3" borderId="0" xfId="0" applyFont="1" applyFill="1"/>
    <xf numFmtId="0" fontId="53" fillId="3" borderId="0" xfId="0" applyFont="1" applyFill="1"/>
    <xf numFmtId="0" fontId="68" fillId="3" borderId="0" xfId="0" applyFont="1" applyFill="1"/>
    <xf numFmtId="0" fontId="55" fillId="3" borderId="0" xfId="0" applyFont="1" applyFill="1" applyAlignment="1">
      <alignment vertical="center"/>
    </xf>
    <xf numFmtId="0" fontId="68" fillId="3" borderId="0" xfId="0" applyFont="1" applyFill="1" applyAlignment="1">
      <alignment vertical="center"/>
    </xf>
    <xf numFmtId="167" fontId="53" fillId="3" borderId="0" xfId="0" applyNumberFormat="1" applyFont="1" applyFill="1" applyAlignment="1">
      <alignment vertical="center"/>
    </xf>
    <xf numFmtId="0" fontId="56" fillId="0" borderId="1" xfId="1" applyFont="1" applyBorder="1" applyAlignment="1">
      <alignment vertical="center"/>
    </xf>
    <xf numFmtId="0" fontId="68" fillId="3" borderId="0" xfId="0" quotePrefix="1" applyFont="1" applyFill="1" applyAlignment="1">
      <alignment horizontal="center" vertical="center"/>
    </xf>
    <xf numFmtId="0" fontId="56" fillId="3" borderId="1" xfId="0" applyFont="1" applyFill="1" applyBorder="1" applyAlignment="1">
      <alignment vertical="center"/>
    </xf>
    <xf numFmtId="0" fontId="59" fillId="3" borderId="0" xfId="0" applyFont="1" applyFill="1" applyAlignment="1">
      <alignment horizontal="center" vertical="center"/>
    </xf>
    <xf numFmtId="0" fontId="59" fillId="0" borderId="0" xfId="0" applyFont="1" applyAlignment="1">
      <alignment vertical="center"/>
    </xf>
    <xf numFmtId="0" fontId="4" fillId="3" borderId="0" xfId="0" applyFont="1" applyFill="1" applyAlignment="1">
      <alignment horizontal="left"/>
    </xf>
    <xf numFmtId="1" fontId="56" fillId="0" borderId="0" xfId="0" applyNumberFormat="1" applyFont="1" applyAlignment="1">
      <alignment horizontal="left"/>
    </xf>
    <xf numFmtId="0" fontId="40" fillId="0" borderId="0" xfId="1" applyFont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left" vertical="center"/>
    </xf>
    <xf numFmtId="0" fontId="79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vertical="center"/>
    </xf>
    <xf numFmtId="0" fontId="9" fillId="0" borderId="0" xfId="1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0" fontId="41" fillId="3" borderId="0" xfId="0" applyFont="1" applyFill="1" applyAlignment="1">
      <alignment horizontal="right" vertical="center"/>
    </xf>
    <xf numFmtId="0" fontId="24" fillId="2" borderId="0" xfId="0" applyFont="1" applyFill="1" applyAlignment="1">
      <alignment horizontal="left"/>
    </xf>
    <xf numFmtId="0" fontId="39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41" fillId="2" borderId="0" xfId="0" applyFont="1" applyFill="1" applyAlignment="1">
      <alignment horizontal="right" vertical="center"/>
    </xf>
    <xf numFmtId="0" fontId="9" fillId="3" borderId="3" xfId="4" applyFont="1" applyFill="1" applyBorder="1" applyAlignment="1" applyProtection="1">
      <alignment horizontal="left" vertical="center"/>
      <protection locked="0"/>
    </xf>
    <xf numFmtId="164" fontId="9" fillId="3" borderId="15" xfId="0" applyNumberFormat="1" applyFont="1" applyFill="1" applyBorder="1" applyAlignment="1" applyProtection="1">
      <alignment horizontal="center" vertical="center"/>
      <protection locked="0"/>
    </xf>
    <xf numFmtId="164" fontId="9" fillId="3" borderId="13" xfId="0" applyNumberFormat="1" applyFont="1" applyFill="1" applyBorder="1" applyAlignment="1" applyProtection="1">
      <alignment horizontal="center" vertical="center"/>
      <protection locked="0"/>
    </xf>
    <xf numFmtId="0" fontId="9" fillId="3" borderId="3" xfId="4" applyFont="1" applyFill="1" applyBorder="1" applyAlignment="1" applyProtection="1">
      <alignment horizontal="center" vertical="center"/>
      <protection locked="0"/>
    </xf>
    <xf numFmtId="1" fontId="2" fillId="3" borderId="1" xfId="0" applyNumberFormat="1" applyFont="1" applyFill="1" applyBorder="1" applyAlignment="1" applyProtection="1">
      <alignment horizontal="center"/>
      <protection locked="0"/>
    </xf>
    <xf numFmtId="164" fontId="9" fillId="3" borderId="1" xfId="0" applyNumberFormat="1" applyFont="1" applyFill="1" applyBorder="1" applyAlignment="1" applyProtection="1">
      <alignment horizontal="center"/>
      <protection locked="0"/>
    </xf>
    <xf numFmtId="164" fontId="2" fillId="3" borderId="0" xfId="0" applyNumberFormat="1" applyFont="1" applyFill="1"/>
    <xf numFmtId="0" fontId="60" fillId="2" borderId="0" xfId="0" applyFont="1" applyFill="1" applyAlignment="1">
      <alignment horizontal="center"/>
    </xf>
    <xf numFmtId="0" fontId="53" fillId="2" borderId="0" xfId="0" applyFont="1" applyFill="1" applyAlignment="1">
      <alignment horizontal="center"/>
    </xf>
    <xf numFmtId="2" fontId="53" fillId="2" borderId="0" xfId="0" applyNumberFormat="1" applyFont="1" applyFill="1" applyAlignment="1">
      <alignment horizontal="center"/>
    </xf>
    <xf numFmtId="0" fontId="53" fillId="3" borderId="0" xfId="0" applyFont="1" applyFill="1" applyAlignment="1">
      <alignment horizontal="left"/>
    </xf>
    <xf numFmtId="1" fontId="53" fillId="3" borderId="0" xfId="0" applyNumberFormat="1" applyFont="1" applyFill="1"/>
    <xf numFmtId="0" fontId="53" fillId="3" borderId="0" xfId="0" applyFont="1" applyFill="1" applyAlignment="1">
      <alignment horizontal="center"/>
    </xf>
    <xf numFmtId="2" fontId="53" fillId="3" borderId="0" xfId="0" applyNumberFormat="1" applyFont="1" applyFill="1" applyAlignment="1">
      <alignment horizontal="center"/>
    </xf>
    <xf numFmtId="0" fontId="53" fillId="0" borderId="0" xfId="0" applyFont="1" applyAlignment="1">
      <alignment horizontal="center"/>
    </xf>
    <xf numFmtId="2" fontId="53" fillId="0" borderId="0" xfId="0" applyNumberFormat="1" applyFont="1" applyAlignment="1">
      <alignment horizontal="center"/>
    </xf>
    <xf numFmtId="0" fontId="66" fillId="2" borderId="0" xfId="0" applyFont="1" applyFill="1"/>
    <xf numFmtId="0" fontId="60" fillId="2" borderId="0" xfId="0" applyFont="1" applyFill="1"/>
    <xf numFmtId="0" fontId="59" fillId="3" borderId="0" xfId="1" applyFont="1" applyFill="1" applyAlignment="1">
      <alignment vertical="center"/>
    </xf>
    <xf numFmtId="0" fontId="72" fillId="0" borderId="0" xfId="0" applyFont="1"/>
    <xf numFmtId="164" fontId="2" fillId="3" borderId="0" xfId="0" applyNumberFormat="1" applyFont="1" applyFill="1" applyAlignment="1">
      <alignment horizontal="center"/>
    </xf>
    <xf numFmtId="0" fontId="24" fillId="0" borderId="0" xfId="0" applyFont="1" applyAlignment="1">
      <alignment horizontal="left"/>
    </xf>
    <xf numFmtId="0" fontId="53" fillId="3" borderId="0" xfId="0" applyFont="1" applyFill="1" applyAlignment="1">
      <alignment vertical="top" wrapText="1"/>
    </xf>
    <xf numFmtId="0" fontId="13" fillId="3" borderId="12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8" fillId="3" borderId="0" xfId="0" applyFont="1" applyFill="1" applyAlignment="1">
      <alignment horizontal="center" vertical="center"/>
    </xf>
    <xf numFmtId="0" fontId="123" fillId="0" borderId="1" xfId="0" applyFont="1" applyBorder="1"/>
    <xf numFmtId="0" fontId="20" fillId="5" borderId="1" xfId="0" applyFont="1" applyFill="1" applyBorder="1" applyAlignment="1" applyProtection="1">
      <alignment horizontal="center"/>
      <protection hidden="1"/>
    </xf>
    <xf numFmtId="164" fontId="123" fillId="0" borderId="1" xfId="0" applyNumberFormat="1" applyFont="1" applyBorder="1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8" borderId="0" xfId="0" applyFill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12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16" fillId="0" borderId="0" xfId="0" applyFont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164" fontId="123" fillId="5" borderId="1" xfId="0" applyNumberFormat="1" applyFont="1" applyFill="1" applyBorder="1"/>
    <xf numFmtId="0" fontId="62" fillId="0" borderId="0" xfId="0" applyFont="1" applyAlignment="1" applyProtection="1">
      <alignment vertical="center"/>
      <protection locked="0"/>
    </xf>
    <xf numFmtId="0" fontId="9" fillId="0" borderId="0" xfId="4" applyFont="1"/>
    <xf numFmtId="0" fontId="9" fillId="0" borderId="0" xfId="4" applyFont="1" applyAlignment="1">
      <alignment horizontal="right"/>
    </xf>
    <xf numFmtId="0" fontId="9" fillId="0" borderId="0" xfId="0" applyFont="1"/>
    <xf numFmtId="0" fontId="10" fillId="0" borderId="0" xfId="0" applyFont="1"/>
    <xf numFmtId="0" fontId="96" fillId="0" borderId="0" xfId="0" applyFont="1" applyAlignment="1">
      <alignment horizontal="center" vertical="center"/>
    </xf>
    <xf numFmtId="0" fontId="96" fillId="0" borderId="8" xfId="0" applyFont="1" applyBorder="1" applyAlignment="1">
      <alignment horizontal="center" vertical="center"/>
    </xf>
    <xf numFmtId="0" fontId="40" fillId="0" borderId="0" xfId="0" applyFont="1" applyAlignment="1">
      <alignment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76" fillId="0" borderId="0" xfId="0" applyFont="1" applyAlignment="1">
      <alignment vertical="center" wrapText="1"/>
    </xf>
    <xf numFmtId="0" fontId="40" fillId="0" borderId="12" xfId="0" applyFont="1" applyBorder="1" applyAlignment="1">
      <alignment vertical="center"/>
    </xf>
    <xf numFmtId="0" fontId="76" fillId="0" borderId="7" xfId="0" applyFont="1" applyBorder="1" applyAlignment="1">
      <alignment horizontal="center" vertical="center"/>
    </xf>
    <xf numFmtId="0" fontId="40" fillId="0" borderId="14" xfId="0" applyFont="1" applyBorder="1" applyAlignment="1">
      <alignment vertical="center"/>
    </xf>
    <xf numFmtId="175" fontId="40" fillId="0" borderId="0" xfId="0" applyNumberFormat="1" applyFont="1" applyAlignment="1">
      <alignment vertical="center" wrapText="1"/>
    </xf>
    <xf numFmtId="176" fontId="40" fillId="0" borderId="0" xfId="0" applyNumberFormat="1" applyFont="1" applyAlignment="1">
      <alignment vertical="center" wrapText="1"/>
    </xf>
    <xf numFmtId="0" fontId="40" fillId="0" borderId="1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 wrapText="1"/>
    </xf>
    <xf numFmtId="178" fontId="40" fillId="0" borderId="5" xfId="0" applyNumberFormat="1" applyFont="1" applyBorder="1" applyAlignment="1">
      <alignment horizontal="center" vertical="center"/>
    </xf>
    <xf numFmtId="178" fontId="40" fillId="0" borderId="13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178" fontId="40" fillId="0" borderId="0" xfId="0" applyNumberFormat="1" applyFont="1" applyAlignment="1">
      <alignment vertical="center" wrapText="1"/>
    </xf>
    <xf numFmtId="0" fontId="96" fillId="0" borderId="12" xfId="0" applyFont="1" applyBorder="1" applyAlignment="1">
      <alignment horizontal="center" vertical="center"/>
    </xf>
    <xf numFmtId="0" fontId="118" fillId="0" borderId="3" xfId="0" applyFont="1" applyBorder="1" applyAlignment="1">
      <alignment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9" fillId="0" borderId="3" xfId="4" applyFont="1" applyBorder="1" applyAlignment="1">
      <alignment horizontal="left"/>
    </xf>
    <xf numFmtId="0" fontId="9" fillId="0" borderId="13" xfId="4" applyFont="1" applyBorder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11" xfId="4" applyFont="1" applyBorder="1" applyAlignment="1">
      <alignment horizontal="left"/>
    </xf>
    <xf numFmtId="0" fontId="9" fillId="0" borderId="0" xfId="4" applyFont="1" applyAlignment="1">
      <alignment horizontal="left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62" fillId="0" borderId="1" xfId="0" applyFont="1" applyBorder="1" applyAlignment="1" applyProtection="1">
      <alignment horizontal="center" vertical="center"/>
      <protection locked="0"/>
    </xf>
    <xf numFmtId="0" fontId="62" fillId="0" borderId="15" xfId="0" quotePrefix="1" applyFont="1" applyBorder="1" applyAlignment="1" applyProtection="1">
      <alignment vertical="center"/>
      <protection locked="0"/>
    </xf>
    <xf numFmtId="0" fontId="62" fillId="0" borderId="3" xfId="0" applyFont="1" applyBorder="1" applyAlignment="1">
      <alignment horizontal="center" vertical="center"/>
    </xf>
    <xf numFmtId="0" fontId="71" fillId="0" borderId="7" xfId="0" applyFont="1" applyBorder="1" applyAlignment="1" applyProtection="1">
      <alignment horizontal="center" vertical="center"/>
      <protection locked="0"/>
    </xf>
    <xf numFmtId="0" fontId="9" fillId="0" borderId="3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3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84" fillId="2" borderId="0" xfId="0" applyFont="1" applyFill="1" applyAlignment="1">
      <alignment horizontal="left" vertical="center"/>
    </xf>
    <xf numFmtId="0" fontId="84" fillId="0" borderId="0" xfId="0" applyFont="1" applyAlignment="1">
      <alignment horizontal="left"/>
    </xf>
    <xf numFmtId="164" fontId="84" fillId="3" borderId="1" xfId="0" applyNumberFormat="1" applyFont="1" applyFill="1" applyBorder="1" applyAlignment="1">
      <alignment horizontal="center" vertical="center"/>
    </xf>
    <xf numFmtId="167" fontId="84" fillId="3" borderId="1" xfId="0" applyNumberFormat="1" applyFont="1" applyFill="1" applyBorder="1" applyAlignment="1">
      <alignment horizontal="center" vertical="center"/>
    </xf>
    <xf numFmtId="0" fontId="84" fillId="3" borderId="3" xfId="0" applyFont="1" applyFill="1" applyBorder="1" applyAlignment="1">
      <alignment vertical="center"/>
    </xf>
    <xf numFmtId="1" fontId="84" fillId="3" borderId="1" xfId="4" applyNumberFormat="1" applyFont="1" applyFill="1" applyBorder="1" applyAlignment="1">
      <alignment horizontal="center"/>
    </xf>
    <xf numFmtId="164" fontId="84" fillId="3" borderId="3" xfId="4" applyNumberFormat="1" applyFont="1" applyFill="1" applyBorder="1" applyAlignment="1">
      <alignment horizontal="center"/>
    </xf>
    <xf numFmtId="1" fontId="84" fillId="0" borderId="1" xfId="0" applyNumberFormat="1" applyFont="1" applyBorder="1" applyAlignment="1" applyProtection="1">
      <alignment horizontal="center"/>
      <protection locked="0"/>
    </xf>
    <xf numFmtId="164" fontId="84" fillId="0" borderId="3" xfId="4" applyNumberFormat="1" applyFont="1" applyBorder="1" applyAlignment="1" applyProtection="1">
      <alignment horizontal="center"/>
      <protection locked="0"/>
    </xf>
    <xf numFmtId="164" fontId="84" fillId="0" borderId="1" xfId="0" applyNumberFormat="1" applyFont="1" applyBorder="1" applyAlignment="1" applyProtection="1">
      <alignment horizontal="center" vertical="center"/>
      <protection locked="0"/>
    </xf>
    <xf numFmtId="1" fontId="84" fillId="2" borderId="1" xfId="0" applyNumberFormat="1" applyFont="1" applyFill="1" applyBorder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" fontId="84" fillId="0" borderId="0" xfId="0" applyNumberFormat="1" applyFont="1" applyAlignment="1" applyProtection="1">
      <alignment horizontal="left"/>
      <protection locked="0"/>
    </xf>
    <xf numFmtId="0" fontId="84" fillId="2" borderId="0" xfId="0" applyFont="1" applyFill="1"/>
    <xf numFmtId="0" fontId="9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Alignment="1" applyProtection="1">
      <alignment vertical="center"/>
      <protection locked="0"/>
    </xf>
    <xf numFmtId="0" fontId="129" fillId="0" borderId="0" xfId="0" applyFont="1" applyAlignment="1">
      <alignment vertical="center"/>
    </xf>
    <xf numFmtId="0" fontId="130" fillId="0" borderId="0" xfId="0" applyFont="1" applyAlignment="1">
      <alignment horizontal="center" vertical="center"/>
    </xf>
    <xf numFmtId="0" fontId="130" fillId="0" borderId="0" xfId="0" applyFont="1" applyAlignment="1">
      <alignment vertical="center"/>
    </xf>
    <xf numFmtId="0" fontId="9" fillId="0" borderId="0" xfId="4" applyFont="1" applyAlignment="1" applyProtection="1">
      <alignment horizontal="left"/>
      <protection locked="0"/>
    </xf>
    <xf numFmtId="0" fontId="9" fillId="0" borderId="0" xfId="4" quotePrefix="1" applyFont="1" applyAlignment="1" applyProtection="1">
      <alignment horizontal="left"/>
      <protection locked="0"/>
    </xf>
    <xf numFmtId="0" fontId="10" fillId="0" borderId="0" xfId="0" applyFont="1" applyAlignment="1" applyProtection="1">
      <alignment horizontal="right" vertical="center"/>
      <protection locked="0"/>
    </xf>
    <xf numFmtId="0" fontId="10" fillId="0" borderId="0" xfId="0" applyFont="1" applyAlignment="1">
      <alignment horizontal="left" vertical="center"/>
    </xf>
    <xf numFmtId="164" fontId="9" fillId="0" borderId="0" xfId="0" applyNumberFormat="1" applyFont="1" applyAlignment="1" applyProtection="1">
      <alignment horizontal="left" vertical="center"/>
      <protection locked="0"/>
    </xf>
    <xf numFmtId="166" fontId="9" fillId="0" borderId="0" xfId="0" applyNumberFormat="1" applyFont="1" applyAlignment="1">
      <alignment horizontal="left" vertical="center"/>
    </xf>
    <xf numFmtId="0" fontId="123" fillId="0" borderId="0" xfId="0" applyFont="1" applyAlignment="1">
      <alignment horizontal="center" vertical="center"/>
    </xf>
    <xf numFmtId="0" fontId="123" fillId="0" borderId="0" xfId="0" applyFont="1" applyAlignment="1">
      <alignment horizontal="center" vertical="center" wrapText="1"/>
    </xf>
    <xf numFmtId="164" fontId="123" fillId="0" borderId="0" xfId="0" applyNumberFormat="1" applyFont="1" applyAlignment="1">
      <alignment horizontal="center" vertical="center"/>
    </xf>
    <xf numFmtId="165" fontId="123" fillId="0" borderId="0" xfId="0" applyNumberFormat="1" applyFont="1" applyAlignment="1">
      <alignment horizontal="center" vertical="center"/>
    </xf>
    <xf numFmtId="164" fontId="9" fillId="0" borderId="0" xfId="0" applyNumberFormat="1" applyFont="1" applyAlignment="1">
      <alignment vertical="center"/>
    </xf>
    <xf numFmtId="2" fontId="35" fillId="0" borderId="0" xfId="3" applyNumberFormat="1" applyFont="1" applyAlignment="1">
      <alignment horizontal="right" vertical="center" wrapText="1"/>
    </xf>
    <xf numFmtId="167" fontId="9" fillId="0" borderId="0" xfId="0" applyNumberFormat="1" applyFont="1" applyAlignment="1">
      <alignment vertical="center"/>
    </xf>
    <xf numFmtId="2" fontId="9" fillId="0" borderId="0" xfId="0" applyNumberFormat="1" applyFont="1" applyAlignment="1">
      <alignment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/>
    </xf>
    <xf numFmtId="0" fontId="9" fillId="0" borderId="9" xfId="0" applyFont="1" applyBorder="1" applyAlignment="1">
      <alignment horizontal="center" vertical="center"/>
    </xf>
    <xf numFmtId="164" fontId="9" fillId="0" borderId="1" xfId="0" applyNumberFormat="1" applyFont="1" applyBorder="1" applyAlignment="1">
      <alignment vertical="center"/>
    </xf>
    <xf numFmtId="167" fontId="9" fillId="0" borderId="1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vertical="center"/>
    </xf>
    <xf numFmtId="167" fontId="9" fillId="0" borderId="12" xfId="0" applyNumberFormat="1" applyFont="1" applyBorder="1" applyAlignment="1">
      <alignment horizontal="center" vertical="center"/>
    </xf>
    <xf numFmtId="167" fontId="9" fillId="0" borderId="0" xfId="0" applyNumberFormat="1" applyFont="1" applyAlignment="1">
      <alignment horizontal="center" vertical="center"/>
    </xf>
    <xf numFmtId="167" fontId="9" fillId="0" borderId="13" xfId="0" applyNumberFormat="1" applyFont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9" fillId="0" borderId="11" xfId="0" applyFont="1" applyBorder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15" xfId="0" applyFont="1" applyBorder="1" applyAlignment="1">
      <alignment vertical="center"/>
    </xf>
    <xf numFmtId="164" fontId="9" fillId="0" borderId="1" xfId="0" applyNumberFormat="1" applyFont="1" applyBorder="1" applyAlignment="1">
      <alignment horizontal="center" vertical="center"/>
    </xf>
    <xf numFmtId="0" fontId="124" fillId="0" borderId="12" xfId="0" applyFont="1" applyBorder="1" applyAlignment="1">
      <alignment vertical="center"/>
    </xf>
    <xf numFmtId="164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0" xfId="0" quotePrefix="1" applyFont="1" applyAlignment="1">
      <alignment horizontal="center" vertical="center"/>
    </xf>
    <xf numFmtId="0" fontId="59" fillId="0" borderId="0" xfId="0" applyFont="1"/>
    <xf numFmtId="0" fontId="96" fillId="0" borderId="0" xfId="0" applyFont="1"/>
    <xf numFmtId="0" fontId="132" fillId="0" borderId="11" xfId="0" applyFont="1" applyBorder="1" applyAlignment="1">
      <alignment horizontal="center" vertical="center"/>
    </xf>
    <xf numFmtId="0" fontId="40" fillId="0" borderId="11" xfId="0" applyFont="1" applyBorder="1"/>
    <xf numFmtId="0" fontId="9" fillId="0" borderId="1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177" fontId="96" fillId="0" borderId="0" xfId="0" applyNumberFormat="1" applyFont="1" applyAlignment="1">
      <alignment horizontal="center" vertical="center"/>
    </xf>
    <xf numFmtId="177" fontId="96" fillId="0" borderId="12" xfId="0" applyNumberFormat="1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14" xfId="0" applyFont="1" applyBorder="1" applyAlignment="1">
      <alignment vertical="center"/>
    </xf>
    <xf numFmtId="0" fontId="9" fillId="0" borderId="1" xfId="0" applyFont="1" applyBorder="1" applyAlignment="1">
      <alignment horizontal="center"/>
    </xf>
    <xf numFmtId="177" fontId="9" fillId="0" borderId="1" xfId="0" applyNumberFormat="1" applyFont="1" applyBorder="1" applyAlignment="1">
      <alignment horizontal="center"/>
    </xf>
    <xf numFmtId="164" fontId="9" fillId="0" borderId="51" xfId="0" applyNumberFormat="1" applyFont="1" applyBorder="1" applyAlignment="1">
      <alignment horizontal="center" vertical="center"/>
    </xf>
    <xf numFmtId="0" fontId="59" fillId="0" borderId="12" xfId="0" applyFont="1" applyBorder="1"/>
    <xf numFmtId="0" fontId="79" fillId="0" borderId="5" xfId="0" applyFont="1" applyBorder="1"/>
    <xf numFmtId="167" fontId="9" fillId="0" borderId="52" xfId="0" applyNumberFormat="1" applyFont="1" applyBorder="1" applyAlignment="1">
      <alignment horizontal="center" vertical="center"/>
    </xf>
    <xf numFmtId="0" fontId="76" fillId="0" borderId="12" xfId="0" applyFont="1" applyBorder="1"/>
    <xf numFmtId="167" fontId="9" fillId="0" borderId="5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right"/>
    </xf>
    <xf numFmtId="167" fontId="9" fillId="0" borderId="53" xfId="0" applyNumberFormat="1" applyFont="1" applyBorder="1" applyAlignment="1">
      <alignment horizontal="center" vertical="center"/>
    </xf>
    <xf numFmtId="174" fontId="9" fillId="0" borderId="0" xfId="0" applyNumberFormat="1" applyFont="1" applyAlignment="1">
      <alignment horizontal="center" vertical="center"/>
    </xf>
    <xf numFmtId="0" fontId="9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9" fillId="0" borderId="4" xfId="0" applyFont="1" applyBorder="1" applyAlignment="1">
      <alignment horizontal="right" vertical="center"/>
    </xf>
    <xf numFmtId="0" fontId="9" fillId="0" borderId="2" xfId="0" applyFont="1" applyBorder="1" applyAlignment="1">
      <alignment horizontal="right" vertical="center"/>
    </xf>
    <xf numFmtId="0" fontId="9" fillId="0" borderId="9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167" fontId="9" fillId="0" borderId="1" xfId="0" applyNumberFormat="1" applyFont="1" applyBorder="1" applyAlignment="1">
      <alignment vertical="center"/>
    </xf>
    <xf numFmtId="0" fontId="87" fillId="0" borderId="0" xfId="0" applyFont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9" fillId="0" borderId="15" xfId="0" applyFont="1" applyBorder="1" applyAlignment="1">
      <alignment horizontal="right" vertical="center"/>
    </xf>
    <xf numFmtId="0" fontId="9" fillId="0" borderId="3" xfId="0" applyFont="1" applyBorder="1" applyAlignment="1">
      <alignment horizontal="right" vertical="center"/>
    </xf>
    <xf numFmtId="1" fontId="9" fillId="0" borderId="0" xfId="0" applyNumberFormat="1" applyFont="1" applyAlignment="1">
      <alignment vertical="center"/>
    </xf>
    <xf numFmtId="0" fontId="9" fillId="0" borderId="4" xfId="0" applyFont="1" applyBorder="1" applyAlignment="1">
      <alignment vertical="center"/>
    </xf>
    <xf numFmtId="0" fontId="56" fillId="0" borderId="11" xfId="0" applyFont="1" applyBorder="1" applyAlignment="1">
      <alignment vertical="center"/>
    </xf>
    <xf numFmtId="167" fontId="9" fillId="0" borderId="3" xfId="0" applyNumberFormat="1" applyFont="1" applyBorder="1" applyAlignment="1">
      <alignment horizontal="center" vertical="center"/>
    </xf>
    <xf numFmtId="14" fontId="9" fillId="0" borderId="0" xfId="0" applyNumberFormat="1" applyFont="1" applyAlignment="1">
      <alignment vertical="center"/>
    </xf>
    <xf numFmtId="0" fontId="62" fillId="0" borderId="0" xfId="0" applyFont="1" applyProtection="1">
      <protection locked="0"/>
    </xf>
    <xf numFmtId="0" fontId="135" fillId="0" borderId="0" xfId="0" applyFont="1"/>
    <xf numFmtId="2" fontId="79" fillId="3" borderId="0" xfId="0" applyNumberFormat="1" applyFont="1" applyFill="1" applyAlignment="1">
      <alignment horizontal="right"/>
    </xf>
    <xf numFmtId="0" fontId="62" fillId="0" borderId="13" xfId="0" applyFont="1" applyBorder="1" applyAlignment="1">
      <alignment vertical="center"/>
    </xf>
    <xf numFmtId="164" fontId="9" fillId="3" borderId="0" xfId="0" applyNumberFormat="1" applyFont="1" applyFill="1" applyAlignment="1">
      <alignment horizontal="left"/>
    </xf>
    <xf numFmtId="0" fontId="136" fillId="3" borderId="0" xfId="0" applyFont="1" applyFill="1" applyAlignment="1">
      <alignment vertical="center"/>
    </xf>
    <xf numFmtId="0" fontId="129" fillId="3" borderId="0" xfId="0" applyFont="1" applyFill="1"/>
    <xf numFmtId="0" fontId="54" fillId="2" borderId="0" xfId="0" applyFont="1" applyFill="1" applyAlignment="1">
      <alignment vertical="center"/>
    </xf>
    <xf numFmtId="0" fontId="9" fillId="0" borderId="0" xfId="0" applyFont="1" applyAlignment="1">
      <alignment horizontal="left"/>
    </xf>
    <xf numFmtId="0" fontId="11" fillId="3" borderId="0" xfId="0" quotePrefix="1" applyFont="1" applyFill="1" applyAlignment="1">
      <alignment horizontal="center" vertical="center"/>
    </xf>
    <xf numFmtId="0" fontId="9" fillId="3" borderId="0" xfId="0" applyFont="1" applyFill="1" applyAlignment="1">
      <alignment horizontal="right" vertical="center"/>
    </xf>
    <xf numFmtId="0" fontId="56" fillId="0" borderId="0" xfId="0" applyFont="1"/>
    <xf numFmtId="167" fontId="9" fillId="3" borderId="0" xfId="0" applyNumberFormat="1" applyFont="1" applyFill="1" applyAlignment="1">
      <alignment vertical="center"/>
    </xf>
    <xf numFmtId="183" fontId="2" fillId="2" borderId="0" xfId="0" applyNumberFormat="1" applyFont="1" applyFill="1" applyAlignment="1">
      <alignment horizontal="left" vertical="center"/>
    </xf>
    <xf numFmtId="164" fontId="84" fillId="3" borderId="0" xfId="4" applyNumberFormat="1" applyFont="1" applyFill="1" applyAlignment="1">
      <alignment horizontal="center"/>
    </xf>
    <xf numFmtId="1" fontId="84" fillId="3" borderId="0" xfId="4" applyNumberFormat="1" applyFont="1" applyFill="1" applyAlignment="1">
      <alignment horizontal="center"/>
    </xf>
    <xf numFmtId="0" fontId="11" fillId="0" borderId="0" xfId="0" quotePrefix="1" applyFont="1" applyAlignment="1">
      <alignment horizontal="left" vertical="center"/>
    </xf>
    <xf numFmtId="164" fontId="40" fillId="0" borderId="0" xfId="0" applyNumberFormat="1" applyFont="1" applyAlignment="1">
      <alignment horizontal="center" vertical="center"/>
    </xf>
    <xf numFmtId="167" fontId="40" fillId="0" borderId="0" xfId="0" applyNumberFormat="1" applyFont="1" applyAlignment="1">
      <alignment horizontal="center" vertical="center"/>
    </xf>
    <xf numFmtId="0" fontId="62" fillId="0" borderId="7" xfId="0" applyFont="1" applyBorder="1" applyAlignment="1" applyProtection="1">
      <alignment horizontal="center" vertical="center"/>
      <protection locked="0"/>
    </xf>
    <xf numFmtId="1" fontId="5" fillId="0" borderId="1" xfId="0" applyNumberFormat="1" applyFont="1" applyBorder="1" applyAlignment="1" applyProtection="1">
      <alignment horizontal="right"/>
      <protection hidden="1"/>
    </xf>
    <xf numFmtId="0" fontId="5" fillId="0" borderId="1" xfId="0" applyFont="1" applyBorder="1" applyAlignment="1" applyProtection="1">
      <alignment horizontal="right"/>
      <protection hidden="1"/>
    </xf>
    <xf numFmtId="0" fontId="137" fillId="0" borderId="0" xfId="0" applyFont="1"/>
    <xf numFmtId="1" fontId="138" fillId="0" borderId="0" xfId="0" applyNumberFormat="1" applyFont="1" applyAlignment="1">
      <alignment horizontal="left"/>
    </xf>
    <xf numFmtId="1" fontId="18" fillId="0" borderId="1" xfId="0" applyNumberFormat="1" applyFont="1" applyBorder="1" applyProtection="1">
      <protection hidden="1"/>
    </xf>
    <xf numFmtId="0" fontId="18" fillId="3" borderId="0" xfId="0" applyFont="1" applyFill="1"/>
    <xf numFmtId="1" fontId="5" fillId="0" borderId="0" xfId="0" applyNumberFormat="1" applyFont="1"/>
    <xf numFmtId="0" fontId="140" fillId="0" borderId="6" xfId="0" applyFont="1" applyBorder="1" applyAlignment="1">
      <alignment horizontal="center" vertical="center"/>
    </xf>
    <xf numFmtId="164" fontId="62" fillId="0" borderId="0" xfId="0" applyNumberFormat="1" applyFont="1" applyAlignment="1" applyProtection="1">
      <alignment horizontal="left" vertical="center"/>
      <protection locked="0"/>
    </xf>
    <xf numFmtId="167" fontId="62" fillId="0" borderId="3" xfId="0" applyNumberFormat="1" applyFont="1" applyBorder="1" applyAlignment="1">
      <alignment vertical="center"/>
    </xf>
    <xf numFmtId="164" fontId="9" fillId="3" borderId="0" xfId="0" applyNumberFormat="1" applyFont="1" applyFill="1" applyAlignment="1">
      <alignment horizontal="right"/>
    </xf>
    <xf numFmtId="0" fontId="118" fillId="0" borderId="0" xfId="0" applyFont="1"/>
    <xf numFmtId="1" fontId="84" fillId="2" borderId="0" xfId="0" applyNumberFormat="1" applyFont="1" applyFill="1" applyAlignment="1">
      <alignment horizontal="left" vertical="center"/>
    </xf>
    <xf numFmtId="0" fontId="2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center" wrapText="1"/>
    </xf>
    <xf numFmtId="167" fontId="56" fillId="3" borderId="1" xfId="0" quotePrefix="1" applyNumberFormat="1" applyFont="1" applyFill="1" applyBorder="1" applyAlignment="1">
      <alignment horizontal="right" vertical="center" wrapText="1"/>
    </xf>
    <xf numFmtId="0" fontId="59" fillId="3" borderId="1" xfId="0" applyFont="1" applyFill="1" applyBorder="1" applyAlignment="1">
      <alignment horizontal="center" vertical="center"/>
    </xf>
    <xf numFmtId="0" fontId="53" fillId="3" borderId="1" xfId="0" applyFont="1" applyFill="1" applyBorder="1" applyAlignment="1">
      <alignment horizontal="center" vertical="center"/>
    </xf>
    <xf numFmtId="0" fontId="53" fillId="3" borderId="5" xfId="0" applyFont="1" applyFill="1" applyBorder="1" applyAlignment="1">
      <alignment horizontal="center" vertical="center"/>
    </xf>
    <xf numFmtId="0" fontId="53" fillId="3" borderId="10" xfId="0" applyFont="1" applyFill="1" applyBorder="1" applyAlignment="1">
      <alignment horizontal="center" vertical="center"/>
    </xf>
    <xf numFmtId="0" fontId="53" fillId="3" borderId="7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 wrapText="1"/>
    </xf>
    <xf numFmtId="0" fontId="78" fillId="3" borderId="5" xfId="0" applyFont="1" applyFill="1" applyBorder="1" applyAlignment="1">
      <alignment horizontal="center" vertical="center"/>
    </xf>
    <xf numFmtId="0" fontId="78" fillId="3" borderId="7" xfId="0" applyFont="1" applyFill="1" applyBorder="1" applyAlignment="1">
      <alignment horizontal="center" vertical="center"/>
    </xf>
    <xf numFmtId="0" fontId="79" fillId="3" borderId="5" xfId="0" applyFont="1" applyFill="1" applyBorder="1" applyAlignment="1">
      <alignment horizontal="center" vertical="center"/>
    </xf>
    <xf numFmtId="0" fontId="79" fillId="3" borderId="10" xfId="0" applyFont="1" applyFill="1" applyBorder="1" applyAlignment="1">
      <alignment horizontal="center" vertical="center"/>
    </xf>
    <xf numFmtId="0" fontId="79" fillId="3" borderId="7" xfId="0" applyFont="1" applyFill="1" applyBorder="1" applyAlignment="1">
      <alignment horizontal="center" vertical="center"/>
    </xf>
    <xf numFmtId="0" fontId="79" fillId="3" borderId="1" xfId="0" applyFont="1" applyFill="1" applyBorder="1" applyAlignment="1">
      <alignment horizontal="center" vertical="center"/>
    </xf>
    <xf numFmtId="164" fontId="56" fillId="3" borderId="1" xfId="0" quotePrefix="1" applyNumberFormat="1" applyFont="1" applyFill="1" applyBorder="1" applyAlignment="1">
      <alignment horizontal="right" vertical="center" wrapText="1"/>
    </xf>
    <xf numFmtId="0" fontId="56" fillId="3" borderId="10" xfId="0" applyFont="1" applyFill="1" applyBorder="1" applyAlignment="1">
      <alignment horizontal="center"/>
    </xf>
    <xf numFmtId="0" fontId="56" fillId="3" borderId="7" xfId="0" applyFont="1" applyFill="1" applyBorder="1" applyAlignment="1">
      <alignment horizontal="center"/>
    </xf>
    <xf numFmtId="0" fontId="56" fillId="3" borderId="5" xfId="4" applyFont="1" applyFill="1" applyBorder="1" applyAlignment="1">
      <alignment horizontal="center" vertical="center"/>
    </xf>
    <xf numFmtId="0" fontId="56" fillId="3" borderId="10" xfId="4" applyFont="1" applyFill="1" applyBorder="1" applyAlignment="1">
      <alignment horizontal="center" vertical="center"/>
    </xf>
    <xf numFmtId="0" fontId="56" fillId="3" borderId="7" xfId="4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7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center" vertical="center" wrapText="1"/>
    </xf>
    <xf numFmtId="0" fontId="54" fillId="3" borderId="1" xfId="0" applyFont="1" applyFill="1" applyBorder="1" applyAlignment="1">
      <alignment horizontal="center" vertical="center"/>
    </xf>
    <xf numFmtId="0" fontId="56" fillId="3" borderId="1" xfId="4" applyFont="1" applyFill="1" applyBorder="1" applyAlignment="1">
      <alignment horizontal="center" vertical="center"/>
    </xf>
    <xf numFmtId="0" fontId="59" fillId="3" borderId="0" xfId="0" applyFont="1" applyFill="1" applyAlignment="1">
      <alignment horizontal="center" vertical="center"/>
    </xf>
    <xf numFmtId="0" fontId="53" fillId="3" borderId="3" xfId="0" applyFont="1" applyFill="1" applyBorder="1" applyAlignment="1">
      <alignment horizontal="center" vertical="center" wrapText="1"/>
    </xf>
    <xf numFmtId="0" fontId="53" fillId="3" borderId="15" xfId="0" applyFont="1" applyFill="1" applyBorder="1" applyAlignment="1">
      <alignment horizontal="center" vertical="center" wrapText="1"/>
    </xf>
    <xf numFmtId="0" fontId="53" fillId="3" borderId="13" xfId="0" applyFont="1" applyFill="1" applyBorder="1" applyAlignment="1">
      <alignment horizontal="center" vertical="center" wrapText="1"/>
    </xf>
    <xf numFmtId="0" fontId="53" fillId="3" borderId="8" xfId="0" applyFont="1" applyFill="1" applyBorder="1" applyAlignment="1">
      <alignment horizontal="center" vertical="center" wrapText="1"/>
    </xf>
    <xf numFmtId="0" fontId="53" fillId="3" borderId="11" xfId="0" applyFont="1" applyFill="1" applyBorder="1" applyAlignment="1">
      <alignment horizontal="center" vertical="center" wrapText="1"/>
    </xf>
    <xf numFmtId="0" fontId="53" fillId="3" borderId="6" xfId="0" applyFont="1" applyFill="1" applyBorder="1" applyAlignment="1">
      <alignment horizontal="center" vertical="center" wrapText="1"/>
    </xf>
    <xf numFmtId="0" fontId="53" fillId="3" borderId="4" xfId="0" applyFont="1" applyFill="1" applyBorder="1" applyAlignment="1">
      <alignment horizontal="center" vertical="center" wrapText="1"/>
    </xf>
    <xf numFmtId="0" fontId="53" fillId="3" borderId="2" xfId="0" applyFont="1" applyFill="1" applyBorder="1" applyAlignment="1">
      <alignment horizontal="center" vertical="center" wrapText="1"/>
    </xf>
    <xf numFmtId="0" fontId="53" fillId="3" borderId="9" xfId="0" applyFont="1" applyFill="1" applyBorder="1" applyAlignment="1">
      <alignment horizontal="center" vertical="center" wrapText="1"/>
    </xf>
    <xf numFmtId="0" fontId="53" fillId="3" borderId="10" xfId="0" applyFont="1" applyFill="1" applyBorder="1" applyAlignment="1">
      <alignment horizontal="center" vertical="center" wrapText="1"/>
    </xf>
    <xf numFmtId="0" fontId="53" fillId="3" borderId="12" xfId="0" applyFont="1" applyFill="1" applyBorder="1" applyAlignment="1">
      <alignment horizontal="center" vertical="center" wrapText="1"/>
    </xf>
    <xf numFmtId="0" fontId="53" fillId="3" borderId="0" xfId="0" applyFont="1" applyFill="1" applyAlignment="1">
      <alignment horizontal="center" vertical="center" wrapText="1"/>
    </xf>
    <xf numFmtId="0" fontId="53" fillId="3" borderId="14" xfId="0" applyFont="1" applyFill="1" applyBorder="1" applyAlignment="1">
      <alignment horizontal="center" vertical="center" wrapText="1"/>
    </xf>
    <xf numFmtId="0" fontId="56" fillId="3" borderId="0" xfId="0" applyFont="1" applyFill="1" applyAlignment="1">
      <alignment horizontal="center" vertical="center"/>
    </xf>
    <xf numFmtId="0" fontId="53" fillId="3" borderId="3" xfId="0" applyFont="1" applyFill="1" applyBorder="1" applyAlignment="1">
      <alignment horizontal="center" vertical="center"/>
    </xf>
    <xf numFmtId="0" fontId="53" fillId="3" borderId="15" xfId="0" applyFont="1" applyFill="1" applyBorder="1" applyAlignment="1">
      <alignment horizontal="center" vertical="center"/>
    </xf>
    <xf numFmtId="0" fontId="53" fillId="3" borderId="1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left" vertical="center"/>
    </xf>
    <xf numFmtId="0" fontId="56" fillId="3" borderId="2" xfId="0" applyFont="1" applyFill="1" applyBorder="1" applyAlignment="1">
      <alignment horizontal="left" vertical="center"/>
    </xf>
    <xf numFmtId="164" fontId="53" fillId="3" borderId="1" xfId="0" applyNumberFormat="1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 wrapText="1"/>
    </xf>
    <xf numFmtId="0" fontId="56" fillId="3" borderId="15" xfId="0" applyFont="1" applyFill="1" applyBorder="1" applyAlignment="1">
      <alignment horizontal="center" vertical="center" wrapText="1"/>
    </xf>
    <xf numFmtId="0" fontId="56" fillId="3" borderId="13" xfId="0" applyFont="1" applyFill="1" applyBorder="1" applyAlignment="1">
      <alignment horizontal="center" vertical="center" wrapText="1"/>
    </xf>
    <xf numFmtId="0" fontId="58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58" fillId="3" borderId="0" xfId="0" applyFont="1" applyFill="1" applyAlignment="1">
      <alignment horizontal="right" vertical="center"/>
    </xf>
    <xf numFmtId="0" fontId="56" fillId="3" borderId="12" xfId="4" applyFont="1" applyFill="1" applyBorder="1" applyAlignment="1">
      <alignment horizontal="left" vertical="center"/>
    </xf>
    <xf numFmtId="0" fontId="56" fillId="3" borderId="0" xfId="4" applyFont="1" applyFill="1" applyAlignment="1">
      <alignment horizontal="left" vertical="center"/>
    </xf>
    <xf numFmtId="0" fontId="56" fillId="3" borderId="8" xfId="4" applyFont="1" applyFill="1" applyBorder="1" applyAlignment="1">
      <alignment horizontal="left" vertical="center"/>
    </xf>
    <xf numFmtId="0" fontId="26" fillId="3" borderId="0" xfId="0" applyFont="1" applyFill="1" applyAlignment="1">
      <alignment horizontal="center" vertical="center" wrapText="1"/>
    </xf>
    <xf numFmtId="0" fontId="54" fillId="3" borderId="0" xfId="0" applyFont="1" applyFill="1" applyAlignment="1" applyProtection="1">
      <alignment horizontal="center"/>
      <protection locked="0"/>
    </xf>
    <xf numFmtId="0" fontId="53" fillId="3" borderId="29" xfId="0" applyFont="1" applyFill="1" applyBorder="1" applyAlignment="1">
      <alignment horizontal="left" vertical="center"/>
    </xf>
    <xf numFmtId="0" fontId="56" fillId="3" borderId="0" xfId="0" applyFont="1" applyFill="1" applyAlignment="1">
      <alignment horizontal="left" vertical="center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1" fontId="45" fillId="7" borderId="5" xfId="0" quotePrefix="1" applyNumberFormat="1" applyFont="1" applyFill="1" applyBorder="1" applyAlignment="1" applyProtection="1">
      <alignment horizontal="center" vertical="center"/>
      <protection hidden="1"/>
    </xf>
    <xf numFmtId="1" fontId="45" fillId="7" borderId="10" xfId="0" quotePrefix="1" applyNumberFormat="1" applyFont="1" applyFill="1" applyBorder="1" applyAlignment="1" applyProtection="1">
      <alignment horizontal="center" vertical="center"/>
      <protection hidden="1"/>
    </xf>
    <xf numFmtId="1" fontId="45" fillId="7" borderId="7" xfId="0" quotePrefix="1" applyNumberFormat="1" applyFont="1" applyFill="1" applyBorder="1" applyAlignment="1" applyProtection="1">
      <alignment horizontal="center" vertical="center"/>
      <protection hidden="1"/>
    </xf>
    <xf numFmtId="1" fontId="45" fillId="8" borderId="5" xfId="0" quotePrefix="1" applyNumberFormat="1" applyFont="1" applyFill="1" applyBorder="1" applyAlignment="1" applyProtection="1">
      <alignment horizontal="center" vertical="center"/>
      <protection hidden="1"/>
    </xf>
    <xf numFmtId="1" fontId="45" fillId="8" borderId="10" xfId="0" quotePrefix="1" applyNumberFormat="1" applyFont="1" applyFill="1" applyBorder="1" applyAlignment="1" applyProtection="1">
      <alignment horizontal="center" vertical="center"/>
      <protection hidden="1"/>
    </xf>
    <xf numFmtId="1" fontId="45" fillId="8" borderId="7" xfId="0" quotePrefix="1" applyNumberFormat="1" applyFont="1" applyFill="1" applyBorder="1" applyAlignment="1" applyProtection="1">
      <alignment horizontal="center" vertical="center"/>
      <protection hidden="1"/>
    </xf>
    <xf numFmtId="1" fontId="6" fillId="3" borderId="3" xfId="0" applyNumberFormat="1" applyFont="1" applyFill="1" applyBorder="1" applyAlignment="1" applyProtection="1">
      <alignment horizontal="center"/>
      <protection hidden="1"/>
    </xf>
    <xf numFmtId="1" fontId="6" fillId="3" borderId="15" xfId="0" applyNumberFormat="1" applyFont="1" applyFill="1" applyBorder="1" applyAlignment="1" applyProtection="1">
      <alignment horizontal="center"/>
      <protection hidden="1"/>
    </xf>
    <xf numFmtId="1" fontId="6" fillId="3" borderId="13" xfId="0" applyNumberFormat="1" applyFont="1" applyFill="1" applyBorder="1" applyAlignment="1" applyProtection="1">
      <alignment horizontal="center"/>
      <protection hidden="1"/>
    </xf>
    <xf numFmtId="1" fontId="45" fillId="7" borderId="1" xfId="0" quotePrefix="1" applyNumberFormat="1" applyFont="1" applyFill="1" applyBorder="1" applyAlignment="1" applyProtection="1">
      <alignment horizontal="center" vertical="center"/>
      <protection hidden="1"/>
    </xf>
    <xf numFmtId="1" fontId="45" fillId="12" borderId="1" xfId="0" quotePrefix="1" applyNumberFormat="1" applyFont="1" applyFill="1" applyBorder="1" applyAlignment="1" applyProtection="1">
      <alignment horizontal="center" vertical="center"/>
      <protection hidden="1"/>
    </xf>
    <xf numFmtId="1" fontId="45" fillId="13" borderId="1" xfId="0" quotePrefix="1" applyNumberFormat="1" applyFont="1" applyFill="1" applyBorder="1" applyAlignment="1" applyProtection="1">
      <alignment horizontal="center" vertical="center"/>
      <protection hidden="1"/>
    </xf>
    <xf numFmtId="1" fontId="44" fillId="0" borderId="1" xfId="0" applyNumberFormat="1" applyFont="1" applyBorder="1" applyAlignment="1" applyProtection="1">
      <alignment horizontal="center"/>
      <protection hidden="1"/>
    </xf>
    <xf numFmtId="1" fontId="3" fillId="4" borderId="7" xfId="0" applyNumberFormat="1" applyFont="1" applyFill="1" applyBorder="1" applyAlignment="1" applyProtection="1">
      <alignment horizontal="center" vertical="center"/>
      <protection hidden="1"/>
    </xf>
    <xf numFmtId="1" fontId="5" fillId="8" borderId="7" xfId="0" applyNumberFormat="1" applyFont="1" applyFill="1" applyBorder="1" applyAlignment="1" applyProtection="1">
      <alignment horizontal="center"/>
      <protection hidden="1"/>
    </xf>
    <xf numFmtId="1" fontId="0" fillId="8" borderId="7" xfId="0" applyNumberFormat="1" applyFill="1" applyBorder="1" applyAlignment="1" applyProtection="1">
      <alignment horizontal="center"/>
      <protection hidden="1"/>
    </xf>
    <xf numFmtId="1" fontId="45" fillId="13" borderId="5" xfId="0" quotePrefix="1" applyNumberFormat="1" applyFont="1" applyFill="1" applyBorder="1" applyAlignment="1" applyProtection="1">
      <alignment horizontal="center" vertical="center"/>
      <protection hidden="1"/>
    </xf>
    <xf numFmtId="1" fontId="45" fillId="13" borderId="10" xfId="0" quotePrefix="1" applyNumberFormat="1" applyFont="1" applyFill="1" applyBorder="1" applyAlignment="1" applyProtection="1">
      <alignment horizontal="center" vertical="center"/>
      <protection hidden="1"/>
    </xf>
    <xf numFmtId="1" fontId="45" fillId="13" borderId="7" xfId="0" quotePrefix="1" applyNumberFormat="1" applyFont="1" applyFill="1" applyBorder="1" applyAlignment="1" applyProtection="1">
      <alignment horizontal="center" vertical="center"/>
      <protection hidden="1"/>
    </xf>
    <xf numFmtId="1" fontId="45" fillId="12" borderId="5" xfId="0" quotePrefix="1" applyNumberFormat="1" applyFont="1" applyFill="1" applyBorder="1" applyAlignment="1" applyProtection="1">
      <alignment horizontal="center" vertical="center"/>
      <protection hidden="1"/>
    </xf>
    <xf numFmtId="1" fontId="45" fillId="12" borderId="10" xfId="0" quotePrefix="1" applyNumberFormat="1" applyFont="1" applyFill="1" applyBorder="1" applyAlignment="1" applyProtection="1">
      <alignment horizontal="center" vertical="center"/>
      <protection hidden="1"/>
    </xf>
    <xf numFmtId="1" fontId="45" fillId="12" borderId="7" xfId="0" quotePrefix="1" applyNumberFormat="1" applyFont="1" applyFill="1" applyBorder="1" applyAlignment="1" applyProtection="1">
      <alignment horizontal="center" vertical="center"/>
      <protection hidden="1"/>
    </xf>
    <xf numFmtId="1" fontId="45" fillId="8" borderId="5" xfId="0" quotePrefix="1" applyNumberFormat="1" applyFont="1" applyFill="1" applyBorder="1" applyAlignment="1" applyProtection="1">
      <alignment horizontal="center" vertical="center" wrapText="1"/>
      <protection hidden="1"/>
    </xf>
    <xf numFmtId="1" fontId="45" fillId="8" borderId="10" xfId="0" quotePrefix="1" applyNumberFormat="1" applyFont="1" applyFill="1" applyBorder="1" applyAlignment="1" applyProtection="1">
      <alignment horizontal="center" vertical="center" wrapText="1"/>
      <protection hidden="1"/>
    </xf>
    <xf numFmtId="1" fontId="45" fillId="8" borderId="7" xfId="0" quotePrefix="1" applyNumberFormat="1" applyFont="1" applyFill="1" applyBorder="1" applyAlignment="1" applyProtection="1">
      <alignment horizontal="center" vertical="center" wrapText="1"/>
      <protection hidden="1"/>
    </xf>
    <xf numFmtId="2" fontId="124" fillId="0" borderId="30" xfId="0" applyNumberFormat="1" applyFont="1" applyBorder="1" applyAlignment="1">
      <alignment horizontal="center" vertical="center"/>
    </xf>
    <xf numFmtId="2" fontId="124" fillId="0" borderId="35" xfId="0" applyNumberFormat="1" applyFont="1" applyBorder="1" applyAlignment="1">
      <alignment horizontal="center" vertical="center"/>
    </xf>
    <xf numFmtId="2" fontId="124" fillId="0" borderId="36" xfId="0" applyNumberFormat="1" applyFont="1" applyBorder="1" applyAlignment="1">
      <alignment horizontal="center" vertical="center"/>
    </xf>
    <xf numFmtId="2" fontId="124" fillId="0" borderId="37" xfId="0" applyNumberFormat="1" applyFont="1" applyBorder="1" applyAlignment="1">
      <alignment horizontal="center" vertical="center"/>
    </xf>
    <xf numFmtId="2" fontId="124" fillId="0" borderId="38" xfId="0" applyNumberFormat="1" applyFont="1" applyBorder="1" applyAlignment="1">
      <alignment horizontal="center" vertical="center"/>
    </xf>
    <xf numFmtId="2" fontId="124" fillId="0" borderId="39" xfId="0" applyNumberFormat="1" applyFont="1" applyBorder="1" applyAlignment="1">
      <alignment horizontal="center" vertical="center"/>
    </xf>
    <xf numFmtId="2" fontId="124" fillId="0" borderId="0" xfId="0" applyNumberFormat="1" applyFont="1" applyAlignment="1">
      <alignment horizontal="center" vertical="center"/>
    </xf>
    <xf numFmtId="2" fontId="123" fillId="0" borderId="0" xfId="0" applyNumberFormat="1" applyFont="1" applyAlignment="1">
      <alignment horizontal="center" vertical="center"/>
    </xf>
    <xf numFmtId="2" fontId="123" fillId="0" borderId="0" xfId="0" applyNumberFormat="1" applyFont="1" applyAlignment="1">
      <alignment horizontal="center" vertical="center" wrapText="1"/>
    </xf>
    <xf numFmtId="2" fontId="124" fillId="0" borderId="41" xfId="0" applyNumberFormat="1" applyFont="1" applyBorder="1" applyAlignment="1">
      <alignment horizontal="center" vertical="center"/>
    </xf>
    <xf numFmtId="2" fontId="124" fillId="0" borderId="42" xfId="0" applyNumberFormat="1" applyFont="1" applyBorder="1" applyAlignment="1">
      <alignment horizontal="center" vertical="center"/>
    </xf>
    <xf numFmtId="2" fontId="124" fillId="0" borderId="45" xfId="0" applyNumberFormat="1" applyFont="1" applyBorder="1" applyAlignment="1">
      <alignment horizontal="center" vertical="center"/>
    </xf>
    <xf numFmtId="2" fontId="124" fillId="0" borderId="0" xfId="0" applyNumberFormat="1" applyFont="1" applyAlignment="1">
      <alignment horizontal="center" vertical="center" wrapText="1"/>
    </xf>
    <xf numFmtId="2" fontId="123" fillId="0" borderId="1" xfId="0" applyNumberFormat="1" applyFont="1" applyBorder="1" applyAlignment="1">
      <alignment horizontal="center" vertical="center"/>
    </xf>
    <xf numFmtId="0" fontId="127" fillId="4" borderId="0" xfId="0" applyFont="1" applyFill="1" applyAlignment="1" applyProtection="1">
      <alignment horizontal="center"/>
      <protection hidden="1"/>
    </xf>
    <xf numFmtId="0" fontId="62" fillId="0" borderId="0" xfId="0" applyFont="1" applyAlignment="1" applyProtection="1">
      <alignment horizontal="left" vertical="center"/>
      <protection locked="0"/>
    </xf>
    <xf numFmtId="1" fontId="9" fillId="0" borderId="0" xfId="0" applyNumberFormat="1" applyFont="1" applyAlignment="1" applyProtection="1">
      <alignment horizontal="left" vertical="center"/>
      <protection locked="0"/>
    </xf>
    <xf numFmtId="0" fontId="9" fillId="0" borderId="5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4" applyFont="1" applyBorder="1" applyAlignment="1">
      <alignment horizontal="center" vertical="center" wrapText="1"/>
    </xf>
    <xf numFmtId="0" fontId="9" fillId="0" borderId="6" xfId="4" applyFont="1" applyBorder="1" applyAlignment="1">
      <alignment horizontal="center" vertical="center" wrapText="1"/>
    </xf>
    <xf numFmtId="0" fontId="9" fillId="0" borderId="12" xfId="4" applyFont="1" applyBorder="1" applyAlignment="1">
      <alignment horizontal="center" vertical="center" wrapText="1"/>
    </xf>
    <xf numFmtId="0" fontId="9" fillId="0" borderId="14" xfId="4" applyFont="1" applyBorder="1" applyAlignment="1">
      <alignment horizontal="center" vertical="center" wrapText="1"/>
    </xf>
    <xf numFmtId="0" fontId="9" fillId="0" borderId="4" xfId="4" applyFont="1" applyBorder="1" applyAlignment="1">
      <alignment horizontal="center" vertical="center" wrapText="1"/>
    </xf>
    <xf numFmtId="0" fontId="9" fillId="0" borderId="9" xfId="4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71" fillId="0" borderId="1" xfId="0" applyFont="1" applyBorder="1" applyAlignment="1" applyProtection="1">
      <alignment horizontal="center" vertical="center"/>
      <protection locked="0"/>
    </xf>
    <xf numFmtId="0" fontId="9" fillId="0" borderId="1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15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164" fontId="9" fillId="0" borderId="15" xfId="0" applyNumberFormat="1" applyFont="1" applyBorder="1" applyAlignment="1">
      <alignment horizontal="right" vertical="center"/>
    </xf>
    <xf numFmtId="0" fontId="62" fillId="0" borderId="3" xfId="0" applyFont="1" applyBorder="1" applyAlignment="1" applyProtection="1">
      <alignment horizontal="center" vertical="center"/>
      <protection locked="0"/>
    </xf>
    <xf numFmtId="0" fontId="62" fillId="0" borderId="13" xfId="0" applyFont="1" applyBorder="1" applyAlignment="1" applyProtection="1">
      <alignment horizontal="center" vertical="center"/>
      <protection locked="0"/>
    </xf>
    <xf numFmtId="167" fontId="9" fillId="0" borderId="1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164" fontId="9" fillId="0" borderId="13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7" fontId="62" fillId="0" borderId="3" xfId="0" quotePrefix="1" applyNumberFormat="1" applyFont="1" applyBorder="1" applyAlignment="1" applyProtection="1">
      <alignment horizontal="center" vertical="center" wrapText="1"/>
      <protection locked="0"/>
    </xf>
    <xf numFmtId="167" fontId="62" fillId="0" borderId="13" xfId="0" quotePrefix="1" applyNumberFormat="1" applyFont="1" applyBorder="1" applyAlignment="1" applyProtection="1">
      <alignment horizontal="center" vertical="center" wrapText="1"/>
      <protection locked="0"/>
    </xf>
    <xf numFmtId="0" fontId="62" fillId="0" borderId="3" xfId="0" applyFont="1" applyBorder="1" applyAlignment="1">
      <alignment horizontal="left" vertical="center"/>
    </xf>
    <xf numFmtId="0" fontId="62" fillId="0" borderId="15" xfId="0" applyFont="1" applyBorder="1" applyAlignment="1">
      <alignment horizontal="left" vertical="center"/>
    </xf>
    <xf numFmtId="0" fontId="62" fillId="0" borderId="13" xfId="0" applyFont="1" applyBorder="1" applyAlignment="1">
      <alignment horizontal="left" vertical="center"/>
    </xf>
    <xf numFmtId="0" fontId="62" fillId="0" borderId="1" xfId="0" applyFont="1" applyBorder="1" applyAlignment="1">
      <alignment horizontal="left" vertical="center"/>
    </xf>
    <xf numFmtId="164" fontId="62" fillId="0" borderId="3" xfId="0" quotePrefix="1" applyNumberFormat="1" applyFont="1" applyBorder="1" applyAlignment="1" applyProtection="1">
      <alignment horizontal="center" vertical="center" wrapText="1"/>
      <protection locked="0"/>
    </xf>
    <xf numFmtId="164" fontId="62" fillId="0" borderId="13" xfId="0" quotePrefix="1" applyNumberFormat="1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>
      <alignment horizontal="center" wrapText="1"/>
    </xf>
    <xf numFmtId="0" fontId="9" fillId="0" borderId="12" xfId="0" applyFont="1" applyBorder="1" applyAlignment="1">
      <alignment horizontal="center" wrapText="1"/>
    </xf>
    <xf numFmtId="0" fontId="8" fillId="0" borderId="0" xfId="0" applyFont="1" applyAlignment="1">
      <alignment horizontal="center" vertical="center"/>
    </xf>
    <xf numFmtId="0" fontId="124" fillId="0" borderId="0" xfId="0" applyFont="1" applyAlignment="1">
      <alignment horizontal="center" vertical="center"/>
    </xf>
    <xf numFmtId="0" fontId="9" fillId="0" borderId="0" xfId="0" applyFont="1" applyAlignment="1" applyProtection="1">
      <alignment horizontal="left" vertical="center"/>
      <protection locked="0"/>
    </xf>
    <xf numFmtId="0" fontId="9" fillId="0" borderId="3" xfId="0" applyFont="1" applyBorder="1" applyAlignment="1">
      <alignment horizontal="center" vertical="center"/>
    </xf>
    <xf numFmtId="167" fontId="131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167" fontId="10" fillId="0" borderId="0" xfId="0" applyNumberFormat="1" applyFont="1" applyAlignment="1">
      <alignment horizontal="right" vertical="center"/>
    </xf>
    <xf numFmtId="0" fontId="9" fillId="0" borderId="1" xfId="0" applyFont="1" applyBorder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center"/>
    </xf>
    <xf numFmtId="0" fontId="62" fillId="0" borderId="0" xfId="0" applyFont="1" applyAlignment="1" applyProtection="1">
      <alignment horizontal="left"/>
      <protection locked="0"/>
    </xf>
    <xf numFmtId="1" fontId="62" fillId="0" borderId="0" xfId="0" applyNumberFormat="1" applyFont="1" applyAlignment="1" applyProtection="1">
      <alignment horizontal="left" vertical="center"/>
      <protection locked="0"/>
    </xf>
    <xf numFmtId="0" fontId="9" fillId="0" borderId="15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134" fillId="0" borderId="10" xfId="0" applyFont="1" applyBorder="1" applyAlignment="1">
      <alignment horizontal="center" vertical="center" textRotation="255"/>
    </xf>
    <xf numFmtId="0" fontId="10" fillId="0" borderId="1" xfId="0" applyFont="1" applyBorder="1" applyAlignment="1">
      <alignment horizontal="center"/>
    </xf>
    <xf numFmtId="0" fontId="40" fillId="0" borderId="3" xfId="0" applyFont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13" xfId="0" applyFont="1" applyBorder="1" applyAlignment="1">
      <alignment horizontal="center" vertical="center"/>
    </xf>
    <xf numFmtId="0" fontId="40" fillId="0" borderId="8" xfId="0" applyFont="1" applyBorder="1" applyAlignment="1">
      <alignment horizontal="center" vertical="center"/>
    </xf>
    <xf numFmtId="0" fontId="40" fillId="0" borderId="11" xfId="0" applyFont="1" applyBorder="1" applyAlignment="1">
      <alignment horizontal="center" vertical="center"/>
    </xf>
    <xf numFmtId="0" fontId="40" fillId="0" borderId="6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/>
    </xf>
    <xf numFmtId="0" fontId="9" fillId="0" borderId="3" xfId="1" applyFont="1" applyBorder="1" applyAlignment="1">
      <alignment horizontal="left" vertical="center"/>
    </xf>
    <xf numFmtId="0" fontId="9" fillId="0" borderId="15" xfId="1" applyFont="1" applyBorder="1" applyAlignment="1">
      <alignment horizontal="left" vertical="center"/>
    </xf>
    <xf numFmtId="0" fontId="9" fillId="0" borderId="13" xfId="1" applyFont="1" applyBorder="1" applyAlignment="1">
      <alignment horizontal="left" vertical="center"/>
    </xf>
    <xf numFmtId="1" fontId="10" fillId="3" borderId="1" xfId="0" applyNumberFormat="1" applyFont="1" applyFill="1" applyBorder="1" applyAlignment="1">
      <alignment horizontal="center"/>
    </xf>
    <xf numFmtId="1" fontId="35" fillId="3" borderId="19" xfId="0" applyNumberFormat="1" applyFont="1" applyFill="1" applyBorder="1" applyAlignment="1">
      <alignment horizontal="left" wrapText="1"/>
    </xf>
    <xf numFmtId="1" fontId="35" fillId="3" borderId="20" xfId="0" applyNumberFormat="1" applyFont="1" applyFill="1" applyBorder="1" applyAlignment="1">
      <alignment horizontal="left" wrapText="1"/>
    </xf>
    <xf numFmtId="1" fontId="35" fillId="3" borderId="18" xfId="0" applyNumberFormat="1" applyFont="1" applyFill="1" applyBorder="1" applyAlignment="1">
      <alignment horizontal="left" wrapText="1"/>
    </xf>
    <xf numFmtId="1" fontId="8" fillId="3" borderId="0" xfId="0" applyNumberFormat="1" applyFont="1" applyFill="1" applyAlignment="1">
      <alignment horizontal="center"/>
    </xf>
    <xf numFmtId="1" fontId="12" fillId="3" borderId="0" xfId="0" applyNumberFormat="1" applyFont="1" applyFill="1" applyAlignment="1">
      <alignment horizontal="center"/>
    </xf>
    <xf numFmtId="1" fontId="10" fillId="3" borderId="0" xfId="0" applyNumberFormat="1" applyFont="1" applyFill="1" applyAlignment="1">
      <alignment horizontal="center"/>
    </xf>
    <xf numFmtId="1" fontId="9" fillId="3" borderId="1" xfId="0" applyNumberFormat="1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left" vertical="center"/>
    </xf>
    <xf numFmtId="1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9" fillId="3" borderId="5" xfId="4" applyFont="1" applyFill="1" applyBorder="1" applyAlignment="1">
      <alignment horizontal="center" vertical="center" wrapText="1"/>
    </xf>
    <xf numFmtId="0" fontId="9" fillId="3" borderId="10" xfId="4" applyFont="1" applyFill="1" applyBorder="1" applyAlignment="1">
      <alignment horizontal="center" vertical="center" wrapText="1"/>
    </xf>
    <xf numFmtId="0" fontId="9" fillId="3" borderId="7" xfId="4" applyFont="1" applyFill="1" applyBorder="1" applyAlignment="1">
      <alignment horizontal="center" vertical="center" wrapText="1"/>
    </xf>
    <xf numFmtId="164" fontId="9" fillId="3" borderId="5" xfId="0" applyNumberFormat="1" applyFont="1" applyFill="1" applyBorder="1" applyAlignment="1">
      <alignment horizontal="center" vertical="center"/>
    </xf>
    <xf numFmtId="164" fontId="9" fillId="3" borderId="10" xfId="0" applyNumberFormat="1" applyFont="1" applyFill="1" applyBorder="1" applyAlignment="1">
      <alignment horizontal="center" vertical="center"/>
    </xf>
    <xf numFmtId="164" fontId="9" fillId="3" borderId="7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3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/>
    </xf>
    <xf numFmtId="1" fontId="2" fillId="3" borderId="10" xfId="0" applyNumberFormat="1" applyFont="1" applyFill="1" applyBorder="1" applyAlignment="1">
      <alignment horizontal="center" vertical="center"/>
    </xf>
    <xf numFmtId="1" fontId="2" fillId="3" borderId="7" xfId="0" applyNumberFormat="1" applyFont="1" applyFill="1" applyBorder="1" applyAlignment="1">
      <alignment horizontal="center" vertical="center"/>
    </xf>
    <xf numFmtId="0" fontId="76" fillId="3" borderId="12" xfId="0" applyFont="1" applyFill="1" applyBorder="1" applyAlignment="1">
      <alignment horizontal="center" vertical="center" wrapText="1"/>
    </xf>
    <xf numFmtId="0" fontId="76" fillId="3" borderId="0" xfId="0" applyFont="1" applyFill="1" applyAlignment="1">
      <alignment horizontal="center" vertical="center" wrapText="1"/>
    </xf>
    <xf numFmtId="175" fontId="40" fillId="3" borderId="12" xfId="0" applyNumberFormat="1" applyFont="1" applyFill="1" applyBorder="1" applyAlignment="1">
      <alignment horizontal="center" vertical="center" wrapText="1"/>
    </xf>
    <xf numFmtId="175" fontId="40" fillId="3" borderId="0" xfId="0" applyNumberFormat="1" applyFont="1" applyFill="1" applyAlignment="1">
      <alignment horizontal="center" vertical="center" wrapText="1"/>
    </xf>
    <xf numFmtId="164" fontId="56" fillId="3" borderId="1" xfId="0" applyNumberFormat="1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176" fontId="40" fillId="3" borderId="12" xfId="0" applyNumberFormat="1" applyFont="1" applyFill="1" applyBorder="1" applyAlignment="1">
      <alignment horizontal="center" vertical="center" wrapText="1"/>
    </xf>
    <xf numFmtId="176" fontId="40" fillId="3" borderId="0" xfId="0" applyNumberFormat="1" applyFont="1" applyFill="1" applyAlignment="1">
      <alignment horizontal="center" vertical="center" wrapText="1"/>
    </xf>
    <xf numFmtId="178" fontId="40" fillId="3" borderId="12" xfId="0" applyNumberFormat="1" applyFont="1" applyFill="1" applyBorder="1" applyAlignment="1">
      <alignment horizontal="center" vertical="center" wrapText="1"/>
    </xf>
    <xf numFmtId="178" fontId="40" fillId="3" borderId="0" xfId="0" applyNumberFormat="1" applyFont="1" applyFill="1" applyAlignment="1">
      <alignment horizontal="center" vertical="center" wrapText="1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9" fillId="3" borderId="5" xfId="4" applyFont="1" applyFill="1" applyBorder="1" applyAlignment="1" applyProtection="1">
      <alignment horizontal="center" vertical="center"/>
      <protection locked="0"/>
    </xf>
    <xf numFmtId="0" fontId="9" fillId="3" borderId="10" xfId="4" applyFont="1" applyFill="1" applyBorder="1" applyAlignment="1" applyProtection="1">
      <alignment horizontal="center" vertical="center"/>
      <protection locked="0"/>
    </xf>
    <xf numFmtId="0" fontId="9" fillId="3" borderId="7" xfId="4" applyFont="1" applyFill="1" applyBorder="1" applyAlignment="1" applyProtection="1">
      <alignment horizontal="center" vertical="center"/>
      <protection locked="0"/>
    </xf>
    <xf numFmtId="164" fontId="9" fillId="3" borderId="1" xfId="0" applyNumberFormat="1" applyFont="1" applyFill="1" applyBorder="1" applyAlignment="1">
      <alignment horizontal="center" vertical="center" wrapText="1"/>
    </xf>
    <xf numFmtId="167" fontId="102" fillId="0" borderId="8" xfId="0" applyNumberFormat="1" applyFont="1" applyBorder="1" applyAlignment="1">
      <alignment horizontal="right" vertical="center"/>
    </xf>
    <xf numFmtId="167" fontId="102" fillId="0" borderId="4" xfId="0" applyNumberFormat="1" applyFont="1" applyBorder="1" applyAlignment="1">
      <alignment horizontal="right" vertical="center"/>
    </xf>
    <xf numFmtId="167" fontId="103" fillId="0" borderId="6" xfId="0" applyNumberFormat="1" applyFont="1" applyBorder="1" applyAlignment="1">
      <alignment horizontal="right" vertical="center"/>
    </xf>
    <xf numFmtId="167" fontId="103" fillId="0" borderId="9" xfId="0" applyNumberFormat="1" applyFont="1" applyBorder="1" applyAlignment="1">
      <alignment horizontal="right" vertical="center"/>
    </xf>
    <xf numFmtId="167" fontId="102" fillId="0" borderId="5" xfId="0" applyNumberFormat="1" applyFont="1" applyBorder="1" applyAlignment="1">
      <alignment horizontal="center" vertical="center"/>
    </xf>
    <xf numFmtId="167" fontId="102" fillId="0" borderId="7" xfId="0" applyNumberFormat="1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top"/>
    </xf>
    <xf numFmtId="0" fontId="24" fillId="0" borderId="13" xfId="0" applyFont="1" applyBorder="1" applyAlignment="1">
      <alignment horizontal="center" vertical="top"/>
    </xf>
    <xf numFmtId="0" fontId="9" fillId="3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2" fillId="3" borderId="5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4" fillId="2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9" fillId="3" borderId="14" xfId="4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9" fillId="3" borderId="8" xfId="4" applyFont="1" applyFill="1" applyBorder="1" applyAlignment="1">
      <alignment horizontal="center" vertical="center" wrapText="1"/>
    </xf>
    <xf numFmtId="0" fontId="9" fillId="3" borderId="12" xfId="4" applyFont="1" applyFill="1" applyBorder="1" applyAlignment="1">
      <alignment horizontal="center" vertical="center" wrapText="1"/>
    </xf>
    <xf numFmtId="0" fontId="9" fillId="3" borderId="4" xfId="4" applyFont="1" applyFill="1" applyBorder="1" applyAlignment="1">
      <alignment horizontal="center" vertical="center" wrapText="1"/>
    </xf>
    <xf numFmtId="0" fontId="21" fillId="3" borderId="0" xfId="0" applyFont="1" applyFill="1" applyAlignment="1">
      <alignment horizontal="center" vertical="center"/>
    </xf>
    <xf numFmtId="0" fontId="27" fillId="2" borderId="0" xfId="0" applyFont="1" applyFill="1" applyAlignment="1">
      <alignment horizontal="center" vertical="center"/>
    </xf>
    <xf numFmtId="0" fontId="24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 wrapText="1"/>
    </xf>
    <xf numFmtId="0" fontId="2" fillId="0" borderId="49" xfId="0" applyFont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1" fontId="40" fillId="3" borderId="5" xfId="0" applyNumberFormat="1" applyFont="1" applyFill="1" applyBorder="1" applyAlignment="1">
      <alignment horizontal="center" vertical="center"/>
    </xf>
    <xf numFmtId="1" fontId="40" fillId="3" borderId="10" xfId="0" applyNumberFormat="1" applyFont="1" applyFill="1" applyBorder="1" applyAlignment="1">
      <alignment horizontal="center" vertical="center"/>
    </xf>
    <xf numFmtId="1" fontId="40" fillId="3" borderId="7" xfId="0" applyNumberFormat="1" applyFont="1" applyFill="1" applyBorder="1" applyAlignment="1">
      <alignment horizontal="center" vertical="center"/>
    </xf>
    <xf numFmtId="1" fontId="40" fillId="3" borderId="11" xfId="0" applyNumberFormat="1" applyFont="1" applyFill="1" applyBorder="1" applyAlignment="1">
      <alignment horizontal="center" vertical="center"/>
    </xf>
    <xf numFmtId="1" fontId="40" fillId="3" borderId="6" xfId="0" applyNumberFormat="1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7" xfId="0" applyFont="1" applyFill="1" applyBorder="1" applyAlignment="1">
      <alignment horizontal="center" vertical="center"/>
    </xf>
    <xf numFmtId="0" fontId="84" fillId="3" borderId="1" xfId="0" applyFont="1" applyFill="1" applyBorder="1" applyAlignment="1">
      <alignment horizontal="center" vertical="center"/>
    </xf>
    <xf numFmtId="1" fontId="53" fillId="3" borderId="13" xfId="0" applyNumberFormat="1" applyFont="1" applyFill="1" applyBorder="1" applyAlignment="1">
      <alignment horizontal="center" vertical="center"/>
    </xf>
    <xf numFmtId="1" fontId="53" fillId="3" borderId="1" xfId="0" applyNumberFormat="1" applyFont="1" applyFill="1" applyBorder="1" applyAlignment="1">
      <alignment horizontal="center" vertical="center"/>
    </xf>
    <xf numFmtId="0" fontId="56" fillId="3" borderId="8" xfId="4" applyFont="1" applyFill="1" applyBorder="1" applyAlignment="1">
      <alignment horizontal="center" vertical="center" wrapText="1"/>
    </xf>
    <xf numFmtId="0" fontId="56" fillId="3" borderId="6" xfId="4" applyFont="1" applyFill="1" applyBorder="1" applyAlignment="1">
      <alignment horizontal="center" vertical="center" wrapText="1"/>
    </xf>
    <xf numFmtId="0" fontId="56" fillId="3" borderId="12" xfId="4" applyFont="1" applyFill="1" applyBorder="1" applyAlignment="1">
      <alignment horizontal="center" vertical="center" wrapText="1"/>
    </xf>
    <xf numFmtId="0" fontId="56" fillId="3" borderId="14" xfId="4" applyFont="1" applyFill="1" applyBorder="1" applyAlignment="1">
      <alignment horizontal="center" vertical="center" wrapText="1"/>
    </xf>
    <xf numFmtId="0" fontId="56" fillId="3" borderId="4" xfId="4" applyFont="1" applyFill="1" applyBorder="1" applyAlignment="1">
      <alignment horizontal="center" vertical="center" wrapText="1"/>
    </xf>
    <xf numFmtId="0" fontId="56" fillId="3" borderId="9" xfId="4" applyFont="1" applyFill="1" applyBorder="1" applyAlignment="1">
      <alignment horizontal="center" vertical="center" wrapText="1"/>
    </xf>
    <xf numFmtId="1" fontId="84" fillId="0" borderId="3" xfId="0" applyNumberFormat="1" applyFont="1" applyBorder="1" applyAlignment="1" applyProtection="1">
      <alignment horizontal="center"/>
      <protection locked="0"/>
    </xf>
    <xf numFmtId="1" fontId="84" fillId="0" borderId="13" xfId="0" applyNumberFormat="1" applyFont="1" applyBorder="1" applyAlignment="1" applyProtection="1">
      <alignment horizontal="center"/>
      <protection locked="0"/>
    </xf>
    <xf numFmtId="1" fontId="84" fillId="3" borderId="3" xfId="0" applyNumberFormat="1" applyFont="1" applyFill="1" applyBorder="1" applyAlignment="1">
      <alignment horizontal="center"/>
    </xf>
    <xf numFmtId="1" fontId="84" fillId="3" borderId="13" xfId="0" applyNumberFormat="1" applyFont="1" applyFill="1" applyBorder="1" applyAlignment="1">
      <alignment horizontal="center"/>
    </xf>
    <xf numFmtId="0" fontId="53" fillId="2" borderId="0" xfId="0" applyFont="1" applyFill="1" applyAlignment="1">
      <alignment horizontal="center"/>
    </xf>
    <xf numFmtId="0" fontId="60" fillId="2" borderId="0" xfId="0" applyFont="1" applyFill="1" applyAlignment="1">
      <alignment horizontal="left"/>
    </xf>
    <xf numFmtId="0" fontId="53" fillId="2" borderId="0" xfId="0" applyFont="1" applyFill="1" applyAlignment="1">
      <alignment horizontal="left"/>
    </xf>
    <xf numFmtId="0" fontId="56" fillId="3" borderId="1" xfId="4" applyFont="1" applyFill="1" applyBorder="1" applyAlignment="1">
      <alignment horizontal="center" vertical="center" wrapText="1"/>
    </xf>
    <xf numFmtId="0" fontId="56" fillId="3" borderId="8" xfId="0" applyFont="1" applyFill="1" applyBorder="1" applyAlignment="1">
      <alignment horizontal="center" vertical="center" wrapText="1"/>
    </xf>
    <xf numFmtId="0" fontId="56" fillId="3" borderId="11" xfId="0" applyFont="1" applyFill="1" applyBorder="1" applyAlignment="1">
      <alignment horizontal="center" vertical="center" wrapText="1"/>
    </xf>
    <xf numFmtId="0" fontId="56" fillId="3" borderId="12" xfId="0" applyFont="1" applyFill="1" applyBorder="1" applyAlignment="1">
      <alignment horizontal="center" vertical="center" wrapText="1"/>
    </xf>
    <xf numFmtId="0" fontId="56" fillId="3" borderId="0" xfId="0" applyFont="1" applyFill="1" applyAlignment="1">
      <alignment horizontal="center" vertical="center" wrapText="1"/>
    </xf>
    <xf numFmtId="0" fontId="56" fillId="3" borderId="4" xfId="0" applyFont="1" applyFill="1" applyBorder="1" applyAlignment="1">
      <alignment horizontal="center" vertical="center" wrapText="1"/>
    </xf>
    <xf numFmtId="0" fontId="56" fillId="3" borderId="2" xfId="0" applyFont="1" applyFill="1" applyBorder="1" applyAlignment="1">
      <alignment horizontal="center" vertical="center" wrapText="1"/>
    </xf>
    <xf numFmtId="0" fontId="53" fillId="3" borderId="8" xfId="0" applyFont="1" applyFill="1" applyBorder="1" applyAlignment="1">
      <alignment horizontal="center" vertical="center"/>
    </xf>
    <xf numFmtId="0" fontId="53" fillId="3" borderId="11" xfId="0" applyFont="1" applyFill="1" applyBorder="1" applyAlignment="1">
      <alignment horizontal="center" vertical="center"/>
    </xf>
    <xf numFmtId="0" fontId="53" fillId="3" borderId="12" xfId="0" applyFont="1" applyFill="1" applyBorder="1" applyAlignment="1">
      <alignment horizontal="center" vertical="center"/>
    </xf>
    <xf numFmtId="0" fontId="53" fillId="3" borderId="0" xfId="0" applyFont="1" applyFill="1" applyAlignment="1">
      <alignment horizontal="center" vertical="center"/>
    </xf>
    <xf numFmtId="0" fontId="53" fillId="3" borderId="4" xfId="0" applyFont="1" applyFill="1" applyBorder="1" applyAlignment="1">
      <alignment horizontal="center" vertical="center"/>
    </xf>
    <xf numFmtId="0" fontId="53" fillId="3" borderId="2" xfId="0" applyFont="1" applyFill="1" applyBorder="1" applyAlignment="1">
      <alignment horizontal="center" vertical="center"/>
    </xf>
    <xf numFmtId="0" fontId="53" fillId="0" borderId="1" xfId="0" applyFont="1" applyBorder="1" applyAlignment="1">
      <alignment horizontal="center" vertical="center" wrapText="1"/>
    </xf>
    <xf numFmtId="164" fontId="56" fillId="3" borderId="5" xfId="0" applyNumberFormat="1" applyFont="1" applyFill="1" applyBorder="1" applyAlignment="1">
      <alignment horizontal="center" vertical="center"/>
    </xf>
    <xf numFmtId="164" fontId="56" fillId="3" borderId="10" xfId="0" applyNumberFormat="1" applyFont="1" applyFill="1" applyBorder="1" applyAlignment="1">
      <alignment horizontal="center" vertical="center"/>
    </xf>
    <xf numFmtId="164" fontId="56" fillId="3" borderId="7" xfId="0" applyNumberFormat="1" applyFont="1" applyFill="1" applyBorder="1" applyAlignment="1">
      <alignment horizontal="center" vertical="center"/>
    </xf>
    <xf numFmtId="0" fontId="53" fillId="3" borderId="0" xfId="0" applyFont="1" applyFill="1" applyAlignment="1">
      <alignment horizontal="left" vertical="top" wrapText="1"/>
    </xf>
    <xf numFmtId="164" fontId="2" fillId="3" borderId="0" xfId="0" applyNumberFormat="1" applyFont="1" applyFill="1" applyAlignment="1">
      <alignment horizontal="left" vertical="center" wrapText="1"/>
    </xf>
    <xf numFmtId="0" fontId="56" fillId="3" borderId="14" xfId="0" applyFont="1" applyFill="1" applyBorder="1" applyAlignment="1">
      <alignment horizontal="center" vertical="center" wrapText="1"/>
    </xf>
    <xf numFmtId="0" fontId="53" fillId="3" borderId="5" xfId="0" applyFont="1" applyFill="1" applyBorder="1" applyAlignment="1">
      <alignment horizontal="center" vertical="top"/>
    </xf>
    <xf numFmtId="0" fontId="53" fillId="3" borderId="10" xfId="0" applyFont="1" applyFill="1" applyBorder="1" applyAlignment="1">
      <alignment horizontal="center" vertical="top"/>
    </xf>
    <xf numFmtId="0" fontId="56" fillId="3" borderId="5" xfId="4" applyFont="1" applyFill="1" applyBorder="1" applyAlignment="1" applyProtection="1">
      <alignment horizontal="center" vertical="center"/>
      <protection locked="0"/>
    </xf>
    <xf numFmtId="0" fontId="56" fillId="3" borderId="10" xfId="4" applyFont="1" applyFill="1" applyBorder="1" applyAlignment="1" applyProtection="1">
      <alignment horizontal="center" vertical="center"/>
      <protection locked="0"/>
    </xf>
    <xf numFmtId="0" fontId="56" fillId="3" borderId="7" xfId="4" applyFont="1" applyFill="1" applyBorder="1" applyAlignment="1" applyProtection="1">
      <alignment horizontal="center" vertical="center"/>
      <protection locked="0"/>
    </xf>
    <xf numFmtId="0" fontId="53" fillId="0" borderId="5" xfId="0" applyFont="1" applyBorder="1" applyAlignment="1" applyProtection="1">
      <alignment horizontal="center" vertical="top"/>
      <protection locked="0"/>
    </xf>
    <xf numFmtId="0" fontId="53" fillId="0" borderId="10" xfId="0" applyFont="1" applyBorder="1" applyAlignment="1" applyProtection="1">
      <alignment horizontal="center" vertical="top"/>
      <protection locked="0"/>
    </xf>
    <xf numFmtId="0" fontId="84" fillId="0" borderId="1" xfId="0" applyFont="1" applyBorder="1" applyAlignment="1" applyProtection="1">
      <alignment horizontal="center" vertical="center"/>
      <protection locked="0"/>
    </xf>
    <xf numFmtId="0" fontId="56" fillId="3" borderId="5" xfId="4" applyFont="1" applyFill="1" applyBorder="1" applyAlignment="1">
      <alignment horizontal="center" vertical="center" wrapText="1"/>
    </xf>
    <xf numFmtId="0" fontId="56" fillId="3" borderId="10" xfId="4" applyFont="1" applyFill="1" applyBorder="1" applyAlignment="1">
      <alignment horizontal="center" vertical="center" wrapText="1"/>
    </xf>
    <xf numFmtId="0" fontId="56" fillId="3" borderId="7" xfId="4" applyFont="1" applyFill="1" applyBorder="1" applyAlignment="1">
      <alignment horizontal="center" vertical="center" wrapText="1"/>
    </xf>
    <xf numFmtId="0" fontId="53" fillId="3" borderId="7" xfId="0" applyFont="1" applyFill="1" applyBorder="1" applyAlignment="1">
      <alignment horizontal="center" vertical="center" wrapText="1"/>
    </xf>
    <xf numFmtId="0" fontId="56" fillId="3" borderId="6" xfId="0" applyFont="1" applyFill="1" applyBorder="1" applyAlignment="1">
      <alignment horizontal="center" vertical="center" wrapText="1"/>
    </xf>
    <xf numFmtId="0" fontId="56" fillId="3" borderId="9" xfId="0" applyFont="1" applyFill="1" applyBorder="1" applyAlignment="1">
      <alignment horizontal="center" vertical="center" wrapText="1"/>
    </xf>
    <xf numFmtId="183" fontId="53" fillId="2" borderId="0" xfId="0" applyNumberFormat="1" applyFont="1" applyFill="1" applyAlignment="1">
      <alignment horizontal="left"/>
    </xf>
    <xf numFmtId="0" fontId="128" fillId="2" borderId="0" xfId="0" applyFont="1" applyFill="1" applyAlignment="1">
      <alignment horizontal="center" vertical="center"/>
    </xf>
    <xf numFmtId="0" fontId="64" fillId="3" borderId="0" xfId="0" applyFont="1" applyFill="1" applyAlignment="1">
      <alignment horizontal="center" vertical="center"/>
    </xf>
    <xf numFmtId="0" fontId="37" fillId="0" borderId="0" xfId="5" applyFont="1" applyAlignment="1">
      <alignment horizontal="left" vertical="center" wrapText="1"/>
    </xf>
    <xf numFmtId="0" fontId="110" fillId="0" borderId="0" xfId="5" applyFont="1" applyAlignment="1">
      <alignment horizontal="left" vertical="center" wrapText="1"/>
    </xf>
    <xf numFmtId="183" fontId="110" fillId="0" borderId="0" xfId="5" applyNumberFormat="1" applyFont="1" applyAlignment="1">
      <alignment horizontal="left" vertical="top" wrapText="1"/>
    </xf>
    <xf numFmtId="0" fontId="110" fillId="0" borderId="0" xfId="5" applyFont="1" applyAlignment="1">
      <alignment horizontal="left" vertical="top" wrapText="1"/>
    </xf>
    <xf numFmtId="0" fontId="110" fillId="4" borderId="0" xfId="5" applyFont="1" applyFill="1" applyAlignment="1">
      <alignment horizontal="justify" vertical="center" wrapText="1"/>
    </xf>
    <xf numFmtId="183" fontId="110" fillId="0" borderId="0" xfId="5" applyNumberFormat="1" applyFont="1" applyAlignment="1">
      <alignment horizontal="left" vertical="center" wrapText="1"/>
    </xf>
    <xf numFmtId="0" fontId="110" fillId="0" borderId="3" xfId="5" applyFont="1" applyBorder="1" applyAlignment="1">
      <alignment horizontal="left" vertical="top" wrapText="1"/>
    </xf>
    <xf numFmtId="0" fontId="110" fillId="0" borderId="15" xfId="5" applyFont="1" applyBorder="1" applyAlignment="1">
      <alignment horizontal="left" vertical="top" wrapText="1"/>
    </xf>
    <xf numFmtId="0" fontId="109" fillId="0" borderId="0" xfId="5" applyFont="1" applyAlignment="1" applyProtection="1">
      <alignment horizontal="left"/>
      <protection locked="0"/>
    </xf>
    <xf numFmtId="0" fontId="112" fillId="0" borderId="0" xfId="5" applyFont="1" applyAlignment="1" applyProtection="1">
      <alignment horizontal="left" vertical="center" wrapText="1"/>
      <protection locked="0"/>
    </xf>
    <xf numFmtId="0" fontId="110" fillId="0" borderId="0" xfId="5" applyFont="1" applyAlignment="1" applyProtection="1">
      <alignment horizontal="left" vertical="top" wrapText="1"/>
      <protection locked="0"/>
    </xf>
    <xf numFmtId="0" fontId="110" fillId="0" borderId="0" xfId="5" applyFont="1" applyAlignment="1" applyProtection="1">
      <alignment horizontal="justify" vertical="top" wrapText="1"/>
      <protection locked="0"/>
    </xf>
    <xf numFmtId="185" fontId="109" fillId="0" borderId="0" xfId="5" quotePrefix="1" applyNumberFormat="1" applyFont="1" applyAlignment="1" applyProtection="1">
      <alignment horizontal="left" vertical="center"/>
      <protection locked="0"/>
    </xf>
    <xf numFmtId="185" fontId="109" fillId="0" borderId="0" xfId="5" applyNumberFormat="1" applyFont="1" applyAlignment="1" applyProtection="1">
      <alignment horizontal="left" vertical="center"/>
      <protection locked="0"/>
    </xf>
    <xf numFmtId="0" fontId="104" fillId="0" borderId="0" xfId="5" applyFont="1" applyAlignment="1">
      <alignment horizontal="center"/>
    </xf>
    <xf numFmtId="0" fontId="109" fillId="0" borderId="0" xfId="5" quotePrefix="1" applyFont="1" applyAlignment="1" applyProtection="1">
      <alignment horizontal="left"/>
      <protection locked="0"/>
    </xf>
    <xf numFmtId="0" fontId="112" fillId="0" borderId="0" xfId="5" quotePrefix="1" applyFont="1" applyAlignment="1" applyProtection="1">
      <alignment horizontal="left" vertical="center" wrapText="1"/>
      <protection locked="0"/>
    </xf>
    <xf numFmtId="11" fontId="109" fillId="0" borderId="0" xfId="5" quotePrefix="1" applyNumberFormat="1" applyFont="1" applyAlignment="1" applyProtection="1">
      <alignment horizontal="left"/>
      <protection locked="0"/>
    </xf>
    <xf numFmtId="0" fontId="110" fillId="0" borderId="0" xfId="5" applyFont="1" applyAlignment="1" applyProtection="1">
      <alignment horizontal="left" vertical="center" wrapText="1"/>
      <protection locked="0"/>
    </xf>
    <xf numFmtId="0" fontId="107" fillId="0" borderId="0" xfId="5" applyFont="1" applyAlignment="1" applyProtection="1">
      <alignment horizontal="center" vertical="center"/>
      <protection locked="0"/>
    </xf>
    <xf numFmtId="183" fontId="109" fillId="0" borderId="0" xfId="5" quotePrefix="1" applyNumberFormat="1" applyFont="1" applyAlignment="1" applyProtection="1">
      <alignment horizontal="center" vertical="center"/>
      <protection locked="0"/>
    </xf>
    <xf numFmtId="183" fontId="109" fillId="0" borderId="0" xfId="5" applyNumberFormat="1" applyFont="1" applyAlignment="1" applyProtection="1">
      <alignment horizontal="center" vertical="center"/>
      <protection locked="0"/>
    </xf>
    <xf numFmtId="0" fontId="110" fillId="0" borderId="0" xfId="5" applyFont="1" applyAlignment="1">
      <alignment horizontal="center"/>
    </xf>
    <xf numFmtId="0" fontId="111" fillId="0" borderId="0" xfId="5" applyFont="1" applyAlignment="1">
      <alignment horizontal="right" vertical="center"/>
    </xf>
    <xf numFmtId="0" fontId="106" fillId="0" borderId="0" xfId="5" applyFont="1" applyAlignment="1">
      <alignment horizontal="center"/>
    </xf>
  </cellXfs>
  <cellStyles count="6">
    <cellStyle name="Normal" xfId="0" builtinId="0"/>
    <cellStyle name="Normal 2" xfId="4" xr:uid="{00000000-0005-0000-0000-000001000000}"/>
    <cellStyle name="Normal 2 3" xfId="5" xr:uid="{2CF726F4-37A1-4642-B762-2F5705B2C1D5}"/>
    <cellStyle name="Normal_Daftar kelistrikan (ecg)" xfId="1" xr:uid="{00000000-0005-0000-0000-000002000000}"/>
    <cellStyle name="Normal_Sheet1" xfId="2" xr:uid="{00000000-0005-0000-0000-000003000000}"/>
    <cellStyle name="Normal_THERMOHYGRO 2010" xfId="3" xr:uid="{00000000-0005-0000-0000-000004000000}"/>
  </cellStyles>
  <dxfs count="0"/>
  <tableStyles count="0" defaultTableStyle="TableStyleMedium9" defaultPivotStyle="PivotStyleLight16"/>
  <colors>
    <mruColors>
      <color rgb="FF00FF00"/>
      <color rgb="FFFF0066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hyperlink" Target="#'HASIL AKHIR, PRINT PREVIEW'!A1"/><Relationship Id="rId1" Type="http://schemas.openxmlformats.org/officeDocument/2006/relationships/hyperlink" Target="#PENYELIA!A1"/><Relationship Id="rId5" Type="http://schemas.openxmlformats.org/officeDocument/2006/relationships/image" Target="../media/image3.emf"/><Relationship Id="rId4" Type="http://schemas.openxmlformats.org/officeDocument/2006/relationships/image" Target="../media/image2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PUT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0</xdr:colOff>
      <xdr:row>18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2362200" y="1016000"/>
          <a:ext cx="0" cy="1968500"/>
          <a:chOff x="2676525" y="857250"/>
          <a:chExt cx="171450" cy="2438400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2676525" y="145732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 txBox="1"/>
        </xdr:nvSpPr>
        <xdr:spPr>
          <a:xfrm>
            <a:off x="2676525" y="85725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 txBox="1"/>
        </xdr:nvSpPr>
        <xdr:spPr>
          <a:xfrm>
            <a:off x="2676525" y="105727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 txBox="1"/>
        </xdr:nvSpPr>
        <xdr:spPr>
          <a:xfrm>
            <a:off x="2676525" y="125730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2676525" y="165735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2676525" y="185737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2676525" y="205740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2676525" y="225742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2676525" y="245745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2676525" y="265747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 txBox="1"/>
        </xdr:nvSpPr>
        <xdr:spPr>
          <a:xfrm>
            <a:off x="2676525" y="285750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2676525" y="305752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1495425</xdr:colOff>
      <xdr:row>3</xdr:row>
      <xdr:rowOff>0</xdr:rowOff>
    </xdr:from>
    <xdr:to>
      <xdr:col>3</xdr:col>
      <xdr:colOff>1666875</xdr:colOff>
      <xdr:row>16</xdr:row>
      <xdr:rowOff>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pSpPr/>
      </xdr:nvGrpSpPr>
      <xdr:grpSpPr>
        <a:xfrm>
          <a:off x="2799790" y="690282"/>
          <a:ext cx="0" cy="1972236"/>
          <a:chOff x="2676525" y="857250"/>
          <a:chExt cx="171450" cy="2438400"/>
        </a:xfrm>
      </xdr:grpSpPr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 txBox="1"/>
        </xdr:nvSpPr>
        <xdr:spPr>
          <a:xfrm>
            <a:off x="2676525" y="145732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 txBox="1"/>
        </xdr:nvSpPr>
        <xdr:spPr>
          <a:xfrm>
            <a:off x="2676525" y="85725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 txBox="1"/>
        </xdr:nvSpPr>
        <xdr:spPr>
          <a:xfrm>
            <a:off x="2676525" y="105727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 txBox="1"/>
        </xdr:nvSpPr>
        <xdr:spPr>
          <a:xfrm>
            <a:off x="2676525" y="125730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 txBox="1"/>
        </xdr:nvSpPr>
        <xdr:spPr>
          <a:xfrm>
            <a:off x="2676525" y="165735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3" name="TextBox 12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 txBox="1"/>
        </xdr:nvSpPr>
        <xdr:spPr>
          <a:xfrm>
            <a:off x="2676525" y="185737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 txBox="1"/>
        </xdr:nvSpPr>
        <xdr:spPr>
          <a:xfrm>
            <a:off x="2676525" y="205740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5" name="TextBox 14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 txBox="1"/>
        </xdr:nvSpPr>
        <xdr:spPr>
          <a:xfrm>
            <a:off x="2676525" y="225742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 txBox="1"/>
        </xdr:nvSpPr>
        <xdr:spPr>
          <a:xfrm>
            <a:off x="2676525" y="245745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7" name="TextBox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 txBox="1"/>
        </xdr:nvSpPr>
        <xdr:spPr>
          <a:xfrm>
            <a:off x="2676525" y="265747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8" name="TextBox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 txBox="1"/>
        </xdr:nvSpPr>
        <xdr:spPr>
          <a:xfrm>
            <a:off x="2676525" y="2857500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  <xdr:sp macro="" textlink="">
        <xdr:nvSpPr>
          <xdr:cNvPr id="19" name="TextBox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 txBox="1"/>
        </xdr:nvSpPr>
        <xdr:spPr>
          <a:xfrm>
            <a:off x="2676525" y="3057525"/>
            <a:ext cx="171450" cy="238125"/>
          </a:xfrm>
          <a:prstGeom prst="rect">
            <a:avLst/>
          </a:prstGeom>
          <a:solidFill>
            <a:schemeClr val="lt1">
              <a:alpha val="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id-ID" sz="1100"/>
              <a:t>:</a:t>
            </a:r>
          </a:p>
        </xdr:txBody>
      </xdr:sp>
    </xdr:grpSp>
    <xdr:clientData/>
  </xdr:twoCellAnchor>
  <xdr:twoCellAnchor>
    <xdr:from>
      <xdr:col>2</xdr:col>
      <xdr:colOff>923925</xdr:colOff>
      <xdr:row>35</xdr:row>
      <xdr:rowOff>0</xdr:rowOff>
    </xdr:from>
    <xdr:to>
      <xdr:col>3</xdr:col>
      <xdr:colOff>47625</xdr:colOff>
      <xdr:row>36</xdr:row>
      <xdr:rowOff>55010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2105025" y="2286000"/>
          <a:ext cx="2190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d-ID" sz="1100"/>
            <a:t>:</a:t>
          </a:r>
        </a:p>
      </xdr:txBody>
    </xdr:sp>
    <xdr:clientData/>
  </xdr:twoCellAnchor>
  <xdr:twoCellAnchor>
    <xdr:from>
      <xdr:col>23</xdr:col>
      <xdr:colOff>476250</xdr:colOff>
      <xdr:row>54</xdr:row>
      <xdr:rowOff>0</xdr:rowOff>
    </xdr:from>
    <xdr:to>
      <xdr:col>24</xdr:col>
      <xdr:colOff>514350</xdr:colOff>
      <xdr:row>56</xdr:row>
      <xdr:rowOff>161925</xdr:rowOff>
    </xdr:to>
    <xdr:sp macro="" textlink="">
      <xdr:nvSpPr>
        <xdr:cNvPr id="2" name="Ov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287000" y="8067675"/>
          <a:ext cx="828675" cy="85725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428625</xdr:colOff>
      <xdr:row>50</xdr:row>
      <xdr:rowOff>190500</xdr:rowOff>
    </xdr:from>
    <xdr:to>
      <xdr:col>24</xdr:col>
      <xdr:colOff>571500</xdr:colOff>
      <xdr:row>53</xdr:row>
      <xdr:rowOff>190500</xdr:rowOff>
    </xdr:to>
    <xdr:sp macro="" textlink="">
      <xdr:nvSpPr>
        <xdr:cNvPr id="4" name="Oval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239375" y="7067550"/>
          <a:ext cx="933450" cy="800100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59</xdr:col>
      <xdr:colOff>0</xdr:colOff>
      <xdr:row>5</xdr:row>
      <xdr:rowOff>104775</xdr:rowOff>
    </xdr:from>
    <xdr:to>
      <xdr:col>62</xdr:col>
      <xdr:colOff>319087</xdr:colOff>
      <xdr:row>28</xdr:row>
      <xdr:rowOff>15425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103CFCA4-42EA-4E18-8466-326FB7814F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36100" y="1190625"/>
          <a:ext cx="2724150" cy="1710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626269</xdr:colOff>
      <xdr:row>9</xdr:row>
      <xdr:rowOff>88106</xdr:rowOff>
    </xdr:from>
    <xdr:to>
      <xdr:col>68</xdr:col>
      <xdr:colOff>130970</xdr:colOff>
      <xdr:row>16</xdr:row>
      <xdr:rowOff>11906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64112C2F-D37A-4229-B811-966B57C1E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43644" y="1981200"/>
          <a:ext cx="28860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638175</xdr:colOff>
      <xdr:row>5</xdr:row>
      <xdr:rowOff>95250</xdr:rowOff>
    </xdr:from>
    <xdr:to>
      <xdr:col>66</xdr:col>
      <xdr:colOff>49674</xdr:colOff>
      <xdr:row>8</xdr:row>
      <xdr:rowOff>161925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2B0220E-BD70-43BF-893F-E3EE0114D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93600" y="1181100"/>
          <a:ext cx="1480805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369094</xdr:colOff>
      <xdr:row>44</xdr:row>
      <xdr:rowOff>71438</xdr:rowOff>
    </xdr:from>
    <xdr:to>
      <xdr:col>73</xdr:col>
      <xdr:colOff>433388</xdr:colOff>
      <xdr:row>46</xdr:row>
      <xdr:rowOff>245269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C277AD5-D639-485B-925D-BD21B5DB5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220313" y="6703219"/>
          <a:ext cx="28860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69</xdr:col>
      <xdr:colOff>404812</xdr:colOff>
      <xdr:row>51</xdr:row>
      <xdr:rowOff>95250</xdr:rowOff>
    </xdr:from>
    <xdr:to>
      <xdr:col>72</xdr:col>
      <xdr:colOff>392906</xdr:colOff>
      <xdr:row>51</xdr:row>
      <xdr:rowOff>119062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95EBB50-56DA-4236-A093-2890BE4015B0}"/>
            </a:ext>
          </a:extLst>
        </xdr:cNvPr>
        <xdr:cNvCxnSpPr/>
      </xdr:nvCxnSpPr>
      <xdr:spPr>
        <a:xfrm>
          <a:off x="48256031" y="8370094"/>
          <a:ext cx="2202656" cy="2381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152400</xdr:colOff>
      <xdr:row>33</xdr:row>
      <xdr:rowOff>0</xdr:rowOff>
    </xdr:from>
    <xdr:to>
      <xdr:col>19</xdr:col>
      <xdr:colOff>457200</xdr:colOff>
      <xdr:row>35</xdr:row>
      <xdr:rowOff>95250</xdr:rowOff>
    </xdr:to>
    <xdr:sp macro="" textlink="">
      <xdr:nvSpPr>
        <xdr:cNvPr id="2" name="Oval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106150" y="5962650"/>
          <a:ext cx="914400" cy="7239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95250</xdr:colOff>
      <xdr:row>23</xdr:row>
      <xdr:rowOff>104775</xdr:rowOff>
    </xdr:from>
    <xdr:to>
      <xdr:col>16</xdr:col>
      <xdr:colOff>571500</xdr:colOff>
      <xdr:row>23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H="1">
          <a:off x="10963275" y="4772025"/>
          <a:ext cx="476250" cy="9525"/>
        </a:xfrm>
        <a:prstGeom prst="straightConnector1">
          <a:avLst/>
        </a:prstGeom>
        <a:ln>
          <a:solidFill>
            <a:schemeClr val="tx1"/>
          </a:solidFill>
          <a:tailEnd type="triangle"/>
        </a:ln>
        <a:effectLst>
          <a:glow rad="101600">
            <a:schemeClr val="accent1">
              <a:satMod val="175000"/>
              <a:alpha val="40000"/>
            </a:schemeClr>
          </a:glo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4565fa0888591d4/SOFTWARE%20PASSWORD%202020/SOFTWARE%20Bukan%20Lingkup%20Akreditasi/SOFTWARE%20TEKANAN/SUCTION%20PUMP%20OUTPUT%20(MURNI)%20TEST%20KELISTRIKAN%2014.%20berbed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04565fa0888591d4/SOFTWARE%20PASSWORD%202020/SOFTWARE%20Bukan%20Lingkup%20Akreditasi/SOFTWARE%20TEKANAN/SUCTION%20PUMP%20MASIH%20PROSES%203%20(MURNI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MBAR KERJA"/>
      <sheetName val="KONVERSI SATUAN"/>
      <sheetName val="INPUT"/>
      <sheetName val="BUDGET KTP NAIK"/>
      <sheetName val="BUDGET KTP TURUN"/>
      <sheetName val="PENYELIA"/>
      <sheetName val="PELANGGAN"/>
      <sheetName val="JENIS KALIBRATOR"/>
      <sheetName val="SERTIFIKAT DPM"/>
      <sheetName val="SERTIFIKAT THERMOHYGROMETER"/>
      <sheetName val="TEMUAN SERTIFIKAT"/>
      <sheetName val="ESA VOLT"/>
      <sheetName val="EARTH LEAKAGE"/>
      <sheetName val="PE MOhm"/>
      <sheetName val="RESISTANCE Ohm"/>
      <sheetName val="KETERANGAN"/>
      <sheetName val="KELAS 1"/>
      <sheetName val="KELAS 2"/>
      <sheetName val="LOGIKA ISENG"/>
      <sheetName val="PERUBAHAN"/>
    </sheetNames>
    <sheetDataSet>
      <sheetData sheetId="0"/>
      <sheetData sheetId="1"/>
      <sheetData sheetId="2">
        <row r="32">
          <cell r="M32" t="str">
            <v>BATERAI</v>
          </cell>
        </row>
        <row r="37">
          <cell r="M37" t="str">
            <v>G_NO KELUAR_NC MASUK_HIJAU (TANPA ALAT BANTU)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K"/>
      <sheetName val="KONVERSI SATUAN"/>
      <sheetName val="INPUT"/>
      <sheetName val="BUDGET NAIK"/>
      <sheetName val="BUDGET TURUN"/>
      <sheetName val="PENYELIA"/>
      <sheetName val="LHK"/>
      <sheetName val="JENIS KALIBRATOR"/>
      <sheetName val="SERTIFIKAT DPM"/>
      <sheetName val="SERTIFIKAT THERMOHYGROMETER"/>
      <sheetName val="TEMUAN SERTIFIKAT"/>
      <sheetName val="ESA VOLT"/>
      <sheetName val="EARTH LEAKAGE"/>
      <sheetName val="PE MOhm"/>
      <sheetName val="RESISTANCE Ohm"/>
      <sheetName val="KETERANGAN"/>
      <sheetName val="PERUBAHAN"/>
    </sheetNames>
    <sheetDataSet>
      <sheetData sheetId="0" refreshError="1"/>
      <sheetData sheetId="1" refreshError="1"/>
      <sheetData sheetId="2" refreshError="1">
        <row r="83">
          <cell r="A83" t="str">
            <v>Electrical Safety Analyzer, Merek : FLUKE, Model : ESA620, SN : 1837056</v>
          </cell>
        </row>
        <row r="95">
          <cell r="C9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rgb="FF002060"/>
  </sheetPr>
  <dimension ref="A2:I99"/>
  <sheetViews>
    <sheetView workbookViewId="0">
      <selection activeCell="C38" sqref="C38"/>
    </sheetView>
  </sheetViews>
  <sheetFormatPr defaultColWidth="8.77734375" defaultRowHeight="13.2" x14ac:dyDescent="0.25"/>
  <cols>
    <col min="1" max="1" width="8.77734375" style="907"/>
    <col min="2" max="2" width="20.44140625" style="907" customWidth="1"/>
    <col min="3" max="3" width="58.44140625" style="907" customWidth="1"/>
    <col min="4" max="4" width="78.21875" style="907" customWidth="1"/>
    <col min="5" max="5" width="9.21875" style="916"/>
    <col min="6" max="16384" width="8.77734375" style="907"/>
  </cols>
  <sheetData>
    <row r="2" spans="1:9" x14ac:dyDescent="0.25">
      <c r="A2" s="1097" t="s">
        <v>89</v>
      </c>
      <c r="B2" s="1097" t="s">
        <v>90</v>
      </c>
      <c r="C2" s="1097" t="s">
        <v>91</v>
      </c>
      <c r="D2" s="1097"/>
      <c r="E2" s="1098" t="s">
        <v>241</v>
      </c>
    </row>
    <row r="3" spans="1:9" x14ac:dyDescent="0.25">
      <c r="A3" s="1097"/>
      <c r="B3" s="1097"/>
      <c r="C3" s="636" t="s">
        <v>92</v>
      </c>
      <c r="D3" s="634" t="s">
        <v>93</v>
      </c>
      <c r="E3" s="1098"/>
    </row>
    <row r="4" spans="1:9" x14ac:dyDescent="0.25">
      <c r="A4" s="631">
        <v>1</v>
      </c>
      <c r="B4" s="451">
        <v>44229</v>
      </c>
      <c r="C4" s="673" t="s">
        <v>94</v>
      </c>
      <c r="D4" s="671" t="s">
        <v>0</v>
      </c>
      <c r="E4" s="902"/>
    </row>
    <row r="5" spans="1:9" ht="17.399999999999999" x14ac:dyDescent="0.25">
      <c r="A5" s="631">
        <v>2</v>
      </c>
      <c r="B5" s="452"/>
      <c r="C5" s="674" t="s">
        <v>95</v>
      </c>
      <c r="D5" s="671"/>
      <c r="E5" s="632"/>
      <c r="F5" s="903"/>
      <c r="G5" s="903"/>
      <c r="H5" s="903"/>
      <c r="I5" s="903"/>
    </row>
    <row r="6" spans="1:9" x14ac:dyDescent="0.25">
      <c r="A6" s="631">
        <v>3</v>
      </c>
      <c r="B6" s="452" t="s">
        <v>396</v>
      </c>
      <c r="C6" s="675" t="s">
        <v>99</v>
      </c>
      <c r="D6" s="672" t="s">
        <v>397</v>
      </c>
      <c r="E6" s="637" t="s">
        <v>434</v>
      </c>
    </row>
    <row r="7" spans="1:9" x14ac:dyDescent="0.25">
      <c r="A7" s="631">
        <v>4</v>
      </c>
      <c r="B7" s="452" t="s">
        <v>396</v>
      </c>
      <c r="C7" s="675" t="s">
        <v>99</v>
      </c>
      <c r="D7" s="672" t="s">
        <v>398</v>
      </c>
      <c r="E7" s="637" t="s">
        <v>434</v>
      </c>
    </row>
    <row r="8" spans="1:9" x14ac:dyDescent="0.25">
      <c r="A8" s="631">
        <v>5</v>
      </c>
      <c r="B8" s="452" t="s">
        <v>401</v>
      </c>
      <c r="C8" s="675" t="s">
        <v>402</v>
      </c>
      <c r="D8" s="672" t="s">
        <v>403</v>
      </c>
      <c r="E8" s="633" t="s">
        <v>432</v>
      </c>
    </row>
    <row r="9" spans="1:9" x14ac:dyDescent="0.25">
      <c r="A9" s="631">
        <v>6</v>
      </c>
      <c r="B9" s="452" t="s">
        <v>401</v>
      </c>
      <c r="C9" s="675" t="s">
        <v>406</v>
      </c>
      <c r="D9" s="672" t="s">
        <v>407</v>
      </c>
      <c r="E9" s="633" t="s">
        <v>432</v>
      </c>
    </row>
    <row r="10" spans="1:9" x14ac:dyDescent="0.25">
      <c r="A10" s="631">
        <v>7</v>
      </c>
      <c r="B10" s="452" t="s">
        <v>426</v>
      </c>
      <c r="C10" s="675" t="s">
        <v>427</v>
      </c>
      <c r="D10" s="672" t="s">
        <v>428</v>
      </c>
      <c r="E10" s="633" t="s">
        <v>432</v>
      </c>
    </row>
    <row r="11" spans="1:9" x14ac:dyDescent="0.25">
      <c r="A11" s="631">
        <v>8</v>
      </c>
      <c r="B11" s="452" t="s">
        <v>426</v>
      </c>
      <c r="C11" s="675" t="s">
        <v>429</v>
      </c>
      <c r="D11" s="672" t="s">
        <v>428</v>
      </c>
      <c r="E11" s="633" t="s">
        <v>432</v>
      </c>
    </row>
    <row r="12" spans="1:9" ht="26.4" x14ac:dyDescent="0.25">
      <c r="A12" s="631">
        <v>9</v>
      </c>
      <c r="B12" s="452" t="s">
        <v>433</v>
      </c>
      <c r="C12" s="630" t="s">
        <v>435</v>
      </c>
      <c r="D12" s="635" t="s">
        <v>431</v>
      </c>
      <c r="E12" s="633" t="s">
        <v>432</v>
      </c>
    </row>
    <row r="13" spans="1:9" x14ac:dyDescent="0.25">
      <c r="A13" s="631">
        <v>10</v>
      </c>
      <c r="B13" s="452" t="s">
        <v>433</v>
      </c>
      <c r="C13" s="675" t="s">
        <v>465</v>
      </c>
      <c r="D13" s="672" t="s">
        <v>466</v>
      </c>
      <c r="E13" s="633" t="s">
        <v>432</v>
      </c>
    </row>
    <row r="14" spans="1:9" x14ac:dyDescent="0.25">
      <c r="A14" s="631">
        <v>11</v>
      </c>
      <c r="B14" s="452" t="s">
        <v>467</v>
      </c>
      <c r="C14" s="675" t="s">
        <v>468</v>
      </c>
      <c r="D14" s="672" t="s">
        <v>469</v>
      </c>
      <c r="E14" s="676" t="s">
        <v>434</v>
      </c>
    </row>
    <row r="15" spans="1:9" ht="34.5" customHeight="1" x14ac:dyDescent="0.25">
      <c r="A15" s="908"/>
      <c r="B15" s="452" t="s">
        <v>467</v>
      </c>
      <c r="C15" s="909"/>
      <c r="D15" s="635" t="s">
        <v>472</v>
      </c>
      <c r="E15" s="676" t="s">
        <v>434</v>
      </c>
    </row>
    <row r="16" spans="1:9" x14ac:dyDescent="0.25">
      <c r="A16" s="908"/>
      <c r="B16" s="452" t="s">
        <v>699</v>
      </c>
      <c r="C16" s="909"/>
      <c r="D16" s="672" t="s">
        <v>698</v>
      </c>
      <c r="E16" s="676" t="s">
        <v>434</v>
      </c>
    </row>
    <row r="17" spans="1:5" x14ac:dyDescent="0.25">
      <c r="A17" s="631">
        <v>12</v>
      </c>
      <c r="B17" s="452" t="s">
        <v>702</v>
      </c>
      <c r="C17" s="630" t="s">
        <v>700</v>
      </c>
      <c r="D17" s="635" t="s">
        <v>701</v>
      </c>
      <c r="E17" s="633" t="s">
        <v>432</v>
      </c>
    </row>
    <row r="18" spans="1:5" ht="26.4" x14ac:dyDescent="0.25">
      <c r="A18" s="631">
        <v>13</v>
      </c>
      <c r="B18" s="682" t="s">
        <v>717</v>
      </c>
      <c r="C18" s="910" t="s">
        <v>715</v>
      </c>
      <c r="D18" s="681" t="s">
        <v>716</v>
      </c>
      <c r="E18" s="633" t="s">
        <v>432</v>
      </c>
    </row>
    <row r="19" spans="1:5" ht="26.4" x14ac:dyDescent="0.25">
      <c r="A19" s="631">
        <v>14</v>
      </c>
      <c r="B19" s="452" t="s">
        <v>718</v>
      </c>
      <c r="C19" s="630" t="s">
        <v>715</v>
      </c>
      <c r="D19" s="635" t="s">
        <v>719</v>
      </c>
      <c r="E19" s="633" t="s">
        <v>432</v>
      </c>
    </row>
    <row r="20" spans="1:5" x14ac:dyDescent="0.25">
      <c r="A20" s="631">
        <v>15</v>
      </c>
      <c r="B20" s="452" t="s">
        <v>718</v>
      </c>
      <c r="C20" s="630" t="s">
        <v>720</v>
      </c>
      <c r="D20" s="635" t="s">
        <v>721</v>
      </c>
      <c r="E20" s="633" t="s">
        <v>432</v>
      </c>
    </row>
    <row r="21" spans="1:5" ht="26.4" x14ac:dyDescent="0.25">
      <c r="A21" s="631">
        <v>16</v>
      </c>
      <c r="B21" s="452" t="s">
        <v>718</v>
      </c>
      <c r="C21" s="630" t="s">
        <v>722</v>
      </c>
      <c r="D21" s="635" t="s">
        <v>723</v>
      </c>
      <c r="E21" s="633" t="s">
        <v>432</v>
      </c>
    </row>
    <row r="22" spans="1:5" ht="26.4" x14ac:dyDescent="0.25">
      <c r="A22" s="631">
        <v>17</v>
      </c>
      <c r="B22" s="452" t="s">
        <v>718</v>
      </c>
      <c r="C22" s="630" t="s">
        <v>144</v>
      </c>
      <c r="D22" s="635" t="s">
        <v>724</v>
      </c>
      <c r="E22" s="633" t="s">
        <v>432</v>
      </c>
    </row>
    <row r="23" spans="1:5" ht="26.4" x14ac:dyDescent="0.25">
      <c r="A23" s="631">
        <v>18</v>
      </c>
      <c r="B23" s="452" t="s">
        <v>725</v>
      </c>
      <c r="C23" s="630" t="s">
        <v>726</v>
      </c>
      <c r="D23" s="635" t="s">
        <v>727</v>
      </c>
      <c r="E23" s="633" t="s">
        <v>432</v>
      </c>
    </row>
    <row r="24" spans="1:5" x14ac:dyDescent="0.25">
      <c r="A24" s="631">
        <v>19</v>
      </c>
      <c r="B24" s="452" t="s">
        <v>718</v>
      </c>
      <c r="C24" s="911" t="s">
        <v>728</v>
      </c>
      <c r="D24" s="635" t="s">
        <v>729</v>
      </c>
      <c r="E24" s="633" t="s">
        <v>432</v>
      </c>
    </row>
    <row r="25" spans="1:5" x14ac:dyDescent="0.25">
      <c r="A25" s="631">
        <v>20</v>
      </c>
      <c r="B25" s="452" t="s">
        <v>725</v>
      </c>
      <c r="C25" s="630" t="s">
        <v>734</v>
      </c>
      <c r="D25" s="912" t="s">
        <v>735</v>
      </c>
      <c r="E25" s="633" t="s">
        <v>432</v>
      </c>
    </row>
    <row r="26" spans="1:5" x14ac:dyDescent="0.25">
      <c r="A26" s="631">
        <v>21</v>
      </c>
      <c r="B26" s="452" t="s">
        <v>737</v>
      </c>
      <c r="C26" s="913" t="s">
        <v>740</v>
      </c>
      <c r="D26" s="912" t="s">
        <v>741</v>
      </c>
      <c r="E26" s="633" t="s">
        <v>432</v>
      </c>
    </row>
    <row r="27" spans="1:5" x14ac:dyDescent="0.25">
      <c r="A27" s="631">
        <v>22</v>
      </c>
      <c r="B27" s="452" t="s">
        <v>737</v>
      </c>
      <c r="C27" s="630" t="s">
        <v>738</v>
      </c>
      <c r="D27" s="635" t="s">
        <v>739</v>
      </c>
      <c r="E27" s="633" t="s">
        <v>432</v>
      </c>
    </row>
    <row r="28" spans="1:5" ht="39.6" x14ac:dyDescent="0.25">
      <c r="A28" s="631">
        <v>23</v>
      </c>
      <c r="B28" s="452" t="s">
        <v>807</v>
      </c>
      <c r="C28" s="902" t="s">
        <v>99</v>
      </c>
      <c r="D28" s="635" t="s">
        <v>808</v>
      </c>
      <c r="E28" s="633" t="s">
        <v>432</v>
      </c>
    </row>
    <row r="29" spans="1:5" x14ac:dyDescent="0.25">
      <c r="A29" s="631">
        <v>24</v>
      </c>
      <c r="B29" s="452" t="s">
        <v>809</v>
      </c>
      <c r="C29" s="914" t="s">
        <v>99</v>
      </c>
      <c r="D29" s="635" t="s">
        <v>810</v>
      </c>
      <c r="E29" s="633" t="s">
        <v>432</v>
      </c>
    </row>
    <row r="30" spans="1:5" x14ac:dyDescent="0.25">
      <c r="A30" s="631">
        <v>25</v>
      </c>
      <c r="B30" s="452" t="s">
        <v>806</v>
      </c>
      <c r="C30" s="914" t="s">
        <v>99</v>
      </c>
      <c r="D30" s="635" t="s">
        <v>811</v>
      </c>
      <c r="E30" s="633" t="s">
        <v>432</v>
      </c>
    </row>
    <row r="31" spans="1:5" ht="26.4" x14ac:dyDescent="0.25">
      <c r="A31" s="631">
        <v>26</v>
      </c>
      <c r="B31" s="452" t="s">
        <v>806</v>
      </c>
      <c r="C31" s="914" t="s">
        <v>99</v>
      </c>
      <c r="D31" s="635" t="s">
        <v>817</v>
      </c>
      <c r="E31" s="633" t="s">
        <v>432</v>
      </c>
    </row>
    <row r="32" spans="1:5" x14ac:dyDescent="0.25">
      <c r="A32" s="631">
        <v>27</v>
      </c>
      <c r="B32" s="452" t="s">
        <v>806</v>
      </c>
      <c r="C32" s="914" t="s">
        <v>99</v>
      </c>
      <c r="D32" s="635" t="s">
        <v>818</v>
      </c>
      <c r="E32" s="633" t="s">
        <v>432</v>
      </c>
    </row>
    <row r="33" spans="1:5" x14ac:dyDescent="0.25">
      <c r="A33" s="631">
        <v>28</v>
      </c>
      <c r="B33" s="452" t="s">
        <v>819</v>
      </c>
      <c r="C33" s="914" t="s">
        <v>99</v>
      </c>
      <c r="D33" s="635" t="s">
        <v>820</v>
      </c>
      <c r="E33" s="633" t="s">
        <v>432</v>
      </c>
    </row>
    <row r="34" spans="1:5" ht="26.4" x14ac:dyDescent="0.25">
      <c r="A34" s="902">
        <v>29</v>
      </c>
      <c r="B34" s="452" t="s">
        <v>822</v>
      </c>
      <c r="C34" s="918" t="s">
        <v>823</v>
      </c>
      <c r="D34" s="918" t="s">
        <v>824</v>
      </c>
      <c r="E34" s="633" t="s">
        <v>432</v>
      </c>
    </row>
    <row r="35" spans="1:5" x14ac:dyDescent="0.25">
      <c r="C35" s="915"/>
    </row>
    <row r="99" spans="1:1" x14ac:dyDescent="0.25">
      <c r="A99" s="917" t="s">
        <v>821</v>
      </c>
    </row>
  </sheetData>
  <mergeCells count="4">
    <mergeCell ref="A2:A3"/>
    <mergeCell ref="B2:B3"/>
    <mergeCell ref="C2:D2"/>
    <mergeCell ref="E2:E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2:AE112"/>
  <sheetViews>
    <sheetView view="pageBreakPreview" zoomScaleNormal="100" zoomScaleSheetLayoutView="100" workbookViewId="0">
      <pane ySplit="4" topLeftCell="A11" activePane="bottomLeft" state="frozen"/>
      <selection pane="bottomLeft" activeCell="G13" sqref="G13"/>
    </sheetView>
  </sheetViews>
  <sheetFormatPr defaultColWidth="9.21875" defaultRowHeight="15" x14ac:dyDescent="0.25"/>
  <cols>
    <col min="1" max="1" width="3.77734375" style="152" customWidth="1"/>
    <col min="2" max="2" width="19.21875" style="152" customWidth="1"/>
    <col min="3" max="3" width="10.77734375" style="152" customWidth="1"/>
    <col min="4" max="4" width="19.77734375" style="152" customWidth="1"/>
    <col min="5" max="6" width="6.77734375" style="152" customWidth="1"/>
    <col min="7" max="10" width="7" style="152" customWidth="1"/>
    <col min="11" max="15" width="8.77734375" style="152" customWidth="1"/>
    <col min="16" max="16" width="10.44140625" style="152" customWidth="1"/>
    <col min="17" max="17" width="1.21875" style="152" customWidth="1"/>
    <col min="18" max="18" width="4.21875" style="152" customWidth="1"/>
    <col min="19" max="19" width="3" style="152" customWidth="1"/>
    <col min="20" max="20" width="11.77734375" style="152" customWidth="1"/>
    <col min="21" max="21" width="13.21875" style="152" customWidth="1"/>
    <col min="22" max="22" width="7.77734375" style="152" customWidth="1"/>
    <col min="23" max="23" width="9.21875" style="152" customWidth="1"/>
    <col min="24" max="24" width="11.21875" style="152" customWidth="1"/>
    <col min="25" max="239" width="9.21875" style="152" customWidth="1"/>
    <col min="240" max="240" width="7.77734375" style="152" customWidth="1"/>
    <col min="241" max="244" width="8.77734375" style="152" customWidth="1"/>
    <col min="245" max="245" width="0.21875" style="152" customWidth="1"/>
    <col min="246" max="246" width="8.5546875" style="152" customWidth="1"/>
    <col min="247" max="252" width="8.77734375" style="152" customWidth="1"/>
    <col min="253" max="16384" width="9.21875" style="152"/>
  </cols>
  <sheetData>
    <row r="2" spans="1:31" ht="17.399999999999999" x14ac:dyDescent="0.25">
      <c r="A2" s="445"/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1152" t="s">
        <v>803</v>
      </c>
      <c r="N2" s="1153"/>
      <c r="O2" s="1153"/>
      <c r="P2" s="1153"/>
      <c r="Q2" s="1153"/>
      <c r="R2" s="1153"/>
      <c r="S2" s="1153"/>
      <c r="T2" s="850"/>
      <c r="U2" s="850"/>
      <c r="V2" s="850"/>
      <c r="Z2" s="152" t="s">
        <v>1</v>
      </c>
      <c r="AB2" s="851" t="s">
        <v>2</v>
      </c>
    </row>
    <row r="3" spans="1:31" ht="17.399999999999999" x14ac:dyDescent="0.25">
      <c r="A3" s="1151" t="s">
        <v>3</v>
      </c>
      <c r="B3" s="1151"/>
      <c r="C3" s="1151"/>
      <c r="D3" s="1151"/>
      <c r="E3" s="1151"/>
      <c r="F3" s="1151"/>
      <c r="G3" s="1151"/>
      <c r="H3" s="1151"/>
      <c r="I3" s="1151"/>
      <c r="J3" s="1151"/>
      <c r="K3" s="1151"/>
      <c r="L3" s="1151"/>
      <c r="M3" s="1151"/>
      <c r="N3" s="1151"/>
      <c r="O3" s="1151"/>
      <c r="P3" s="1151"/>
      <c r="Q3" s="1151"/>
      <c r="R3" s="1151"/>
      <c r="S3" s="1151"/>
      <c r="T3" s="850"/>
      <c r="U3" s="850"/>
      <c r="V3" s="850"/>
      <c r="AB3" s="851"/>
    </row>
    <row r="4" spans="1:31" s="853" customFormat="1" ht="25.5" customHeight="1" x14ac:dyDescent="0.35">
      <c r="A4" s="1158" t="s">
        <v>4</v>
      </c>
      <c r="B4" s="1158"/>
      <c r="C4" s="1158"/>
      <c r="D4" s="1158"/>
      <c r="E4" s="1158"/>
      <c r="F4" s="1158"/>
      <c r="G4" s="1158"/>
      <c r="H4" s="1158"/>
      <c r="I4" s="1158"/>
      <c r="J4" s="1158"/>
      <c r="K4" s="1158"/>
      <c r="L4" s="1158"/>
      <c r="M4" s="1158"/>
      <c r="N4" s="1158"/>
      <c r="O4" s="1158"/>
      <c r="P4" s="1158"/>
      <c r="Q4" s="1158"/>
      <c r="R4" s="1158"/>
      <c r="S4" s="1158"/>
      <c r="T4" s="852"/>
      <c r="U4" s="852"/>
      <c r="V4" s="852"/>
      <c r="Z4" s="853" t="s">
        <v>5</v>
      </c>
      <c r="AA4" s="854"/>
      <c r="AC4" s="854"/>
      <c r="AD4" s="854"/>
      <c r="AE4" s="854"/>
    </row>
    <row r="5" spans="1:31" ht="2.25" customHeight="1" x14ac:dyDescent="0.25">
      <c r="C5" s="153"/>
      <c r="D5" s="153"/>
      <c r="E5" s="153"/>
      <c r="F5" s="153"/>
      <c r="G5" s="153"/>
      <c r="H5" s="153"/>
      <c r="I5" s="153"/>
      <c r="J5" s="153"/>
      <c r="K5" s="153"/>
      <c r="L5" s="153"/>
      <c r="M5" s="153"/>
      <c r="N5" s="153"/>
      <c r="O5" s="153"/>
      <c r="P5" s="153"/>
      <c r="Q5" s="153"/>
      <c r="R5" s="153"/>
      <c r="S5" s="153"/>
      <c r="T5" s="855"/>
      <c r="U5" s="855"/>
      <c r="V5" s="855"/>
      <c r="AA5" s="856"/>
      <c r="AC5" s="856"/>
      <c r="AD5" s="856"/>
      <c r="AE5" s="856"/>
    </row>
    <row r="6" spans="1:31" ht="2.25" customHeight="1" x14ac:dyDescent="0.25">
      <c r="C6" s="153"/>
      <c r="D6" s="153"/>
      <c r="E6" s="153"/>
      <c r="F6" s="153"/>
      <c r="G6" s="153"/>
      <c r="H6" s="153"/>
      <c r="I6" s="153"/>
      <c r="J6" s="153"/>
      <c r="K6" s="153"/>
      <c r="L6" s="153"/>
      <c r="M6" s="153"/>
      <c r="N6" s="153"/>
      <c r="O6" s="153"/>
      <c r="P6" s="153"/>
      <c r="Q6" s="153"/>
      <c r="R6" s="153"/>
      <c r="S6" s="153"/>
      <c r="T6" s="855"/>
      <c r="U6" s="855"/>
      <c r="V6" s="855"/>
      <c r="AA6" s="856"/>
      <c r="AC6" s="856"/>
      <c r="AD6" s="856"/>
      <c r="AE6" s="856"/>
    </row>
    <row r="7" spans="1:31" x14ac:dyDescent="0.25">
      <c r="B7" s="154" t="s">
        <v>6</v>
      </c>
      <c r="C7" s="155" t="s">
        <v>7</v>
      </c>
      <c r="D7" s="156"/>
      <c r="E7" s="157"/>
      <c r="F7" s="157"/>
      <c r="G7" s="157"/>
      <c r="H7" s="157"/>
      <c r="Y7" s="856"/>
      <c r="Z7" s="856"/>
      <c r="AA7" s="856"/>
      <c r="AB7" s="856"/>
      <c r="AD7" s="856"/>
      <c r="AE7" s="856"/>
    </row>
    <row r="8" spans="1:31" x14ac:dyDescent="0.25">
      <c r="B8" s="154" t="s">
        <v>8</v>
      </c>
      <c r="C8" s="155" t="s">
        <v>7</v>
      </c>
      <c r="D8" s="158"/>
      <c r="E8" s="159"/>
      <c r="F8" s="159"/>
      <c r="G8" s="159"/>
      <c r="H8" s="159"/>
    </row>
    <row r="9" spans="1:31" x14ac:dyDescent="0.25">
      <c r="B9" s="154" t="s">
        <v>9</v>
      </c>
      <c r="C9" s="155" t="s">
        <v>7</v>
      </c>
      <c r="D9" s="160"/>
      <c r="E9" s="159"/>
      <c r="F9" s="159"/>
      <c r="G9" s="159"/>
      <c r="H9" s="159"/>
      <c r="K9" s="161"/>
    </row>
    <row r="10" spans="1:31" x14ac:dyDescent="0.25">
      <c r="B10" s="154" t="s">
        <v>10</v>
      </c>
      <c r="C10" s="155" t="s">
        <v>7</v>
      </c>
      <c r="D10" s="160"/>
      <c r="E10" s="159"/>
      <c r="F10" s="159"/>
      <c r="G10" s="159"/>
      <c r="H10" s="159"/>
      <c r="I10" s="152" t="s">
        <v>11</v>
      </c>
      <c r="K10" s="161"/>
    </row>
    <row r="11" spans="1:31" x14ac:dyDescent="0.25">
      <c r="B11" s="154" t="s">
        <v>10</v>
      </c>
      <c r="C11" s="155" t="s">
        <v>7</v>
      </c>
      <c r="D11" s="160"/>
      <c r="E11" s="159"/>
      <c r="F11" s="159"/>
      <c r="G11" s="159"/>
      <c r="H11" s="159"/>
      <c r="I11" s="152" t="s">
        <v>12</v>
      </c>
      <c r="K11" s="161"/>
    </row>
    <row r="12" spans="1:31" x14ac:dyDescent="0.25">
      <c r="B12" s="154" t="s">
        <v>399</v>
      </c>
      <c r="C12" s="155"/>
      <c r="D12" s="160"/>
      <c r="E12" s="159"/>
      <c r="F12" s="159"/>
      <c r="G12" s="159"/>
      <c r="H12" s="159"/>
      <c r="K12" s="161"/>
    </row>
    <row r="13" spans="1:31" x14ac:dyDescent="0.25">
      <c r="B13" s="162" t="s">
        <v>13</v>
      </c>
      <c r="C13" s="155" t="s">
        <v>7</v>
      </c>
      <c r="D13" s="160"/>
      <c r="E13" s="159"/>
      <c r="F13" s="159"/>
      <c r="G13" s="159"/>
      <c r="H13" s="159"/>
    </row>
    <row r="14" spans="1:31" x14ac:dyDescent="0.25">
      <c r="B14" s="162" t="s">
        <v>14</v>
      </c>
      <c r="C14" s="155" t="s">
        <v>7</v>
      </c>
      <c r="D14" s="158"/>
      <c r="E14" s="159"/>
      <c r="F14" s="159"/>
      <c r="G14" s="159"/>
      <c r="H14" s="159"/>
    </row>
    <row r="15" spans="1:31" x14ac:dyDescent="0.25">
      <c r="B15" s="154" t="s">
        <v>15</v>
      </c>
      <c r="C15" s="155" t="s">
        <v>7</v>
      </c>
      <c r="D15" s="158"/>
      <c r="E15" s="159"/>
      <c r="F15" s="159"/>
      <c r="G15" s="159"/>
      <c r="H15" s="159"/>
      <c r="K15" s="161"/>
    </row>
    <row r="16" spans="1:31" x14ac:dyDescent="0.25">
      <c r="B16" s="161" t="s">
        <v>16</v>
      </c>
      <c r="C16" s="155" t="s">
        <v>7</v>
      </c>
      <c r="D16" s="1159"/>
      <c r="E16" s="1159"/>
      <c r="F16" s="1159"/>
      <c r="G16" s="1159"/>
      <c r="H16" s="1159"/>
      <c r="I16" s="161"/>
      <c r="J16" s="161"/>
      <c r="L16" s="161"/>
      <c r="M16" s="161"/>
      <c r="N16" s="161"/>
      <c r="O16" s="161"/>
      <c r="P16" s="161"/>
      <c r="Q16" s="161"/>
      <c r="R16" s="161"/>
    </row>
    <row r="17" spans="1:22" hidden="1" x14ac:dyDescent="0.25">
      <c r="B17" s="152" t="s">
        <v>17</v>
      </c>
      <c r="C17" s="155" t="s">
        <v>7</v>
      </c>
      <c r="D17" s="1160" t="s">
        <v>18</v>
      </c>
      <c r="E17" s="1160"/>
      <c r="F17" s="1160"/>
      <c r="G17" s="1160"/>
      <c r="H17" s="1160"/>
      <c r="I17" s="831"/>
      <c r="J17" s="831"/>
      <c r="L17" s="161"/>
      <c r="M17" s="161"/>
      <c r="N17" s="161"/>
      <c r="O17" s="161"/>
      <c r="P17" s="161"/>
      <c r="Q17" s="161"/>
      <c r="R17" s="161"/>
    </row>
    <row r="18" spans="1:22" hidden="1" x14ac:dyDescent="0.25">
      <c r="B18" s="152" t="s">
        <v>19</v>
      </c>
      <c r="C18" s="155" t="s">
        <v>7</v>
      </c>
      <c r="D18" s="1160" t="s">
        <v>18</v>
      </c>
      <c r="E18" s="1160"/>
      <c r="F18" s="1160"/>
      <c r="G18" s="1160"/>
      <c r="H18" s="1160"/>
      <c r="I18" s="831"/>
      <c r="J18" s="831"/>
      <c r="L18" s="161"/>
      <c r="M18" s="161"/>
      <c r="N18" s="161"/>
      <c r="O18" s="161"/>
      <c r="P18" s="161"/>
      <c r="Q18" s="161"/>
      <c r="R18" s="161"/>
    </row>
    <row r="19" spans="1:22" x14ac:dyDescent="0.25">
      <c r="B19" s="161" t="s">
        <v>20</v>
      </c>
      <c r="C19" s="155" t="s">
        <v>7</v>
      </c>
      <c r="D19" s="163" t="s">
        <v>21</v>
      </c>
      <c r="E19" s="163"/>
      <c r="F19" s="163"/>
      <c r="G19" s="163"/>
      <c r="H19" s="164"/>
      <c r="I19" s="164"/>
      <c r="J19" s="164"/>
      <c r="L19" s="161"/>
      <c r="M19" s="161"/>
      <c r="N19" s="161"/>
      <c r="O19" s="161"/>
      <c r="P19" s="161"/>
      <c r="Q19" s="161"/>
      <c r="R19" s="161"/>
    </row>
    <row r="20" spans="1:22" ht="5.25" customHeight="1" x14ac:dyDescent="0.25">
      <c r="B20" s="161"/>
      <c r="C20" s="165"/>
      <c r="D20" s="166"/>
      <c r="H20" s="164"/>
      <c r="I20" s="164"/>
      <c r="J20" s="164"/>
      <c r="L20" s="161"/>
      <c r="M20" s="161"/>
      <c r="N20" s="161"/>
      <c r="O20" s="161"/>
      <c r="P20" s="161"/>
      <c r="Q20" s="161"/>
      <c r="R20" s="161"/>
    </row>
    <row r="21" spans="1:22" x14ac:dyDescent="0.25">
      <c r="A21" s="152" t="s">
        <v>22</v>
      </c>
      <c r="T21" s="857"/>
      <c r="U21" s="165"/>
      <c r="V21" s="165"/>
    </row>
    <row r="22" spans="1:22" ht="15.75" customHeight="1" x14ac:dyDescent="0.25">
      <c r="B22" s="1104" t="s">
        <v>23</v>
      </c>
      <c r="C22" s="1099" t="s">
        <v>24</v>
      </c>
      <c r="D22" s="1099"/>
      <c r="E22" s="1099" t="s">
        <v>24</v>
      </c>
      <c r="F22" s="1099"/>
      <c r="G22" s="1099"/>
      <c r="H22" s="1157"/>
      <c r="I22" s="830"/>
      <c r="J22" s="830"/>
      <c r="K22" s="1157"/>
      <c r="L22" s="1157"/>
      <c r="U22" s="165"/>
      <c r="V22" s="165"/>
    </row>
    <row r="23" spans="1:22" x14ac:dyDescent="0.25">
      <c r="B23" s="1105"/>
      <c r="C23" s="1100"/>
      <c r="D23" s="1100"/>
      <c r="E23" s="1100"/>
      <c r="F23" s="1100"/>
      <c r="G23" s="1100"/>
      <c r="H23" s="1157"/>
      <c r="I23" s="830"/>
      <c r="J23" s="830"/>
      <c r="K23" s="1157"/>
      <c r="L23" s="1157"/>
      <c r="U23" s="165"/>
      <c r="V23" s="165"/>
    </row>
    <row r="24" spans="1:22" x14ac:dyDescent="0.25">
      <c r="B24" s="167"/>
      <c r="C24" s="1106" t="s">
        <v>25</v>
      </c>
      <c r="D24" s="1106"/>
      <c r="E24" s="1106" t="s">
        <v>26</v>
      </c>
      <c r="F24" s="1106"/>
      <c r="G24" s="1106"/>
      <c r="H24" s="168"/>
      <c r="I24" s="168"/>
      <c r="J24" s="168"/>
      <c r="K24" s="168"/>
      <c r="L24" s="168"/>
      <c r="U24" s="165"/>
      <c r="V24" s="165"/>
    </row>
    <row r="25" spans="1:22" x14ac:dyDescent="0.25">
      <c r="B25" s="169" t="s">
        <v>27</v>
      </c>
      <c r="C25" s="1147"/>
      <c r="D25" s="1147"/>
      <c r="E25" s="1147"/>
      <c r="F25" s="1147"/>
      <c r="G25" s="1147"/>
      <c r="H25" s="152" t="s">
        <v>28</v>
      </c>
      <c r="I25" s="97"/>
      <c r="J25" s="97"/>
      <c r="K25" s="97"/>
      <c r="L25" s="97"/>
      <c r="M25" s="175"/>
      <c r="N25" s="175"/>
      <c r="O25" s="175"/>
      <c r="P25" s="175"/>
      <c r="Q25" s="175"/>
      <c r="U25" s="165"/>
      <c r="V25" s="165"/>
    </row>
    <row r="26" spans="1:22" x14ac:dyDescent="0.25">
      <c r="B26" s="169" t="s">
        <v>29</v>
      </c>
      <c r="C26" s="1147"/>
      <c r="D26" s="1147"/>
      <c r="E26" s="1147"/>
      <c r="F26" s="1147"/>
      <c r="G26" s="1147"/>
      <c r="H26" s="152" t="s">
        <v>30</v>
      </c>
      <c r="I26" s="97"/>
      <c r="J26" s="97"/>
      <c r="K26" s="97"/>
      <c r="L26" s="97"/>
      <c r="M26" s="175"/>
      <c r="N26" s="175"/>
      <c r="O26" s="175"/>
      <c r="P26" s="175"/>
      <c r="Q26" s="175"/>
      <c r="U26" s="165"/>
      <c r="V26" s="165"/>
    </row>
    <row r="27" spans="1:22" ht="16.5" customHeight="1" x14ac:dyDescent="0.25">
      <c r="B27" s="858" t="s">
        <v>31</v>
      </c>
      <c r="C27" s="345"/>
      <c r="D27" s="346"/>
      <c r="E27" s="170" t="s">
        <v>32</v>
      </c>
      <c r="F27" s="170"/>
      <c r="G27" s="170"/>
      <c r="H27" s="170"/>
      <c r="I27" s="170"/>
      <c r="J27" s="170"/>
      <c r="K27" s="170"/>
      <c r="L27" s="170"/>
      <c r="M27" s="175"/>
      <c r="N27" s="175"/>
      <c r="O27" s="175"/>
      <c r="P27" s="175"/>
      <c r="Q27" s="175"/>
      <c r="R27" s="454"/>
      <c r="S27" s="170"/>
      <c r="T27" s="859"/>
      <c r="U27" s="165"/>
      <c r="V27" s="165"/>
    </row>
    <row r="28" spans="1:22" ht="18.75" customHeight="1" x14ac:dyDescent="0.25">
      <c r="A28" s="161" t="s">
        <v>33</v>
      </c>
      <c r="B28" s="152" t="s">
        <v>34</v>
      </c>
      <c r="K28" s="170"/>
      <c r="L28" s="170"/>
      <c r="M28" s="175"/>
      <c r="N28" s="175"/>
      <c r="O28" s="175"/>
      <c r="P28" s="175"/>
      <c r="Q28" s="175"/>
      <c r="R28" s="171"/>
      <c r="S28" s="176" t="s">
        <v>35</v>
      </c>
      <c r="T28" s="859"/>
      <c r="U28" s="165"/>
      <c r="V28" s="165"/>
    </row>
    <row r="29" spans="1:22" x14ac:dyDescent="0.25">
      <c r="A29" s="161"/>
      <c r="B29" s="152" t="s">
        <v>36</v>
      </c>
      <c r="H29" s="161"/>
      <c r="I29" s="161"/>
      <c r="J29" s="161"/>
      <c r="K29" s="170"/>
      <c r="L29" s="170"/>
      <c r="M29" s="175"/>
      <c r="N29" s="175"/>
      <c r="O29" s="175"/>
      <c r="P29" s="175"/>
      <c r="Q29" s="175"/>
      <c r="R29" s="173">
        <v>5</v>
      </c>
      <c r="S29" s="1109">
        <v>10</v>
      </c>
      <c r="T29" s="859"/>
      <c r="U29" s="165"/>
      <c r="V29" s="165"/>
    </row>
    <row r="30" spans="1:22" x14ac:dyDescent="0.25">
      <c r="A30" s="161"/>
      <c r="B30" s="152" t="s">
        <v>37</v>
      </c>
      <c r="H30" s="161"/>
      <c r="I30" s="161"/>
      <c r="J30" s="161"/>
      <c r="K30" s="170"/>
      <c r="L30" s="170"/>
      <c r="M30" s="175"/>
      <c r="N30" s="175"/>
      <c r="O30" s="175"/>
      <c r="P30" s="175"/>
      <c r="Q30" s="175"/>
      <c r="R30" s="173">
        <v>5</v>
      </c>
      <c r="S30" s="1110"/>
      <c r="T30" s="859"/>
      <c r="U30" s="165"/>
      <c r="V30" s="165"/>
    </row>
    <row r="31" spans="1:22" ht="16.5" hidden="1" customHeight="1" x14ac:dyDescent="0.25">
      <c r="D31" s="170"/>
      <c r="E31" s="170"/>
      <c r="F31" s="170"/>
      <c r="G31" s="170"/>
      <c r="H31" s="170"/>
      <c r="I31" s="170"/>
      <c r="J31" s="170"/>
      <c r="K31" s="170"/>
      <c r="L31" s="170"/>
      <c r="M31" s="175"/>
      <c r="N31" s="175"/>
      <c r="O31" s="175"/>
      <c r="P31" s="175"/>
      <c r="Q31" s="175"/>
      <c r="R31" s="454"/>
      <c r="S31" s="174"/>
      <c r="T31" s="859"/>
      <c r="U31" s="165"/>
      <c r="V31" s="165"/>
    </row>
    <row r="32" spans="1:22" ht="5.25" customHeight="1" x14ac:dyDescent="0.25">
      <c r="D32" s="170"/>
      <c r="E32" s="170"/>
      <c r="F32" s="170"/>
      <c r="G32" s="170"/>
      <c r="H32" s="170"/>
      <c r="I32" s="170"/>
      <c r="J32" s="170"/>
      <c r="K32" s="170"/>
      <c r="L32" s="170"/>
      <c r="M32" s="175"/>
      <c r="N32" s="175"/>
      <c r="O32" s="175"/>
      <c r="P32" s="175"/>
      <c r="Q32" s="175"/>
      <c r="R32" s="454"/>
      <c r="S32" s="174"/>
      <c r="T32" s="859"/>
      <c r="U32" s="165"/>
      <c r="V32" s="165"/>
    </row>
    <row r="33" spans="1:27" x14ac:dyDescent="0.25">
      <c r="A33" s="161" t="s">
        <v>38</v>
      </c>
      <c r="B33" s="175"/>
      <c r="C33" s="175"/>
      <c r="D33" s="175"/>
      <c r="E33" s="175"/>
      <c r="F33" s="175"/>
      <c r="G33" s="175"/>
      <c r="H33" s="175"/>
      <c r="I33" s="175"/>
      <c r="J33" s="175"/>
      <c r="K33" s="175"/>
      <c r="M33" s="175"/>
      <c r="N33" s="175"/>
      <c r="O33" s="175"/>
      <c r="P33" s="175"/>
      <c r="Q33" s="175"/>
      <c r="R33" s="454"/>
      <c r="S33" s="174"/>
      <c r="T33" s="859"/>
      <c r="U33" s="165"/>
      <c r="V33" s="165"/>
    </row>
    <row r="34" spans="1:27" ht="36.75" customHeight="1" x14ac:dyDescent="0.25">
      <c r="A34" s="837" t="s">
        <v>39</v>
      </c>
      <c r="B34" s="1148" t="s">
        <v>23</v>
      </c>
      <c r="C34" s="1149"/>
      <c r="D34" s="1149"/>
      <c r="E34" s="1149"/>
      <c r="F34" s="1149"/>
      <c r="G34" s="1149"/>
      <c r="H34" s="1149"/>
      <c r="I34" s="1150"/>
      <c r="J34" s="1108" t="s">
        <v>40</v>
      </c>
      <c r="K34" s="1108"/>
      <c r="L34" s="1108" t="s">
        <v>41</v>
      </c>
      <c r="M34" s="1108"/>
      <c r="N34" s="175"/>
      <c r="O34" s="175"/>
      <c r="P34" s="175"/>
      <c r="Q34" s="175"/>
      <c r="R34" s="149"/>
      <c r="S34" s="176" t="s">
        <v>35</v>
      </c>
      <c r="T34" s="859"/>
      <c r="U34" s="165"/>
      <c r="V34" s="165"/>
    </row>
    <row r="35" spans="1:27" ht="19.5" customHeight="1" x14ac:dyDescent="0.25">
      <c r="A35" s="837">
        <v>1</v>
      </c>
      <c r="B35" s="150" t="s">
        <v>42</v>
      </c>
      <c r="C35" s="151"/>
      <c r="D35" s="151"/>
      <c r="E35" s="151"/>
      <c r="F35" s="151"/>
      <c r="G35" s="151"/>
      <c r="H35" s="151"/>
      <c r="I35" s="151"/>
      <c r="J35" s="1115" t="s">
        <v>43</v>
      </c>
      <c r="K35" s="1115"/>
      <c r="L35" s="1102" t="s">
        <v>44</v>
      </c>
      <c r="M35" s="1102"/>
      <c r="N35" s="175"/>
      <c r="O35" s="175"/>
      <c r="P35" s="175"/>
      <c r="Q35" s="175"/>
      <c r="R35" s="838">
        <v>2.5</v>
      </c>
      <c r="S35" s="1111">
        <v>40</v>
      </c>
      <c r="T35" s="859"/>
      <c r="U35" s="165"/>
      <c r="V35" s="165"/>
    </row>
    <row r="36" spans="1:27" ht="19.5" customHeight="1" x14ac:dyDescent="0.25">
      <c r="A36" s="1104">
        <v>2</v>
      </c>
      <c r="B36" s="860" t="s">
        <v>711</v>
      </c>
      <c r="C36" s="151"/>
      <c r="D36" s="151"/>
      <c r="E36" s="151"/>
      <c r="F36" s="151"/>
      <c r="G36" s="151"/>
      <c r="H36" s="151"/>
      <c r="I36" s="151"/>
      <c r="J36" s="1101" t="s">
        <v>45</v>
      </c>
      <c r="K36" s="1101"/>
      <c r="L36" s="1102" t="s">
        <v>46</v>
      </c>
      <c r="M36" s="1102"/>
      <c r="N36" s="839"/>
      <c r="O36" s="839"/>
      <c r="P36" s="839"/>
      <c r="Q36" s="839"/>
      <c r="R36" s="838">
        <v>2.5</v>
      </c>
      <c r="S36" s="1112"/>
      <c r="T36" s="859"/>
      <c r="U36" s="165"/>
      <c r="V36" s="165"/>
    </row>
    <row r="37" spans="1:27" ht="19.5" customHeight="1" x14ac:dyDescent="0.25">
      <c r="A37" s="1106"/>
      <c r="B37" s="860" t="s">
        <v>712</v>
      </c>
      <c r="C37" s="151"/>
      <c r="D37" s="151"/>
      <c r="E37" s="151"/>
      <c r="F37" s="151"/>
      <c r="G37" s="151"/>
      <c r="H37" s="151"/>
      <c r="I37" s="151"/>
      <c r="J37" s="1101" t="s">
        <v>45</v>
      </c>
      <c r="K37" s="1101"/>
      <c r="L37" s="1102" t="s">
        <v>713</v>
      </c>
      <c r="M37" s="1102"/>
      <c r="N37" s="839"/>
      <c r="O37" s="839"/>
      <c r="P37" s="839"/>
      <c r="Q37" s="839"/>
      <c r="R37" s="838"/>
      <c r="S37" s="1112"/>
      <c r="T37" s="859"/>
      <c r="U37" s="165"/>
      <c r="V37" s="165"/>
    </row>
    <row r="38" spans="1:27" ht="19.5" customHeight="1" x14ac:dyDescent="0.25">
      <c r="A38" s="1104">
        <v>3</v>
      </c>
      <c r="B38" s="150" t="s">
        <v>47</v>
      </c>
      <c r="C38" s="151"/>
      <c r="D38" s="151"/>
      <c r="E38" s="151"/>
      <c r="F38" s="151"/>
      <c r="G38" s="151"/>
      <c r="H38" s="151"/>
      <c r="I38" s="151"/>
      <c r="J38" s="1115" t="s">
        <v>48</v>
      </c>
      <c r="K38" s="1115"/>
      <c r="L38" s="1102" t="s">
        <v>49</v>
      </c>
      <c r="M38" s="1102"/>
      <c r="N38" s="122"/>
      <c r="O38" s="122"/>
      <c r="P38" s="177"/>
      <c r="Q38" s="177"/>
      <c r="R38" s="1114">
        <v>35</v>
      </c>
      <c r="S38" s="1112"/>
      <c r="T38" s="859"/>
      <c r="U38" s="165"/>
      <c r="V38" s="165"/>
    </row>
    <row r="39" spans="1:27" ht="19.5" customHeight="1" x14ac:dyDescent="0.25">
      <c r="A39" s="1106"/>
      <c r="B39" s="150" t="s">
        <v>50</v>
      </c>
      <c r="C39" s="151"/>
      <c r="D39" s="151"/>
      <c r="E39" s="151"/>
      <c r="F39" s="151"/>
      <c r="G39" s="151"/>
      <c r="H39" s="151"/>
      <c r="I39" s="151"/>
      <c r="J39" s="1115" t="s">
        <v>48</v>
      </c>
      <c r="K39" s="1115"/>
      <c r="L39" s="1102" t="s">
        <v>51</v>
      </c>
      <c r="M39" s="1102"/>
      <c r="N39" s="123"/>
      <c r="O39" s="123"/>
      <c r="P39" s="177"/>
      <c r="Q39" s="177"/>
      <c r="R39" s="1114"/>
      <c r="S39" s="1113"/>
      <c r="T39" s="859"/>
      <c r="U39" s="165"/>
      <c r="V39" s="165"/>
    </row>
    <row r="40" spans="1:27" ht="3.75" customHeight="1" x14ac:dyDescent="0.25">
      <c r="D40" s="170"/>
      <c r="E40" s="170"/>
      <c r="F40" s="170"/>
      <c r="G40" s="170"/>
      <c r="H40" s="170"/>
      <c r="I40" s="170"/>
      <c r="J40" s="170"/>
      <c r="K40" s="170"/>
      <c r="L40" s="170"/>
      <c r="M40" s="175"/>
      <c r="N40" s="175"/>
      <c r="O40" s="175"/>
      <c r="P40" s="175"/>
      <c r="Q40" s="175"/>
      <c r="R40" s="454"/>
      <c r="S40" s="170"/>
      <c r="T40" s="859"/>
      <c r="U40" s="165"/>
      <c r="V40" s="165"/>
    </row>
    <row r="41" spans="1:27" x14ac:dyDescent="0.25">
      <c r="A41" s="152" t="s">
        <v>52</v>
      </c>
      <c r="T41" s="857"/>
      <c r="U41" s="165"/>
      <c r="V41" s="165"/>
    </row>
    <row r="42" spans="1:27" x14ac:dyDescent="0.25">
      <c r="B42" s="152" t="s">
        <v>53</v>
      </c>
      <c r="T42" s="857"/>
      <c r="U42" s="165"/>
      <c r="V42" s="165"/>
    </row>
    <row r="43" spans="1:27" ht="5.25" customHeight="1" x14ac:dyDescent="0.25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S43" s="172"/>
      <c r="T43" s="857"/>
      <c r="U43" s="165"/>
      <c r="V43" s="165"/>
    </row>
    <row r="44" spans="1:27" ht="15.75" customHeight="1" x14ac:dyDescent="0.25">
      <c r="A44" s="1104" t="s">
        <v>39</v>
      </c>
      <c r="B44" s="1104" t="s">
        <v>23</v>
      </c>
      <c r="C44" s="1128" t="s">
        <v>54</v>
      </c>
      <c r="D44" s="1129"/>
      <c r="E44" s="1129"/>
      <c r="F44" s="1129"/>
      <c r="G44" s="1130"/>
      <c r="H44" s="1131" t="s">
        <v>55</v>
      </c>
      <c r="I44" s="1132"/>
      <c r="J44" s="1132"/>
      <c r="K44" s="1132"/>
      <c r="L44" s="1133"/>
      <c r="M44" s="1099" t="s">
        <v>56</v>
      </c>
      <c r="N44" s="1099"/>
      <c r="Q44" s="454"/>
      <c r="R44" s="1157"/>
      <c r="S44" s="1124">
        <v>50</v>
      </c>
    </row>
    <row r="45" spans="1:27" ht="15.75" customHeight="1" x14ac:dyDescent="0.25">
      <c r="A45" s="1105"/>
      <c r="B45" s="1105"/>
      <c r="C45" s="1100" t="s">
        <v>57</v>
      </c>
      <c r="D45" s="1100" t="s">
        <v>58</v>
      </c>
      <c r="E45" s="1131" t="s">
        <v>59</v>
      </c>
      <c r="F45" s="1132"/>
      <c r="G45" s="1133"/>
      <c r="H45" s="1134"/>
      <c r="I45" s="1135"/>
      <c r="J45" s="1135"/>
      <c r="K45" s="1135"/>
      <c r="L45" s="1136"/>
      <c r="M45" s="1099"/>
      <c r="N45" s="1099"/>
      <c r="Q45" s="454"/>
      <c r="R45" s="1157"/>
      <c r="S45" s="1124"/>
      <c r="U45" s="1139"/>
      <c r="V45" s="1139"/>
      <c r="W45" s="1139"/>
      <c r="Y45" s="1139"/>
      <c r="Z45" s="1139"/>
      <c r="AA45" s="1139"/>
    </row>
    <row r="46" spans="1:27" x14ac:dyDescent="0.25">
      <c r="A46" s="1106"/>
      <c r="B46" s="1106"/>
      <c r="C46" s="1137"/>
      <c r="D46" s="1137"/>
      <c r="E46" s="1138"/>
      <c r="F46" s="1139"/>
      <c r="G46" s="1140"/>
      <c r="H46" s="832">
        <v>1</v>
      </c>
      <c r="I46" s="832">
        <v>2</v>
      </c>
      <c r="J46" s="832">
        <v>3</v>
      </c>
      <c r="K46" s="832">
        <v>4</v>
      </c>
      <c r="L46" s="832">
        <v>5</v>
      </c>
      <c r="M46" s="1099"/>
      <c r="N46" s="1099"/>
      <c r="Q46" s="454"/>
      <c r="R46" s="1157"/>
      <c r="S46" s="1124"/>
      <c r="U46" s="1139"/>
      <c r="V46" s="1139"/>
      <c r="W46" s="1139"/>
      <c r="Y46" s="1139"/>
      <c r="Z46" s="1139"/>
      <c r="AA46" s="1139"/>
    </row>
    <row r="47" spans="1:27" ht="16.8" x14ac:dyDescent="0.25">
      <c r="A47" s="1104">
        <v>1</v>
      </c>
      <c r="B47" s="828" t="s">
        <v>60</v>
      </c>
      <c r="C47" s="829">
        <v>35</v>
      </c>
      <c r="D47" s="829">
        <v>80</v>
      </c>
      <c r="E47" s="1107">
        <v>80</v>
      </c>
      <c r="F47" s="1107"/>
      <c r="G47" s="1107"/>
      <c r="H47" s="179" t="s">
        <v>61</v>
      </c>
      <c r="I47" s="834" t="s">
        <v>61</v>
      </c>
      <c r="J47" s="834" t="s">
        <v>61</v>
      </c>
      <c r="K47" s="834" t="s">
        <v>61</v>
      </c>
      <c r="L47" s="834" t="s">
        <v>61</v>
      </c>
      <c r="M47" s="1126" t="s">
        <v>62</v>
      </c>
      <c r="N47" s="1126"/>
      <c r="Q47" s="180"/>
      <c r="R47" s="1141"/>
      <c r="S47" s="1124"/>
      <c r="U47" s="1141"/>
      <c r="V47" s="1141"/>
      <c r="W47" s="1141"/>
      <c r="Y47" s="1141"/>
      <c r="Z47" s="1141"/>
      <c r="AA47" s="1141"/>
    </row>
    <row r="48" spans="1:27" ht="16.8" x14ac:dyDescent="0.25">
      <c r="A48" s="1105"/>
      <c r="B48" s="827" t="s">
        <v>63</v>
      </c>
      <c r="C48" s="829">
        <v>15</v>
      </c>
      <c r="D48" s="829">
        <v>50</v>
      </c>
      <c r="E48" s="1107">
        <v>50</v>
      </c>
      <c r="F48" s="1107"/>
      <c r="G48" s="1107"/>
      <c r="H48" s="181" t="s">
        <v>61</v>
      </c>
      <c r="I48" s="835" t="s">
        <v>61</v>
      </c>
      <c r="J48" s="835" t="s">
        <v>61</v>
      </c>
      <c r="K48" s="835" t="s">
        <v>61</v>
      </c>
      <c r="L48" s="835" t="s">
        <v>61</v>
      </c>
      <c r="M48" s="1126"/>
      <c r="N48" s="1126"/>
      <c r="Q48" s="180"/>
      <c r="R48" s="1141"/>
      <c r="S48" s="1124"/>
      <c r="U48" s="1141"/>
      <c r="V48" s="1141"/>
      <c r="W48" s="1141"/>
      <c r="Y48" s="1141"/>
      <c r="Z48" s="1141"/>
      <c r="AA48" s="1141"/>
    </row>
    <row r="49" spans="1:27" ht="17.399999999999999" x14ac:dyDescent="0.25">
      <c r="A49" s="1106"/>
      <c r="B49" s="833" t="s">
        <v>64</v>
      </c>
      <c r="C49" s="829">
        <v>120</v>
      </c>
      <c r="D49" s="829" t="s">
        <v>405</v>
      </c>
      <c r="E49" s="1107" t="s">
        <v>404</v>
      </c>
      <c r="F49" s="1107"/>
      <c r="G49" s="1107"/>
      <c r="H49" s="181"/>
      <c r="I49" s="835"/>
      <c r="J49" s="835"/>
      <c r="K49" s="835"/>
      <c r="L49" s="835"/>
      <c r="M49" s="1126"/>
      <c r="N49" s="1126"/>
      <c r="Q49" s="182"/>
      <c r="R49" s="1141"/>
      <c r="S49" s="1124"/>
      <c r="U49" s="1141"/>
      <c r="V49" s="1141"/>
      <c r="W49" s="1141"/>
      <c r="Y49" s="1141"/>
      <c r="Z49" s="1141"/>
      <c r="AA49" s="1141"/>
    </row>
    <row r="50" spans="1:27" ht="16.8" x14ac:dyDescent="0.25">
      <c r="A50" s="1104">
        <v>2</v>
      </c>
      <c r="B50" s="828" t="s">
        <v>60</v>
      </c>
      <c r="C50" s="829">
        <v>60</v>
      </c>
      <c r="D50" s="829">
        <v>100</v>
      </c>
      <c r="E50" s="1125">
        <v>100</v>
      </c>
      <c r="F50" s="1125"/>
      <c r="G50" s="1125"/>
      <c r="H50" s="181" t="s">
        <v>61</v>
      </c>
      <c r="I50" s="835" t="s">
        <v>61</v>
      </c>
      <c r="J50" s="835" t="s">
        <v>61</v>
      </c>
      <c r="K50" s="835" t="s">
        <v>61</v>
      </c>
      <c r="L50" s="835" t="s">
        <v>61</v>
      </c>
      <c r="M50" s="1126"/>
      <c r="N50" s="1126"/>
      <c r="Q50" s="180"/>
      <c r="R50" s="1141"/>
      <c r="S50" s="1124"/>
      <c r="U50" s="1141"/>
      <c r="V50" s="1141"/>
      <c r="W50" s="1141"/>
      <c r="Y50" s="1127"/>
      <c r="Z50" s="1127"/>
      <c r="AA50" s="1127"/>
    </row>
    <row r="51" spans="1:27" ht="16.8" x14ac:dyDescent="0.25">
      <c r="A51" s="1105"/>
      <c r="B51" s="827" t="s">
        <v>63</v>
      </c>
      <c r="C51" s="829">
        <v>30</v>
      </c>
      <c r="D51" s="829">
        <v>65</v>
      </c>
      <c r="E51" s="1125">
        <v>65</v>
      </c>
      <c r="F51" s="1125"/>
      <c r="G51" s="1125"/>
      <c r="H51" s="181" t="s">
        <v>61</v>
      </c>
      <c r="I51" s="835" t="s">
        <v>61</v>
      </c>
      <c r="J51" s="835" t="s">
        <v>61</v>
      </c>
      <c r="K51" s="835" t="s">
        <v>61</v>
      </c>
      <c r="L51" s="835" t="s">
        <v>61</v>
      </c>
      <c r="M51" s="1126"/>
      <c r="N51" s="1126"/>
      <c r="Q51" s="180"/>
      <c r="R51" s="1141"/>
      <c r="S51" s="1124"/>
      <c r="U51" s="1141"/>
      <c r="V51" s="1141"/>
      <c r="W51" s="1141"/>
      <c r="Y51" s="1127"/>
      <c r="Z51" s="1127"/>
      <c r="AA51" s="1127"/>
    </row>
    <row r="52" spans="1:27" ht="17.399999999999999" x14ac:dyDescent="0.25">
      <c r="A52" s="1106"/>
      <c r="B52" s="833" t="s">
        <v>64</v>
      </c>
      <c r="C52" s="829">
        <v>120</v>
      </c>
      <c r="D52" s="829" t="s">
        <v>405</v>
      </c>
      <c r="E52" s="1107" t="s">
        <v>404</v>
      </c>
      <c r="F52" s="1107"/>
      <c r="G52" s="1107"/>
      <c r="H52" s="181"/>
      <c r="I52" s="835"/>
      <c r="J52" s="835"/>
      <c r="K52" s="835"/>
      <c r="L52" s="835"/>
      <c r="M52" s="1126"/>
      <c r="N52" s="1126"/>
      <c r="Q52" s="182"/>
      <c r="R52" s="1141"/>
      <c r="S52" s="1124"/>
      <c r="U52" s="1141"/>
      <c r="V52" s="1141"/>
      <c r="W52" s="1141"/>
      <c r="Y52" s="1127"/>
      <c r="Z52" s="1127"/>
      <c r="AA52" s="1127"/>
    </row>
    <row r="53" spans="1:27" ht="16.8" x14ac:dyDescent="0.25">
      <c r="A53" s="1104">
        <v>3</v>
      </c>
      <c r="B53" s="828" t="s">
        <v>60</v>
      </c>
      <c r="C53" s="829">
        <v>80</v>
      </c>
      <c r="D53" s="829">
        <v>120</v>
      </c>
      <c r="E53" s="1125">
        <v>120</v>
      </c>
      <c r="F53" s="1125"/>
      <c r="G53" s="1125"/>
      <c r="H53" s="181" t="s">
        <v>61</v>
      </c>
      <c r="I53" s="835" t="s">
        <v>61</v>
      </c>
      <c r="J53" s="835" t="s">
        <v>61</v>
      </c>
      <c r="K53" s="835" t="s">
        <v>61</v>
      </c>
      <c r="L53" s="835" t="s">
        <v>61</v>
      </c>
      <c r="M53" s="1126"/>
      <c r="N53" s="1126"/>
      <c r="Q53" s="180"/>
      <c r="R53" s="1141"/>
      <c r="S53" s="1124"/>
      <c r="U53" s="1127"/>
      <c r="V53" s="1127"/>
      <c r="W53" s="1127"/>
      <c r="Y53" s="1127"/>
      <c r="Z53" s="1127"/>
      <c r="AA53" s="1127"/>
    </row>
    <row r="54" spans="1:27" ht="16.8" x14ac:dyDescent="0.25">
      <c r="A54" s="1105"/>
      <c r="B54" s="827" t="s">
        <v>63</v>
      </c>
      <c r="C54" s="829">
        <v>50</v>
      </c>
      <c r="D54" s="829">
        <v>80</v>
      </c>
      <c r="E54" s="1125">
        <v>80</v>
      </c>
      <c r="F54" s="1125"/>
      <c r="G54" s="1125"/>
      <c r="H54" s="181" t="s">
        <v>61</v>
      </c>
      <c r="I54" s="835" t="s">
        <v>61</v>
      </c>
      <c r="J54" s="835" t="s">
        <v>61</v>
      </c>
      <c r="K54" s="835" t="s">
        <v>61</v>
      </c>
      <c r="L54" s="835" t="s">
        <v>61</v>
      </c>
      <c r="M54" s="1126"/>
      <c r="N54" s="1126"/>
      <c r="Q54" s="180"/>
      <c r="R54" s="1141"/>
      <c r="S54" s="1124"/>
      <c r="U54" s="1127"/>
      <c r="V54" s="1127"/>
      <c r="W54" s="1127"/>
      <c r="Y54" s="1127"/>
      <c r="Z54" s="1127"/>
      <c r="AA54" s="1127"/>
    </row>
    <row r="55" spans="1:27" ht="17.399999999999999" x14ac:dyDescent="0.25">
      <c r="A55" s="1106"/>
      <c r="B55" s="833" t="s">
        <v>64</v>
      </c>
      <c r="C55" s="829">
        <v>120</v>
      </c>
      <c r="D55" s="829" t="s">
        <v>405</v>
      </c>
      <c r="E55" s="1107" t="s">
        <v>404</v>
      </c>
      <c r="F55" s="1107"/>
      <c r="G55" s="1107"/>
      <c r="H55" s="181"/>
      <c r="I55" s="835"/>
      <c r="J55" s="835"/>
      <c r="K55" s="835"/>
      <c r="L55" s="835"/>
      <c r="M55" s="1126"/>
      <c r="N55" s="1126"/>
      <c r="Q55" s="182"/>
      <c r="R55" s="1141"/>
      <c r="S55" s="1124"/>
      <c r="U55" s="1127"/>
      <c r="V55" s="1127"/>
      <c r="W55" s="1127"/>
      <c r="Y55" s="1127"/>
      <c r="Z55" s="1127"/>
      <c r="AA55" s="1127"/>
    </row>
    <row r="56" spans="1:27" ht="16.8" x14ac:dyDescent="0.25">
      <c r="A56" s="1104">
        <v>4</v>
      </c>
      <c r="B56" s="828" t="s">
        <v>60</v>
      </c>
      <c r="C56" s="343">
        <v>100</v>
      </c>
      <c r="D56" s="343">
        <v>150</v>
      </c>
      <c r="E56" s="1125">
        <v>150</v>
      </c>
      <c r="F56" s="1125"/>
      <c r="G56" s="1125"/>
      <c r="H56" s="181" t="s">
        <v>61</v>
      </c>
      <c r="I56" s="835" t="s">
        <v>61</v>
      </c>
      <c r="J56" s="835" t="s">
        <v>61</v>
      </c>
      <c r="K56" s="835" t="s">
        <v>61</v>
      </c>
      <c r="L56" s="835" t="s">
        <v>61</v>
      </c>
      <c r="M56" s="1126"/>
      <c r="N56" s="1126"/>
      <c r="Q56" s="180"/>
      <c r="R56" s="149"/>
      <c r="S56" s="1124"/>
      <c r="U56" s="1127"/>
      <c r="V56" s="1127"/>
      <c r="W56" s="1127"/>
      <c r="Y56" s="1127"/>
      <c r="Z56" s="1127"/>
      <c r="AA56" s="1127"/>
    </row>
    <row r="57" spans="1:27" ht="16.8" x14ac:dyDescent="0.25">
      <c r="A57" s="1105"/>
      <c r="B57" s="827" t="s">
        <v>63</v>
      </c>
      <c r="C57" s="343">
        <v>70</v>
      </c>
      <c r="D57" s="343">
        <v>100</v>
      </c>
      <c r="E57" s="1125">
        <v>100</v>
      </c>
      <c r="F57" s="1125"/>
      <c r="G57" s="1125"/>
      <c r="H57" s="181" t="s">
        <v>61</v>
      </c>
      <c r="I57" s="835" t="s">
        <v>61</v>
      </c>
      <c r="J57" s="835" t="s">
        <v>61</v>
      </c>
      <c r="K57" s="835" t="s">
        <v>61</v>
      </c>
      <c r="L57" s="835" t="s">
        <v>61</v>
      </c>
      <c r="M57" s="1126"/>
      <c r="N57" s="1126"/>
      <c r="Q57" s="180"/>
      <c r="R57" s="149"/>
      <c r="S57" s="1124"/>
      <c r="U57" s="1127"/>
      <c r="V57" s="1127"/>
      <c r="W57" s="1127"/>
      <c r="Y57" s="1127"/>
      <c r="Z57" s="1127"/>
      <c r="AA57" s="1127"/>
    </row>
    <row r="58" spans="1:27" ht="17.399999999999999" x14ac:dyDescent="0.25">
      <c r="A58" s="1106"/>
      <c r="B58" s="833" t="s">
        <v>64</v>
      </c>
      <c r="C58" s="343">
        <v>120</v>
      </c>
      <c r="D58" s="829" t="s">
        <v>405</v>
      </c>
      <c r="E58" s="1107" t="s">
        <v>404</v>
      </c>
      <c r="F58" s="1107"/>
      <c r="G58" s="1107"/>
      <c r="H58" s="181"/>
      <c r="I58" s="835"/>
      <c r="J58" s="835"/>
      <c r="K58" s="835"/>
      <c r="L58" s="835"/>
      <c r="M58" s="1126"/>
      <c r="N58" s="1126"/>
      <c r="Q58" s="182"/>
      <c r="R58" s="183"/>
      <c r="S58" s="1124"/>
      <c r="U58" s="1127"/>
      <c r="V58" s="1127"/>
      <c r="W58" s="1127"/>
      <c r="Y58" s="1127"/>
      <c r="Z58" s="1127"/>
      <c r="AA58" s="1127"/>
    </row>
    <row r="59" spans="1:27" ht="15.6" x14ac:dyDescent="0.25">
      <c r="A59" s="1104">
        <v>5</v>
      </c>
      <c r="B59" s="1156" t="s">
        <v>60</v>
      </c>
      <c r="C59" s="1155"/>
      <c r="D59" s="1155"/>
      <c r="E59" s="654" t="s">
        <v>65</v>
      </c>
      <c r="F59" s="453" t="s">
        <v>66</v>
      </c>
      <c r="G59" s="654" t="s">
        <v>67</v>
      </c>
      <c r="H59" s="181" t="s">
        <v>61</v>
      </c>
      <c r="I59" s="835" t="s">
        <v>61</v>
      </c>
      <c r="J59" s="835" t="s">
        <v>61</v>
      </c>
      <c r="K59" s="835" t="s">
        <v>61</v>
      </c>
      <c r="L59" s="835" t="s">
        <v>61</v>
      </c>
      <c r="M59" s="1126"/>
      <c r="N59" s="1126"/>
      <c r="Q59" s="180"/>
      <c r="R59" s="184"/>
      <c r="S59" s="1124"/>
      <c r="U59" s="861"/>
      <c r="V59" s="861"/>
      <c r="W59" s="861"/>
      <c r="Y59" s="188"/>
      <c r="Z59" s="188"/>
      <c r="AA59" s="188"/>
    </row>
    <row r="60" spans="1:27" ht="15.6" x14ac:dyDescent="0.25">
      <c r="A60" s="1105"/>
      <c r="B60" s="1154" t="s">
        <v>63</v>
      </c>
      <c r="C60" s="1155"/>
      <c r="D60" s="1155"/>
      <c r="E60" s="654" t="s">
        <v>68</v>
      </c>
      <c r="F60" s="453" t="s">
        <v>69</v>
      </c>
      <c r="G60" s="654" t="s">
        <v>69</v>
      </c>
      <c r="H60" s="181" t="s">
        <v>61</v>
      </c>
      <c r="I60" s="835" t="s">
        <v>61</v>
      </c>
      <c r="J60" s="835" t="s">
        <v>61</v>
      </c>
      <c r="K60" s="835" t="s">
        <v>61</v>
      </c>
      <c r="L60" s="835" t="s">
        <v>61</v>
      </c>
      <c r="M60" s="1126"/>
      <c r="N60" s="1126"/>
      <c r="Q60" s="180"/>
      <c r="R60" s="184"/>
      <c r="S60" s="1124"/>
      <c r="U60" s="861"/>
      <c r="V60" s="861"/>
      <c r="W60" s="861"/>
      <c r="Y60" s="188"/>
      <c r="Z60" s="188"/>
      <c r="AA60" s="188"/>
    </row>
    <row r="61" spans="1:27" ht="15.6" x14ac:dyDescent="0.25">
      <c r="A61" s="1106"/>
      <c r="B61" s="1145" t="s">
        <v>64</v>
      </c>
      <c r="C61" s="1146"/>
      <c r="D61" s="1146"/>
      <c r="E61" s="1107" t="s">
        <v>404</v>
      </c>
      <c r="F61" s="1107"/>
      <c r="G61" s="1107"/>
      <c r="H61" s="185"/>
      <c r="I61" s="836"/>
      <c r="J61" s="836"/>
      <c r="K61" s="836"/>
      <c r="L61" s="836"/>
      <c r="M61" s="1126"/>
      <c r="N61" s="1126"/>
      <c r="Q61" s="182"/>
      <c r="R61" s="149"/>
      <c r="S61" s="1124"/>
      <c r="U61" s="1127"/>
      <c r="V61" s="1127"/>
      <c r="W61" s="1127"/>
      <c r="Y61" s="1141"/>
      <c r="Z61" s="1141"/>
      <c r="AA61" s="1141"/>
    </row>
    <row r="62" spans="1:27" ht="3.75" customHeight="1" x14ac:dyDescent="0.25">
      <c r="S62" s="186"/>
    </row>
    <row r="63" spans="1:27" x14ac:dyDescent="0.25">
      <c r="B63" s="152" t="s">
        <v>70</v>
      </c>
      <c r="S63" s="186"/>
    </row>
    <row r="64" spans="1:27" ht="15" customHeight="1" x14ac:dyDescent="0.25">
      <c r="M64" s="1142" t="s">
        <v>71</v>
      </c>
      <c r="N64" s="1143"/>
      <c r="O64" s="1144"/>
      <c r="P64" s="447"/>
      <c r="S64" s="186"/>
    </row>
    <row r="65" spans="1:19" ht="15" customHeight="1" x14ac:dyDescent="0.25">
      <c r="A65" s="1103" t="s">
        <v>39</v>
      </c>
      <c r="B65" s="1103" t="s">
        <v>23</v>
      </c>
      <c r="C65" s="1099" t="s">
        <v>72</v>
      </c>
      <c r="D65" s="1099" t="s">
        <v>73</v>
      </c>
      <c r="E65" s="1099" t="s">
        <v>74</v>
      </c>
      <c r="F65" s="1099"/>
      <c r="G65" s="1131" t="s">
        <v>75</v>
      </c>
      <c r="H65" s="1132"/>
      <c r="I65" s="1133"/>
      <c r="J65" s="1099" t="s">
        <v>76</v>
      </c>
      <c r="K65" s="1099"/>
      <c r="L65" s="454"/>
      <c r="M65" s="339" t="s">
        <v>77</v>
      </c>
      <c r="N65" s="339" t="s">
        <v>78</v>
      </c>
      <c r="O65" s="339" t="s">
        <v>79</v>
      </c>
      <c r="P65" s="448"/>
      <c r="S65" s="186"/>
    </row>
    <row r="66" spans="1:19" ht="15" customHeight="1" x14ac:dyDescent="0.25">
      <c r="A66" s="1103"/>
      <c r="B66" s="1103"/>
      <c r="C66" s="1099"/>
      <c r="D66" s="1099"/>
      <c r="E66" s="1099"/>
      <c r="F66" s="1099"/>
      <c r="G66" s="1134"/>
      <c r="H66" s="1135"/>
      <c r="I66" s="1136"/>
      <c r="J66" s="1099"/>
      <c r="K66" s="1099"/>
      <c r="L66" s="454"/>
      <c r="M66" s="257">
        <v>25</v>
      </c>
      <c r="N66" s="257">
        <v>25</v>
      </c>
      <c r="O66" s="258">
        <v>20</v>
      </c>
      <c r="P66" s="449"/>
      <c r="S66" s="186"/>
    </row>
    <row r="67" spans="1:19" ht="33" customHeight="1" x14ac:dyDescent="0.25">
      <c r="A67" s="1103"/>
      <c r="B67" s="1103"/>
      <c r="C67" s="1099"/>
      <c r="D67" s="1099"/>
      <c r="E67" s="1099"/>
      <c r="F67" s="1099"/>
      <c r="G67" s="837">
        <v>1</v>
      </c>
      <c r="H67" s="837">
        <v>2</v>
      </c>
      <c r="I67" s="837">
        <v>3</v>
      </c>
      <c r="J67" s="1099"/>
      <c r="K67" s="1099"/>
      <c r="L67" s="454"/>
      <c r="M67" s="257">
        <v>25</v>
      </c>
      <c r="N67" s="257">
        <v>25</v>
      </c>
      <c r="O67" s="258">
        <v>20</v>
      </c>
      <c r="P67" s="449"/>
      <c r="S67" s="186"/>
    </row>
    <row r="68" spans="1:19" ht="15.75" customHeight="1" x14ac:dyDescent="0.25">
      <c r="A68" s="1103">
        <v>1</v>
      </c>
      <c r="B68" s="1118" t="s">
        <v>80</v>
      </c>
      <c r="C68" s="1102">
        <v>60</v>
      </c>
      <c r="D68" s="1121">
        <v>120</v>
      </c>
      <c r="E68" s="1107">
        <v>80</v>
      </c>
      <c r="F68" s="1107"/>
      <c r="G68" s="1123" t="s">
        <v>61</v>
      </c>
      <c r="H68" s="1123" t="s">
        <v>61</v>
      </c>
      <c r="I68" s="1123" t="s">
        <v>61</v>
      </c>
      <c r="J68" s="1103" t="s">
        <v>81</v>
      </c>
      <c r="K68" s="1103"/>
      <c r="L68" s="175"/>
      <c r="M68" s="257">
        <v>25</v>
      </c>
      <c r="N68" s="257">
        <v>25</v>
      </c>
      <c r="O68" s="258">
        <v>20</v>
      </c>
      <c r="P68" s="449"/>
      <c r="S68" s="186"/>
    </row>
    <row r="69" spans="1:19" ht="15.75" customHeight="1" x14ac:dyDescent="0.25">
      <c r="A69" s="1103"/>
      <c r="B69" s="1119"/>
      <c r="C69" s="1102"/>
      <c r="D69" s="1122"/>
      <c r="E69" s="1107"/>
      <c r="F69" s="1107"/>
      <c r="G69" s="1116"/>
      <c r="H69" s="1116"/>
      <c r="I69" s="1116"/>
      <c r="J69" s="1103"/>
      <c r="K69" s="1103"/>
      <c r="L69" s="175"/>
      <c r="M69" s="257">
        <v>25</v>
      </c>
      <c r="N69" s="257">
        <v>25</v>
      </c>
      <c r="O69" s="258">
        <v>20</v>
      </c>
      <c r="P69" s="449"/>
      <c r="S69" s="186"/>
    </row>
    <row r="70" spans="1:19" ht="15" customHeight="1" x14ac:dyDescent="0.25">
      <c r="A70" s="1103">
        <v>2</v>
      </c>
      <c r="B70" s="1119"/>
      <c r="C70" s="1102">
        <v>120</v>
      </c>
      <c r="D70" s="1121">
        <v>120</v>
      </c>
      <c r="E70" s="1107">
        <v>80</v>
      </c>
      <c r="F70" s="1107"/>
      <c r="G70" s="1116" t="s">
        <v>61</v>
      </c>
      <c r="H70" s="1116" t="s">
        <v>61</v>
      </c>
      <c r="I70" s="1116" t="s">
        <v>61</v>
      </c>
      <c r="J70" s="1103"/>
      <c r="K70" s="1103"/>
      <c r="L70" s="175"/>
      <c r="M70" s="342" t="s">
        <v>82</v>
      </c>
      <c r="N70" s="341" t="s">
        <v>82</v>
      </c>
      <c r="O70" s="340">
        <v>20</v>
      </c>
      <c r="P70" s="449"/>
      <c r="S70" s="186"/>
    </row>
    <row r="71" spans="1:19" ht="15" customHeight="1" x14ac:dyDescent="0.25">
      <c r="A71" s="1103"/>
      <c r="B71" s="1119"/>
      <c r="C71" s="1102"/>
      <c r="D71" s="1122"/>
      <c r="E71" s="1107"/>
      <c r="F71" s="1107"/>
      <c r="G71" s="1116"/>
      <c r="H71" s="1116"/>
      <c r="I71" s="1116"/>
      <c r="J71" s="1103"/>
      <c r="K71" s="1103"/>
      <c r="L71" s="175"/>
      <c r="O71" s="342" t="s">
        <v>82</v>
      </c>
      <c r="P71" s="840"/>
      <c r="S71" s="186"/>
    </row>
    <row r="72" spans="1:19" ht="15" customHeight="1" x14ac:dyDescent="0.25">
      <c r="A72" s="1103">
        <v>3</v>
      </c>
      <c r="B72" s="1119"/>
      <c r="C72" s="1102">
        <v>180</v>
      </c>
      <c r="D72" s="1121">
        <v>120</v>
      </c>
      <c r="E72" s="1107">
        <v>80</v>
      </c>
      <c r="F72" s="1107"/>
      <c r="G72" s="1116" t="s">
        <v>61</v>
      </c>
      <c r="H72" s="1116" t="s">
        <v>61</v>
      </c>
      <c r="I72" s="1116" t="s">
        <v>61</v>
      </c>
      <c r="J72" s="1103"/>
      <c r="K72" s="1103"/>
      <c r="L72" s="175"/>
      <c r="S72" s="186"/>
    </row>
    <row r="73" spans="1:19" ht="15" customHeight="1" x14ac:dyDescent="0.25">
      <c r="A73" s="1103"/>
      <c r="B73" s="1120"/>
      <c r="C73" s="1102"/>
      <c r="D73" s="1122"/>
      <c r="E73" s="1107"/>
      <c r="F73" s="1107"/>
      <c r="G73" s="1117"/>
      <c r="H73" s="1117"/>
      <c r="I73" s="1117"/>
      <c r="J73" s="1103"/>
      <c r="K73" s="1103"/>
      <c r="L73" s="175"/>
      <c r="S73" s="186"/>
    </row>
    <row r="74" spans="1:19" hidden="1" x14ac:dyDescent="0.25"/>
    <row r="75" spans="1:19" hidden="1" x14ac:dyDescent="0.25"/>
    <row r="76" spans="1:19" hidden="1" x14ac:dyDescent="0.25"/>
    <row r="77" spans="1:19" hidden="1" x14ac:dyDescent="0.25"/>
    <row r="78" spans="1:19" hidden="1" x14ac:dyDescent="0.25"/>
    <row r="79" spans="1:19" s="149" customFormat="1" x14ac:dyDescent="0.25">
      <c r="A79" s="149" t="s">
        <v>83</v>
      </c>
    </row>
    <row r="80" spans="1:19" s="149" customFormat="1" ht="15.6" x14ac:dyDescent="0.25">
      <c r="A80" s="862" t="s">
        <v>814</v>
      </c>
    </row>
    <row r="81" spans="1:20" s="149" customFormat="1" ht="15.6" x14ac:dyDescent="0.25">
      <c r="A81" s="862" t="s">
        <v>815</v>
      </c>
    </row>
    <row r="82" spans="1:20" s="149" customFormat="1" ht="15.6" x14ac:dyDescent="0.25">
      <c r="A82" s="862" t="s">
        <v>816</v>
      </c>
    </row>
    <row r="83" spans="1:20" s="149" customFormat="1" ht="15.6" x14ac:dyDescent="0.25">
      <c r="A83" s="291" t="s">
        <v>84</v>
      </c>
    </row>
    <row r="84" spans="1:20" s="149" customFormat="1" x14ac:dyDescent="0.25">
      <c r="A84" s="149">
        <v>1</v>
      </c>
      <c r="B84" s="149" t="s">
        <v>85</v>
      </c>
    </row>
    <row r="85" spans="1:20" s="149" customFormat="1" x14ac:dyDescent="0.25">
      <c r="A85" s="149">
        <v>2</v>
      </c>
      <c r="B85" s="149" t="s">
        <v>85</v>
      </c>
      <c r="P85" s="152"/>
      <c r="R85" s="188"/>
    </row>
    <row r="86" spans="1:20" s="149" customFormat="1" ht="3" customHeight="1" x14ac:dyDescent="0.2">
      <c r="T86" s="863"/>
    </row>
    <row r="87" spans="1:20" s="149" customFormat="1" x14ac:dyDescent="0.2">
      <c r="A87" s="831" t="s">
        <v>86</v>
      </c>
      <c r="D87" s="189"/>
      <c r="T87" s="863"/>
    </row>
    <row r="88" spans="1:20" s="149" customFormat="1" ht="17.399999999999999" x14ac:dyDescent="0.25">
      <c r="A88" s="864" t="s">
        <v>87</v>
      </c>
      <c r="C88" s="190"/>
      <c r="T88" s="863"/>
    </row>
    <row r="89" spans="1:20" x14ac:dyDescent="0.25">
      <c r="A89" s="864" t="s">
        <v>794</v>
      </c>
      <c r="P89" s="191" t="s">
        <v>88</v>
      </c>
      <c r="T89" s="863"/>
    </row>
    <row r="90" spans="1:20" x14ac:dyDescent="0.25">
      <c r="A90" s="864" t="s">
        <v>813</v>
      </c>
      <c r="P90" s="192"/>
      <c r="T90" s="863"/>
    </row>
    <row r="91" spans="1:20" x14ac:dyDescent="0.25">
      <c r="A91" s="864" t="s">
        <v>812</v>
      </c>
      <c r="P91" s="194"/>
      <c r="T91" s="863"/>
    </row>
    <row r="92" spans="1:20" x14ac:dyDescent="0.25">
      <c r="A92" s="193" t="s">
        <v>795</v>
      </c>
      <c r="P92" s="194"/>
      <c r="T92" s="863"/>
    </row>
    <row r="93" spans="1:20" x14ac:dyDescent="0.25">
      <c r="A93" s="193" t="s">
        <v>259</v>
      </c>
      <c r="P93" s="167"/>
      <c r="T93" s="863"/>
    </row>
    <row r="94" spans="1:20" x14ac:dyDescent="0.25">
      <c r="A94" s="193" t="s">
        <v>796</v>
      </c>
      <c r="T94" s="863"/>
    </row>
    <row r="95" spans="1:20" x14ac:dyDescent="0.25">
      <c r="A95" s="193" t="s">
        <v>797</v>
      </c>
      <c r="B95" s="193"/>
      <c r="C95" s="193"/>
      <c r="D95" s="193"/>
      <c r="E95" s="193"/>
      <c r="F95" s="193"/>
      <c r="G95" s="193"/>
      <c r="H95" s="193"/>
      <c r="I95" s="193"/>
      <c r="J95" s="193"/>
      <c r="K95" s="193"/>
      <c r="L95" s="193"/>
      <c r="M95" s="193"/>
      <c r="N95" s="193"/>
      <c r="O95" s="193"/>
      <c r="P95" s="193"/>
      <c r="Q95" s="193"/>
      <c r="R95" s="193"/>
      <c r="T95" s="863"/>
    </row>
    <row r="96" spans="1:20" x14ac:dyDescent="0.25">
      <c r="A96" s="193" t="s">
        <v>798</v>
      </c>
      <c r="B96" s="193"/>
      <c r="T96" s="863"/>
    </row>
    <row r="97" spans="1:20" x14ac:dyDescent="0.25">
      <c r="A97" s="864" t="s">
        <v>799</v>
      </c>
      <c r="T97" s="863"/>
    </row>
    <row r="98" spans="1:20" x14ac:dyDescent="0.25">
      <c r="A98" s="864" t="s">
        <v>800</v>
      </c>
    </row>
    <row r="101" spans="1:20" x14ac:dyDescent="0.25">
      <c r="B101" s="301"/>
    </row>
    <row r="102" spans="1:20" x14ac:dyDescent="0.25">
      <c r="B102" s="301"/>
    </row>
    <row r="103" spans="1:20" x14ac:dyDescent="0.25">
      <c r="B103" s="301"/>
    </row>
    <row r="104" spans="1:20" x14ac:dyDescent="0.25">
      <c r="B104" s="301"/>
    </row>
    <row r="105" spans="1:20" x14ac:dyDescent="0.25">
      <c r="B105" s="37"/>
    </row>
    <row r="106" spans="1:20" x14ac:dyDescent="0.25">
      <c r="B106" s="301"/>
    </row>
    <row r="107" spans="1:20" x14ac:dyDescent="0.25">
      <c r="B107" s="301"/>
    </row>
    <row r="112" spans="1:20" x14ac:dyDescent="0.25">
      <c r="B112" s="152" t="s">
        <v>88</v>
      </c>
    </row>
  </sheetData>
  <sheetProtection algorithmName="SHA-512" hashValue="mrCzhjtTGETEmZZaAoDjr1YhxKMqFG6cQfqm5QqXApR3LPI9TlBWEaIW7Hp+7O+XnRAkth9WoEB1TmuaiCmzYQ==" saltValue="lvg6b9YMdobGDZEWtDm7KA==" spinCount="100000" sheet="1" objects="1" scenarios="1"/>
  <mergeCells count="130">
    <mergeCell ref="A36:A37"/>
    <mergeCell ref="A38:A39"/>
    <mergeCell ref="J65:K67"/>
    <mergeCell ref="A3:S3"/>
    <mergeCell ref="M2:S2"/>
    <mergeCell ref="B60:D60"/>
    <mergeCell ref="B59:D59"/>
    <mergeCell ref="E26:G26"/>
    <mergeCell ref="E58:G58"/>
    <mergeCell ref="E57:G57"/>
    <mergeCell ref="A47:A49"/>
    <mergeCell ref="A59:A61"/>
    <mergeCell ref="E61:G61"/>
    <mergeCell ref="A56:A58"/>
    <mergeCell ref="R44:R46"/>
    <mergeCell ref="A4:S4"/>
    <mergeCell ref="D16:H16"/>
    <mergeCell ref="B44:B46"/>
    <mergeCell ref="H22:H23"/>
    <mergeCell ref="D17:H17"/>
    <mergeCell ref="D18:H18"/>
    <mergeCell ref="R47:R49"/>
    <mergeCell ref="L22:L23"/>
    <mergeCell ref="K22:K23"/>
    <mergeCell ref="B22:B23"/>
    <mergeCell ref="A44:A46"/>
    <mergeCell ref="E68:F69"/>
    <mergeCell ref="G65:I66"/>
    <mergeCell ref="C65:C67"/>
    <mergeCell ref="R50:R52"/>
    <mergeCell ref="R53:R55"/>
    <mergeCell ref="E51:G51"/>
    <mergeCell ref="E50:G50"/>
    <mergeCell ref="M64:O64"/>
    <mergeCell ref="E56:G56"/>
    <mergeCell ref="B61:D61"/>
    <mergeCell ref="I68:I69"/>
    <mergeCell ref="E65:F67"/>
    <mergeCell ref="E24:G24"/>
    <mergeCell ref="E25:G25"/>
    <mergeCell ref="C22:D23"/>
    <mergeCell ref="C24:D24"/>
    <mergeCell ref="C25:D25"/>
    <mergeCell ref="C26:D26"/>
    <mergeCell ref="L35:M35"/>
    <mergeCell ref="L36:M36"/>
    <mergeCell ref="J34:K34"/>
    <mergeCell ref="B34:I34"/>
    <mergeCell ref="Y45:AA46"/>
    <mergeCell ref="Y47:AA47"/>
    <mergeCell ref="Y48:AA48"/>
    <mergeCell ref="Y49:AA49"/>
    <mergeCell ref="Y50:AA50"/>
    <mergeCell ref="Y51:AA51"/>
    <mergeCell ref="Y52:AA52"/>
    <mergeCell ref="Y53:AA53"/>
    <mergeCell ref="Y54:AA54"/>
    <mergeCell ref="U49:W49"/>
    <mergeCell ref="U50:W50"/>
    <mergeCell ref="Y58:AA58"/>
    <mergeCell ref="Y61:AA61"/>
    <mergeCell ref="U51:W51"/>
    <mergeCell ref="U52:W52"/>
    <mergeCell ref="U53:W53"/>
    <mergeCell ref="U54:W54"/>
    <mergeCell ref="U55:W55"/>
    <mergeCell ref="S44:S61"/>
    <mergeCell ref="E54:G54"/>
    <mergeCell ref="E53:G53"/>
    <mergeCell ref="M47:N61"/>
    <mergeCell ref="M44:N46"/>
    <mergeCell ref="E47:G47"/>
    <mergeCell ref="Y55:AA55"/>
    <mergeCell ref="Y56:AA56"/>
    <mergeCell ref="Y57:AA57"/>
    <mergeCell ref="U56:W56"/>
    <mergeCell ref="U57:W57"/>
    <mergeCell ref="U58:W58"/>
    <mergeCell ref="U61:W61"/>
    <mergeCell ref="E49:G49"/>
    <mergeCell ref="E48:G48"/>
    <mergeCell ref="C44:G44"/>
    <mergeCell ref="H44:L45"/>
    <mergeCell ref="C45:C46"/>
    <mergeCell ref="E45:G46"/>
    <mergeCell ref="D45:D46"/>
    <mergeCell ref="E52:G52"/>
    <mergeCell ref="U45:W46"/>
    <mergeCell ref="U47:W47"/>
    <mergeCell ref="U48:W48"/>
    <mergeCell ref="I70:I71"/>
    <mergeCell ref="C68:C69"/>
    <mergeCell ref="B68:B73"/>
    <mergeCell ref="D68:D69"/>
    <mergeCell ref="D70:D71"/>
    <mergeCell ref="D72:D73"/>
    <mergeCell ref="G68:G69"/>
    <mergeCell ref="H68:H69"/>
    <mergeCell ref="G70:G71"/>
    <mergeCell ref="H70:H71"/>
    <mergeCell ref="G72:G73"/>
    <mergeCell ref="H72:H73"/>
    <mergeCell ref="C72:C73"/>
    <mergeCell ref="C70:C71"/>
    <mergeCell ref="E72:F73"/>
    <mergeCell ref="E70:F71"/>
    <mergeCell ref="E22:G23"/>
    <mergeCell ref="J37:K37"/>
    <mergeCell ref="L37:M37"/>
    <mergeCell ref="J68:K73"/>
    <mergeCell ref="A50:A52"/>
    <mergeCell ref="E55:G55"/>
    <mergeCell ref="L34:M34"/>
    <mergeCell ref="A65:A67"/>
    <mergeCell ref="S29:S30"/>
    <mergeCell ref="S35:S39"/>
    <mergeCell ref="R38:R39"/>
    <mergeCell ref="L39:M39"/>
    <mergeCell ref="L38:M38"/>
    <mergeCell ref="J39:K39"/>
    <mergeCell ref="J38:K38"/>
    <mergeCell ref="J36:K36"/>
    <mergeCell ref="J35:K35"/>
    <mergeCell ref="B65:B67"/>
    <mergeCell ref="A68:A69"/>
    <mergeCell ref="D65:D67"/>
    <mergeCell ref="I72:I73"/>
    <mergeCell ref="A53:A55"/>
    <mergeCell ref="A70:A71"/>
    <mergeCell ref="A72:A73"/>
  </mergeCells>
  <dataValidations count="2">
    <dataValidation type="list" allowBlank="1" showInputMessage="1" showErrorMessage="1" sqref="S13:S14 K13:K14" xr:uid="{00000000-0002-0000-0000-000000000000}">
      <formula1>#REF!</formula1>
    </dataValidation>
    <dataValidation type="list" allowBlank="1" showInputMessage="1" sqref="D16" xr:uid="{00000000-0002-0000-0000-000001000000}">
      <formula1>#REF!</formula1>
    </dataValidation>
  </dataValidations>
  <printOptions horizontalCentered="1"/>
  <pageMargins left="0.23622047244094491" right="0.11811023622047245" top="0.11811023622047245" bottom="0.15748031496062992" header="0.23622047244094491" footer="0.23622047244094491"/>
  <pageSetup paperSize="9" scale="57" orientation="portrait" horizontalDpi="4294967293" r:id="rId1"/>
  <headerFooter>
    <oddHeader xml:space="preserve">&amp;R&amp;"Calibri,Regular"&amp;8
</oddHeader>
    <oddFooter>&amp;R&amp;8&amp;K00-014Software BPM 2018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00000000-0002-0000-0000-000002000000}">
          <x14:formula1>
            <xm:f>KESIMPULAN!$F$8:$F$9</xm:f>
          </x14:formula1>
          <xm:sqref>T4:T6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/>
  <dimension ref="A1:T57"/>
  <sheetViews>
    <sheetView topLeftCell="J19" workbookViewId="0">
      <selection activeCell="K34" sqref="K34"/>
    </sheetView>
  </sheetViews>
  <sheetFormatPr defaultRowHeight="13.2" x14ac:dyDescent="0.25"/>
  <cols>
    <col min="11" max="11" width="14.77734375" customWidth="1"/>
    <col min="12" max="12" width="57" customWidth="1"/>
    <col min="16" max="16" width="18.21875" customWidth="1"/>
    <col min="17" max="17" width="37" customWidth="1"/>
  </cols>
  <sheetData>
    <row r="1" spans="7:20" x14ac:dyDescent="0.25">
      <c r="M1" s="1161" t="s">
        <v>148</v>
      </c>
      <c r="N1" s="1162"/>
      <c r="O1" s="1162"/>
      <c r="P1" s="1162"/>
      <c r="Q1" s="37" t="str">
        <f>IF(M36=""," [ISI G/NO/NC] ",IF(N36=""," [ISI G/NO/NC] ",IF(O36=""," [ISI G/NO/NC] "," [oke] ")))</f>
        <v xml:space="preserve"> [ISI G/NO/NC] </v>
      </c>
    </row>
    <row r="4" spans="7:20" x14ac:dyDescent="0.25">
      <c r="G4" s="1163"/>
      <c r="H4" s="1163"/>
    </row>
    <row r="6" spans="7:20" x14ac:dyDescent="0.25">
      <c r="H6" s="37"/>
      <c r="K6" s="37"/>
      <c r="L6" s="37"/>
    </row>
    <row r="7" spans="7:20" x14ac:dyDescent="0.25">
      <c r="K7" s="37"/>
      <c r="L7" s="37"/>
    </row>
    <row r="8" spans="7:20" x14ac:dyDescent="0.25">
      <c r="K8" s="21"/>
      <c r="L8" s="37"/>
    </row>
    <row r="10" spans="7:20" x14ac:dyDescent="0.25">
      <c r="K10" s="374"/>
      <c r="L10" s="374"/>
      <c r="R10" s="374" t="str">
        <f>IF(OR(G6="",H6=""),"JANGAN KOSONG",IF(H6=0,"JANGAN 0 ISI -",IF(AND(H6="-",G6="-"),35,IF(OR(G6="OL",H6="OL"),"JANGAN OL",IF(AND(G6&lt;=500,H6="-"),35,IF(AND(AND(G6&gt;=0.01,G6&lt;=500),H6&gt;=0.01),"GANTI NC -",IF(AND(AND(G6&gt;=500,G6&lt;=100000),H6&gt;=0.01),"GANTI NC -",IF(AND(G6&gt;=0.01,G6&lt;=500),35,IF(AND(H6&gt;=0.01,H6&lt;=100),35,0)))))))))</f>
        <v>JANGAN KOSONG</v>
      </c>
    </row>
    <row r="11" spans="7:20" x14ac:dyDescent="0.25">
      <c r="L11" s="37"/>
    </row>
    <row r="12" spans="7:20" x14ac:dyDescent="0.25">
      <c r="K12" s="37"/>
      <c r="L12" s="37"/>
    </row>
    <row r="13" spans="7:20" x14ac:dyDescent="0.25">
      <c r="K13" s="374"/>
      <c r="L13" s="374"/>
      <c r="T13" s="37">
        <v>6</v>
      </c>
    </row>
    <row r="14" spans="7:20" x14ac:dyDescent="0.25">
      <c r="L14" s="37"/>
      <c r="T14" s="37">
        <v>345</v>
      </c>
    </row>
    <row r="15" spans="7:20" x14ac:dyDescent="0.25">
      <c r="K15" s="37"/>
      <c r="L15" s="37"/>
      <c r="T15" s="37">
        <v>12345</v>
      </c>
    </row>
    <row r="16" spans="7:20" x14ac:dyDescent="0.25">
      <c r="J16" s="37"/>
      <c r="L16" s="37"/>
    </row>
    <row r="17" spans="1:20" ht="15.6" x14ac:dyDescent="0.25">
      <c r="A17" s="37"/>
      <c r="B17" s="253"/>
      <c r="T17" s="37"/>
    </row>
    <row r="18" spans="1:20" ht="15.6" x14ac:dyDescent="0.25">
      <c r="A18" s="37"/>
      <c r="B18" s="375"/>
      <c r="H18" s="118"/>
      <c r="J18" s="37"/>
    </row>
    <row r="19" spans="1:20" ht="15.6" x14ac:dyDescent="0.25">
      <c r="A19" s="37"/>
      <c r="B19" s="376"/>
      <c r="H19" s="118"/>
      <c r="N19" s="37"/>
    </row>
    <row r="20" spans="1:20" ht="15.6" x14ac:dyDescent="0.25">
      <c r="B20" s="375"/>
      <c r="H20" s="118"/>
      <c r="K20" s="37"/>
      <c r="L20" s="37"/>
      <c r="N20" s="37"/>
      <c r="O20" s="37"/>
      <c r="P20" s="37"/>
      <c r="Q20" s="37"/>
      <c r="R20" s="37"/>
    </row>
    <row r="21" spans="1:20" ht="15.6" x14ac:dyDescent="0.25">
      <c r="A21" s="37"/>
      <c r="B21" s="375"/>
      <c r="H21" s="118"/>
      <c r="L21" s="37"/>
    </row>
    <row r="22" spans="1:20" ht="15.6" x14ac:dyDescent="0.25">
      <c r="A22" s="37"/>
      <c r="B22" s="375"/>
      <c r="H22" s="118"/>
    </row>
    <row r="23" spans="1:20" ht="15.6" x14ac:dyDescent="0.3">
      <c r="B23" s="377"/>
      <c r="H23" s="118"/>
    </row>
    <row r="24" spans="1:20" ht="15.6" x14ac:dyDescent="0.3">
      <c r="A24" s="37"/>
      <c r="B24" s="378"/>
      <c r="H24" s="118"/>
      <c r="M24" s="1164" t="s">
        <v>149</v>
      </c>
      <c r="N24" s="1164"/>
      <c r="O24" s="1164"/>
      <c r="P24" s="1164"/>
    </row>
    <row r="25" spans="1:20" x14ac:dyDescent="0.25">
      <c r="L25" s="458" t="s">
        <v>150</v>
      </c>
      <c r="M25" s="458" t="s">
        <v>151</v>
      </c>
      <c r="N25" s="379" t="s">
        <v>152</v>
      </c>
      <c r="O25" s="379" t="s">
        <v>153</v>
      </c>
      <c r="P25" s="379" t="s">
        <v>154</v>
      </c>
      <c r="Q25" s="458" t="s">
        <v>155</v>
      </c>
      <c r="R25" s="37"/>
    </row>
    <row r="26" spans="1:20" ht="15.6" x14ac:dyDescent="0.3">
      <c r="I26" s="37"/>
      <c r="J26" s="37"/>
      <c r="K26" s="37"/>
      <c r="L26" s="380" t="s">
        <v>156</v>
      </c>
      <c r="M26" s="381" t="s">
        <v>157</v>
      </c>
      <c r="N26" s="382" t="s">
        <v>157</v>
      </c>
      <c r="O26" s="382" t="s">
        <v>157</v>
      </c>
      <c r="P26" s="383" t="s">
        <v>158</v>
      </c>
      <c r="Q26" s="384" t="s">
        <v>99</v>
      </c>
    </row>
    <row r="27" spans="1:20" ht="39" customHeight="1" x14ac:dyDescent="0.25">
      <c r="I27" s="37"/>
      <c r="J27" s="37"/>
      <c r="K27" s="385"/>
      <c r="L27" s="386" t="s">
        <v>159</v>
      </c>
      <c r="M27" s="381" t="s">
        <v>157</v>
      </c>
      <c r="N27" s="387" t="s">
        <v>157</v>
      </c>
      <c r="O27" s="387" t="s">
        <v>157</v>
      </c>
      <c r="P27" s="388" t="s">
        <v>160</v>
      </c>
      <c r="Q27" s="389" t="s">
        <v>161</v>
      </c>
    </row>
    <row r="28" spans="1:20" ht="15.6" x14ac:dyDescent="0.25">
      <c r="I28" s="37"/>
      <c r="J28" s="37"/>
      <c r="K28" s="37"/>
      <c r="L28" s="386" t="s">
        <v>162</v>
      </c>
      <c r="M28" s="381" t="s">
        <v>157</v>
      </c>
      <c r="N28" s="387" t="s">
        <v>157</v>
      </c>
      <c r="O28" s="387" t="s">
        <v>99</v>
      </c>
      <c r="P28" s="388" t="s">
        <v>158</v>
      </c>
      <c r="Q28" s="390" t="s">
        <v>99</v>
      </c>
    </row>
    <row r="29" spans="1:20" ht="15.6" x14ac:dyDescent="0.25">
      <c r="I29" s="37"/>
      <c r="J29" s="37"/>
      <c r="K29" s="37"/>
      <c r="L29" s="380" t="s">
        <v>163</v>
      </c>
      <c r="M29" s="381" t="s">
        <v>157</v>
      </c>
      <c r="N29" s="382" t="s">
        <v>157</v>
      </c>
      <c r="O29" s="382" t="s">
        <v>99</v>
      </c>
      <c r="P29" s="383" t="s">
        <v>164</v>
      </c>
      <c r="Q29" s="391" t="s">
        <v>165</v>
      </c>
    </row>
    <row r="30" spans="1:20" ht="15.6" x14ac:dyDescent="0.25">
      <c r="I30" s="37"/>
      <c r="J30" s="37"/>
      <c r="K30" s="37"/>
      <c r="L30" s="386" t="s">
        <v>166</v>
      </c>
      <c r="M30" s="381" t="s">
        <v>157</v>
      </c>
      <c r="N30" s="387" t="s">
        <v>157</v>
      </c>
      <c r="O30" s="387" t="s">
        <v>99</v>
      </c>
      <c r="P30" s="388" t="s">
        <v>164</v>
      </c>
      <c r="Q30" s="390" t="s">
        <v>165</v>
      </c>
    </row>
    <row r="31" spans="1:20" ht="15.6" x14ac:dyDescent="0.3">
      <c r="I31" s="37"/>
      <c r="J31" s="37"/>
      <c r="K31" s="37"/>
      <c r="L31" s="392" t="s">
        <v>123</v>
      </c>
      <c r="M31" s="381" t="s">
        <v>99</v>
      </c>
      <c r="N31" s="387" t="s">
        <v>99</v>
      </c>
      <c r="O31" s="387" t="s">
        <v>99</v>
      </c>
      <c r="P31" s="388" t="s">
        <v>164</v>
      </c>
      <c r="Q31" s="390" t="s">
        <v>165</v>
      </c>
    </row>
    <row r="32" spans="1:20" ht="15.6" x14ac:dyDescent="0.25">
      <c r="L32" s="386"/>
      <c r="M32" s="381"/>
      <c r="N32" s="387"/>
      <c r="O32" s="387"/>
      <c r="P32" s="388"/>
      <c r="Q32" s="390"/>
    </row>
    <row r="33" spans="11:17" ht="32.25" customHeight="1" x14ac:dyDescent="0.25">
      <c r="L33" s="393" t="s">
        <v>167</v>
      </c>
      <c r="M33" s="458" t="str">
        <f>VLOOKUP([1]INPUT!$M$37,$L$26:$Q$32,2,0)</f>
        <v>√</v>
      </c>
      <c r="N33" s="394" t="str">
        <f>VLOOKUP([1]INPUT!$M$37,$L$26:$Q$32,3,0)</f>
        <v>√</v>
      </c>
      <c r="O33" s="394" t="str">
        <f>VLOOKUP([1]INPUT!$M$37,$L$26:$Q$32,4,0)</f>
        <v>√</v>
      </c>
      <c r="P33" s="395" t="str">
        <f>VLOOKUP([1]INPUT!$M$37,$L$26:$Q$32,5,0)</f>
        <v>Gket</v>
      </c>
      <c r="Q33" s="396" t="str">
        <f>VLOOKUP([1]INPUT!$M$37,$L$26:$Q$32,6,0)</f>
        <v>Alat tidak boleh digunakan pada instalasi tanpa dilengkapi grounding</v>
      </c>
    </row>
    <row r="35" spans="11:17" ht="13.8" thickBot="1" x14ac:dyDescent="0.3">
      <c r="K35" s="397"/>
    </row>
    <row r="36" spans="11:17" s="397" customFormat="1" ht="15.6" x14ac:dyDescent="0.3">
      <c r="K36" s="398"/>
      <c r="L36" s="399" t="s">
        <v>123</v>
      </c>
      <c r="M36" s="400"/>
      <c r="N36" s="401" t="str">
        <f>IF(N56="","",N56)</f>
        <v/>
      </c>
      <c r="O36" s="402" t="str">
        <f>IF(O56="","",O56)</f>
        <v/>
      </c>
      <c r="P36" s="403" t="str">
        <f>CONCATENATE(N37,O37)</f>
        <v>XX</v>
      </c>
      <c r="Q36" s="404" t="str">
        <f>IF(NOT(P36="√√"),"X",35)</f>
        <v>X</v>
      </c>
    </row>
    <row r="37" spans="11:17" s="397" customFormat="1" ht="13.8" thickBot="1" x14ac:dyDescent="0.3">
      <c r="L37" s="405"/>
      <c r="M37" s="406"/>
      <c r="N37" s="407" t="str">
        <f>IF(NOT(N36="-"),"X","√")</f>
        <v>X</v>
      </c>
      <c r="O37" s="407" t="str">
        <f>IF(NOT(O36="-"),"X","√")</f>
        <v>X</v>
      </c>
      <c r="P37" s="408"/>
      <c r="Q37" s="409"/>
    </row>
    <row r="38" spans="11:17" s="397" customFormat="1" ht="15.6" x14ac:dyDescent="0.25">
      <c r="L38" s="410" t="s">
        <v>166</v>
      </c>
      <c r="M38" s="411"/>
      <c r="N38" s="401" t="str">
        <f>IF(N56="","",N56)</f>
        <v/>
      </c>
      <c r="O38" s="402" t="str">
        <f>IF(O56="","",O56)</f>
        <v/>
      </c>
      <c r="P38" s="403" t="str">
        <f>CONCATENATE(N39,O39)</f>
        <v>XX</v>
      </c>
      <c r="Q38" s="404" t="str">
        <f>IF(NOT(P38="√√"),"X",35)</f>
        <v>X</v>
      </c>
    </row>
    <row r="39" spans="11:17" x14ac:dyDescent="0.25">
      <c r="K39" s="397"/>
      <c r="L39" s="412"/>
      <c r="M39" s="397"/>
      <c r="N39" s="413" t="str">
        <f>IF(N38="","X",IF(N38="-","X",IF(N38="OL","X",IF(N38&lt;=500,"√","X"))))</f>
        <v>X</v>
      </c>
      <c r="O39" s="413" t="str">
        <f>IF(O38="","X",IF(O38="OL","X",IF(O38="-","√","X")))</f>
        <v>X</v>
      </c>
      <c r="P39" s="413"/>
      <c r="Q39" s="414"/>
    </row>
    <row r="40" spans="11:17" ht="13.8" thickBot="1" x14ac:dyDescent="0.3">
      <c r="K40" s="397"/>
      <c r="L40" s="415"/>
      <c r="M40" s="416"/>
      <c r="N40" s="408"/>
      <c r="O40" s="408"/>
      <c r="P40" s="408"/>
      <c r="Q40" s="417"/>
    </row>
    <row r="41" spans="11:17" ht="15.6" x14ac:dyDescent="0.25">
      <c r="L41" s="418" t="s">
        <v>163</v>
      </c>
      <c r="M41" s="419"/>
      <c r="N41" s="420" t="str">
        <f>IF(N56="","",N56)</f>
        <v/>
      </c>
      <c r="O41" s="421" t="str">
        <f>IF(O56="","",O56)</f>
        <v/>
      </c>
      <c r="P41" s="422" t="str">
        <f>CONCATENATE(N42,O42)</f>
        <v>XX</v>
      </c>
      <c r="Q41" s="423" t="str">
        <f>IF(NOT(P41="√√"),"X",0)</f>
        <v>X</v>
      </c>
    </row>
    <row r="42" spans="11:17" x14ac:dyDescent="0.25">
      <c r="L42" s="424"/>
      <c r="N42" s="425" t="str">
        <f>IF(N41="","X",IF(N41="-","X",IF(N41="OL","X",IF(N41&gt;=500,"√","X"))))</f>
        <v>X</v>
      </c>
      <c r="O42" s="425" t="str">
        <f>IF(O41="","X",IF(O41="OL","X",IF(O41="-","√","X")))</f>
        <v>X</v>
      </c>
      <c r="P42" s="425"/>
      <c r="Q42" s="426"/>
    </row>
    <row r="43" spans="11:17" ht="13.8" thickBot="1" x14ac:dyDescent="0.3">
      <c r="L43" s="427"/>
      <c r="M43" s="428"/>
      <c r="N43" s="429"/>
      <c r="O43" s="429"/>
      <c r="P43" s="429"/>
      <c r="Q43" s="430"/>
    </row>
    <row r="44" spans="11:17" ht="15.6" x14ac:dyDescent="0.25">
      <c r="L44" s="410" t="s">
        <v>162</v>
      </c>
      <c r="M44" s="419"/>
      <c r="N44" s="401" t="str">
        <f>IF(N56="","",N56)</f>
        <v/>
      </c>
      <c r="O44" s="402" t="str">
        <f>IF(O56="","",O56)</f>
        <v/>
      </c>
      <c r="P44" s="401" t="str">
        <f>CONCATENATE(N45,O45)</f>
        <v>XX</v>
      </c>
      <c r="Q44" s="404" t="str">
        <f>IF(NOT(P44="√√"),"X",35)</f>
        <v>X</v>
      </c>
    </row>
    <row r="45" spans="11:17" x14ac:dyDescent="0.25">
      <c r="L45" s="424"/>
      <c r="N45" s="431" t="str">
        <f>IF(N44="","X",IF(N44="-","X",IF(N44="OL","X",IF(N44&lt;=500,"√","X"))))</f>
        <v>X</v>
      </c>
      <c r="O45" s="431" t="str">
        <f>IF(O44="","X",IF(O44="OL","X",IF(O44="-","√","X")))</f>
        <v>X</v>
      </c>
      <c r="P45" s="413"/>
      <c r="Q45" s="414"/>
    </row>
    <row r="46" spans="11:17" ht="13.8" thickBot="1" x14ac:dyDescent="0.3">
      <c r="L46" s="427"/>
      <c r="M46" s="428"/>
      <c r="N46" s="428"/>
      <c r="O46" s="428"/>
      <c r="P46" s="428"/>
      <c r="Q46" s="432"/>
    </row>
    <row r="47" spans="11:17" ht="15.6" x14ac:dyDescent="0.25">
      <c r="L47" s="410" t="s">
        <v>159</v>
      </c>
      <c r="M47" s="419"/>
      <c r="N47" s="401" t="str">
        <f>IF(N56="","",N56)</f>
        <v/>
      </c>
      <c r="O47" s="402" t="str">
        <f>IF(O56="","",O56)</f>
        <v/>
      </c>
      <c r="P47" s="403" t="str">
        <f>CONCATENATE(N48,O48)</f>
        <v>XX</v>
      </c>
      <c r="Q47" s="404" t="str">
        <f>IF(NOT(P47="√√"),"X",35)</f>
        <v>X</v>
      </c>
    </row>
    <row r="48" spans="11:17" x14ac:dyDescent="0.25">
      <c r="L48" s="424"/>
      <c r="N48" s="413" t="str">
        <f>IF(N47="","X",IF(N47="-","X",IF(N47="OL","X",IF(N47&gt;=500,"√","X"))))</f>
        <v>X</v>
      </c>
      <c r="O48" s="413" t="str">
        <f>IF(O47="","X",IF(O47="-","X",IF(O47="OL","X",IF(O47&lt;=100,"√","X"))))</f>
        <v>X</v>
      </c>
      <c r="P48" s="413"/>
      <c r="Q48" s="414"/>
    </row>
    <row r="49" spans="12:17" ht="13.8" thickBot="1" x14ac:dyDescent="0.3">
      <c r="L49" s="427"/>
      <c r="M49" s="428"/>
      <c r="N49" s="408"/>
      <c r="O49" s="408"/>
      <c r="P49" s="408"/>
      <c r="Q49" s="417"/>
    </row>
    <row r="50" spans="12:17" ht="15.6" x14ac:dyDescent="0.25">
      <c r="L50" s="418" t="s">
        <v>156</v>
      </c>
      <c r="M50" s="419"/>
      <c r="N50" s="420" t="str">
        <f>IF(N56="","",N56)</f>
        <v/>
      </c>
      <c r="O50" s="421" t="str">
        <f>IF(O56="","",O56)</f>
        <v/>
      </c>
      <c r="P50" s="422" t="str">
        <f>CONCATENATE(N51,O51)</f>
        <v>XX</v>
      </c>
      <c r="Q50" s="423" t="str">
        <f>IF(NOT(P50="√√"),"X",0)</f>
        <v>X</v>
      </c>
    </row>
    <row r="51" spans="12:17" x14ac:dyDescent="0.25">
      <c r="L51" s="424"/>
      <c r="N51" s="425" t="str">
        <f>IF(N50="","X",IF(N50="-","X",IF(N50="OL","X",IF(N50&gt;=500,"√","X"))))</f>
        <v>X</v>
      </c>
      <c r="O51" s="425" t="str">
        <f>IF(O50="","X",IF(O50="-","X",IF(O50="OL","X",IF(O50&gt;=500,"√","X"))))</f>
        <v>X</v>
      </c>
      <c r="P51" s="425"/>
      <c r="Q51" s="426"/>
    </row>
    <row r="52" spans="12:17" ht="13.8" thickBot="1" x14ac:dyDescent="0.3">
      <c r="L52" s="427"/>
      <c r="M52" s="428"/>
      <c r="N52" s="429"/>
      <c r="O52" s="429"/>
      <c r="P52" s="429"/>
      <c r="Q52" s="430"/>
    </row>
    <row r="53" spans="12:17" ht="15.6" x14ac:dyDescent="0.3">
      <c r="L53" s="399"/>
      <c r="M53" s="400"/>
      <c r="N53" s="401"/>
      <c r="O53" s="401"/>
      <c r="P53" s="401"/>
      <c r="Q53" s="404"/>
    </row>
    <row r="54" spans="12:17" ht="13.8" thickBot="1" x14ac:dyDescent="0.3">
      <c r="L54" s="433"/>
      <c r="M54" s="148"/>
      <c r="N54" s="434"/>
      <c r="O54" s="434"/>
      <c r="P54" s="413"/>
      <c r="Q54" s="435"/>
    </row>
    <row r="55" spans="12:17" ht="13.8" thickBot="1" x14ac:dyDescent="0.3">
      <c r="L55" s="436" t="s">
        <v>167</v>
      </c>
      <c r="M55" s="437"/>
      <c r="N55" s="437"/>
      <c r="O55" s="437"/>
      <c r="P55" s="438"/>
      <c r="Q55" s="439" t="e">
        <f>VLOOKUP(ID!#REF!,$L$36:$Q$54,6,0)</f>
        <v>#REF!</v>
      </c>
    </row>
    <row r="56" spans="12:17" ht="13.8" thickBot="1" x14ac:dyDescent="0.3">
      <c r="L56" s="436" t="s">
        <v>168</v>
      </c>
      <c r="M56" s="440"/>
      <c r="N56" s="441" t="str">
        <f>IF(ID!P45="","",ID!P45)</f>
        <v/>
      </c>
      <c r="O56" s="442" t="str">
        <f>IF(ID!Q45="","",ID!Q45)</f>
        <v/>
      </c>
    </row>
    <row r="57" spans="12:17" ht="15.6" x14ac:dyDescent="0.3">
      <c r="N57" s="443"/>
      <c r="O57" s="443"/>
    </row>
  </sheetData>
  <sheetProtection algorithmName="SHA-512" hashValue="qJ33h1jbtVlsN+2xGCOeOpZLa/+TZTqEqTaWC1UbWbwpD9zu73SGqpqMSiQKgIwlf2wseHl19wLvu4lpR+1Hvg==" saltValue="ig16eAulBt/qeNI5Bps8MQ==" spinCount="100000" sheet="1" objects="1" scenarios="1"/>
  <mergeCells count="3">
    <mergeCell ref="M1:P1"/>
    <mergeCell ref="G4:H4"/>
    <mergeCell ref="M24:P24"/>
  </mergeCells>
  <dataValidations disablePrompts="1" count="1">
    <dataValidation type="list" allowBlank="1" showInputMessage="1" sqref="G6:J6" xr:uid="{00000000-0002-0000-0300-000000000000}">
      <formula1>$L$1:$L$5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2"/>
  <dimension ref="H1:O73"/>
  <sheetViews>
    <sheetView topLeftCell="C52" workbookViewId="0">
      <selection activeCell="H14" sqref="H14:H17"/>
    </sheetView>
  </sheetViews>
  <sheetFormatPr defaultRowHeight="13.2" x14ac:dyDescent="0.25"/>
  <sheetData>
    <row r="1" spans="8:11" x14ac:dyDescent="0.25">
      <c r="H1" s="37" t="s">
        <v>169</v>
      </c>
    </row>
    <row r="2" spans="8:11" ht="16.2" thickBot="1" x14ac:dyDescent="0.3">
      <c r="H2" s="103">
        <v>200</v>
      </c>
      <c r="I2" s="104">
        <v>170</v>
      </c>
      <c r="J2" s="104">
        <v>160</v>
      </c>
      <c r="K2" s="102">
        <f>IF(ID!C59=200,200,IF(ID!C59=170,170,IF(ID!C59=160,160)))</f>
        <v>170</v>
      </c>
    </row>
    <row r="3" spans="8:11" ht="15.6" x14ac:dyDescent="0.25">
      <c r="H3" s="101">
        <v>200</v>
      </c>
      <c r="I3" s="101">
        <v>170</v>
      </c>
      <c r="J3" s="101">
        <v>160</v>
      </c>
      <c r="K3" s="100">
        <f>IF(ID!C59=200,150,IF(ID!C59=170,100,IF(ID!C59=160,100)))</f>
        <v>100</v>
      </c>
    </row>
    <row r="4" spans="8:11" ht="15.6" x14ac:dyDescent="0.25">
      <c r="H4" s="101">
        <v>150</v>
      </c>
      <c r="I4" s="101">
        <v>100</v>
      </c>
      <c r="J4" s="101">
        <v>100</v>
      </c>
    </row>
    <row r="18" spans="8:15" x14ac:dyDescent="0.25">
      <c r="H18" s="96" t="s">
        <v>170</v>
      </c>
      <c r="I18" s="96" t="s">
        <v>20</v>
      </c>
      <c r="J18" s="96" t="s">
        <v>171</v>
      </c>
      <c r="K18" s="96" t="s">
        <v>172</v>
      </c>
      <c r="L18" s="96" t="s">
        <v>173</v>
      </c>
      <c r="M18" s="96"/>
      <c r="N18" s="96"/>
      <c r="O18" s="96" t="s">
        <v>170</v>
      </c>
    </row>
    <row r="19" spans="8:15" ht="15.6" x14ac:dyDescent="0.25">
      <c r="H19" s="94">
        <v>80</v>
      </c>
      <c r="I19" s="37" t="s">
        <v>78</v>
      </c>
      <c r="J19" s="14">
        <f>ROWS($I$19:I19)</f>
        <v>1</v>
      </c>
      <c r="K19" s="14" t="str">
        <f>IF(ID!$E$16=I19,J19,"")</f>
        <v/>
      </c>
      <c r="L19" s="14">
        <f>IFERROR(SMALL($K$19:$K$72,ROWS($K$19:K19)),"")</f>
        <v>43</v>
      </c>
      <c r="O19" s="14">
        <f>IFERROR(INDEX($H$19:$H$72,$L19,COLUMNS($N$19:N19)),"")</f>
        <v>35</v>
      </c>
    </row>
    <row r="20" spans="8:15" ht="15.6" x14ac:dyDescent="0.25">
      <c r="H20" s="94">
        <v>50</v>
      </c>
      <c r="I20" s="37" t="s">
        <v>78</v>
      </c>
      <c r="J20" s="14">
        <f>ROWS($I$19:I20)</f>
        <v>2</v>
      </c>
      <c r="K20" s="14" t="str">
        <f>IF(ID!$E$16=I20,J20,"")</f>
        <v/>
      </c>
      <c r="L20" s="14">
        <f>IFERROR(SMALL($K$19:$K$72,ROWS($K$19:K20)),"")</f>
        <v>44</v>
      </c>
      <c r="O20" s="14">
        <f>IFERROR(INDEX($H$19:$H$72,$L20,COLUMNS($N$19:N20)),"")</f>
        <v>15</v>
      </c>
    </row>
    <row r="21" spans="8:15" ht="15.6" x14ac:dyDescent="0.25">
      <c r="H21" s="94"/>
      <c r="I21" s="37" t="s">
        <v>78</v>
      </c>
      <c r="J21" s="14">
        <f>ROWS($I$19:I21)</f>
        <v>3</v>
      </c>
      <c r="K21" s="14" t="str">
        <f>IF(ID!$E$16=I21,J21,"")</f>
        <v/>
      </c>
      <c r="L21" s="14">
        <f>IFERROR(SMALL($K$19:$K$72,ROWS($K$19:K21)),"")</f>
        <v>45</v>
      </c>
      <c r="O21" s="14">
        <f>IFERROR(INDEX($H$19:$H$72,$L21,COLUMNS($N$19:N21)),"")</f>
        <v>0</v>
      </c>
    </row>
    <row r="22" spans="8:15" ht="15.6" x14ac:dyDescent="0.25">
      <c r="H22" s="94">
        <v>100</v>
      </c>
      <c r="I22" s="37" t="s">
        <v>78</v>
      </c>
      <c r="J22" s="14">
        <f>ROWS($I$19:I22)</f>
        <v>4</v>
      </c>
      <c r="K22" s="14" t="str">
        <f>IF(ID!$E$16=I22,J22,"")</f>
        <v/>
      </c>
      <c r="L22" s="14">
        <f>IFERROR(SMALL($K$19:$K$72,ROWS($K$19:K22)),"")</f>
        <v>46</v>
      </c>
      <c r="O22" s="14">
        <f>IFERROR(INDEX($H$19:$H$72,$L22,COLUMNS($N$19:N22)),"")</f>
        <v>60</v>
      </c>
    </row>
    <row r="23" spans="8:15" ht="15.6" x14ac:dyDescent="0.25">
      <c r="H23" s="94">
        <v>65</v>
      </c>
      <c r="I23" s="37" t="s">
        <v>78</v>
      </c>
      <c r="J23" s="14">
        <f>ROWS($I$19:I23)</f>
        <v>5</v>
      </c>
      <c r="K23" s="14" t="str">
        <f>IF(ID!$E$16=I23,J23,"")</f>
        <v/>
      </c>
      <c r="L23" s="14">
        <f>IFERROR(SMALL($K$19:$K$72,ROWS($K$19:K23)),"")</f>
        <v>47</v>
      </c>
      <c r="O23" s="14">
        <f>IFERROR(INDEX($H$19:$H$72,$L23,COLUMNS($N$19:N23)),"")</f>
        <v>30</v>
      </c>
    </row>
    <row r="24" spans="8:15" ht="15.6" x14ac:dyDescent="0.25">
      <c r="H24" s="94"/>
      <c r="I24" s="37" t="s">
        <v>78</v>
      </c>
      <c r="J24" s="14">
        <f>ROWS($I$19:I24)</f>
        <v>6</v>
      </c>
      <c r="K24" s="14" t="str">
        <f>IF(ID!$E$16=I24,J24,"")</f>
        <v/>
      </c>
      <c r="L24" s="14">
        <f>IFERROR(SMALL($K$19:$K$72,ROWS($K$19:K24)),"")</f>
        <v>48</v>
      </c>
      <c r="O24" s="14">
        <f>IFERROR(INDEX($H$19:$H$72,$L24,COLUMNS($N$19:N24)),"")</f>
        <v>0</v>
      </c>
    </row>
    <row r="25" spans="8:15" ht="15.6" x14ac:dyDescent="0.25">
      <c r="H25" s="94">
        <v>120</v>
      </c>
      <c r="I25" s="37" t="s">
        <v>78</v>
      </c>
      <c r="J25" s="14">
        <f>ROWS($I$19:I25)</f>
        <v>7</v>
      </c>
      <c r="K25" s="14" t="str">
        <f>IF(ID!$E$16=I25,J25,"")</f>
        <v/>
      </c>
      <c r="L25" s="14">
        <f>IFERROR(SMALL($K$19:$K$72,ROWS($K$19:K25)),"")</f>
        <v>49</v>
      </c>
      <c r="O25" s="14">
        <f>IFERROR(INDEX($H$19:$H$72,$L25,COLUMNS($N$19:N25)),"")</f>
        <v>80</v>
      </c>
    </row>
    <row r="26" spans="8:15" ht="15.6" x14ac:dyDescent="0.25">
      <c r="H26" s="94">
        <v>80</v>
      </c>
      <c r="I26" s="37" t="s">
        <v>78</v>
      </c>
      <c r="J26" s="14">
        <f>ROWS($I$19:I26)</f>
        <v>8</v>
      </c>
      <c r="K26" s="14" t="str">
        <f>IF(ID!$E$16=I26,J26,"")</f>
        <v/>
      </c>
      <c r="L26" s="14">
        <f>IFERROR(SMALL($K$19:$K$72,ROWS($K$19:K26)),"")</f>
        <v>50</v>
      </c>
      <c r="O26" s="14">
        <f>IFERROR(INDEX($H$19:$H$72,$L26,COLUMNS($N$19:N26)),"")</f>
        <v>50</v>
      </c>
    </row>
    <row r="27" spans="8:15" ht="15.6" x14ac:dyDescent="0.25">
      <c r="H27" s="94"/>
      <c r="I27" s="37" t="s">
        <v>78</v>
      </c>
      <c r="J27" s="14">
        <f>ROWS($I$19:I27)</f>
        <v>9</v>
      </c>
      <c r="K27" s="14" t="str">
        <f>IF(ID!$E$16=I27,J27,"")</f>
        <v/>
      </c>
      <c r="L27" s="14">
        <f>IFERROR(SMALL($K$19:$K$72,ROWS($K$19:K27)),"")</f>
        <v>51</v>
      </c>
      <c r="O27" s="14">
        <f>IFERROR(INDEX($H$19:$H$72,$L27,COLUMNS($N$19:N27)),"")</f>
        <v>0</v>
      </c>
    </row>
    <row r="28" spans="8:15" ht="15.6" x14ac:dyDescent="0.25">
      <c r="H28" s="94">
        <v>150</v>
      </c>
      <c r="I28" s="37" t="s">
        <v>78</v>
      </c>
      <c r="J28" s="14">
        <f>ROWS($I$19:I28)</f>
        <v>10</v>
      </c>
      <c r="K28" s="14" t="str">
        <f>IF(ID!$E$16=I28,J28,"")</f>
        <v/>
      </c>
      <c r="L28" s="14">
        <f>IFERROR(SMALL($K$19:$K$72,ROWS($K$19:K28)),"")</f>
        <v>52</v>
      </c>
      <c r="O28" s="14">
        <f>IFERROR(INDEX($H$19:$H$72,$L28,COLUMNS($N$19:N28)),"")</f>
        <v>100</v>
      </c>
    </row>
    <row r="29" spans="8:15" ht="15.6" x14ac:dyDescent="0.25">
      <c r="H29" s="94">
        <v>100</v>
      </c>
      <c r="I29" s="37" t="s">
        <v>78</v>
      </c>
      <c r="J29" s="14">
        <f>ROWS($I$19:I29)</f>
        <v>11</v>
      </c>
      <c r="K29" s="14" t="str">
        <f>IF(ID!$E$16=I29,J29,"")</f>
        <v/>
      </c>
      <c r="L29" s="14">
        <f>IFERROR(SMALL($K$19:$K$72,ROWS($K$19:K29)),"")</f>
        <v>53</v>
      </c>
      <c r="O29" s="14">
        <f>IFERROR(INDEX($H$19:$H$72,$L29,COLUMNS($N$19:N29)),"")</f>
        <v>70</v>
      </c>
    </row>
    <row r="30" spans="8:15" ht="15.6" x14ac:dyDescent="0.25">
      <c r="H30" s="94"/>
      <c r="I30" s="37" t="s">
        <v>78</v>
      </c>
      <c r="J30" s="14">
        <f>ROWS($I$19:I30)</f>
        <v>12</v>
      </c>
      <c r="K30" s="14" t="str">
        <f>IF(ID!$E$16=I30,J30,"")</f>
        <v/>
      </c>
      <c r="L30" s="14">
        <f>IFERROR(SMALL($K$19:$K$72,ROWS($K$19:K30)),"")</f>
        <v>54</v>
      </c>
      <c r="O30" s="14">
        <f>IFERROR(INDEX($H$19:$H$72,$L30,COLUMNS($N$19:N30)),"")</f>
        <v>0</v>
      </c>
    </row>
    <row r="31" spans="8:15" ht="15.6" x14ac:dyDescent="0.25">
      <c r="H31" s="92">
        <v>80</v>
      </c>
      <c r="I31" s="37" t="s">
        <v>79</v>
      </c>
      <c r="J31" s="14">
        <f>ROWS($I$19:I31)</f>
        <v>13</v>
      </c>
      <c r="K31" s="14" t="str">
        <f>IF(ID!$E$16=I31,J31,"")</f>
        <v/>
      </c>
      <c r="L31" s="14" t="str">
        <f>IFERROR(SMALL($K$19:$K$72,ROWS($K$19:K31)),"")</f>
        <v/>
      </c>
      <c r="O31" s="14" t="str">
        <f>IFERROR(INDEX($H$19:$H$72,$L31,COLUMNS($N$19:N31)),"")</f>
        <v/>
      </c>
    </row>
    <row r="32" spans="8:15" ht="15.6" x14ac:dyDescent="0.25">
      <c r="H32" s="92">
        <v>50</v>
      </c>
      <c r="I32" s="37" t="s">
        <v>79</v>
      </c>
      <c r="J32" s="14">
        <f>ROWS($I$19:I32)</f>
        <v>14</v>
      </c>
      <c r="K32" s="14" t="str">
        <f>IF(ID!$E$16=I32,J32,"")</f>
        <v/>
      </c>
      <c r="L32" s="14" t="str">
        <f>IFERROR(SMALL($K$19:$K$72,ROWS($K$19:K32)),"")</f>
        <v/>
      </c>
      <c r="O32" s="14" t="str">
        <f>IFERROR(INDEX($H$19:$H$72,$L32,COLUMNS($N$19:N32)),"")</f>
        <v/>
      </c>
    </row>
    <row r="33" spans="8:15" ht="15.6" x14ac:dyDescent="0.25">
      <c r="H33" s="92"/>
      <c r="I33" s="37" t="s">
        <v>79</v>
      </c>
      <c r="J33" s="14">
        <f>ROWS($I$19:I33)</f>
        <v>15</v>
      </c>
      <c r="K33" s="14" t="str">
        <f>IF(ID!$E$16=I33,J33,"")</f>
        <v/>
      </c>
      <c r="L33" s="14" t="str">
        <f>IFERROR(SMALL($K$19:$K$72,ROWS($K$19:K33)),"")</f>
        <v/>
      </c>
      <c r="O33" s="14" t="str">
        <f>IFERROR(INDEX($H$19:$H$72,$L33,COLUMNS($N$19:N33)),"")</f>
        <v/>
      </c>
    </row>
    <row r="34" spans="8:15" ht="15.6" x14ac:dyDescent="0.25">
      <c r="H34" s="92">
        <v>100</v>
      </c>
      <c r="I34" s="37" t="s">
        <v>79</v>
      </c>
      <c r="J34" s="14">
        <f>ROWS($I$19:I34)</f>
        <v>16</v>
      </c>
      <c r="K34" s="14" t="str">
        <f>IF(ID!$E$16=I34,J34,"")</f>
        <v/>
      </c>
      <c r="L34" s="14" t="str">
        <f>IFERROR(SMALL($K$19:$K$72,ROWS($K$19:K34)),"")</f>
        <v/>
      </c>
      <c r="O34" s="14" t="str">
        <f>IFERROR(INDEX($H$19:$H$72,$L34,COLUMNS($N$19:N34)),"")</f>
        <v/>
      </c>
    </row>
    <row r="35" spans="8:15" ht="15.6" x14ac:dyDescent="0.25">
      <c r="H35" s="92">
        <v>65</v>
      </c>
      <c r="I35" s="37" t="s">
        <v>79</v>
      </c>
      <c r="J35" s="14">
        <f>ROWS($I$19:I35)</f>
        <v>17</v>
      </c>
      <c r="K35" s="14" t="str">
        <f>IF(ID!$E$16=I35,J35,"")</f>
        <v/>
      </c>
      <c r="L35" s="14" t="str">
        <f>IFERROR(SMALL($K$19:$K$72,ROWS($K$19:K35)),"")</f>
        <v/>
      </c>
      <c r="O35" s="14" t="str">
        <f>IFERROR(INDEX($H$19:$H$72,$L35,COLUMNS($N$19:N35)),"")</f>
        <v/>
      </c>
    </row>
    <row r="36" spans="8:15" ht="15.6" x14ac:dyDescent="0.25">
      <c r="H36" s="92"/>
      <c r="I36" s="37" t="s">
        <v>79</v>
      </c>
      <c r="J36" s="14">
        <f>ROWS($I$19:I36)</f>
        <v>18</v>
      </c>
      <c r="K36" s="14" t="str">
        <f>IF(ID!$E$16=I36,J36,"")</f>
        <v/>
      </c>
      <c r="L36" s="14" t="str">
        <f>IFERROR(SMALL($K$19:$K$72,ROWS($K$19:K36)),"")</f>
        <v/>
      </c>
      <c r="O36" s="14" t="str">
        <f>IFERROR(INDEX($H$19:$H$72,$L36,COLUMNS($N$19:N36)),"")</f>
        <v/>
      </c>
    </row>
    <row r="37" spans="8:15" ht="15.6" x14ac:dyDescent="0.25">
      <c r="H37" s="92">
        <v>120</v>
      </c>
      <c r="I37" s="37" t="s">
        <v>79</v>
      </c>
      <c r="J37" s="14">
        <f>ROWS($I$19:I37)</f>
        <v>19</v>
      </c>
      <c r="K37" s="14" t="str">
        <f>IF(ID!$E$16=I37,J37,"")</f>
        <v/>
      </c>
      <c r="L37" s="14" t="str">
        <f>IFERROR(SMALL($K$19:$K$72,ROWS($K$19:K37)),"")</f>
        <v/>
      </c>
      <c r="O37" s="95" t="str">
        <f>IFERROR(INDEX($H$19:$H$60,$L37,COLUMNS($N$19:N37)),"")</f>
        <v/>
      </c>
    </row>
    <row r="38" spans="8:15" ht="15.6" x14ac:dyDescent="0.25">
      <c r="H38" s="92">
        <v>80</v>
      </c>
      <c r="I38" s="37" t="s">
        <v>79</v>
      </c>
      <c r="J38" s="14">
        <f>ROWS($I$19:I38)</f>
        <v>20</v>
      </c>
      <c r="K38" s="14" t="str">
        <f>IF(ID!$E$16=I38,J38,"")</f>
        <v/>
      </c>
      <c r="L38" s="14" t="str">
        <f>IFERROR(SMALL($K$19:$K$72,ROWS($K$19:K38)),"")</f>
        <v/>
      </c>
      <c r="O38" s="11" t="str">
        <f>IFERROR(INDEX($H$19:$H$60,$L38,COLUMNS($N$19:N38)),"")</f>
        <v/>
      </c>
    </row>
    <row r="39" spans="8:15" ht="15.6" x14ac:dyDescent="0.25">
      <c r="H39" s="92"/>
      <c r="I39" s="37" t="s">
        <v>79</v>
      </c>
      <c r="J39" s="14">
        <f>ROWS($I$19:I39)</f>
        <v>21</v>
      </c>
      <c r="K39" s="14" t="str">
        <f>IF(ID!$E$16=I39,J39,"")</f>
        <v/>
      </c>
      <c r="L39" s="14" t="str">
        <f>IFERROR(SMALL($K$19:$K$72,ROWS($K$19:K39)),"")</f>
        <v/>
      </c>
      <c r="O39" s="11" t="str">
        <f>IFERROR(INDEX($H$19:$H$60,$L39,COLUMNS($N$19:N39)),"")</f>
        <v/>
      </c>
    </row>
    <row r="40" spans="8:15" ht="15.6" x14ac:dyDescent="0.25">
      <c r="H40" s="92">
        <v>150</v>
      </c>
      <c r="I40" s="37" t="s">
        <v>79</v>
      </c>
      <c r="J40" s="14">
        <f>ROWS($I$19:I40)</f>
        <v>22</v>
      </c>
      <c r="K40" s="14" t="str">
        <f>IF(ID!$E$16=I40,J40,"")</f>
        <v/>
      </c>
      <c r="L40" s="14" t="str">
        <f>IFERROR(SMALL($K$19:$K$72,ROWS($K$19:K40)),"")</f>
        <v/>
      </c>
      <c r="O40" s="11" t="str">
        <f>IFERROR(INDEX($H$19:$H$60,$L40,COLUMNS($N$19:N40)),"")</f>
        <v/>
      </c>
    </row>
    <row r="41" spans="8:15" ht="15.6" x14ac:dyDescent="0.25">
      <c r="H41" s="92">
        <v>100</v>
      </c>
      <c r="I41" s="37" t="s">
        <v>79</v>
      </c>
      <c r="J41" s="14">
        <f>ROWS($I$19:I41)</f>
        <v>23</v>
      </c>
      <c r="K41" s="14" t="str">
        <f>IF(ID!$E$16=I41,J41,"")</f>
        <v/>
      </c>
      <c r="L41" s="14" t="str">
        <f>IFERROR(SMALL($K$19:$K$72,ROWS($K$19:K41)),"")</f>
        <v/>
      </c>
    </row>
    <row r="42" spans="8:15" ht="15.6" x14ac:dyDescent="0.25">
      <c r="H42" s="92"/>
      <c r="I42" s="37" t="s">
        <v>79</v>
      </c>
      <c r="J42" s="14">
        <f>ROWS($I$19:I42)</f>
        <v>24</v>
      </c>
      <c r="K42" s="14" t="str">
        <f>IF(ID!$E$16=I42,J42,"")</f>
        <v/>
      </c>
      <c r="L42" s="14" t="str">
        <f>IFERROR(SMALL($K$19:$K$72,ROWS($K$19:K42)),"")</f>
        <v/>
      </c>
    </row>
    <row r="43" spans="8:15" ht="15.6" x14ac:dyDescent="0.25">
      <c r="H43" s="92">
        <f>ID!C59</f>
        <v>170</v>
      </c>
      <c r="I43" s="37" t="s">
        <v>79</v>
      </c>
      <c r="J43" s="14">
        <f>ROWS($I$19:I43)</f>
        <v>25</v>
      </c>
      <c r="K43" s="14" t="str">
        <f>IF(ID!$E$16=I43,J43,"")</f>
        <v/>
      </c>
      <c r="L43" s="14" t="str">
        <f>IFERROR(SMALL($K$19:$K$72,ROWS($K$19:K43)),"")</f>
        <v/>
      </c>
    </row>
    <row r="44" spans="8:15" ht="15.6" x14ac:dyDescent="0.25">
      <c r="H44" s="92">
        <f>ID!D60</f>
        <v>100</v>
      </c>
      <c r="I44" s="37" t="s">
        <v>79</v>
      </c>
      <c r="J44" s="14">
        <f>ROWS($I$19:I44)</f>
        <v>26</v>
      </c>
      <c r="K44" s="14" t="str">
        <f>IF(ID!$E$16=I44,J44,"")</f>
        <v/>
      </c>
      <c r="L44" s="14" t="str">
        <f>IFERROR(SMALL($K$19:$K$72,ROWS($K$19:K44)),"")</f>
        <v/>
      </c>
    </row>
    <row r="45" spans="8:15" ht="15.6" x14ac:dyDescent="0.25">
      <c r="H45" s="92"/>
      <c r="I45" s="37" t="s">
        <v>79</v>
      </c>
      <c r="J45" s="14">
        <f>ROWS($I$19:I45)</f>
        <v>27</v>
      </c>
      <c r="K45" s="14" t="str">
        <f>IF(ID!$E$16=I45,J45,"")</f>
        <v/>
      </c>
      <c r="L45" s="14" t="str">
        <f>IFERROR(SMALL($K$19:$K$72,ROWS($K$19:K45)),"")</f>
        <v/>
      </c>
    </row>
    <row r="46" spans="8:15" ht="15.6" x14ac:dyDescent="0.25">
      <c r="H46" s="93">
        <v>80</v>
      </c>
      <c r="I46" s="37" t="s">
        <v>110</v>
      </c>
      <c r="J46" s="14">
        <f>ROWS($I$19:I46)</f>
        <v>28</v>
      </c>
      <c r="K46" s="14" t="str">
        <f>IF(ID!$E$16=I46,J46,"")</f>
        <v/>
      </c>
      <c r="L46" s="14" t="str">
        <f>IFERROR(SMALL($K$19:$K$72,ROWS($K$19:K46)),"")</f>
        <v/>
      </c>
    </row>
    <row r="47" spans="8:15" ht="15.6" x14ac:dyDescent="0.25">
      <c r="H47" s="93">
        <v>50</v>
      </c>
      <c r="I47" s="37" t="s">
        <v>110</v>
      </c>
      <c r="J47" s="14">
        <f>ROWS($I$19:I47)</f>
        <v>29</v>
      </c>
      <c r="K47" s="14" t="str">
        <f>IF(ID!$E$16=I47,J47,"")</f>
        <v/>
      </c>
      <c r="L47" s="14" t="str">
        <f>IFERROR(SMALL($K$19:$K$72,ROWS($K$19:K47)),"")</f>
        <v/>
      </c>
    </row>
    <row r="48" spans="8:15" ht="15.6" x14ac:dyDescent="0.25">
      <c r="H48" s="93"/>
      <c r="I48" s="37" t="s">
        <v>110</v>
      </c>
      <c r="J48" s="14">
        <f>ROWS($I$19:I48)</f>
        <v>30</v>
      </c>
      <c r="K48" s="14" t="str">
        <f>IF(ID!$E$16=I48,J48,"")</f>
        <v/>
      </c>
      <c r="L48" s="14" t="str">
        <f>IFERROR(SMALL($K$19:$K$72,ROWS($K$19:K48)),"")</f>
        <v/>
      </c>
    </row>
    <row r="49" spans="8:12" ht="15.6" x14ac:dyDescent="0.25">
      <c r="H49" s="93">
        <v>100</v>
      </c>
      <c r="I49" s="37" t="s">
        <v>110</v>
      </c>
      <c r="J49" s="14">
        <f>ROWS($I$19:I49)</f>
        <v>31</v>
      </c>
      <c r="K49" s="14" t="str">
        <f>IF(ID!$E$16=I49,J49,"")</f>
        <v/>
      </c>
      <c r="L49" s="14" t="str">
        <f>IFERROR(SMALL($K$19:$K$72,ROWS($K$19:K49)),"")</f>
        <v/>
      </c>
    </row>
    <row r="50" spans="8:12" ht="15.6" x14ac:dyDescent="0.25">
      <c r="H50" s="93">
        <v>65</v>
      </c>
      <c r="I50" s="37" t="s">
        <v>110</v>
      </c>
      <c r="J50" s="14">
        <f>ROWS($I$19:I50)</f>
        <v>32</v>
      </c>
      <c r="K50" s="14" t="str">
        <f>IF(ID!$E$16=I50,J50,"")</f>
        <v/>
      </c>
      <c r="L50" s="14" t="str">
        <f>IFERROR(SMALL($K$19:$K$72,ROWS($K$19:K50)),"")</f>
        <v/>
      </c>
    </row>
    <row r="51" spans="8:12" ht="15.6" x14ac:dyDescent="0.25">
      <c r="H51" s="93"/>
      <c r="I51" s="37" t="s">
        <v>110</v>
      </c>
      <c r="J51" s="14">
        <f>ROWS($I$19:I51)</f>
        <v>33</v>
      </c>
      <c r="K51" s="14" t="str">
        <f>IF(ID!$E$16=I51,J51,"")</f>
        <v/>
      </c>
      <c r="L51" s="14" t="str">
        <f>IFERROR(SMALL($K$19:$K$72,ROWS($K$19:K51)),"")</f>
        <v/>
      </c>
    </row>
    <row r="52" spans="8:12" ht="15.6" x14ac:dyDescent="0.25">
      <c r="H52" s="93">
        <v>120</v>
      </c>
      <c r="I52" s="37" t="s">
        <v>110</v>
      </c>
      <c r="J52" s="14">
        <f>ROWS($I$19:I52)</f>
        <v>34</v>
      </c>
      <c r="K52" s="14" t="str">
        <f>IF(ID!$E$16=I52,J52,"")</f>
        <v/>
      </c>
      <c r="L52" s="14" t="str">
        <f>IFERROR(SMALL($K$19:$K$72,ROWS($K$19:K52)),"")</f>
        <v/>
      </c>
    </row>
    <row r="53" spans="8:12" ht="15.6" x14ac:dyDescent="0.25">
      <c r="H53" s="93">
        <v>80</v>
      </c>
      <c r="I53" s="37" t="s">
        <v>110</v>
      </c>
      <c r="J53" s="14">
        <f>ROWS($I$19:I53)</f>
        <v>35</v>
      </c>
      <c r="K53" s="14" t="str">
        <f>IF(ID!$E$16=I53,J53,"")</f>
        <v/>
      </c>
      <c r="L53" s="14" t="str">
        <f>IFERROR(SMALL($K$19:$K$72,ROWS($K$19:K53)),"")</f>
        <v/>
      </c>
    </row>
    <row r="54" spans="8:12" ht="15.6" x14ac:dyDescent="0.25">
      <c r="H54" s="93"/>
      <c r="I54" s="37" t="s">
        <v>110</v>
      </c>
      <c r="J54" s="14">
        <f>ROWS($I$19:I54)</f>
        <v>36</v>
      </c>
      <c r="K54" s="14" t="str">
        <f>IF(ID!$E$16=I54,J54,"")</f>
        <v/>
      </c>
      <c r="L54" s="14" t="str">
        <f>IFERROR(SMALL($K$19:$K$72,ROWS($K$19:K54)),"")</f>
        <v/>
      </c>
    </row>
    <row r="55" spans="8:12" ht="15.6" x14ac:dyDescent="0.25">
      <c r="H55" s="93">
        <v>150</v>
      </c>
      <c r="I55" s="37" t="s">
        <v>110</v>
      </c>
      <c r="J55" s="14">
        <f>ROWS($I$19:I55)</f>
        <v>37</v>
      </c>
      <c r="K55" s="14" t="str">
        <f>IF(ID!$E$16=I55,J55,"")</f>
        <v/>
      </c>
      <c r="L55" s="14" t="str">
        <f>IFERROR(SMALL($K$19:$K$72,ROWS($K$19:K55)),"")</f>
        <v/>
      </c>
    </row>
    <row r="56" spans="8:12" ht="15.6" x14ac:dyDescent="0.25">
      <c r="H56" s="93">
        <v>100</v>
      </c>
      <c r="I56" s="37" t="s">
        <v>110</v>
      </c>
      <c r="J56" s="14">
        <f>ROWS($I$19:I56)</f>
        <v>38</v>
      </c>
      <c r="K56" s="14" t="str">
        <f>IF(ID!$E$16=I56,J56,"")</f>
        <v/>
      </c>
      <c r="L56" s="14" t="str">
        <f>IFERROR(SMALL($K$19:$K$72,ROWS($K$19:K56)),"")</f>
        <v/>
      </c>
    </row>
    <row r="57" spans="8:12" ht="15.6" x14ac:dyDescent="0.25">
      <c r="H57" s="93"/>
      <c r="I57" s="37" t="s">
        <v>110</v>
      </c>
      <c r="J57" s="14">
        <f>ROWS($I$19:I57)</f>
        <v>39</v>
      </c>
      <c r="K57" s="14" t="str">
        <f>IF(ID!$E$16=I57,J57,"")</f>
        <v/>
      </c>
      <c r="L57" s="14" t="str">
        <f>IFERROR(SMALL($K$19:$K$72,ROWS($K$19:K57)),"")</f>
        <v/>
      </c>
    </row>
    <row r="58" spans="8:12" ht="15.6" x14ac:dyDescent="0.25">
      <c r="H58" s="93">
        <f>ID!C59</f>
        <v>170</v>
      </c>
      <c r="I58" s="37" t="s">
        <v>110</v>
      </c>
      <c r="J58" s="14">
        <f>ROWS($I$19:I58)</f>
        <v>40</v>
      </c>
      <c r="K58" s="14" t="str">
        <f>IF(ID!$E$16=I58,J58,"")</f>
        <v/>
      </c>
      <c r="L58" s="14" t="str">
        <f>IFERROR(SMALL($K$19:$K$72,ROWS($K$19:K58)),"")</f>
        <v/>
      </c>
    </row>
    <row r="59" spans="8:12" ht="15.6" x14ac:dyDescent="0.25">
      <c r="H59" s="93">
        <f>ID!D60</f>
        <v>100</v>
      </c>
      <c r="I59" s="37" t="s">
        <v>110</v>
      </c>
      <c r="J59" s="14">
        <f>ROWS($I$19:I59)</f>
        <v>41</v>
      </c>
      <c r="K59" s="14" t="str">
        <f>IF(ID!$E$16=I59,J59,"")</f>
        <v/>
      </c>
      <c r="L59" s="14" t="str">
        <f>IFERROR(SMALL($K$19:$K$72,ROWS($K$19:K59)),"")</f>
        <v/>
      </c>
    </row>
    <row r="60" spans="8:12" ht="15.6" x14ac:dyDescent="0.25">
      <c r="H60" s="93"/>
      <c r="I60" s="37" t="s">
        <v>110</v>
      </c>
      <c r="J60" s="14">
        <f>ROWS($I$19:I60)</f>
        <v>42</v>
      </c>
      <c r="K60" s="14" t="str">
        <f>IF(ID!$E$16=I60,J60,"")</f>
        <v/>
      </c>
      <c r="L60" s="14" t="str">
        <f>IFERROR(SMALL($K$19:$K$72,ROWS($K$19:K60)),"")</f>
        <v/>
      </c>
    </row>
    <row r="61" spans="8:12" ht="15.6" x14ac:dyDescent="0.25">
      <c r="H61" s="99">
        <v>35</v>
      </c>
      <c r="I61" s="37" t="s">
        <v>77</v>
      </c>
      <c r="J61" s="14">
        <f>ROWS($I$19:I61)</f>
        <v>43</v>
      </c>
      <c r="K61" s="14">
        <f>IF(ID!$E$16=I61,J61,"")</f>
        <v>43</v>
      </c>
      <c r="L61" s="14" t="str">
        <f>IFERROR(SMALL($K$19:$K$72,ROWS($K$19:K61)),"")</f>
        <v/>
      </c>
    </row>
    <row r="62" spans="8:12" ht="15.6" x14ac:dyDescent="0.25">
      <c r="H62" s="99">
        <v>15</v>
      </c>
      <c r="I62" s="37" t="s">
        <v>77</v>
      </c>
      <c r="J62" s="14">
        <f>ROWS($I$19:I62)</f>
        <v>44</v>
      </c>
      <c r="K62" s="14">
        <f>IF(ID!$E$16=I62,J62,"")</f>
        <v>44</v>
      </c>
      <c r="L62" s="14" t="str">
        <f>IFERROR(SMALL($K$19:$K$72,ROWS($K$19:K62)),"")</f>
        <v/>
      </c>
    </row>
    <row r="63" spans="8:12" ht="15.6" x14ac:dyDescent="0.25">
      <c r="H63" s="99"/>
      <c r="I63" s="37" t="s">
        <v>77</v>
      </c>
      <c r="J63" s="14">
        <f>ROWS($I$19:I63)</f>
        <v>45</v>
      </c>
      <c r="K63" s="14">
        <f>IF(ID!$E$16=I63,J63,"")</f>
        <v>45</v>
      </c>
      <c r="L63" s="14" t="str">
        <f>IFERROR(SMALL($K$19:$K$72,ROWS($K$19:K63)),"")</f>
        <v/>
      </c>
    </row>
    <row r="64" spans="8:12" ht="15.6" x14ac:dyDescent="0.25">
      <c r="H64" s="99">
        <v>60</v>
      </c>
      <c r="I64" s="37" t="s">
        <v>77</v>
      </c>
      <c r="J64" s="14">
        <f>ROWS($I$19:I64)</f>
        <v>46</v>
      </c>
      <c r="K64" s="14">
        <f>IF(ID!$E$16=I64,J64,"")</f>
        <v>46</v>
      </c>
      <c r="L64" s="14" t="str">
        <f>IFERROR(SMALL($K$19:$K$72,ROWS($K$19:K64)),"")</f>
        <v/>
      </c>
    </row>
    <row r="65" spans="8:12" ht="15.6" x14ac:dyDescent="0.25">
      <c r="H65" s="99">
        <v>30</v>
      </c>
      <c r="I65" s="37" t="s">
        <v>77</v>
      </c>
      <c r="J65" s="14">
        <f>ROWS($I$19:I65)</f>
        <v>47</v>
      </c>
      <c r="K65" s="14">
        <f>IF(ID!$E$16=I65,J65,"")</f>
        <v>47</v>
      </c>
      <c r="L65" s="14" t="str">
        <f>IFERROR(SMALL($K$19:$K$72,ROWS($K$19:K65)),"")</f>
        <v/>
      </c>
    </row>
    <row r="66" spans="8:12" ht="15.6" x14ac:dyDescent="0.25">
      <c r="H66" s="99"/>
      <c r="I66" s="37" t="s">
        <v>77</v>
      </c>
      <c r="J66" s="14">
        <f>ROWS($I$19:I66)</f>
        <v>48</v>
      </c>
      <c r="K66" s="14">
        <f>IF(ID!$E$16=I66,J66,"")</f>
        <v>48</v>
      </c>
      <c r="L66" s="14" t="str">
        <f>IFERROR(SMALL($K$19:$K$72,ROWS($K$19:K66)),"")</f>
        <v/>
      </c>
    </row>
    <row r="67" spans="8:12" ht="15.6" x14ac:dyDescent="0.25">
      <c r="H67" s="99">
        <v>80</v>
      </c>
      <c r="I67" s="37" t="s">
        <v>77</v>
      </c>
      <c r="J67" s="14">
        <f>ROWS($I$19:I67)</f>
        <v>49</v>
      </c>
      <c r="K67" s="14">
        <f>IF(ID!$E$16=I67,J67,"")</f>
        <v>49</v>
      </c>
      <c r="L67" s="14" t="str">
        <f>IFERROR(SMALL($K$19:$K$72,ROWS($K$19:K67)),"")</f>
        <v/>
      </c>
    </row>
    <row r="68" spans="8:12" ht="15.6" x14ac:dyDescent="0.25">
      <c r="H68" s="99">
        <v>50</v>
      </c>
      <c r="I68" s="37" t="s">
        <v>77</v>
      </c>
      <c r="J68" s="14">
        <f>ROWS($I$19:I68)</f>
        <v>50</v>
      </c>
      <c r="K68" s="14">
        <f>IF(ID!$E$16=I68,J68,"")</f>
        <v>50</v>
      </c>
      <c r="L68" s="14" t="str">
        <f>IFERROR(SMALL($K$19:$K$72,ROWS($K$19:K68)),"")</f>
        <v/>
      </c>
    </row>
    <row r="69" spans="8:12" ht="15.6" x14ac:dyDescent="0.25">
      <c r="H69" s="99"/>
      <c r="I69" s="37" t="s">
        <v>77</v>
      </c>
      <c r="J69" s="14">
        <f>ROWS($I$19:I69)</f>
        <v>51</v>
      </c>
      <c r="K69" s="14">
        <f>IF(ID!$E$16=I69,J69,"")</f>
        <v>51</v>
      </c>
      <c r="L69" s="14" t="str">
        <f>IFERROR(SMALL($K$19:$K$72,ROWS($K$19:K69)),"")</f>
        <v/>
      </c>
    </row>
    <row r="70" spans="8:12" ht="15.6" x14ac:dyDescent="0.25">
      <c r="H70" s="99">
        <v>100</v>
      </c>
      <c r="I70" s="37" t="s">
        <v>77</v>
      </c>
      <c r="J70" s="14">
        <f>ROWS($I$19:I70)</f>
        <v>52</v>
      </c>
      <c r="K70" s="14">
        <f>IF(ID!$E$16=I70,J70,"")</f>
        <v>52</v>
      </c>
      <c r="L70" s="14" t="str">
        <f>IFERROR(SMALL($K$19:$K$72,ROWS($K$19:K70)),"")</f>
        <v/>
      </c>
    </row>
    <row r="71" spans="8:12" ht="15.6" x14ac:dyDescent="0.25">
      <c r="H71" s="99">
        <v>70</v>
      </c>
      <c r="I71" s="37" t="s">
        <v>77</v>
      </c>
      <c r="J71" s="14">
        <f>ROWS($I$19:I71)</f>
        <v>53</v>
      </c>
      <c r="K71" s="14">
        <f>IF(ID!$E$16=I71,J71,"")</f>
        <v>53</v>
      </c>
      <c r="L71" s="14" t="str">
        <f>IFERROR(SMALL($K$19:$K$72,ROWS($K$19:K71)),"")</f>
        <v/>
      </c>
    </row>
    <row r="72" spans="8:12" ht="15.6" x14ac:dyDescent="0.25">
      <c r="H72" s="99"/>
      <c r="I72" s="37" t="s">
        <v>77</v>
      </c>
      <c r="J72" s="14">
        <f>ROWS($I$19:I72)</f>
        <v>54</v>
      </c>
      <c r="K72" s="14">
        <f>IF(ID!$E$16=I72,J72,"")</f>
        <v>54</v>
      </c>
      <c r="L72" s="14" t="str">
        <f>IFERROR(SMALL($K$19:$K$72,ROWS($K$19:K72)),"")</f>
        <v/>
      </c>
    </row>
    <row r="73" spans="8:12" x14ac:dyDescent="0.25">
      <c r="I73" s="3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3"/>
  <dimension ref="B1:CH234"/>
  <sheetViews>
    <sheetView topLeftCell="Y79" zoomScale="80" zoomScaleNormal="80" workbookViewId="0">
      <selection activeCell="Z100" sqref="Z100"/>
    </sheetView>
  </sheetViews>
  <sheetFormatPr defaultColWidth="9.21875" defaultRowHeight="13.2" x14ac:dyDescent="0.25"/>
  <cols>
    <col min="1" max="4" width="9.21875" style="1"/>
    <col min="5" max="5" width="1.77734375" style="1" customWidth="1"/>
    <col min="6" max="8" width="9.21875" style="1"/>
    <col min="9" max="9" width="1.77734375" style="1" customWidth="1"/>
    <col min="10" max="13" width="9.21875" style="1"/>
    <col min="14" max="14" width="1.77734375" style="1" customWidth="1"/>
    <col min="15" max="15" width="9.21875" style="33"/>
    <col min="16" max="16" width="9.21875" style="504"/>
    <col min="17" max="18" width="12.5546875" style="505" customWidth="1"/>
    <col min="19" max="19" width="16" style="34" customWidth="1"/>
    <col min="20" max="20" width="13.21875" style="4" customWidth="1"/>
    <col min="21" max="22" width="13.21875" style="524" customWidth="1"/>
    <col min="23" max="23" width="14.77734375" style="524" customWidth="1"/>
    <col min="24" max="24" width="12.77734375" style="34" customWidth="1"/>
    <col min="25" max="25" width="13.21875" style="4" customWidth="1"/>
    <col min="26" max="26" width="85" style="1" customWidth="1"/>
    <col min="27" max="27" width="74.77734375" style="1" customWidth="1"/>
    <col min="28" max="33" width="10.44140625" style="1" customWidth="1"/>
    <col min="34" max="35" width="13" style="1" customWidth="1"/>
    <col min="36" max="36" width="11.77734375" style="1" customWidth="1"/>
    <col min="37" max="37" width="13.21875" style="1" customWidth="1"/>
    <col min="38" max="39" width="12.21875" style="1" customWidth="1"/>
    <col min="40" max="40" width="14" style="1" customWidth="1"/>
    <col min="41" max="43" width="13.77734375" style="1" customWidth="1"/>
    <col min="44" max="44" width="45.5546875" style="1" customWidth="1"/>
    <col min="45" max="81" width="9.21875" style="1" customWidth="1"/>
    <col min="82" max="85" width="9.21875" style="1"/>
    <col min="86" max="86" width="6.77734375" style="1" customWidth="1"/>
    <col min="87" max="16384" width="9.21875" style="1"/>
  </cols>
  <sheetData>
    <row r="1" spans="2:86" ht="13.8" x14ac:dyDescent="0.25">
      <c r="B1" s="32"/>
      <c r="F1" s="32"/>
      <c r="T1" s="8"/>
      <c r="U1" s="523"/>
      <c r="CH1" s="35" t="s">
        <v>315</v>
      </c>
    </row>
    <row r="2" spans="2:86" x14ac:dyDescent="0.25">
      <c r="S2" s="36"/>
      <c r="T2" s="8"/>
      <c r="U2" s="523"/>
      <c r="CH2" s="37" t="s">
        <v>316</v>
      </c>
    </row>
    <row r="3" spans="2:86" x14ac:dyDescent="0.25">
      <c r="T3" s="8"/>
      <c r="U3" s="523"/>
      <c r="BH3" s="2" t="s">
        <v>266</v>
      </c>
      <c r="CH3" s="37" t="s">
        <v>317</v>
      </c>
    </row>
    <row r="4" spans="2:86" x14ac:dyDescent="0.25">
      <c r="BO4" s="38" t="s">
        <v>354</v>
      </c>
      <c r="CH4" s="37" t="s">
        <v>318</v>
      </c>
    </row>
    <row r="5" spans="2:86" ht="13.8" x14ac:dyDescent="0.25">
      <c r="B5" s="39"/>
      <c r="C5" s="39"/>
      <c r="D5" s="39"/>
      <c r="F5" s="39"/>
      <c r="G5" s="39"/>
      <c r="H5" s="39"/>
      <c r="I5" s="39"/>
      <c r="J5" s="39"/>
      <c r="K5" s="39"/>
      <c r="L5" s="39"/>
      <c r="M5" s="39"/>
      <c r="BO5" s="38" t="s">
        <v>355</v>
      </c>
      <c r="CH5" s="35" t="s">
        <v>319</v>
      </c>
    </row>
    <row r="6" spans="2:86" ht="14.25" customHeight="1" x14ac:dyDescent="0.25">
      <c r="B6" s="7"/>
      <c r="C6" s="7"/>
      <c r="D6" s="7"/>
      <c r="F6" s="7"/>
      <c r="G6" s="7"/>
      <c r="H6" s="7"/>
      <c r="I6" s="7"/>
      <c r="J6" s="7"/>
      <c r="K6" s="7"/>
      <c r="L6" s="7"/>
      <c r="M6" s="7"/>
      <c r="O6" s="1177" t="s">
        <v>356</v>
      </c>
      <c r="P6" s="1177"/>
      <c r="Q6" s="1177"/>
      <c r="R6" s="1177"/>
      <c r="S6" s="1177"/>
      <c r="T6" s="1177"/>
      <c r="U6" s="1177"/>
      <c r="V6" s="1177"/>
      <c r="W6" s="1177"/>
      <c r="X6" s="1177"/>
      <c r="Y6" s="1177"/>
      <c r="Z6" s="1177"/>
      <c r="AA6" s="1177"/>
      <c r="AB6" s="1177"/>
      <c r="AC6" s="1177"/>
      <c r="AD6" s="1177"/>
      <c r="BO6" s="24" t="s">
        <v>357</v>
      </c>
      <c r="CH6" s="35" t="s">
        <v>320</v>
      </c>
    </row>
    <row r="7" spans="2:86" ht="12.75" customHeight="1" x14ac:dyDescent="0.25">
      <c r="B7" s="1171" t="s">
        <v>409</v>
      </c>
      <c r="C7" s="1172"/>
      <c r="D7" s="1173"/>
      <c r="F7" s="1171" t="s">
        <v>410</v>
      </c>
      <c r="G7" s="1172"/>
      <c r="H7" s="1173"/>
      <c r="I7" s="32"/>
      <c r="J7" s="1171" t="s">
        <v>358</v>
      </c>
      <c r="K7" s="1172"/>
      <c r="L7" s="1172"/>
      <c r="M7" s="1173"/>
      <c r="O7" s="1177"/>
      <c r="P7" s="1177"/>
      <c r="Q7" s="1177"/>
      <c r="R7" s="1177"/>
      <c r="S7" s="1177"/>
      <c r="T7" s="1177"/>
      <c r="U7" s="1177"/>
      <c r="V7" s="1177"/>
      <c r="W7" s="1177"/>
      <c r="X7" s="1177"/>
      <c r="Y7" s="1177"/>
      <c r="Z7" s="1177"/>
      <c r="AA7" s="1177"/>
      <c r="AB7" s="1177"/>
      <c r="AC7" s="1177"/>
      <c r="AD7" s="1177"/>
      <c r="BO7" s="38" t="s">
        <v>359</v>
      </c>
      <c r="CH7" s="37" t="s">
        <v>321</v>
      </c>
    </row>
    <row r="8" spans="2:86" x14ac:dyDescent="0.25">
      <c r="B8" s="40"/>
      <c r="C8" s="40"/>
      <c r="D8" s="40"/>
      <c r="F8" s="40"/>
      <c r="G8" s="40"/>
      <c r="H8" s="40"/>
      <c r="I8" s="40"/>
      <c r="J8" s="40"/>
      <c r="K8" s="7"/>
      <c r="L8" s="40"/>
      <c r="M8" s="40"/>
      <c r="O8" s="1178" t="s">
        <v>360</v>
      </c>
      <c r="P8" s="1178"/>
      <c r="Q8" s="1178"/>
      <c r="R8" s="1178"/>
      <c r="S8" s="1178"/>
      <c r="T8" s="1178"/>
      <c r="U8" s="525"/>
      <c r="V8" s="1179" t="s">
        <v>361</v>
      </c>
      <c r="W8" s="1180"/>
      <c r="X8" s="1180"/>
      <c r="Y8" s="1180"/>
      <c r="BO8" s="38" t="s">
        <v>362</v>
      </c>
      <c r="CH8" s="37" t="s">
        <v>322</v>
      </c>
    </row>
    <row r="9" spans="2:86" x14ac:dyDescent="0.25">
      <c r="B9" s="41" t="s">
        <v>170</v>
      </c>
      <c r="C9" s="41" t="s">
        <v>363</v>
      </c>
      <c r="D9" s="1174"/>
      <c r="F9" s="41" t="s">
        <v>170</v>
      </c>
      <c r="G9" s="41" t="s">
        <v>363</v>
      </c>
      <c r="H9" s="1175" t="s">
        <v>365</v>
      </c>
      <c r="I9" s="42"/>
      <c r="J9" s="41" t="s">
        <v>170</v>
      </c>
      <c r="K9" s="41" t="s">
        <v>363</v>
      </c>
      <c r="L9" s="41" t="s">
        <v>364</v>
      </c>
      <c r="M9" s="1176" t="s">
        <v>413</v>
      </c>
      <c r="N9" s="43"/>
      <c r="O9" s="41" t="s">
        <v>170</v>
      </c>
      <c r="P9" s="506"/>
      <c r="Q9" s="507"/>
      <c r="R9" s="507"/>
      <c r="S9" s="44"/>
      <c r="T9" s="45"/>
      <c r="U9" s="526" t="s">
        <v>412</v>
      </c>
      <c r="V9" s="527" t="s">
        <v>411</v>
      </c>
      <c r="W9" s="527" t="s">
        <v>366</v>
      </c>
      <c r="X9" s="44" t="s">
        <v>367</v>
      </c>
      <c r="Y9" s="45" t="s">
        <v>368</v>
      </c>
      <c r="Z9" s="46" t="s">
        <v>274</v>
      </c>
      <c r="AA9" s="2" t="s">
        <v>266</v>
      </c>
      <c r="AB9" s="25" t="s">
        <v>275</v>
      </c>
      <c r="AC9" s="25" t="s">
        <v>276</v>
      </c>
      <c r="AD9" s="25" t="s">
        <v>277</v>
      </c>
      <c r="AE9" s="39"/>
      <c r="AG9" s="47" t="str">
        <f>O9</f>
        <v>PA</v>
      </c>
      <c r="AH9" s="47"/>
      <c r="AI9" s="47"/>
      <c r="AJ9" s="47"/>
      <c r="AK9" s="47"/>
      <c r="AL9" s="47"/>
      <c r="AM9" s="47"/>
      <c r="AN9" s="47"/>
      <c r="AO9" s="47" t="str">
        <f t="shared" ref="AO9" si="0">W9</f>
        <v>Turun Terbaru</v>
      </c>
      <c r="AP9" s="47" t="str">
        <f t="shared" ref="AP9" si="1">X9</f>
        <v>DRIFT TURUN</v>
      </c>
      <c r="AQ9" s="47" t="str">
        <f t="shared" ref="AQ9" si="2">Y9</f>
        <v>U95 Turun terbaru</v>
      </c>
      <c r="AR9" s="47" t="str">
        <f t="shared" ref="AR9" si="3">Z9</f>
        <v>KETELUSURAN</v>
      </c>
      <c r="AS9" s="47"/>
      <c r="AT9" s="47"/>
      <c r="CH9" s="37" t="s">
        <v>323</v>
      </c>
    </row>
    <row r="10" spans="2:86" x14ac:dyDescent="0.25">
      <c r="B10" s="48">
        <v>0</v>
      </c>
      <c r="C10" s="49" t="s">
        <v>99</v>
      </c>
      <c r="D10" s="1174"/>
      <c r="F10" s="48">
        <v>0</v>
      </c>
      <c r="G10" s="51">
        <v>0</v>
      </c>
      <c r="H10" s="1175"/>
      <c r="I10" s="50"/>
      <c r="J10" s="48">
        <v>0</v>
      </c>
      <c r="K10" s="51">
        <v>0</v>
      </c>
      <c r="L10" s="132">
        <v>0.1</v>
      </c>
      <c r="M10" s="1176"/>
      <c r="N10" s="53"/>
      <c r="O10" s="48">
        <f>J10</f>
        <v>0</v>
      </c>
      <c r="P10" s="508"/>
      <c r="Q10" s="508"/>
      <c r="R10" s="508"/>
      <c r="S10" s="90"/>
      <c r="T10" s="52"/>
      <c r="U10" s="534" t="str">
        <f>C10</f>
        <v>-</v>
      </c>
      <c r="V10" s="529">
        <f>G10</f>
        <v>0</v>
      </c>
      <c r="W10" s="529">
        <f>K10</f>
        <v>0</v>
      </c>
      <c r="X10" s="54">
        <f>0.5*(MAX(U10:W10)-(MIN(U10:W10)))</f>
        <v>0</v>
      </c>
      <c r="Y10" s="133">
        <f>L10</f>
        <v>0.1</v>
      </c>
      <c r="Z10" s="3" t="s">
        <v>416</v>
      </c>
      <c r="AA10" s="24" t="s">
        <v>860</v>
      </c>
      <c r="AB10" s="56">
        <v>1</v>
      </c>
      <c r="AC10" s="56" t="str">
        <f>IF(ID!$B$82=AA10,AB10,"")</f>
        <v/>
      </c>
      <c r="AD10" s="56">
        <f>INDEX($AA$10:$AB$230,MATCH(ID!$B$82,$AA$10:$AA$230,0),2)</f>
        <v>51</v>
      </c>
      <c r="AG10" s="1084">
        <f>INDEX($O$10:$AA$230,MATCH(AD10,$AB$10:$AB$234,1),1)</f>
        <v>0</v>
      </c>
      <c r="AH10" s="57"/>
      <c r="AI10" s="57"/>
      <c r="AJ10" s="57"/>
      <c r="AK10" s="57"/>
      <c r="AL10" s="57"/>
      <c r="AM10" s="57"/>
      <c r="AN10" s="57"/>
      <c r="AO10" s="57">
        <f>INDEX($O$10:$AA$230,MATCH(AD10,$AB$10:$AB$234,1),9)</f>
        <v>0</v>
      </c>
      <c r="AP10" s="57">
        <f>INDEX($O$10:$AA$230,MATCH(AD10,$AB$10:$AB$234,1),10)</f>
        <v>3.3333333333333333E-2</v>
      </c>
      <c r="AQ10" s="57">
        <f>INDEX($O$10:$AA$230,MATCH(AD10,$AB$10:$AB$234,1),11)</f>
        <v>0.1</v>
      </c>
      <c r="AR10" s="1085" t="str">
        <f>INDEX($O$10:$AA$230,MATCH(AD10,$AB$10:$AB$234,1),12)</f>
        <v>Hasil pengujian kinerja blood pressure monitor tertelusur ke satuan SI melalui PT. KALIMAN</v>
      </c>
      <c r="CH10" s="37" t="s">
        <v>324</v>
      </c>
    </row>
    <row r="11" spans="2:86" x14ac:dyDescent="0.25">
      <c r="B11" s="48">
        <v>50</v>
      </c>
      <c r="C11" s="49" t="s">
        <v>99</v>
      </c>
      <c r="D11" s="1174"/>
      <c r="F11" s="48">
        <v>50</v>
      </c>
      <c r="G11" s="51">
        <v>0</v>
      </c>
      <c r="H11" s="1175"/>
      <c r="I11" s="50"/>
      <c r="J11" s="48">
        <v>50</v>
      </c>
      <c r="K11" s="51">
        <v>0</v>
      </c>
      <c r="L11" s="132">
        <v>0.1</v>
      </c>
      <c r="M11" s="1176"/>
      <c r="N11" s="53"/>
      <c r="O11" s="48">
        <f t="shared" ref="O11:O16" si="4">J11</f>
        <v>50</v>
      </c>
      <c r="P11" s="508"/>
      <c r="Q11" s="508"/>
      <c r="R11" s="508"/>
      <c r="S11" s="90"/>
      <c r="T11" s="52"/>
      <c r="U11" s="534" t="str">
        <f t="shared" ref="U11:U16" si="5">C11</f>
        <v>-</v>
      </c>
      <c r="V11" s="529">
        <f t="shared" ref="V11:V16" si="6">G11</f>
        <v>0</v>
      </c>
      <c r="W11" s="529">
        <f t="shared" ref="W11:W16" si="7">K11</f>
        <v>0</v>
      </c>
      <c r="X11" s="54">
        <f t="shared" ref="X11:X16" si="8">0.5*(MAX(U11:W11)-(MIN(U11:W11)))</f>
        <v>0</v>
      </c>
      <c r="Y11" s="133">
        <f t="shared" ref="Y11:Y16" si="9">L11</f>
        <v>0.1</v>
      </c>
      <c r="Z11" s="3"/>
      <c r="AA11" s="24" t="s">
        <v>860</v>
      </c>
      <c r="AB11" s="56">
        <v>2</v>
      </c>
      <c r="AC11" s="56" t="str">
        <f>IF(ID!$B$82=AA11,AB11,"")</f>
        <v/>
      </c>
      <c r="AD11" s="56">
        <f>AD10+1</f>
        <v>52</v>
      </c>
      <c r="AF11" s="39"/>
      <c r="AG11" s="1084">
        <f t="shared" ref="AG11:AG15" si="10">INDEX($O$10:$AA$230,MATCH(AD11,$AB$10:$AB$234,1),1)</f>
        <v>50</v>
      </c>
      <c r="AH11" s="57"/>
      <c r="AI11" s="57"/>
      <c r="AJ11" s="57"/>
      <c r="AK11" s="57"/>
      <c r="AL11" s="57"/>
      <c r="AM11" s="57"/>
      <c r="AN11" s="57"/>
      <c r="AO11" s="57">
        <f t="shared" ref="AO11:AO16" si="11">INDEX($O$10:$AA$230,MATCH(AD11,$AB$10:$AB$234,1),9)</f>
        <v>0.3</v>
      </c>
      <c r="AP11" s="57">
        <f t="shared" ref="AP11:AP16" si="12">INDEX($O$10:$AA$230,MATCH(AD11,$AB$10:$AB$234,1),10)</f>
        <v>3.3333333333333333E-2</v>
      </c>
      <c r="AQ11" s="57">
        <f t="shared" ref="AQ11:AQ16" si="13">INDEX($O$10:$AA$230,MATCH(AD11,$AB$10:$AB$234,1),11)</f>
        <v>0.1</v>
      </c>
      <c r="AR11" s="57"/>
      <c r="BO11" s="38" t="s">
        <v>370</v>
      </c>
      <c r="CH11" s="37" t="s">
        <v>325</v>
      </c>
    </row>
    <row r="12" spans="2:86" ht="13.8" x14ac:dyDescent="0.25">
      <c r="B12" s="48">
        <v>100</v>
      </c>
      <c r="C12" s="49" t="s">
        <v>99</v>
      </c>
      <c r="D12" s="1174"/>
      <c r="F12" s="48">
        <v>100</v>
      </c>
      <c r="G12" s="51">
        <v>0.1</v>
      </c>
      <c r="H12" s="1175"/>
      <c r="I12" s="50"/>
      <c r="J12" s="48">
        <v>100</v>
      </c>
      <c r="K12" s="51">
        <v>0.4</v>
      </c>
      <c r="L12" s="132">
        <v>0.1</v>
      </c>
      <c r="M12" s="1176"/>
      <c r="N12" s="53"/>
      <c r="O12" s="48">
        <f t="shared" si="4"/>
        <v>100</v>
      </c>
      <c r="P12" s="508"/>
      <c r="Q12" s="508"/>
      <c r="R12" s="508"/>
      <c r="S12" s="90"/>
      <c r="T12" s="52"/>
      <c r="U12" s="534" t="str">
        <f t="shared" si="5"/>
        <v>-</v>
      </c>
      <c r="V12" s="529">
        <f t="shared" si="6"/>
        <v>0.1</v>
      </c>
      <c r="W12" s="529">
        <f t="shared" si="7"/>
        <v>0.4</v>
      </c>
      <c r="X12" s="54">
        <f t="shared" si="8"/>
        <v>0.15000000000000002</v>
      </c>
      <c r="Y12" s="133">
        <f t="shared" si="9"/>
        <v>0.1</v>
      </c>
      <c r="Z12" s="3"/>
      <c r="AA12" s="24" t="s">
        <v>860</v>
      </c>
      <c r="AB12" s="56">
        <v>3</v>
      </c>
      <c r="AC12" s="56" t="str">
        <f>IF(ID!$B$82=AA12,AB12,"")</f>
        <v/>
      </c>
      <c r="AD12" s="56">
        <f t="shared" ref="AD12:AD16" si="14">AD11+1</f>
        <v>53</v>
      </c>
      <c r="AF12" s="39"/>
      <c r="AG12" s="1084">
        <f>INDEX($O$10:$AA$230,MATCH(AD12,$AB$10:$AB$234,1),1)</f>
        <v>100</v>
      </c>
      <c r="AH12" s="57"/>
      <c r="AI12" s="57"/>
      <c r="AJ12" s="57"/>
      <c r="AK12" s="57"/>
      <c r="AL12" s="57"/>
      <c r="AM12" s="57"/>
      <c r="AN12" s="57"/>
      <c r="AO12" s="57">
        <f t="shared" si="11"/>
        <v>0.1</v>
      </c>
      <c r="AP12" s="57">
        <f t="shared" si="12"/>
        <v>3.3333333333333333E-2</v>
      </c>
      <c r="AQ12" s="57">
        <f t="shared" si="13"/>
        <v>0.1</v>
      </c>
      <c r="AR12" s="57"/>
      <c r="BO12" s="24" t="s">
        <v>371</v>
      </c>
      <c r="CH12" s="35" t="s">
        <v>326</v>
      </c>
    </row>
    <row r="13" spans="2:86" ht="13.8" x14ac:dyDescent="0.25">
      <c r="B13" s="48">
        <v>150</v>
      </c>
      <c r="C13" s="49" t="s">
        <v>99</v>
      </c>
      <c r="D13" s="1174"/>
      <c r="F13" s="48">
        <v>150</v>
      </c>
      <c r="G13" s="51">
        <v>0</v>
      </c>
      <c r="H13" s="1175"/>
      <c r="I13" s="50"/>
      <c r="J13" s="48">
        <v>150</v>
      </c>
      <c r="K13" s="51">
        <v>0.5</v>
      </c>
      <c r="L13" s="132">
        <v>0.1</v>
      </c>
      <c r="M13" s="1176"/>
      <c r="N13" s="53"/>
      <c r="O13" s="48">
        <f t="shared" si="4"/>
        <v>150</v>
      </c>
      <c r="P13" s="508"/>
      <c r="Q13" s="508"/>
      <c r="R13" s="508"/>
      <c r="S13" s="90"/>
      <c r="T13" s="52"/>
      <c r="U13" s="534" t="str">
        <f t="shared" si="5"/>
        <v>-</v>
      </c>
      <c r="V13" s="529">
        <f t="shared" si="6"/>
        <v>0</v>
      </c>
      <c r="W13" s="529">
        <f t="shared" si="7"/>
        <v>0.5</v>
      </c>
      <c r="X13" s="54">
        <f t="shared" si="8"/>
        <v>0.25</v>
      </c>
      <c r="Y13" s="133">
        <f t="shared" si="9"/>
        <v>0.1</v>
      </c>
      <c r="Z13" s="3"/>
      <c r="AA13" s="24" t="s">
        <v>860</v>
      </c>
      <c r="AB13" s="56">
        <v>4</v>
      </c>
      <c r="AC13" s="56" t="str">
        <f>IF(ID!$B$82=AA13,AB13,"")</f>
        <v/>
      </c>
      <c r="AD13" s="56">
        <f t="shared" si="14"/>
        <v>54</v>
      </c>
      <c r="AF13" s="39"/>
      <c r="AG13" s="1084">
        <f t="shared" si="10"/>
        <v>150</v>
      </c>
      <c r="AH13" s="57"/>
      <c r="AI13" s="57"/>
      <c r="AJ13" s="57"/>
      <c r="AK13" s="57"/>
      <c r="AL13" s="57"/>
      <c r="AM13" s="57"/>
      <c r="AN13" s="57"/>
      <c r="AO13" s="57">
        <f t="shared" si="11"/>
        <v>0</v>
      </c>
      <c r="AP13" s="57">
        <f t="shared" si="12"/>
        <v>3.3333333333333333E-2</v>
      </c>
      <c r="AQ13" s="57">
        <f t="shared" si="13"/>
        <v>0.1</v>
      </c>
      <c r="AR13" s="57"/>
      <c r="BO13" s="24" t="s">
        <v>372</v>
      </c>
      <c r="CH13" s="35" t="s">
        <v>327</v>
      </c>
    </row>
    <row r="14" spans="2:86" x14ac:dyDescent="0.25">
      <c r="B14" s="48">
        <v>200</v>
      </c>
      <c r="C14" s="49" t="s">
        <v>99</v>
      </c>
      <c r="D14" s="1174"/>
      <c r="F14" s="48">
        <v>200</v>
      </c>
      <c r="G14" s="51">
        <v>0.2</v>
      </c>
      <c r="H14" s="1175"/>
      <c r="I14" s="50"/>
      <c r="J14" s="48">
        <v>200</v>
      </c>
      <c r="K14" s="51">
        <v>0.6</v>
      </c>
      <c r="L14" s="132">
        <v>0.1</v>
      </c>
      <c r="M14" s="1176"/>
      <c r="N14" s="53"/>
      <c r="O14" s="48">
        <f t="shared" si="4"/>
        <v>200</v>
      </c>
      <c r="P14" s="508"/>
      <c r="Q14" s="508"/>
      <c r="R14" s="508"/>
      <c r="S14" s="90"/>
      <c r="T14" s="52"/>
      <c r="U14" s="534" t="str">
        <f t="shared" si="5"/>
        <v>-</v>
      </c>
      <c r="V14" s="529">
        <f t="shared" si="6"/>
        <v>0.2</v>
      </c>
      <c r="W14" s="529">
        <f t="shared" si="7"/>
        <v>0.6</v>
      </c>
      <c r="X14" s="54">
        <f t="shared" si="8"/>
        <v>0.19999999999999998</v>
      </c>
      <c r="Y14" s="133">
        <f t="shared" si="9"/>
        <v>0.1</v>
      </c>
      <c r="Z14" s="3"/>
      <c r="AA14" s="24" t="s">
        <v>860</v>
      </c>
      <c r="AB14" s="56">
        <v>5</v>
      </c>
      <c r="AC14" s="56" t="str">
        <f>IF(ID!$B$82=AA14,AB14,"")</f>
        <v/>
      </c>
      <c r="AD14" s="56">
        <f t="shared" si="14"/>
        <v>55</v>
      </c>
      <c r="AF14" s="39"/>
      <c r="AG14" s="1084">
        <f t="shared" si="10"/>
        <v>200</v>
      </c>
      <c r="AH14" s="57"/>
      <c r="AI14" s="57"/>
      <c r="AJ14" s="57"/>
      <c r="AK14" s="57"/>
      <c r="AL14" s="57"/>
      <c r="AM14" s="57"/>
      <c r="AN14" s="57"/>
      <c r="AO14" s="57">
        <f t="shared" si="11"/>
        <v>-0.1</v>
      </c>
      <c r="AP14" s="57">
        <f t="shared" si="12"/>
        <v>3.3333333333333333E-2</v>
      </c>
      <c r="AQ14" s="57">
        <f t="shared" si="13"/>
        <v>0.1</v>
      </c>
      <c r="AR14" s="57"/>
      <c r="BO14" s="24" t="s">
        <v>373</v>
      </c>
      <c r="CH14" s="37" t="s">
        <v>101</v>
      </c>
    </row>
    <row r="15" spans="2:86" x14ac:dyDescent="0.25">
      <c r="B15" s="48">
        <v>250</v>
      </c>
      <c r="C15" s="49" t="s">
        <v>99</v>
      </c>
      <c r="D15" s="1174"/>
      <c r="F15" s="48">
        <v>250</v>
      </c>
      <c r="G15" s="51">
        <v>0.4</v>
      </c>
      <c r="H15" s="1175"/>
      <c r="I15" s="50"/>
      <c r="J15" s="48">
        <v>250</v>
      </c>
      <c r="K15" s="51">
        <v>0.9</v>
      </c>
      <c r="L15" s="132">
        <v>0.1</v>
      </c>
      <c r="M15" s="1176"/>
      <c r="N15" s="53"/>
      <c r="O15" s="48">
        <f t="shared" si="4"/>
        <v>250</v>
      </c>
      <c r="P15" s="508"/>
      <c r="Q15" s="508"/>
      <c r="R15" s="508"/>
      <c r="S15" s="90"/>
      <c r="T15" s="52"/>
      <c r="U15" s="534" t="str">
        <f t="shared" si="5"/>
        <v>-</v>
      </c>
      <c r="V15" s="529">
        <f t="shared" si="6"/>
        <v>0.4</v>
      </c>
      <c r="W15" s="529">
        <f t="shared" si="7"/>
        <v>0.9</v>
      </c>
      <c r="X15" s="54">
        <f t="shared" si="8"/>
        <v>0.25</v>
      </c>
      <c r="Y15" s="133">
        <f t="shared" si="9"/>
        <v>0.1</v>
      </c>
      <c r="Z15" s="3"/>
      <c r="AA15" s="24" t="s">
        <v>860</v>
      </c>
      <c r="AB15" s="56">
        <v>6</v>
      </c>
      <c r="AC15" s="56" t="str">
        <f>IF(ID!$B$82=AA15,AB15,"")</f>
        <v/>
      </c>
      <c r="AD15" s="56">
        <f t="shared" si="14"/>
        <v>56</v>
      </c>
      <c r="AF15" s="39"/>
      <c r="AG15" s="1084">
        <f t="shared" si="10"/>
        <v>250</v>
      </c>
      <c r="AH15" s="57"/>
      <c r="AI15" s="57"/>
      <c r="AJ15" s="57"/>
      <c r="AK15" s="57"/>
      <c r="AL15" s="57"/>
      <c r="AM15" s="57"/>
      <c r="AN15" s="57"/>
      <c r="AO15" s="57">
        <f t="shared" si="11"/>
        <v>-0.4</v>
      </c>
      <c r="AP15" s="57">
        <f t="shared" si="12"/>
        <v>3.3333333333333333E-2</v>
      </c>
      <c r="AQ15" s="57">
        <f t="shared" si="13"/>
        <v>0.1</v>
      </c>
      <c r="AR15" s="57"/>
      <c r="BO15" s="24" t="s">
        <v>374</v>
      </c>
      <c r="CH15" s="37" t="s">
        <v>328</v>
      </c>
    </row>
    <row r="16" spans="2:86" ht="13.8" x14ac:dyDescent="0.25">
      <c r="B16" s="48">
        <v>300</v>
      </c>
      <c r="C16" s="49" t="s">
        <v>99</v>
      </c>
      <c r="D16" s="1174"/>
      <c r="F16" s="48">
        <v>300</v>
      </c>
      <c r="G16" s="51">
        <v>0.6</v>
      </c>
      <c r="H16" s="1175"/>
      <c r="I16" s="50"/>
      <c r="J16" s="48">
        <v>300</v>
      </c>
      <c r="K16" s="51">
        <v>1.1000000000000001</v>
      </c>
      <c r="L16" s="132">
        <v>0.1</v>
      </c>
      <c r="M16" s="1176"/>
      <c r="N16" s="53"/>
      <c r="O16" s="48">
        <f t="shared" si="4"/>
        <v>300</v>
      </c>
      <c r="P16" s="508"/>
      <c r="Q16" s="508"/>
      <c r="R16" s="508"/>
      <c r="S16" s="90"/>
      <c r="T16" s="52"/>
      <c r="U16" s="534" t="str">
        <f t="shared" si="5"/>
        <v>-</v>
      </c>
      <c r="V16" s="529">
        <f t="shared" si="6"/>
        <v>0.6</v>
      </c>
      <c r="W16" s="529">
        <f t="shared" si="7"/>
        <v>1.1000000000000001</v>
      </c>
      <c r="X16" s="54">
        <f t="shared" si="8"/>
        <v>0.25000000000000006</v>
      </c>
      <c r="Y16" s="133">
        <f t="shared" si="9"/>
        <v>0.1</v>
      </c>
      <c r="Z16" s="3"/>
      <c r="AA16" s="24" t="s">
        <v>860</v>
      </c>
      <c r="AB16" s="56">
        <v>7</v>
      </c>
      <c r="AC16" s="56" t="str">
        <f>IF(ID!$B$82=AA16,AB16,"")</f>
        <v/>
      </c>
      <c r="AD16" s="56">
        <f t="shared" si="14"/>
        <v>57</v>
      </c>
      <c r="AF16" s="39"/>
      <c r="AG16" s="1084">
        <f>INDEX($O$10:$AA$230,MATCH(AD16,$AB$10:$AB$234,1),1)</f>
        <v>300</v>
      </c>
      <c r="AH16" s="57"/>
      <c r="AI16" s="57"/>
      <c r="AJ16" s="57"/>
      <c r="AK16" s="57"/>
      <c r="AL16" s="57"/>
      <c r="AM16" s="57"/>
      <c r="AN16" s="57"/>
      <c r="AO16" s="57">
        <f t="shared" si="11"/>
        <v>-0.6</v>
      </c>
      <c r="AP16" s="57">
        <f t="shared" si="12"/>
        <v>3.3333333333333333E-2</v>
      </c>
      <c r="AQ16" s="57">
        <f t="shared" si="13"/>
        <v>0.1</v>
      </c>
      <c r="AR16" s="57"/>
      <c r="CH16" s="35" t="s">
        <v>329</v>
      </c>
    </row>
    <row r="17" spans="2:86" ht="13.8" x14ac:dyDescent="0.25">
      <c r="X17" s="77"/>
      <c r="AB17" s="56">
        <v>8</v>
      </c>
      <c r="AC17" s="56" t="str">
        <f>IF(ID!$B$82=AA17,AB17,"")</f>
        <v/>
      </c>
      <c r="AD17" s="56"/>
      <c r="AF17" s="39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BO17" s="38" t="s">
        <v>376</v>
      </c>
      <c r="CH17" s="35" t="s">
        <v>330</v>
      </c>
    </row>
    <row r="18" spans="2:86" s="4" customFormat="1" ht="13.8" x14ac:dyDescent="0.25">
      <c r="O18" s="58"/>
      <c r="P18" s="504"/>
      <c r="Q18" s="505"/>
      <c r="R18" s="505"/>
      <c r="S18" s="34"/>
      <c r="U18" s="524"/>
      <c r="V18" s="524"/>
      <c r="W18" s="524"/>
      <c r="X18" s="34"/>
      <c r="AB18" s="56">
        <v>9</v>
      </c>
      <c r="AC18" s="56" t="str">
        <f>IF(ID!$B$82=AA18,AB18,"")</f>
        <v/>
      </c>
      <c r="AD18" s="56"/>
      <c r="AE18" s="1"/>
      <c r="AF18" s="39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BO18" s="38" t="s">
        <v>377</v>
      </c>
      <c r="CH18" s="35" t="s">
        <v>331</v>
      </c>
    </row>
    <row r="19" spans="2:86" ht="13.8" x14ac:dyDescent="0.25">
      <c r="O19" s="59"/>
      <c r="P19" s="509"/>
      <c r="Q19" s="510"/>
      <c r="R19" s="511"/>
      <c r="S19" s="60"/>
      <c r="X19" s="77" t="s">
        <v>375</v>
      </c>
      <c r="AB19" s="56">
        <v>10</v>
      </c>
      <c r="AC19" s="56" t="str">
        <f>IF(ID!$B$82=AA19,AB19,"")</f>
        <v/>
      </c>
      <c r="AD19" s="56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BO19" s="24" t="s">
        <v>378</v>
      </c>
      <c r="CH19" s="35" t="s">
        <v>332</v>
      </c>
    </row>
    <row r="20" spans="2:86" x14ac:dyDescent="0.25">
      <c r="B20" s="48">
        <v>0</v>
      </c>
      <c r="C20" s="49" t="s">
        <v>99</v>
      </c>
      <c r="D20" s="1165"/>
      <c r="F20" s="48">
        <v>0</v>
      </c>
      <c r="G20" s="51" t="s">
        <v>99</v>
      </c>
      <c r="H20" s="1165"/>
      <c r="I20" s="62"/>
      <c r="J20" s="48">
        <v>0</v>
      </c>
      <c r="K20" s="51">
        <v>0</v>
      </c>
      <c r="L20" s="132">
        <v>0.18</v>
      </c>
      <c r="M20" s="1181" t="s">
        <v>365</v>
      </c>
      <c r="N20" s="53"/>
      <c r="O20" s="48">
        <f t="shared" ref="O20:O26" si="15">J20</f>
        <v>0</v>
      </c>
      <c r="P20" s="508"/>
      <c r="Q20" s="508"/>
      <c r="R20" s="508"/>
      <c r="S20" s="90"/>
      <c r="T20" s="52"/>
      <c r="U20" s="534" t="str">
        <f>C20</f>
        <v>-</v>
      </c>
      <c r="V20" s="529" t="str">
        <f t="shared" ref="V20:V26" si="16">G20</f>
        <v>-</v>
      </c>
      <c r="W20" s="529">
        <f t="shared" ref="W20:W26" si="17">K20</f>
        <v>0</v>
      </c>
      <c r="X20" s="54">
        <f t="shared" ref="X20:X26" si="18">(1/3)*Y20</f>
        <v>0.06</v>
      </c>
      <c r="Y20" s="133">
        <f t="shared" ref="Y20:Y26" si="19">L20</f>
        <v>0.18</v>
      </c>
      <c r="Z20" s="3" t="s">
        <v>369</v>
      </c>
      <c r="AA20" s="24" t="s">
        <v>861</v>
      </c>
      <c r="AB20" s="56">
        <v>11</v>
      </c>
      <c r="AC20" s="56" t="str">
        <f>IF(ID!$B$82=AA20,AB20,"")</f>
        <v/>
      </c>
      <c r="AD20" s="56"/>
      <c r="AG20" s="57"/>
      <c r="AH20" s="57"/>
      <c r="AI20" s="57"/>
      <c r="AJ20" s="57"/>
      <c r="AK20" s="57"/>
      <c r="AL20" s="57"/>
      <c r="AM20" s="57"/>
      <c r="AN20" s="57"/>
      <c r="AO20" s="57"/>
      <c r="AP20" s="57"/>
      <c r="AQ20" s="57"/>
      <c r="AR20" s="57"/>
      <c r="BO20" s="24" t="s">
        <v>379</v>
      </c>
    </row>
    <row r="21" spans="2:86" x14ac:dyDescent="0.25">
      <c r="B21" s="48">
        <v>50</v>
      </c>
      <c r="C21" s="49" t="s">
        <v>99</v>
      </c>
      <c r="D21" s="1166"/>
      <c r="F21" s="48">
        <v>50</v>
      </c>
      <c r="G21" s="51" t="s">
        <v>99</v>
      </c>
      <c r="H21" s="1166"/>
      <c r="I21" s="62"/>
      <c r="J21" s="48">
        <v>50</v>
      </c>
      <c r="K21" s="51">
        <v>-0.2</v>
      </c>
      <c r="L21" s="132">
        <v>0.18</v>
      </c>
      <c r="M21" s="1182"/>
      <c r="N21" s="53"/>
      <c r="O21" s="48">
        <f t="shared" si="15"/>
        <v>50</v>
      </c>
      <c r="P21" s="508"/>
      <c r="Q21" s="508"/>
      <c r="R21" s="508"/>
      <c r="S21" s="90"/>
      <c r="T21" s="52"/>
      <c r="U21" s="534" t="str">
        <f t="shared" ref="U21:U26" si="20">C21</f>
        <v>-</v>
      </c>
      <c r="V21" s="529" t="str">
        <f t="shared" si="16"/>
        <v>-</v>
      </c>
      <c r="W21" s="529">
        <f t="shared" si="17"/>
        <v>-0.2</v>
      </c>
      <c r="X21" s="54">
        <f t="shared" si="18"/>
        <v>0.06</v>
      </c>
      <c r="Y21" s="133">
        <f t="shared" si="19"/>
        <v>0.18</v>
      </c>
      <c r="Z21" s="3"/>
      <c r="AA21" s="24" t="s">
        <v>861</v>
      </c>
      <c r="AB21" s="56">
        <v>12</v>
      </c>
      <c r="AC21" s="56" t="str">
        <f>IF(ID!$B$82=AA21,AB21,"")</f>
        <v/>
      </c>
      <c r="AD21" s="56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</row>
    <row r="22" spans="2:86" x14ac:dyDescent="0.25">
      <c r="B22" s="48">
        <v>100</v>
      </c>
      <c r="C22" s="49" t="s">
        <v>99</v>
      </c>
      <c r="D22" s="1166"/>
      <c r="F22" s="48">
        <v>100</v>
      </c>
      <c r="G22" s="51" t="s">
        <v>99</v>
      </c>
      <c r="H22" s="1166"/>
      <c r="I22" s="62"/>
      <c r="J22" s="48">
        <v>100</v>
      </c>
      <c r="K22" s="51">
        <v>-0.1</v>
      </c>
      <c r="L22" s="132">
        <v>0.18</v>
      </c>
      <c r="M22" s="1182"/>
      <c r="N22" s="53"/>
      <c r="O22" s="48">
        <f t="shared" si="15"/>
        <v>100</v>
      </c>
      <c r="P22" s="508"/>
      <c r="Q22" s="508"/>
      <c r="R22" s="508"/>
      <c r="S22" s="90"/>
      <c r="T22" s="52"/>
      <c r="U22" s="534" t="str">
        <f t="shared" si="20"/>
        <v>-</v>
      </c>
      <c r="V22" s="529" t="str">
        <f t="shared" si="16"/>
        <v>-</v>
      </c>
      <c r="W22" s="529">
        <f t="shared" si="17"/>
        <v>-0.1</v>
      </c>
      <c r="X22" s="54">
        <f t="shared" si="18"/>
        <v>0.06</v>
      </c>
      <c r="Y22" s="133">
        <f t="shared" si="19"/>
        <v>0.18</v>
      </c>
      <c r="Z22" s="3"/>
      <c r="AA22" s="24" t="s">
        <v>861</v>
      </c>
      <c r="AB22" s="56">
        <v>13</v>
      </c>
      <c r="AC22" s="56" t="str">
        <f>IF(ID!$B$82=AA22,AB22,"")</f>
        <v/>
      </c>
      <c r="AD22" s="56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57"/>
    </row>
    <row r="23" spans="2:86" x14ac:dyDescent="0.25">
      <c r="B23" s="48">
        <v>150</v>
      </c>
      <c r="C23" s="49" t="s">
        <v>99</v>
      </c>
      <c r="D23" s="1166"/>
      <c r="F23" s="48">
        <v>150</v>
      </c>
      <c r="G23" s="51" t="s">
        <v>99</v>
      </c>
      <c r="H23" s="1166"/>
      <c r="I23" s="62"/>
      <c r="J23" s="48">
        <v>150</v>
      </c>
      <c r="K23" s="51">
        <v>0.1</v>
      </c>
      <c r="L23" s="132">
        <v>0.18</v>
      </c>
      <c r="M23" s="1182"/>
      <c r="N23" s="53"/>
      <c r="O23" s="48">
        <f t="shared" si="15"/>
        <v>150</v>
      </c>
      <c r="P23" s="508"/>
      <c r="Q23" s="508"/>
      <c r="R23" s="508"/>
      <c r="S23" s="90"/>
      <c r="T23" s="52"/>
      <c r="U23" s="534" t="str">
        <f t="shared" si="20"/>
        <v>-</v>
      </c>
      <c r="V23" s="529" t="str">
        <f t="shared" si="16"/>
        <v>-</v>
      </c>
      <c r="W23" s="529">
        <f t="shared" si="17"/>
        <v>0.1</v>
      </c>
      <c r="X23" s="54">
        <f t="shared" si="18"/>
        <v>0.06</v>
      </c>
      <c r="Y23" s="133">
        <f t="shared" si="19"/>
        <v>0.18</v>
      </c>
      <c r="Z23" s="3"/>
      <c r="AA23" s="24" t="s">
        <v>861</v>
      </c>
      <c r="AB23" s="56">
        <v>14</v>
      </c>
      <c r="AC23" s="56" t="str">
        <f>IF(ID!$B$82=AA23,AB23,"")</f>
        <v/>
      </c>
      <c r="AD23" s="56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</row>
    <row r="24" spans="2:86" x14ac:dyDescent="0.25">
      <c r="B24" s="48">
        <v>200</v>
      </c>
      <c r="C24" s="49" t="s">
        <v>99</v>
      </c>
      <c r="D24" s="1166"/>
      <c r="F24" s="48">
        <v>200</v>
      </c>
      <c r="G24" s="51" t="s">
        <v>99</v>
      </c>
      <c r="H24" s="1166"/>
      <c r="I24" s="62"/>
      <c r="J24" s="48">
        <v>200</v>
      </c>
      <c r="K24" s="51">
        <v>0.1</v>
      </c>
      <c r="L24" s="132">
        <v>0.18</v>
      </c>
      <c r="M24" s="1182"/>
      <c r="N24" s="53"/>
      <c r="O24" s="48">
        <f t="shared" si="15"/>
        <v>200</v>
      </c>
      <c r="P24" s="508"/>
      <c r="Q24" s="508"/>
      <c r="R24" s="508"/>
      <c r="S24" s="90"/>
      <c r="T24" s="52"/>
      <c r="U24" s="534" t="str">
        <f t="shared" si="20"/>
        <v>-</v>
      </c>
      <c r="V24" s="529" t="str">
        <f t="shared" si="16"/>
        <v>-</v>
      </c>
      <c r="W24" s="529">
        <f t="shared" si="17"/>
        <v>0.1</v>
      </c>
      <c r="X24" s="54">
        <f t="shared" si="18"/>
        <v>0.06</v>
      </c>
      <c r="Y24" s="133">
        <f t="shared" si="19"/>
        <v>0.18</v>
      </c>
      <c r="Z24" s="3"/>
      <c r="AA24" s="24" t="s">
        <v>861</v>
      </c>
      <c r="AB24" s="56">
        <v>15</v>
      </c>
      <c r="AC24" s="56" t="str">
        <f>IF(ID!$B$82=AA24,AB24,"")</f>
        <v/>
      </c>
      <c r="AD24" s="56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</row>
    <row r="25" spans="2:86" x14ac:dyDescent="0.25">
      <c r="B25" s="48">
        <v>250</v>
      </c>
      <c r="C25" s="49" t="s">
        <v>99</v>
      </c>
      <c r="D25" s="1166"/>
      <c r="F25" s="48">
        <v>250</v>
      </c>
      <c r="G25" s="51" t="s">
        <v>99</v>
      </c>
      <c r="H25" s="1166"/>
      <c r="I25" s="62"/>
      <c r="J25" s="48">
        <v>250</v>
      </c>
      <c r="K25" s="51">
        <v>0.3</v>
      </c>
      <c r="L25" s="132">
        <v>0.18</v>
      </c>
      <c r="M25" s="1182"/>
      <c r="N25" s="53"/>
      <c r="O25" s="48">
        <f t="shared" si="15"/>
        <v>250</v>
      </c>
      <c r="P25" s="508"/>
      <c r="Q25" s="508"/>
      <c r="R25" s="508"/>
      <c r="S25" s="90"/>
      <c r="T25" s="52"/>
      <c r="U25" s="534" t="str">
        <f t="shared" si="20"/>
        <v>-</v>
      </c>
      <c r="V25" s="529" t="str">
        <f t="shared" si="16"/>
        <v>-</v>
      </c>
      <c r="W25" s="529">
        <f t="shared" si="17"/>
        <v>0.3</v>
      </c>
      <c r="X25" s="54">
        <f t="shared" si="18"/>
        <v>0.06</v>
      </c>
      <c r="Y25" s="133">
        <f t="shared" si="19"/>
        <v>0.18</v>
      </c>
      <c r="Z25" s="3"/>
      <c r="AA25" s="24" t="s">
        <v>861</v>
      </c>
      <c r="AB25" s="56">
        <v>16</v>
      </c>
      <c r="AC25" s="56" t="str">
        <f>IF(ID!$B$82=AA25,AB25,"")</f>
        <v/>
      </c>
      <c r="AD25" s="56"/>
    </row>
    <row r="26" spans="2:86" x14ac:dyDescent="0.25">
      <c r="B26" s="48">
        <v>300</v>
      </c>
      <c r="C26" s="49" t="s">
        <v>99</v>
      </c>
      <c r="D26" s="1167"/>
      <c r="F26" s="48">
        <v>300</v>
      </c>
      <c r="G26" s="51" t="s">
        <v>99</v>
      </c>
      <c r="H26" s="1167"/>
      <c r="I26" s="62"/>
      <c r="J26" s="48">
        <v>300</v>
      </c>
      <c r="K26" s="51">
        <v>0.6</v>
      </c>
      <c r="L26" s="132">
        <v>0.18</v>
      </c>
      <c r="M26" s="1183"/>
      <c r="N26" s="53"/>
      <c r="O26" s="48">
        <f t="shared" si="15"/>
        <v>300</v>
      </c>
      <c r="P26" s="508"/>
      <c r="Q26" s="508"/>
      <c r="R26" s="508"/>
      <c r="S26" s="90"/>
      <c r="T26" s="52"/>
      <c r="U26" s="534" t="str">
        <f t="shared" si="20"/>
        <v>-</v>
      </c>
      <c r="V26" s="529" t="str">
        <f t="shared" si="16"/>
        <v>-</v>
      </c>
      <c r="W26" s="529">
        <f t="shared" si="17"/>
        <v>0.6</v>
      </c>
      <c r="X26" s="54">
        <f t="shared" si="18"/>
        <v>0.06</v>
      </c>
      <c r="Y26" s="133">
        <f t="shared" si="19"/>
        <v>0.18</v>
      </c>
      <c r="Z26" s="3"/>
      <c r="AA26" s="24" t="s">
        <v>861</v>
      </c>
      <c r="AB26" s="56">
        <v>17</v>
      </c>
      <c r="AC26" s="56" t="str">
        <f>IF(ID!$B$82=AA26,AB26,"")</f>
        <v/>
      </c>
      <c r="AD26" s="56"/>
    </row>
    <row r="27" spans="2:86" x14ac:dyDescent="0.25">
      <c r="O27" s="63"/>
      <c r="P27" s="512"/>
      <c r="Q27" s="513"/>
      <c r="R27" s="513"/>
      <c r="S27" s="36"/>
      <c r="T27" s="64"/>
      <c r="U27" s="530"/>
      <c r="V27" s="530"/>
      <c r="W27" s="530"/>
      <c r="X27" s="66"/>
      <c r="Y27" s="65"/>
      <c r="Z27" s="3"/>
      <c r="AA27" s="24"/>
      <c r="AB27" s="56">
        <v>18</v>
      </c>
      <c r="AC27" s="56" t="str">
        <f>IF(ID!$B$82=AA27,AB27,"")</f>
        <v/>
      </c>
      <c r="AD27" s="56"/>
    </row>
    <row r="28" spans="2:86" s="4" customFormat="1" x14ac:dyDescent="0.25">
      <c r="O28" s="58"/>
      <c r="P28" s="504"/>
      <c r="Q28" s="505"/>
      <c r="R28" s="505"/>
      <c r="S28" s="34"/>
      <c r="U28" s="524"/>
      <c r="V28" s="524"/>
      <c r="W28" s="524"/>
      <c r="X28" s="34"/>
      <c r="AB28" s="56">
        <v>19</v>
      </c>
      <c r="AC28" s="56" t="str">
        <f>IF(ID!$B$82=AA28,AB28,"")</f>
        <v/>
      </c>
      <c r="AD28" s="56"/>
      <c r="AE28" s="1"/>
      <c r="AF28" s="1"/>
      <c r="AG28" s="1"/>
      <c r="AH28" s="1"/>
    </row>
    <row r="29" spans="2:86" x14ac:dyDescent="0.25">
      <c r="O29" s="59"/>
      <c r="P29" s="509"/>
      <c r="Q29" s="510"/>
      <c r="R29" s="511"/>
      <c r="S29" s="60"/>
      <c r="X29" s="77"/>
      <c r="AB29" s="56">
        <v>20</v>
      </c>
      <c r="AC29" s="56" t="str">
        <f>IF(ID!$B$82=AA29,AB29,"")</f>
        <v/>
      </c>
      <c r="AD29" s="56"/>
    </row>
    <row r="30" spans="2:86" x14ac:dyDescent="0.25">
      <c r="B30" s="48">
        <v>0</v>
      </c>
      <c r="C30" s="49" t="s">
        <v>99</v>
      </c>
      <c r="D30" s="1165"/>
      <c r="F30" s="48">
        <v>0</v>
      </c>
      <c r="G30" s="51">
        <v>0</v>
      </c>
      <c r="H30" s="1168" t="s">
        <v>365</v>
      </c>
      <c r="I30" s="62"/>
      <c r="J30" s="48">
        <v>0</v>
      </c>
      <c r="K30" s="51">
        <v>0</v>
      </c>
      <c r="L30" s="132">
        <v>0.1</v>
      </c>
      <c r="M30" s="1181" t="s">
        <v>414</v>
      </c>
      <c r="N30" s="67"/>
      <c r="O30" s="48">
        <f t="shared" ref="O30:O36" si="21">J30</f>
        <v>0</v>
      </c>
      <c r="P30" s="508"/>
      <c r="Q30" s="508"/>
      <c r="R30" s="508"/>
      <c r="S30" s="90"/>
      <c r="T30" s="52"/>
      <c r="U30" s="534" t="str">
        <f>C30</f>
        <v>-</v>
      </c>
      <c r="V30" s="529">
        <f>G30</f>
        <v>0</v>
      </c>
      <c r="W30" s="529">
        <f>K30</f>
        <v>0</v>
      </c>
      <c r="X30" s="54">
        <f>0.5*(MAX(U30:W30)-(MIN(U30:W30)))</f>
        <v>0</v>
      </c>
      <c r="Y30" s="133">
        <f>L30</f>
        <v>0.1</v>
      </c>
      <c r="Z30" s="3" t="s">
        <v>416</v>
      </c>
      <c r="AA30" s="24" t="s">
        <v>862</v>
      </c>
      <c r="AB30" s="56">
        <v>21</v>
      </c>
      <c r="AC30" s="56" t="str">
        <f>IF(ID!$B$82=AA30,AB30,"")</f>
        <v/>
      </c>
      <c r="AD30" s="56"/>
    </row>
    <row r="31" spans="2:86" x14ac:dyDescent="0.25">
      <c r="B31" s="48">
        <v>50</v>
      </c>
      <c r="C31" s="49" t="s">
        <v>99</v>
      </c>
      <c r="D31" s="1166"/>
      <c r="F31" s="48">
        <v>50</v>
      </c>
      <c r="G31" s="51">
        <v>-0.1</v>
      </c>
      <c r="H31" s="1169"/>
      <c r="I31" s="62"/>
      <c r="J31" s="48">
        <v>50</v>
      </c>
      <c r="K31" s="51">
        <v>0.1</v>
      </c>
      <c r="L31" s="132">
        <v>0.1</v>
      </c>
      <c r="M31" s="1182"/>
      <c r="N31" s="53"/>
      <c r="O31" s="48">
        <f t="shared" si="21"/>
        <v>50</v>
      </c>
      <c r="P31" s="508"/>
      <c r="Q31" s="508"/>
      <c r="R31" s="508"/>
      <c r="S31" s="90"/>
      <c r="T31" s="52"/>
      <c r="U31" s="534" t="str">
        <f t="shared" ref="U31:U36" si="22">C31</f>
        <v>-</v>
      </c>
      <c r="V31" s="529">
        <f t="shared" ref="V31:V36" si="23">G31</f>
        <v>-0.1</v>
      </c>
      <c r="W31" s="529">
        <f t="shared" ref="W31:W36" si="24">K31</f>
        <v>0.1</v>
      </c>
      <c r="X31" s="54">
        <f t="shared" ref="X31:X36" si="25">0.5*(MAX(U31:W31)-(MIN(U31:W31)))</f>
        <v>0.1</v>
      </c>
      <c r="Y31" s="133">
        <f t="shared" ref="Y31:Y36" si="26">L31</f>
        <v>0.1</v>
      </c>
      <c r="Z31" s="3"/>
      <c r="AA31" s="24" t="s">
        <v>862</v>
      </c>
      <c r="AB31" s="56">
        <v>22</v>
      </c>
      <c r="AC31" s="56" t="str">
        <f>IF(ID!$B$82=AA31,AB31,"")</f>
        <v/>
      </c>
      <c r="AD31" s="56"/>
    </row>
    <row r="32" spans="2:86" x14ac:dyDescent="0.25">
      <c r="B32" s="48">
        <v>100</v>
      </c>
      <c r="C32" s="49" t="s">
        <v>99</v>
      </c>
      <c r="D32" s="1166"/>
      <c r="F32" s="48">
        <v>100</v>
      </c>
      <c r="G32" s="51">
        <v>0.2</v>
      </c>
      <c r="H32" s="1169"/>
      <c r="I32" s="62"/>
      <c r="J32" s="48">
        <v>100</v>
      </c>
      <c r="K32" s="51">
        <v>0.3</v>
      </c>
      <c r="L32" s="132">
        <v>0.1</v>
      </c>
      <c r="M32" s="1182"/>
      <c r="N32" s="53"/>
      <c r="O32" s="48">
        <f t="shared" si="21"/>
        <v>100</v>
      </c>
      <c r="P32" s="508"/>
      <c r="Q32" s="508"/>
      <c r="R32" s="508"/>
      <c r="S32" s="90"/>
      <c r="T32" s="52"/>
      <c r="U32" s="534" t="str">
        <f t="shared" si="22"/>
        <v>-</v>
      </c>
      <c r="V32" s="529">
        <f t="shared" si="23"/>
        <v>0.2</v>
      </c>
      <c r="W32" s="529">
        <f t="shared" si="24"/>
        <v>0.3</v>
      </c>
      <c r="X32" s="54">
        <f t="shared" si="25"/>
        <v>4.9999999999999989E-2</v>
      </c>
      <c r="Y32" s="133">
        <f t="shared" si="26"/>
        <v>0.1</v>
      </c>
      <c r="Z32" s="3"/>
      <c r="AA32" s="24" t="s">
        <v>862</v>
      </c>
      <c r="AB32" s="56">
        <v>23</v>
      </c>
      <c r="AC32" s="56" t="str">
        <f>IF(ID!$B$82=AA32,AB32,"")</f>
        <v/>
      </c>
      <c r="AD32" s="56"/>
      <c r="AG32" s="24"/>
    </row>
    <row r="33" spans="2:34" x14ac:dyDescent="0.25">
      <c r="B33" s="48">
        <v>150</v>
      </c>
      <c r="C33" s="49" t="s">
        <v>99</v>
      </c>
      <c r="D33" s="1166"/>
      <c r="F33" s="48">
        <v>150</v>
      </c>
      <c r="G33" s="51">
        <v>0.1</v>
      </c>
      <c r="H33" s="1169"/>
      <c r="I33" s="62"/>
      <c r="J33" s="48">
        <v>150</v>
      </c>
      <c r="K33" s="51">
        <v>0.4</v>
      </c>
      <c r="L33" s="132">
        <v>0.1</v>
      </c>
      <c r="M33" s="1182"/>
      <c r="N33" s="53"/>
      <c r="O33" s="48">
        <f t="shared" si="21"/>
        <v>150</v>
      </c>
      <c r="P33" s="508"/>
      <c r="Q33" s="508"/>
      <c r="R33" s="508"/>
      <c r="S33" s="90"/>
      <c r="T33" s="52"/>
      <c r="U33" s="534" t="str">
        <f t="shared" si="22"/>
        <v>-</v>
      </c>
      <c r="V33" s="529">
        <f t="shared" si="23"/>
        <v>0.1</v>
      </c>
      <c r="W33" s="529">
        <f t="shared" si="24"/>
        <v>0.4</v>
      </c>
      <c r="X33" s="54">
        <f t="shared" si="25"/>
        <v>0.15000000000000002</v>
      </c>
      <c r="Y33" s="133">
        <f t="shared" si="26"/>
        <v>0.1</v>
      </c>
      <c r="Z33" s="3"/>
      <c r="AA33" s="24" t="s">
        <v>862</v>
      </c>
      <c r="AB33" s="56">
        <v>24</v>
      </c>
      <c r="AC33" s="56" t="str">
        <f>IF(ID!$B$82=AA33,AB33,"")</f>
        <v/>
      </c>
      <c r="AD33" s="56"/>
      <c r="AG33" s="24"/>
    </row>
    <row r="34" spans="2:34" x14ac:dyDescent="0.25">
      <c r="B34" s="48">
        <v>200</v>
      </c>
      <c r="C34" s="49" t="s">
        <v>99</v>
      </c>
      <c r="D34" s="1166"/>
      <c r="F34" s="48">
        <v>200</v>
      </c>
      <c r="G34" s="51">
        <v>0.2</v>
      </c>
      <c r="H34" s="1169"/>
      <c r="I34" s="62"/>
      <c r="J34" s="48">
        <v>200</v>
      </c>
      <c r="K34" s="51">
        <v>0.4</v>
      </c>
      <c r="L34" s="132">
        <v>0.1</v>
      </c>
      <c r="M34" s="1182"/>
      <c r="N34" s="53"/>
      <c r="O34" s="48">
        <f t="shared" si="21"/>
        <v>200</v>
      </c>
      <c r="P34" s="508"/>
      <c r="Q34" s="508"/>
      <c r="R34" s="508"/>
      <c r="S34" s="90"/>
      <c r="T34" s="52"/>
      <c r="U34" s="534" t="str">
        <f t="shared" si="22"/>
        <v>-</v>
      </c>
      <c r="V34" s="529">
        <f t="shared" si="23"/>
        <v>0.2</v>
      </c>
      <c r="W34" s="529">
        <f t="shared" si="24"/>
        <v>0.4</v>
      </c>
      <c r="X34" s="54">
        <f t="shared" si="25"/>
        <v>0.1</v>
      </c>
      <c r="Y34" s="133">
        <f t="shared" si="26"/>
        <v>0.1</v>
      </c>
      <c r="Z34" s="3"/>
      <c r="AA34" s="24" t="s">
        <v>862</v>
      </c>
      <c r="AB34" s="56">
        <v>25</v>
      </c>
      <c r="AC34" s="56" t="str">
        <f>IF(ID!$B$82=AA34,AB34,"")</f>
        <v/>
      </c>
      <c r="AD34" s="56"/>
      <c r="AG34" s="24"/>
    </row>
    <row r="35" spans="2:34" x14ac:dyDescent="0.25">
      <c r="B35" s="48">
        <v>250</v>
      </c>
      <c r="C35" s="49" t="s">
        <v>99</v>
      </c>
      <c r="D35" s="1166"/>
      <c r="F35" s="48">
        <v>250</v>
      </c>
      <c r="G35" s="51">
        <v>0.3</v>
      </c>
      <c r="H35" s="1169"/>
      <c r="I35" s="62"/>
      <c r="J35" s="48">
        <v>250</v>
      </c>
      <c r="K35" s="51">
        <v>0.6</v>
      </c>
      <c r="L35" s="132">
        <v>0.1</v>
      </c>
      <c r="M35" s="1182"/>
      <c r="N35" s="53"/>
      <c r="O35" s="48">
        <f t="shared" si="21"/>
        <v>250</v>
      </c>
      <c r="P35" s="508"/>
      <c r="Q35" s="508"/>
      <c r="R35" s="508"/>
      <c r="S35" s="90"/>
      <c r="T35" s="52"/>
      <c r="U35" s="534" t="str">
        <f t="shared" si="22"/>
        <v>-</v>
      </c>
      <c r="V35" s="529">
        <f t="shared" si="23"/>
        <v>0.3</v>
      </c>
      <c r="W35" s="529">
        <f t="shared" si="24"/>
        <v>0.6</v>
      </c>
      <c r="X35" s="54">
        <f t="shared" si="25"/>
        <v>0.15</v>
      </c>
      <c r="Y35" s="133">
        <f t="shared" si="26"/>
        <v>0.1</v>
      </c>
      <c r="Z35" s="3"/>
      <c r="AA35" s="24" t="s">
        <v>862</v>
      </c>
      <c r="AB35" s="56">
        <v>26</v>
      </c>
      <c r="AC35" s="56" t="str">
        <f>IF(ID!$B$82=AA35,AB35,"")</f>
        <v/>
      </c>
      <c r="AD35" s="56"/>
      <c r="AG35" s="24"/>
    </row>
    <row r="36" spans="2:34" x14ac:dyDescent="0.25">
      <c r="B36" s="48">
        <v>300</v>
      </c>
      <c r="C36" s="49" t="s">
        <v>99</v>
      </c>
      <c r="D36" s="1167"/>
      <c r="F36" s="48">
        <v>300</v>
      </c>
      <c r="G36" s="51">
        <v>0.4</v>
      </c>
      <c r="H36" s="1170"/>
      <c r="I36" s="62"/>
      <c r="J36" s="48">
        <v>300</v>
      </c>
      <c r="K36" s="51">
        <v>0.7</v>
      </c>
      <c r="L36" s="132">
        <v>0.1</v>
      </c>
      <c r="M36" s="1183"/>
      <c r="N36" s="53"/>
      <c r="O36" s="48">
        <f t="shared" si="21"/>
        <v>300</v>
      </c>
      <c r="P36" s="508"/>
      <c r="Q36" s="508"/>
      <c r="R36" s="508"/>
      <c r="S36" s="90"/>
      <c r="T36" s="52"/>
      <c r="U36" s="534" t="str">
        <f t="shared" si="22"/>
        <v>-</v>
      </c>
      <c r="V36" s="529">
        <f t="shared" si="23"/>
        <v>0.4</v>
      </c>
      <c r="W36" s="529">
        <f t="shared" si="24"/>
        <v>0.7</v>
      </c>
      <c r="X36" s="54">
        <f t="shared" si="25"/>
        <v>0.14999999999999997</v>
      </c>
      <c r="Y36" s="133">
        <f t="shared" si="26"/>
        <v>0.1</v>
      </c>
      <c r="Z36" s="3"/>
      <c r="AA36" s="24" t="s">
        <v>862</v>
      </c>
      <c r="AB36" s="56">
        <v>27</v>
      </c>
      <c r="AC36" s="56" t="str">
        <f>IF(ID!$B$82=AA36,AB36,"")</f>
        <v/>
      </c>
      <c r="AD36" s="56"/>
      <c r="AG36" s="24"/>
    </row>
    <row r="37" spans="2:34" x14ac:dyDescent="0.25">
      <c r="O37" s="68"/>
      <c r="P37" s="514"/>
      <c r="Q37" s="515"/>
      <c r="R37" s="515"/>
      <c r="S37" s="69"/>
      <c r="T37" s="70"/>
      <c r="U37" s="531"/>
      <c r="V37" s="531"/>
      <c r="W37" s="531"/>
      <c r="X37" s="71"/>
      <c r="Y37" s="72"/>
      <c r="Z37" s="5"/>
      <c r="AA37" s="24"/>
      <c r="AB37" s="56">
        <v>28</v>
      </c>
      <c r="AC37" s="56" t="str">
        <f>IF(ID!$B$82=AA37,AB37,"")</f>
        <v/>
      </c>
      <c r="AD37" s="56"/>
      <c r="AG37" s="24"/>
    </row>
    <row r="38" spans="2:34" s="7" customFormat="1" x14ac:dyDescent="0.25">
      <c r="O38" s="73"/>
      <c r="P38" s="514"/>
      <c r="Q38" s="515"/>
      <c r="R38" s="515"/>
      <c r="S38" s="69"/>
      <c r="T38" s="70"/>
      <c r="U38" s="531"/>
      <c r="V38" s="531"/>
      <c r="W38" s="531"/>
      <c r="X38" s="71"/>
      <c r="Y38" s="72"/>
      <c r="Z38" s="5"/>
      <c r="AA38" s="24"/>
      <c r="AB38" s="56">
        <v>29</v>
      </c>
      <c r="AC38" s="56" t="str">
        <f>IF(ID!$B$82=AA38,AB38,"")</f>
        <v/>
      </c>
      <c r="AD38" s="56"/>
    </row>
    <row r="39" spans="2:34" x14ac:dyDescent="0.25">
      <c r="O39" s="68"/>
      <c r="P39" s="514"/>
      <c r="Q39" s="515"/>
      <c r="R39" s="513"/>
      <c r="S39" s="36"/>
      <c r="T39" s="8"/>
      <c r="U39" s="523"/>
      <c r="V39" s="523"/>
      <c r="W39" s="523"/>
      <c r="X39" s="36"/>
      <c r="Y39" s="8"/>
      <c r="Z39" s="5"/>
      <c r="AA39" s="24"/>
      <c r="AB39" s="56">
        <v>30</v>
      </c>
      <c r="AC39" s="56" t="str">
        <f>IF(ID!$B$82=AA39,AB39,"")</f>
        <v/>
      </c>
      <c r="AD39" s="56"/>
    </row>
    <row r="40" spans="2:34" x14ac:dyDescent="0.25">
      <c r="O40" s="68"/>
      <c r="P40" s="514"/>
      <c r="Q40" s="515"/>
      <c r="R40" s="516"/>
      <c r="S40" s="74"/>
      <c r="T40" s="75"/>
      <c r="U40" s="531"/>
      <c r="V40" s="531"/>
      <c r="W40" s="531"/>
      <c r="X40" s="71"/>
      <c r="Y40" s="72"/>
      <c r="Z40" s="5"/>
      <c r="AA40" s="24"/>
      <c r="AB40" s="56">
        <v>31</v>
      </c>
      <c r="AC40" s="56" t="str">
        <f>IF(ID!$B$82=AA40,AB40,"")</f>
        <v/>
      </c>
      <c r="AD40" s="56"/>
    </row>
    <row r="41" spans="2:34" s="7" customFormat="1" x14ac:dyDescent="0.25">
      <c r="O41" s="76"/>
      <c r="P41" s="517"/>
      <c r="Q41" s="518"/>
      <c r="R41" s="505"/>
      <c r="S41" s="34"/>
      <c r="T41" s="4"/>
      <c r="U41" s="524"/>
      <c r="V41" s="524"/>
      <c r="W41" s="524"/>
      <c r="X41" s="34"/>
      <c r="Y41" s="4"/>
      <c r="AB41" s="56">
        <v>32</v>
      </c>
      <c r="AC41" s="56" t="str">
        <f>IF(ID!$B$82=AA41,AB41,"")</f>
        <v/>
      </c>
      <c r="AD41" s="56"/>
    </row>
    <row r="42" spans="2:34" s="4" customFormat="1" x14ac:dyDescent="0.25">
      <c r="O42" s="58"/>
      <c r="P42" s="504"/>
      <c r="Q42" s="505"/>
      <c r="R42" s="505"/>
      <c r="S42" s="34"/>
      <c r="U42" s="524"/>
      <c r="V42" s="524"/>
      <c r="W42" s="524"/>
      <c r="X42" s="34"/>
      <c r="AB42" s="56">
        <v>33</v>
      </c>
      <c r="AC42" s="56" t="str">
        <f>IF(ID!$B$82=AA42,AB42,"")</f>
        <v/>
      </c>
      <c r="AD42" s="56"/>
    </row>
    <row r="43" spans="2:34" s="4" customFormat="1" x14ac:dyDescent="0.25">
      <c r="O43" s="58"/>
      <c r="P43" s="504"/>
      <c r="Q43" s="505"/>
      <c r="R43" s="505"/>
      <c r="S43" s="34"/>
      <c r="U43" s="524"/>
      <c r="V43" s="524"/>
      <c r="W43" s="524"/>
      <c r="X43" s="34"/>
      <c r="AB43" s="56">
        <v>34</v>
      </c>
      <c r="AC43" s="56" t="str">
        <f>IF(ID!$B$82=AA43,AB43,"")</f>
        <v/>
      </c>
      <c r="AD43" s="56"/>
      <c r="AE43" s="1"/>
      <c r="AF43" s="1"/>
      <c r="AG43" s="1"/>
      <c r="AH43" s="1"/>
    </row>
    <row r="44" spans="2:34" x14ac:dyDescent="0.25">
      <c r="O44" s="59"/>
      <c r="P44" s="509"/>
      <c r="Q44" s="510"/>
      <c r="R44" s="511"/>
      <c r="S44" s="77"/>
      <c r="X44" s="77"/>
      <c r="AB44" s="56">
        <v>35</v>
      </c>
      <c r="AC44" s="56" t="str">
        <f>IF(ID!$B$82=AA44,AB44,"")</f>
        <v/>
      </c>
      <c r="AD44" s="56"/>
    </row>
    <row r="45" spans="2:34" x14ac:dyDescent="0.25">
      <c r="B45" s="48">
        <v>0</v>
      </c>
      <c r="C45" s="49" t="s">
        <v>99</v>
      </c>
      <c r="D45" s="1165"/>
      <c r="F45" s="48">
        <v>0</v>
      </c>
      <c r="G45" s="51">
        <v>0</v>
      </c>
      <c r="H45" s="1168" t="s">
        <v>365</v>
      </c>
      <c r="I45" s="62"/>
      <c r="J45" s="48">
        <v>0</v>
      </c>
      <c r="K45" s="51">
        <v>0</v>
      </c>
      <c r="L45" s="132">
        <v>0.1</v>
      </c>
      <c r="M45" s="1181" t="s">
        <v>415</v>
      </c>
      <c r="N45" s="53"/>
      <c r="O45" s="48">
        <f t="shared" ref="O45:O51" si="27">J45</f>
        <v>0</v>
      </c>
      <c r="P45" s="508"/>
      <c r="Q45" s="508"/>
      <c r="R45" s="508"/>
      <c r="S45" s="90"/>
      <c r="T45" s="52"/>
      <c r="U45" s="534" t="str">
        <f>C45</f>
        <v>-</v>
      </c>
      <c r="V45" s="529">
        <f>G45</f>
        <v>0</v>
      </c>
      <c r="W45" s="529">
        <f>K45</f>
        <v>0</v>
      </c>
      <c r="X45" s="54">
        <f>0.5*(MAX(U45:W45)-(MIN(U45:W45)))</f>
        <v>0</v>
      </c>
      <c r="Y45" s="133">
        <f>L45</f>
        <v>0.1</v>
      </c>
      <c r="Z45" s="3" t="s">
        <v>416</v>
      </c>
      <c r="AA45" t="s">
        <v>843</v>
      </c>
      <c r="AB45" s="56">
        <v>36</v>
      </c>
      <c r="AC45" s="56" t="str">
        <f>IF(ID!$B$82=AA45,AB45,"")</f>
        <v/>
      </c>
      <c r="AD45" s="56"/>
    </row>
    <row r="46" spans="2:34" x14ac:dyDescent="0.25">
      <c r="B46" s="48">
        <v>50</v>
      </c>
      <c r="C46" s="49" t="s">
        <v>99</v>
      </c>
      <c r="D46" s="1166"/>
      <c r="F46" s="48">
        <v>50</v>
      </c>
      <c r="G46" s="51">
        <v>-0.2</v>
      </c>
      <c r="H46" s="1169"/>
      <c r="I46" s="62"/>
      <c r="J46" s="48">
        <v>50</v>
      </c>
      <c r="K46" s="51">
        <v>-0.2</v>
      </c>
      <c r="L46" s="132">
        <v>0.1</v>
      </c>
      <c r="M46" s="1182"/>
      <c r="N46" s="53"/>
      <c r="O46" s="48">
        <f t="shared" si="27"/>
        <v>50</v>
      </c>
      <c r="P46" s="508"/>
      <c r="Q46" s="508"/>
      <c r="R46" s="508"/>
      <c r="S46" s="90"/>
      <c r="T46" s="52"/>
      <c r="U46" s="534" t="str">
        <f t="shared" ref="U46:U51" si="28">C46</f>
        <v>-</v>
      </c>
      <c r="V46" s="529">
        <f t="shared" ref="V46:V51" si="29">G46</f>
        <v>-0.2</v>
      </c>
      <c r="W46" s="529">
        <f t="shared" ref="W46:W51" si="30">K46</f>
        <v>-0.2</v>
      </c>
      <c r="X46" s="54">
        <f t="shared" ref="X46:X51" si="31">0.5*(MAX(U46:W46)-(MIN(U46:W46)))</f>
        <v>0</v>
      </c>
      <c r="Y46" s="133">
        <f t="shared" ref="Y46:Y51" si="32">L46</f>
        <v>0.1</v>
      </c>
      <c r="Z46" s="3"/>
      <c r="AA46" t="s">
        <v>843</v>
      </c>
      <c r="AB46" s="56">
        <v>37</v>
      </c>
      <c r="AC46" s="56" t="str">
        <f>IF(ID!$B$82=AA46,AB46,"")</f>
        <v/>
      </c>
      <c r="AD46" s="56"/>
    </row>
    <row r="47" spans="2:34" x14ac:dyDescent="0.25">
      <c r="B47" s="48">
        <v>100</v>
      </c>
      <c r="C47" s="49" t="s">
        <v>99</v>
      </c>
      <c r="D47" s="1166"/>
      <c r="F47" s="48">
        <v>100</v>
      </c>
      <c r="G47" s="51">
        <v>-0.1</v>
      </c>
      <c r="H47" s="1169"/>
      <c r="I47" s="62"/>
      <c r="J47" s="48">
        <v>100</v>
      </c>
      <c r="K47" s="51">
        <v>-0.4</v>
      </c>
      <c r="L47" s="132">
        <v>0.1</v>
      </c>
      <c r="M47" s="1182"/>
      <c r="N47" s="53"/>
      <c r="O47" s="48">
        <f t="shared" si="27"/>
        <v>100</v>
      </c>
      <c r="P47" s="508"/>
      <c r="Q47" s="508"/>
      <c r="R47" s="508"/>
      <c r="S47" s="90"/>
      <c r="T47" s="52"/>
      <c r="U47" s="534" t="str">
        <f t="shared" si="28"/>
        <v>-</v>
      </c>
      <c r="V47" s="529">
        <f t="shared" si="29"/>
        <v>-0.1</v>
      </c>
      <c r="W47" s="529">
        <f t="shared" si="30"/>
        <v>-0.4</v>
      </c>
      <c r="X47" s="54">
        <f t="shared" si="31"/>
        <v>0.15000000000000002</v>
      </c>
      <c r="Y47" s="133">
        <f t="shared" si="32"/>
        <v>0.1</v>
      </c>
      <c r="Z47" s="3"/>
      <c r="AA47" t="s">
        <v>843</v>
      </c>
      <c r="AB47" s="56">
        <v>38</v>
      </c>
      <c r="AC47" s="56" t="str">
        <f>IF(ID!$B$82=AA47,AB47,"")</f>
        <v/>
      </c>
      <c r="AD47" s="56"/>
    </row>
    <row r="48" spans="2:34" x14ac:dyDescent="0.25">
      <c r="B48" s="48">
        <v>150</v>
      </c>
      <c r="C48" s="49" t="s">
        <v>99</v>
      </c>
      <c r="D48" s="1166"/>
      <c r="F48" s="48">
        <v>150</v>
      </c>
      <c r="G48" s="51">
        <v>0.1</v>
      </c>
      <c r="H48" s="1169"/>
      <c r="I48" s="62"/>
      <c r="J48" s="48">
        <v>150</v>
      </c>
      <c r="K48" s="51">
        <v>-0.7</v>
      </c>
      <c r="L48" s="132">
        <v>0.1</v>
      </c>
      <c r="M48" s="1182"/>
      <c r="N48" s="53"/>
      <c r="O48" s="48">
        <f t="shared" si="27"/>
        <v>150</v>
      </c>
      <c r="P48" s="508"/>
      <c r="Q48" s="508"/>
      <c r="R48" s="508"/>
      <c r="S48" s="90"/>
      <c r="T48" s="52"/>
      <c r="U48" s="534" t="str">
        <f t="shared" si="28"/>
        <v>-</v>
      </c>
      <c r="V48" s="529">
        <f t="shared" si="29"/>
        <v>0.1</v>
      </c>
      <c r="W48" s="529">
        <f t="shared" si="30"/>
        <v>-0.7</v>
      </c>
      <c r="X48" s="54">
        <f t="shared" si="31"/>
        <v>0.39999999999999997</v>
      </c>
      <c r="Y48" s="133">
        <f t="shared" si="32"/>
        <v>0.1</v>
      </c>
      <c r="Z48" s="3"/>
      <c r="AA48" t="s">
        <v>843</v>
      </c>
      <c r="AB48" s="56">
        <v>39</v>
      </c>
      <c r="AC48" s="56" t="str">
        <f>IF(ID!$B$82=AA48,AB48,"")</f>
        <v/>
      </c>
      <c r="AD48" s="56"/>
    </row>
    <row r="49" spans="2:34" x14ac:dyDescent="0.25">
      <c r="B49" s="48">
        <v>200</v>
      </c>
      <c r="C49" s="49" t="s">
        <v>99</v>
      </c>
      <c r="D49" s="1166"/>
      <c r="F49" s="48">
        <v>200</v>
      </c>
      <c r="G49" s="51">
        <v>0.2</v>
      </c>
      <c r="H49" s="1169"/>
      <c r="I49" s="62"/>
      <c r="J49" s="48">
        <v>200</v>
      </c>
      <c r="K49" s="51">
        <v>-0.9</v>
      </c>
      <c r="L49" s="132">
        <v>0.1</v>
      </c>
      <c r="M49" s="1182"/>
      <c r="N49" s="53"/>
      <c r="O49" s="48">
        <f t="shared" si="27"/>
        <v>200</v>
      </c>
      <c r="P49" s="508"/>
      <c r="Q49" s="508"/>
      <c r="R49" s="508"/>
      <c r="S49" s="90"/>
      <c r="T49" s="52"/>
      <c r="U49" s="534" t="str">
        <f t="shared" si="28"/>
        <v>-</v>
      </c>
      <c r="V49" s="529">
        <f t="shared" si="29"/>
        <v>0.2</v>
      </c>
      <c r="W49" s="529">
        <f t="shared" si="30"/>
        <v>-0.9</v>
      </c>
      <c r="X49" s="54">
        <f t="shared" si="31"/>
        <v>0.55000000000000004</v>
      </c>
      <c r="Y49" s="133">
        <f t="shared" si="32"/>
        <v>0.1</v>
      </c>
      <c r="Z49" s="3"/>
      <c r="AA49" t="s">
        <v>843</v>
      </c>
      <c r="AB49" s="56">
        <v>40</v>
      </c>
      <c r="AC49" s="56" t="str">
        <f>IF(ID!$B$82=AA49,AB49,"")</f>
        <v/>
      </c>
      <c r="AD49" s="56"/>
    </row>
    <row r="50" spans="2:34" x14ac:dyDescent="0.25">
      <c r="B50" s="48">
        <v>250</v>
      </c>
      <c r="C50" s="49" t="s">
        <v>99</v>
      </c>
      <c r="D50" s="1166"/>
      <c r="F50" s="48">
        <v>250</v>
      </c>
      <c r="G50" s="51">
        <v>0.4</v>
      </c>
      <c r="H50" s="1169"/>
      <c r="I50" s="62"/>
      <c r="J50" s="48">
        <v>250</v>
      </c>
      <c r="K50" s="51">
        <v>-1.1000000000000001</v>
      </c>
      <c r="L50" s="132">
        <v>0.1</v>
      </c>
      <c r="M50" s="1182"/>
      <c r="N50" s="53"/>
      <c r="O50" s="48">
        <f t="shared" si="27"/>
        <v>250</v>
      </c>
      <c r="P50" s="508"/>
      <c r="Q50" s="508"/>
      <c r="R50" s="508"/>
      <c r="S50" s="90"/>
      <c r="T50" s="52"/>
      <c r="U50" s="534" t="str">
        <f t="shared" si="28"/>
        <v>-</v>
      </c>
      <c r="V50" s="529">
        <f t="shared" si="29"/>
        <v>0.4</v>
      </c>
      <c r="W50" s="529">
        <f t="shared" si="30"/>
        <v>-1.1000000000000001</v>
      </c>
      <c r="X50" s="54">
        <f t="shared" si="31"/>
        <v>0.75</v>
      </c>
      <c r="Y50" s="133">
        <f t="shared" si="32"/>
        <v>0.1</v>
      </c>
      <c r="Z50" s="3"/>
      <c r="AA50" t="s">
        <v>843</v>
      </c>
      <c r="AB50" s="56">
        <v>41</v>
      </c>
      <c r="AC50" s="56" t="str">
        <f>IF(ID!$B$82=AA50,AB50,"")</f>
        <v/>
      </c>
      <c r="AD50" s="56"/>
    </row>
    <row r="51" spans="2:34" x14ac:dyDescent="0.25">
      <c r="B51" s="48">
        <v>300</v>
      </c>
      <c r="C51" s="49" t="s">
        <v>99</v>
      </c>
      <c r="D51" s="1167"/>
      <c r="F51" s="48">
        <v>300</v>
      </c>
      <c r="G51" s="51">
        <v>0.6</v>
      </c>
      <c r="H51" s="1170"/>
      <c r="I51" s="62"/>
      <c r="J51" s="48">
        <v>300</v>
      </c>
      <c r="K51" s="51">
        <v>-1.5</v>
      </c>
      <c r="L51" s="132">
        <v>0.1</v>
      </c>
      <c r="M51" s="1183"/>
      <c r="N51" s="53"/>
      <c r="O51" s="48">
        <f t="shared" si="27"/>
        <v>300</v>
      </c>
      <c r="P51" s="508"/>
      <c r="Q51" s="508"/>
      <c r="R51" s="508"/>
      <c r="S51" s="90"/>
      <c r="T51" s="52"/>
      <c r="U51" s="534" t="str">
        <f t="shared" si="28"/>
        <v>-</v>
      </c>
      <c r="V51" s="529">
        <f t="shared" si="29"/>
        <v>0.6</v>
      </c>
      <c r="W51" s="529">
        <f t="shared" si="30"/>
        <v>-1.5</v>
      </c>
      <c r="X51" s="54">
        <f t="shared" si="31"/>
        <v>1.05</v>
      </c>
      <c r="Y51" s="133">
        <f t="shared" si="32"/>
        <v>0.1</v>
      </c>
      <c r="Z51" s="3"/>
      <c r="AA51" t="s">
        <v>843</v>
      </c>
      <c r="AB51" s="56">
        <v>42</v>
      </c>
      <c r="AC51" s="56" t="str">
        <f>IF(ID!$B$82=AA51,AB51,"")</f>
        <v/>
      </c>
      <c r="AD51" s="56"/>
    </row>
    <row r="52" spans="2:34" x14ac:dyDescent="0.25">
      <c r="O52" s="48"/>
      <c r="P52" s="508"/>
      <c r="Q52" s="519"/>
      <c r="R52" s="519"/>
      <c r="S52" s="80"/>
      <c r="T52" s="81"/>
      <c r="U52" s="532"/>
      <c r="V52" s="531"/>
      <c r="W52" s="531"/>
      <c r="X52" s="71"/>
      <c r="Y52" s="72"/>
      <c r="Z52" s="3"/>
      <c r="AA52" s="24"/>
      <c r="AB52" s="56">
        <v>43</v>
      </c>
      <c r="AC52" s="56" t="str">
        <f>IF(ID!$B$82=AA52,AB52,"")</f>
        <v/>
      </c>
      <c r="AD52" s="56"/>
    </row>
    <row r="53" spans="2:34" s="7" customFormat="1" x14ac:dyDescent="0.25">
      <c r="O53" s="82"/>
      <c r="P53" s="520"/>
      <c r="Q53" s="521"/>
      <c r="R53" s="521"/>
      <c r="S53" s="83"/>
      <c r="T53" s="84"/>
      <c r="U53" s="533"/>
      <c r="V53" s="533"/>
      <c r="W53" s="533"/>
      <c r="X53" s="83"/>
      <c r="Y53" s="84"/>
      <c r="Z53" s="3"/>
      <c r="AA53" s="24"/>
      <c r="AB53" s="56">
        <v>44</v>
      </c>
      <c r="AC53" s="56" t="str">
        <f>IF(ID!$B$82=AA53,AB53,"")</f>
        <v/>
      </c>
      <c r="AD53" s="56"/>
    </row>
    <row r="54" spans="2:34" x14ac:dyDescent="0.25">
      <c r="O54" s="82"/>
      <c r="P54" s="520"/>
      <c r="Q54" s="521"/>
      <c r="R54" s="521"/>
      <c r="S54" s="83"/>
      <c r="T54" s="84"/>
      <c r="U54" s="533"/>
      <c r="V54" s="533"/>
      <c r="W54" s="533"/>
      <c r="X54" s="83"/>
      <c r="Y54" s="84"/>
      <c r="Z54" s="3"/>
      <c r="AA54" s="24"/>
      <c r="AB54" s="56">
        <v>45</v>
      </c>
      <c r="AC54" s="56" t="str">
        <f>IF(ID!$B$82=AA54,AB54,"")</f>
        <v/>
      </c>
      <c r="AD54" s="56"/>
    </row>
    <row r="55" spans="2:34" x14ac:dyDescent="0.25">
      <c r="O55" s="82"/>
      <c r="P55" s="520"/>
      <c r="Q55" s="521"/>
      <c r="R55" s="521"/>
      <c r="S55" s="83"/>
      <c r="T55" s="84"/>
      <c r="U55" s="533"/>
      <c r="V55" s="533"/>
      <c r="W55" s="533"/>
      <c r="X55" s="83"/>
      <c r="Y55" s="84"/>
      <c r="Z55" s="3"/>
      <c r="AA55" s="24"/>
      <c r="AB55" s="56">
        <v>46</v>
      </c>
      <c r="AC55" s="56" t="str">
        <f>IF(ID!$B$82=AA55,AB55,"")</f>
        <v/>
      </c>
      <c r="AD55" s="56"/>
    </row>
    <row r="56" spans="2:34" s="7" customFormat="1" x14ac:dyDescent="0.25">
      <c r="O56" s="85"/>
      <c r="P56" s="504"/>
      <c r="Q56" s="505"/>
      <c r="R56" s="505"/>
      <c r="S56" s="34"/>
      <c r="T56" s="4"/>
      <c r="U56" s="524"/>
      <c r="V56" s="524"/>
      <c r="W56" s="524"/>
      <c r="X56" s="34"/>
      <c r="Y56" s="4"/>
      <c r="AB56" s="56">
        <v>47</v>
      </c>
      <c r="AC56" s="56" t="str">
        <f>IF(ID!$B$82=AA56,AB56,"")</f>
        <v/>
      </c>
      <c r="AD56" s="56"/>
    </row>
    <row r="57" spans="2:34" s="4" customFormat="1" x14ac:dyDescent="0.25">
      <c r="O57" s="58"/>
      <c r="P57" s="504"/>
      <c r="Q57" s="505"/>
      <c r="R57" s="505"/>
      <c r="S57" s="34"/>
      <c r="U57" s="524"/>
      <c r="V57" s="524"/>
      <c r="W57" s="524"/>
      <c r="X57" s="34"/>
      <c r="AB57" s="56">
        <v>48</v>
      </c>
      <c r="AC57" s="56" t="str">
        <f>IF(ID!$B$82=AA57,AB57,"")</f>
        <v/>
      </c>
      <c r="AD57" s="56"/>
    </row>
    <row r="58" spans="2:34" s="4" customFormat="1" x14ac:dyDescent="0.25">
      <c r="O58" s="58"/>
      <c r="P58" s="504"/>
      <c r="Q58" s="505"/>
      <c r="R58" s="505"/>
      <c r="S58" s="34"/>
      <c r="U58" s="524"/>
      <c r="V58" s="524"/>
      <c r="W58" s="524"/>
      <c r="X58" s="34"/>
      <c r="AB58" s="56">
        <v>49</v>
      </c>
      <c r="AC58" s="56" t="str">
        <f>IF(ID!$B$82=AA58,AB58,"")</f>
        <v/>
      </c>
      <c r="AD58" s="56"/>
      <c r="AE58" s="1"/>
      <c r="AF58" s="1"/>
      <c r="AG58" s="1"/>
      <c r="AH58" s="1"/>
    </row>
    <row r="59" spans="2:34" x14ac:dyDescent="0.25">
      <c r="O59" s="59"/>
      <c r="P59" s="509"/>
      <c r="Q59" s="510"/>
      <c r="R59" s="511"/>
      <c r="S59" s="77"/>
      <c r="X59" s="77" t="s">
        <v>375</v>
      </c>
      <c r="AB59" s="56">
        <v>50</v>
      </c>
      <c r="AC59" s="56" t="str">
        <f>IF(ID!$B$82=AA59,AB59,"")</f>
        <v/>
      </c>
      <c r="AD59" s="56"/>
    </row>
    <row r="60" spans="2:34" x14ac:dyDescent="0.25">
      <c r="B60" s="48">
        <v>0</v>
      </c>
      <c r="C60" s="49" t="s">
        <v>99</v>
      </c>
      <c r="D60" s="1165"/>
      <c r="F60" s="48">
        <v>0</v>
      </c>
      <c r="G60" s="51" t="s">
        <v>99</v>
      </c>
      <c r="H60" s="1165"/>
      <c r="I60" s="62"/>
      <c r="J60" s="48">
        <v>0</v>
      </c>
      <c r="K60" s="51">
        <v>0</v>
      </c>
      <c r="L60" s="132">
        <v>0.1</v>
      </c>
      <c r="M60" s="1168" t="s">
        <v>380</v>
      </c>
      <c r="N60" s="53"/>
      <c r="O60" s="48">
        <f t="shared" ref="O60:O66" si="33">J60</f>
        <v>0</v>
      </c>
      <c r="P60" s="508"/>
      <c r="Q60" s="508"/>
      <c r="R60" s="508"/>
      <c r="S60" s="90"/>
      <c r="T60" s="52"/>
      <c r="U60" s="534" t="str">
        <f>C60</f>
        <v>-</v>
      </c>
      <c r="V60" s="529" t="str">
        <f>G60</f>
        <v>-</v>
      </c>
      <c r="W60" s="529">
        <f>K60</f>
        <v>0</v>
      </c>
      <c r="X60" s="54">
        <f t="shared" ref="X60:X66" si="34">(1/3)*Y60</f>
        <v>3.3333333333333333E-2</v>
      </c>
      <c r="Y60" s="133">
        <f t="shared" ref="Y60:Y66" si="35">L60</f>
        <v>0.1</v>
      </c>
      <c r="Z60" s="3" t="s">
        <v>416</v>
      </c>
      <c r="AA60" s="24" t="s">
        <v>859</v>
      </c>
      <c r="AB60" s="56">
        <v>51</v>
      </c>
      <c r="AC60" s="56">
        <f>IF(ID!$B$82=AA60,AB60,"")</f>
        <v>51</v>
      </c>
      <c r="AD60" s="56"/>
    </row>
    <row r="61" spans="2:34" x14ac:dyDescent="0.25">
      <c r="B61" s="48">
        <v>50</v>
      </c>
      <c r="C61" s="49" t="s">
        <v>99</v>
      </c>
      <c r="D61" s="1166"/>
      <c r="F61" s="48">
        <v>50</v>
      </c>
      <c r="G61" s="51" t="s">
        <v>99</v>
      </c>
      <c r="H61" s="1166"/>
      <c r="I61" s="62"/>
      <c r="J61" s="48">
        <v>50</v>
      </c>
      <c r="K61" s="51">
        <v>0.3</v>
      </c>
      <c r="L61" s="132">
        <v>0.1</v>
      </c>
      <c r="M61" s="1169"/>
      <c r="N61" s="53"/>
      <c r="O61" s="48">
        <f t="shared" si="33"/>
        <v>50</v>
      </c>
      <c r="P61" s="508"/>
      <c r="Q61" s="508"/>
      <c r="R61" s="508"/>
      <c r="S61" s="90"/>
      <c r="T61" s="52"/>
      <c r="U61" s="534" t="str">
        <f t="shared" ref="U61:U66" si="36">C61</f>
        <v>-</v>
      </c>
      <c r="V61" s="529" t="str">
        <f t="shared" ref="V61:V66" si="37">G61</f>
        <v>-</v>
      </c>
      <c r="W61" s="529">
        <f t="shared" ref="W61:W66" si="38">K61</f>
        <v>0.3</v>
      </c>
      <c r="X61" s="54">
        <f t="shared" si="34"/>
        <v>3.3333333333333333E-2</v>
      </c>
      <c r="Y61" s="133">
        <f t="shared" si="35"/>
        <v>0.1</v>
      </c>
      <c r="Z61" s="3"/>
      <c r="AA61" s="24" t="s">
        <v>859</v>
      </c>
      <c r="AB61" s="56">
        <v>52</v>
      </c>
      <c r="AC61" s="56">
        <f>IF(ID!$B$82=AA61,AB61,"")</f>
        <v>52</v>
      </c>
      <c r="AD61" s="56"/>
    </row>
    <row r="62" spans="2:34" x14ac:dyDescent="0.25">
      <c r="B62" s="48">
        <v>100</v>
      </c>
      <c r="C62" s="49" t="s">
        <v>99</v>
      </c>
      <c r="D62" s="1166"/>
      <c r="F62" s="48">
        <v>100</v>
      </c>
      <c r="G62" s="51" t="s">
        <v>99</v>
      </c>
      <c r="H62" s="1166"/>
      <c r="I62" s="62"/>
      <c r="J62" s="48">
        <v>100</v>
      </c>
      <c r="K62" s="51">
        <v>0.1</v>
      </c>
      <c r="L62" s="132">
        <v>0.1</v>
      </c>
      <c r="M62" s="1169"/>
      <c r="N62" s="53"/>
      <c r="O62" s="48">
        <f t="shared" si="33"/>
        <v>100</v>
      </c>
      <c r="P62" s="508"/>
      <c r="Q62" s="508"/>
      <c r="R62" s="508"/>
      <c r="S62" s="90"/>
      <c r="T62" s="52"/>
      <c r="U62" s="534" t="str">
        <f t="shared" si="36"/>
        <v>-</v>
      </c>
      <c r="V62" s="529" t="str">
        <f t="shared" si="37"/>
        <v>-</v>
      </c>
      <c r="W62" s="529">
        <f t="shared" si="38"/>
        <v>0.1</v>
      </c>
      <c r="X62" s="54">
        <f t="shared" si="34"/>
        <v>3.3333333333333333E-2</v>
      </c>
      <c r="Y62" s="133">
        <f t="shared" si="35"/>
        <v>0.1</v>
      </c>
      <c r="Z62" s="3"/>
      <c r="AA62" s="24" t="s">
        <v>859</v>
      </c>
      <c r="AB62" s="56">
        <v>53</v>
      </c>
      <c r="AC62" s="56">
        <f>IF(ID!$B$82=AA62,AB62,"")</f>
        <v>53</v>
      </c>
      <c r="AD62" s="56"/>
    </row>
    <row r="63" spans="2:34" x14ac:dyDescent="0.25">
      <c r="B63" s="48">
        <v>150</v>
      </c>
      <c r="C63" s="49" t="s">
        <v>99</v>
      </c>
      <c r="D63" s="1166"/>
      <c r="F63" s="48">
        <v>150</v>
      </c>
      <c r="G63" s="51" t="s">
        <v>99</v>
      </c>
      <c r="H63" s="1166"/>
      <c r="I63" s="62"/>
      <c r="J63" s="48">
        <v>150</v>
      </c>
      <c r="K63" s="51">
        <v>0</v>
      </c>
      <c r="L63" s="132">
        <v>0.1</v>
      </c>
      <c r="M63" s="1169"/>
      <c r="N63" s="53"/>
      <c r="O63" s="48">
        <f t="shared" si="33"/>
        <v>150</v>
      </c>
      <c r="P63" s="508"/>
      <c r="Q63" s="508"/>
      <c r="R63" s="508"/>
      <c r="S63" s="90"/>
      <c r="T63" s="52"/>
      <c r="U63" s="534" t="str">
        <f t="shared" si="36"/>
        <v>-</v>
      </c>
      <c r="V63" s="529" t="str">
        <f t="shared" si="37"/>
        <v>-</v>
      </c>
      <c r="W63" s="529">
        <f t="shared" si="38"/>
        <v>0</v>
      </c>
      <c r="X63" s="54">
        <f t="shared" si="34"/>
        <v>3.3333333333333333E-2</v>
      </c>
      <c r="Y63" s="133">
        <f t="shared" si="35"/>
        <v>0.1</v>
      </c>
      <c r="Z63" s="3"/>
      <c r="AA63" s="24" t="s">
        <v>859</v>
      </c>
      <c r="AB63" s="56">
        <v>54</v>
      </c>
      <c r="AC63" s="56">
        <f>IF(ID!$B$82=AA63,AB63,"")</f>
        <v>54</v>
      </c>
      <c r="AD63" s="56"/>
    </row>
    <row r="64" spans="2:34" x14ac:dyDescent="0.25">
      <c r="B64" s="48">
        <v>200</v>
      </c>
      <c r="C64" s="49" t="s">
        <v>99</v>
      </c>
      <c r="D64" s="1166"/>
      <c r="F64" s="48">
        <v>200</v>
      </c>
      <c r="G64" s="51" t="s">
        <v>99</v>
      </c>
      <c r="H64" s="1166"/>
      <c r="I64" s="62"/>
      <c r="J64" s="48">
        <v>200</v>
      </c>
      <c r="K64" s="51">
        <v>-0.1</v>
      </c>
      <c r="L64" s="132">
        <v>0.1</v>
      </c>
      <c r="M64" s="1169"/>
      <c r="N64" s="53"/>
      <c r="O64" s="48">
        <f t="shared" si="33"/>
        <v>200</v>
      </c>
      <c r="P64" s="508"/>
      <c r="Q64" s="508"/>
      <c r="R64" s="508"/>
      <c r="S64" s="90"/>
      <c r="T64" s="52"/>
      <c r="U64" s="534" t="str">
        <f t="shared" si="36"/>
        <v>-</v>
      </c>
      <c r="V64" s="529" t="str">
        <f t="shared" si="37"/>
        <v>-</v>
      </c>
      <c r="W64" s="529">
        <f t="shared" si="38"/>
        <v>-0.1</v>
      </c>
      <c r="X64" s="54">
        <f t="shared" si="34"/>
        <v>3.3333333333333333E-2</v>
      </c>
      <c r="Y64" s="133">
        <f t="shared" si="35"/>
        <v>0.1</v>
      </c>
      <c r="Z64" s="3"/>
      <c r="AA64" s="24" t="s">
        <v>859</v>
      </c>
      <c r="AB64" s="56">
        <v>55</v>
      </c>
      <c r="AC64" s="56">
        <f>IF(ID!$B$82=AA64,AB64,"")</f>
        <v>55</v>
      </c>
      <c r="AD64" s="56"/>
    </row>
    <row r="65" spans="2:34" x14ac:dyDescent="0.25">
      <c r="B65" s="48">
        <v>250</v>
      </c>
      <c r="C65" s="49" t="s">
        <v>99</v>
      </c>
      <c r="D65" s="1166"/>
      <c r="F65" s="48">
        <v>250</v>
      </c>
      <c r="G65" s="51" t="s">
        <v>99</v>
      </c>
      <c r="H65" s="1166"/>
      <c r="I65" s="62"/>
      <c r="J65" s="48">
        <v>250</v>
      </c>
      <c r="K65" s="51">
        <v>-0.4</v>
      </c>
      <c r="L65" s="132">
        <v>0.1</v>
      </c>
      <c r="M65" s="1169"/>
      <c r="N65" s="53"/>
      <c r="O65" s="48">
        <f t="shared" si="33"/>
        <v>250</v>
      </c>
      <c r="P65" s="508"/>
      <c r="Q65" s="508"/>
      <c r="R65" s="508"/>
      <c r="S65" s="90"/>
      <c r="T65" s="52"/>
      <c r="U65" s="534" t="str">
        <f t="shared" si="36"/>
        <v>-</v>
      </c>
      <c r="V65" s="529" t="str">
        <f t="shared" si="37"/>
        <v>-</v>
      </c>
      <c r="W65" s="529">
        <f t="shared" si="38"/>
        <v>-0.4</v>
      </c>
      <c r="X65" s="54">
        <f t="shared" si="34"/>
        <v>3.3333333333333333E-2</v>
      </c>
      <c r="Y65" s="133">
        <f t="shared" si="35"/>
        <v>0.1</v>
      </c>
      <c r="Z65" s="3"/>
      <c r="AA65" s="24" t="s">
        <v>859</v>
      </c>
      <c r="AB65" s="56">
        <v>56</v>
      </c>
      <c r="AC65" s="56">
        <f>IF(ID!$B$82=AA65,AB65,"")</f>
        <v>56</v>
      </c>
      <c r="AD65" s="56"/>
    </row>
    <row r="66" spans="2:34" x14ac:dyDescent="0.25">
      <c r="B66" s="48">
        <v>300</v>
      </c>
      <c r="C66" s="49" t="s">
        <v>99</v>
      </c>
      <c r="D66" s="1167"/>
      <c r="F66" s="48">
        <v>300</v>
      </c>
      <c r="G66" s="51" t="s">
        <v>99</v>
      </c>
      <c r="H66" s="1167"/>
      <c r="I66" s="62"/>
      <c r="J66" s="48">
        <v>300</v>
      </c>
      <c r="K66" s="51">
        <v>-0.6</v>
      </c>
      <c r="L66" s="132">
        <v>0.1</v>
      </c>
      <c r="M66" s="1170"/>
      <c r="N66" s="53"/>
      <c r="O66" s="48">
        <f t="shared" si="33"/>
        <v>300</v>
      </c>
      <c r="P66" s="508"/>
      <c r="Q66" s="508"/>
      <c r="R66" s="508"/>
      <c r="S66" s="90"/>
      <c r="T66" s="52"/>
      <c r="U66" s="534" t="str">
        <f t="shared" si="36"/>
        <v>-</v>
      </c>
      <c r="V66" s="529" t="str">
        <f t="shared" si="37"/>
        <v>-</v>
      </c>
      <c r="W66" s="529">
        <f t="shared" si="38"/>
        <v>-0.6</v>
      </c>
      <c r="X66" s="54">
        <f t="shared" si="34"/>
        <v>3.3333333333333333E-2</v>
      </c>
      <c r="Y66" s="133">
        <f t="shared" si="35"/>
        <v>0.1</v>
      </c>
      <c r="Z66" s="3"/>
      <c r="AA66" s="24" t="s">
        <v>859</v>
      </c>
      <c r="AB66" s="56">
        <v>57</v>
      </c>
      <c r="AC66" s="56">
        <f>IF(ID!$B$82=AA66,AB66,"")</f>
        <v>57</v>
      </c>
      <c r="AD66" s="56"/>
    </row>
    <row r="67" spans="2:34" x14ac:dyDescent="0.25">
      <c r="O67" s="48"/>
      <c r="P67" s="508"/>
      <c r="Q67" s="519"/>
      <c r="R67" s="519"/>
      <c r="S67" s="80"/>
      <c r="T67" s="70"/>
      <c r="U67" s="531"/>
      <c r="V67" s="531"/>
      <c r="W67" s="531"/>
      <c r="X67" s="71"/>
      <c r="Y67" s="72"/>
      <c r="Z67" s="3"/>
      <c r="AA67" s="24"/>
      <c r="AB67" s="56">
        <v>58</v>
      </c>
      <c r="AC67" s="56" t="str">
        <f>IF(ID!$B$82=AA67,AB67,"")</f>
        <v/>
      </c>
      <c r="AD67" s="56"/>
    </row>
    <row r="68" spans="2:34" s="7" customFormat="1" x14ac:dyDescent="0.25">
      <c r="O68" s="48"/>
      <c r="P68" s="508"/>
      <c r="Q68" s="519"/>
      <c r="R68" s="519"/>
      <c r="S68" s="80"/>
      <c r="T68" s="70"/>
      <c r="U68" s="531"/>
      <c r="V68" s="531"/>
      <c r="W68" s="531"/>
      <c r="X68" s="71"/>
      <c r="Y68" s="72"/>
      <c r="Z68" s="3"/>
      <c r="AA68" s="24"/>
      <c r="AB68" s="56">
        <v>59</v>
      </c>
      <c r="AC68" s="56" t="str">
        <f>IF(ID!$B$82=AA68,AB68,"")</f>
        <v/>
      </c>
      <c r="AD68" s="56"/>
    </row>
    <row r="69" spans="2:34" x14ac:dyDescent="0.25">
      <c r="O69" s="48"/>
      <c r="P69" s="508"/>
      <c r="Q69" s="519"/>
      <c r="R69" s="519"/>
      <c r="S69" s="80"/>
      <c r="T69" s="70"/>
      <c r="U69" s="531"/>
      <c r="V69" s="531"/>
      <c r="W69" s="531"/>
      <c r="X69" s="71"/>
      <c r="Y69" s="72"/>
      <c r="Z69" s="3"/>
      <c r="AA69" s="24"/>
      <c r="AB69" s="56">
        <v>60</v>
      </c>
      <c r="AC69" s="56" t="str">
        <f>IF(ID!$B$82=AA69,AB69,"")</f>
        <v/>
      </c>
      <c r="AD69" s="56"/>
    </row>
    <row r="70" spans="2:34" x14ac:dyDescent="0.25">
      <c r="O70" s="48"/>
      <c r="P70" s="508"/>
      <c r="Q70" s="519"/>
      <c r="R70" s="519"/>
      <c r="S70" s="80"/>
      <c r="T70" s="70"/>
      <c r="U70" s="531"/>
      <c r="V70" s="531"/>
      <c r="W70" s="531"/>
      <c r="X70" s="71"/>
      <c r="Y70" s="72"/>
      <c r="Z70" s="3"/>
      <c r="AA70" s="24"/>
      <c r="AB70" s="56">
        <v>61</v>
      </c>
      <c r="AC70" s="56" t="str">
        <f>IF(ID!$B$82=AA70,AB70,"")</f>
        <v/>
      </c>
      <c r="AD70" s="56"/>
    </row>
    <row r="71" spans="2:34" s="7" customFormat="1" x14ac:dyDescent="0.25">
      <c r="O71" s="85"/>
      <c r="P71" s="504"/>
      <c r="Q71" s="505"/>
      <c r="R71" s="505"/>
      <c r="S71" s="34"/>
      <c r="T71" s="4"/>
      <c r="U71" s="524"/>
      <c r="V71" s="524"/>
      <c r="W71" s="524"/>
      <c r="X71" s="34"/>
      <c r="Y71" s="4"/>
      <c r="AB71" s="56">
        <v>62</v>
      </c>
      <c r="AC71" s="56" t="str">
        <f>IF(ID!$B$82=AA71,AB71,"")</f>
        <v/>
      </c>
      <c r="AD71" s="56"/>
    </row>
    <row r="72" spans="2:34" s="4" customFormat="1" x14ac:dyDescent="0.25">
      <c r="O72" s="58"/>
      <c r="P72" s="504"/>
      <c r="Q72" s="505"/>
      <c r="R72" s="505"/>
      <c r="S72" s="34"/>
      <c r="U72" s="524"/>
      <c r="V72" s="524"/>
      <c r="W72" s="524"/>
      <c r="X72" s="34"/>
      <c r="AB72" s="56">
        <v>63</v>
      </c>
      <c r="AC72" s="56" t="str">
        <f>IF(ID!$B$82=AA72,AB72,"")</f>
        <v/>
      </c>
      <c r="AD72" s="56"/>
    </row>
    <row r="73" spans="2:34" s="4" customFormat="1" x14ac:dyDescent="0.25">
      <c r="O73" s="58"/>
      <c r="P73" s="504"/>
      <c r="Q73" s="505"/>
      <c r="R73" s="505"/>
      <c r="S73" s="34"/>
      <c r="U73" s="524"/>
      <c r="V73" s="524"/>
      <c r="W73" s="524"/>
      <c r="X73" s="34"/>
      <c r="AB73" s="56">
        <v>64</v>
      </c>
      <c r="AC73" s="56" t="str">
        <f>IF(ID!$B$82=AA73,AB73,"")</f>
        <v/>
      </c>
      <c r="AD73" s="56"/>
      <c r="AE73" s="1"/>
      <c r="AF73" s="1"/>
      <c r="AG73" s="1"/>
      <c r="AH73" s="1"/>
    </row>
    <row r="74" spans="2:34" x14ac:dyDescent="0.25">
      <c r="O74" s="59"/>
      <c r="P74" s="509"/>
      <c r="Q74" s="510"/>
      <c r="R74" s="511"/>
      <c r="S74" s="60"/>
      <c r="X74" s="77"/>
      <c r="AB74" s="56">
        <v>65</v>
      </c>
      <c r="AC74" s="56" t="str">
        <f>IF(ID!$B$82=AA74,AB74,"")</f>
        <v/>
      </c>
      <c r="AD74" s="56"/>
    </row>
    <row r="75" spans="2:34" x14ac:dyDescent="0.25">
      <c r="B75" s="48">
        <v>0</v>
      </c>
      <c r="C75" s="61">
        <v>0</v>
      </c>
      <c r="D75" s="1165" t="s">
        <v>383</v>
      </c>
      <c r="F75" s="48">
        <v>0</v>
      </c>
      <c r="G75" s="61">
        <v>0</v>
      </c>
      <c r="H75" s="1165" t="s">
        <v>384</v>
      </c>
      <c r="I75" s="62"/>
      <c r="J75" s="48">
        <v>0</v>
      </c>
      <c r="K75" s="51">
        <v>0</v>
      </c>
      <c r="L75" s="132">
        <v>0.1</v>
      </c>
      <c r="M75" s="1181" t="s">
        <v>382</v>
      </c>
      <c r="N75" s="86"/>
      <c r="O75" s="48">
        <f t="shared" ref="O75:O81" si="39">J75</f>
        <v>0</v>
      </c>
      <c r="P75" s="508"/>
      <c r="Q75" s="508"/>
      <c r="R75" s="508"/>
      <c r="S75" s="90"/>
      <c r="T75" s="52"/>
      <c r="U75" s="534">
        <f>C75</f>
        <v>0</v>
      </c>
      <c r="V75" s="529">
        <f>G75</f>
        <v>0</v>
      </c>
      <c r="W75" s="529">
        <f>K75</f>
        <v>0</v>
      </c>
      <c r="X75" s="54">
        <f>0.5*(MAX(U75:W75)-(MIN(U75:W75)))</f>
        <v>0</v>
      </c>
      <c r="Y75" s="133">
        <f>L75</f>
        <v>0.1</v>
      </c>
      <c r="Z75" s="3" t="s">
        <v>416</v>
      </c>
      <c r="AA75" s="24" t="s">
        <v>830</v>
      </c>
      <c r="AB75" s="56">
        <v>66</v>
      </c>
      <c r="AC75" s="56" t="str">
        <f>IF(ID!$B$82=AA75,AB75,"")</f>
        <v/>
      </c>
      <c r="AD75" s="56"/>
      <c r="AF75" s="24"/>
    </row>
    <row r="76" spans="2:34" x14ac:dyDescent="0.25">
      <c r="B76" s="48">
        <v>50</v>
      </c>
      <c r="C76" s="61">
        <v>-0.1</v>
      </c>
      <c r="D76" s="1166"/>
      <c r="F76" s="48">
        <v>50</v>
      </c>
      <c r="G76" s="61">
        <v>-0.1</v>
      </c>
      <c r="H76" s="1166"/>
      <c r="I76" s="62"/>
      <c r="J76" s="48">
        <v>50</v>
      </c>
      <c r="K76" s="51">
        <v>0</v>
      </c>
      <c r="L76" s="132">
        <v>0.1</v>
      </c>
      <c r="M76" s="1182"/>
      <c r="N76" s="86"/>
      <c r="O76" s="48">
        <f t="shared" si="39"/>
        <v>50</v>
      </c>
      <c r="P76" s="508"/>
      <c r="Q76" s="508"/>
      <c r="R76" s="508"/>
      <c r="S76" s="90"/>
      <c r="T76" s="52"/>
      <c r="U76" s="534">
        <f t="shared" ref="U76:U81" si="40">C76</f>
        <v>-0.1</v>
      </c>
      <c r="V76" s="529">
        <f t="shared" ref="V76:V81" si="41">G76</f>
        <v>-0.1</v>
      </c>
      <c r="W76" s="529">
        <f t="shared" ref="W76:W81" si="42">K76</f>
        <v>0</v>
      </c>
      <c r="X76" s="54">
        <f t="shared" ref="X76:X81" si="43">0.5*(MAX(U76:W76)-(MIN(U76:W76)))</f>
        <v>0.05</v>
      </c>
      <c r="Y76" s="133">
        <f t="shared" ref="Y76:Y81" si="44">L76</f>
        <v>0.1</v>
      </c>
      <c r="Z76" s="3"/>
      <c r="AA76" s="24" t="s">
        <v>830</v>
      </c>
      <c r="AB76" s="56">
        <v>67</v>
      </c>
      <c r="AC76" s="56" t="str">
        <f>IF(ID!$B$82=AA76,AB76,"")</f>
        <v/>
      </c>
      <c r="AD76" s="56"/>
    </row>
    <row r="77" spans="2:34" x14ac:dyDescent="0.25">
      <c r="B77" s="48">
        <v>100</v>
      </c>
      <c r="C77" s="61">
        <v>-0.2</v>
      </c>
      <c r="D77" s="1166"/>
      <c r="F77" s="48">
        <v>100</v>
      </c>
      <c r="G77" s="61">
        <v>-0.2</v>
      </c>
      <c r="H77" s="1166"/>
      <c r="I77" s="62"/>
      <c r="J77" s="48">
        <v>100</v>
      </c>
      <c r="K77" s="51">
        <v>0.2</v>
      </c>
      <c r="L77" s="132">
        <v>0.1</v>
      </c>
      <c r="M77" s="1182"/>
      <c r="N77" s="86"/>
      <c r="O77" s="48">
        <f t="shared" si="39"/>
        <v>100</v>
      </c>
      <c r="P77" s="508"/>
      <c r="Q77" s="508"/>
      <c r="R77" s="508"/>
      <c r="S77" s="90"/>
      <c r="T77" s="52"/>
      <c r="U77" s="534">
        <f t="shared" si="40"/>
        <v>-0.2</v>
      </c>
      <c r="V77" s="529">
        <f t="shared" si="41"/>
        <v>-0.2</v>
      </c>
      <c r="W77" s="529">
        <f t="shared" si="42"/>
        <v>0.2</v>
      </c>
      <c r="X77" s="54">
        <f t="shared" si="43"/>
        <v>0.2</v>
      </c>
      <c r="Y77" s="133">
        <f t="shared" si="44"/>
        <v>0.1</v>
      </c>
      <c r="Z77" s="3"/>
      <c r="AA77" s="24" t="s">
        <v>830</v>
      </c>
      <c r="AB77" s="56">
        <v>68</v>
      </c>
      <c r="AC77" s="56" t="str">
        <f>IF(ID!$B$82=AA77,AB77,"")</f>
        <v/>
      </c>
      <c r="AD77" s="56"/>
    </row>
    <row r="78" spans="2:34" x14ac:dyDescent="0.25">
      <c r="B78" s="48">
        <v>150</v>
      </c>
      <c r="C78" s="61">
        <v>-0.3</v>
      </c>
      <c r="D78" s="1166"/>
      <c r="F78" s="48">
        <v>150</v>
      </c>
      <c r="G78" s="61">
        <v>-0.3</v>
      </c>
      <c r="H78" s="1166"/>
      <c r="I78" s="62"/>
      <c r="J78" s="48">
        <v>150</v>
      </c>
      <c r="K78" s="51">
        <v>0.4</v>
      </c>
      <c r="L78" s="132">
        <v>0.1</v>
      </c>
      <c r="M78" s="1182"/>
      <c r="N78" s="86"/>
      <c r="O78" s="48">
        <f t="shared" si="39"/>
        <v>150</v>
      </c>
      <c r="P78" s="508"/>
      <c r="Q78" s="508"/>
      <c r="R78" s="508"/>
      <c r="S78" s="90"/>
      <c r="T78" s="52"/>
      <c r="U78" s="534">
        <f t="shared" si="40"/>
        <v>-0.3</v>
      </c>
      <c r="V78" s="529">
        <f t="shared" si="41"/>
        <v>-0.3</v>
      </c>
      <c r="W78" s="529">
        <f t="shared" si="42"/>
        <v>0.4</v>
      </c>
      <c r="X78" s="54">
        <f t="shared" si="43"/>
        <v>0.35</v>
      </c>
      <c r="Y78" s="133">
        <f t="shared" si="44"/>
        <v>0.1</v>
      </c>
      <c r="Z78" s="3"/>
      <c r="AA78" s="24" t="s">
        <v>830</v>
      </c>
      <c r="AB78" s="56">
        <v>69</v>
      </c>
      <c r="AC78" s="56" t="str">
        <f>IF(ID!$B$82=AA78,AB78,"")</f>
        <v/>
      </c>
      <c r="AD78" s="56"/>
    </row>
    <row r="79" spans="2:34" x14ac:dyDescent="0.25">
      <c r="B79" s="48">
        <v>200</v>
      </c>
      <c r="C79" s="61">
        <v>-0.4</v>
      </c>
      <c r="D79" s="1166"/>
      <c r="F79" s="48">
        <v>200</v>
      </c>
      <c r="G79" s="61">
        <v>-0.4</v>
      </c>
      <c r="H79" s="1166"/>
      <c r="I79" s="62"/>
      <c r="J79" s="48">
        <v>200</v>
      </c>
      <c r="K79" s="51">
        <v>0.5</v>
      </c>
      <c r="L79" s="132">
        <v>0.1</v>
      </c>
      <c r="M79" s="1182"/>
      <c r="N79" s="86"/>
      <c r="O79" s="48">
        <f t="shared" si="39"/>
        <v>200</v>
      </c>
      <c r="P79" s="508"/>
      <c r="Q79" s="508"/>
      <c r="R79" s="508"/>
      <c r="S79" s="90"/>
      <c r="T79" s="52"/>
      <c r="U79" s="534">
        <f t="shared" si="40"/>
        <v>-0.4</v>
      </c>
      <c r="V79" s="529">
        <f t="shared" si="41"/>
        <v>-0.4</v>
      </c>
      <c r="W79" s="529">
        <f t="shared" si="42"/>
        <v>0.5</v>
      </c>
      <c r="X79" s="54">
        <f t="shared" si="43"/>
        <v>0.45</v>
      </c>
      <c r="Y79" s="133">
        <f t="shared" si="44"/>
        <v>0.1</v>
      </c>
      <c r="Z79" s="3"/>
      <c r="AA79" s="24" t="s">
        <v>830</v>
      </c>
      <c r="AB79" s="56">
        <v>70</v>
      </c>
      <c r="AC79" s="56" t="str">
        <f>IF(ID!$B$82=AA79,AB79,"")</f>
        <v/>
      </c>
      <c r="AD79" s="56"/>
    </row>
    <row r="80" spans="2:34" x14ac:dyDescent="0.25">
      <c r="B80" s="48">
        <v>250</v>
      </c>
      <c r="C80" s="61">
        <v>-0.5</v>
      </c>
      <c r="D80" s="1166"/>
      <c r="F80" s="48">
        <v>250</v>
      </c>
      <c r="G80" s="61">
        <v>-0.5</v>
      </c>
      <c r="H80" s="1166"/>
      <c r="I80" s="62"/>
      <c r="J80" s="48">
        <v>250</v>
      </c>
      <c r="K80" s="51">
        <v>0.7</v>
      </c>
      <c r="L80" s="132">
        <v>0.1</v>
      </c>
      <c r="M80" s="1182"/>
      <c r="N80" s="86"/>
      <c r="O80" s="48">
        <f t="shared" si="39"/>
        <v>250</v>
      </c>
      <c r="P80" s="508"/>
      <c r="Q80" s="508"/>
      <c r="R80" s="508"/>
      <c r="S80" s="90"/>
      <c r="T80" s="52"/>
      <c r="U80" s="534">
        <f t="shared" si="40"/>
        <v>-0.5</v>
      </c>
      <c r="V80" s="529">
        <f t="shared" si="41"/>
        <v>-0.5</v>
      </c>
      <c r="W80" s="529">
        <f t="shared" si="42"/>
        <v>0.7</v>
      </c>
      <c r="X80" s="54">
        <f t="shared" si="43"/>
        <v>0.6</v>
      </c>
      <c r="Y80" s="133">
        <f t="shared" si="44"/>
        <v>0.1</v>
      </c>
      <c r="Z80" s="3"/>
      <c r="AA80" s="24" t="s">
        <v>830</v>
      </c>
      <c r="AB80" s="56">
        <v>71</v>
      </c>
      <c r="AC80" s="56" t="str">
        <f>IF(ID!$B$82=AA80,AB80,"")</f>
        <v/>
      </c>
      <c r="AD80" s="56"/>
    </row>
    <row r="81" spans="2:34" x14ac:dyDescent="0.25">
      <c r="B81" s="48">
        <v>300</v>
      </c>
      <c r="C81" s="61">
        <v>-0.5</v>
      </c>
      <c r="D81" s="1167"/>
      <c r="F81" s="48">
        <v>300</v>
      </c>
      <c r="G81" s="61">
        <v>-0.5</v>
      </c>
      <c r="H81" s="1167"/>
      <c r="I81" s="62"/>
      <c r="J81" s="48">
        <v>300</v>
      </c>
      <c r="K81" s="51">
        <v>0.9</v>
      </c>
      <c r="L81" s="132">
        <v>0.1</v>
      </c>
      <c r="M81" s="1183"/>
      <c r="N81" s="86"/>
      <c r="O81" s="48">
        <f t="shared" si="39"/>
        <v>300</v>
      </c>
      <c r="P81" s="508"/>
      <c r="Q81" s="508"/>
      <c r="R81" s="508"/>
      <c r="S81" s="90"/>
      <c r="T81" s="52"/>
      <c r="U81" s="534">
        <f t="shared" si="40"/>
        <v>-0.5</v>
      </c>
      <c r="V81" s="529">
        <f t="shared" si="41"/>
        <v>-0.5</v>
      </c>
      <c r="W81" s="529">
        <f t="shared" si="42"/>
        <v>0.9</v>
      </c>
      <c r="X81" s="54">
        <f t="shared" si="43"/>
        <v>0.7</v>
      </c>
      <c r="Y81" s="133">
        <f t="shared" si="44"/>
        <v>0.1</v>
      </c>
      <c r="Z81" s="3"/>
      <c r="AA81" s="24" t="s">
        <v>830</v>
      </c>
      <c r="AB81" s="56">
        <v>72</v>
      </c>
      <c r="AC81" s="56" t="str">
        <f>IF(ID!$B$82=AA81,AB81,"")</f>
        <v/>
      </c>
      <c r="AD81" s="56"/>
    </row>
    <row r="82" spans="2:34" x14ac:dyDescent="0.25">
      <c r="O82" s="82"/>
      <c r="P82" s="520"/>
      <c r="Q82" s="522"/>
      <c r="R82" s="522"/>
      <c r="S82" s="87"/>
      <c r="T82" s="70"/>
      <c r="U82" s="531"/>
      <c r="V82" s="531"/>
      <c r="W82" s="531"/>
      <c r="X82" s="71"/>
      <c r="Y82" s="72"/>
      <c r="Z82" s="5"/>
      <c r="AA82" s="24"/>
      <c r="AB82" s="56">
        <v>73</v>
      </c>
      <c r="AC82" s="56" t="str">
        <f>IF(ID!$B$82=AA82,AB82,"")</f>
        <v/>
      </c>
      <c r="AD82" s="56"/>
    </row>
    <row r="83" spans="2:34" s="7" customFormat="1" x14ac:dyDescent="0.25">
      <c r="O83" s="82"/>
      <c r="P83" s="520"/>
      <c r="Q83" s="522"/>
      <c r="R83" s="522"/>
      <c r="S83" s="87"/>
      <c r="T83" s="70"/>
      <c r="U83" s="531"/>
      <c r="V83" s="531"/>
      <c r="W83" s="531"/>
      <c r="X83" s="71"/>
      <c r="Y83" s="72"/>
      <c r="Z83" s="5"/>
      <c r="AA83" s="24"/>
      <c r="AB83" s="56">
        <v>74</v>
      </c>
      <c r="AC83" s="56" t="str">
        <f>IF(ID!$B$82=AA83,AB83,"")</f>
        <v/>
      </c>
      <c r="AD83" s="56"/>
    </row>
    <row r="84" spans="2:34" x14ac:dyDescent="0.25">
      <c r="O84" s="82"/>
      <c r="P84" s="520"/>
      <c r="Q84" s="522"/>
      <c r="R84" s="522"/>
      <c r="S84" s="87"/>
      <c r="T84" s="70"/>
      <c r="U84" s="531"/>
      <c r="V84" s="531"/>
      <c r="W84" s="531"/>
      <c r="X84" s="71"/>
      <c r="Y84" s="72"/>
      <c r="Z84" s="5"/>
      <c r="AA84" s="24"/>
      <c r="AB84" s="56">
        <v>75</v>
      </c>
      <c r="AC84" s="56" t="str">
        <f>IF(ID!$B$82=AA84,AB84,"")</f>
        <v/>
      </c>
      <c r="AD84" s="56"/>
    </row>
    <row r="85" spans="2:34" x14ac:dyDescent="0.25">
      <c r="O85" s="82"/>
      <c r="P85" s="520"/>
      <c r="Q85" s="521"/>
      <c r="R85" s="521"/>
      <c r="S85" s="83"/>
      <c r="T85" s="84"/>
      <c r="U85" s="533"/>
      <c r="V85" s="533"/>
      <c r="W85" s="533"/>
      <c r="X85" s="83"/>
      <c r="Y85" s="84"/>
      <c r="Z85" s="3"/>
      <c r="AA85" s="24"/>
      <c r="AB85" s="56">
        <v>76</v>
      </c>
      <c r="AC85" s="56" t="str">
        <f>IF(ID!$B$82=AA85,AB85,"")</f>
        <v/>
      </c>
      <c r="AD85" s="56"/>
    </row>
    <row r="86" spans="2:34" s="7" customFormat="1" x14ac:dyDescent="0.25">
      <c r="O86" s="85"/>
      <c r="P86" s="504"/>
      <c r="Q86" s="505"/>
      <c r="R86" s="505"/>
      <c r="S86" s="34"/>
      <c r="T86" s="4"/>
      <c r="U86" s="524"/>
      <c r="V86" s="524"/>
      <c r="W86" s="524"/>
      <c r="X86" s="34"/>
      <c r="Y86" s="4"/>
      <c r="AB86" s="56">
        <v>77</v>
      </c>
      <c r="AC86" s="56" t="str">
        <f>IF(ID!$B$82=AA86,AB86,"")</f>
        <v/>
      </c>
      <c r="AD86" s="56"/>
    </row>
    <row r="87" spans="2:34" s="4" customFormat="1" x14ac:dyDescent="0.25">
      <c r="O87" s="58"/>
      <c r="P87" s="504"/>
      <c r="Q87" s="505"/>
      <c r="R87" s="505"/>
      <c r="S87" s="34"/>
      <c r="U87" s="524"/>
      <c r="V87" s="524"/>
      <c r="W87" s="524"/>
      <c r="X87" s="34"/>
      <c r="AB87" s="56">
        <v>78</v>
      </c>
      <c r="AC87" s="56" t="str">
        <f>IF(ID!$B$82=AA87,AB87,"")</f>
        <v/>
      </c>
      <c r="AD87" s="56"/>
    </row>
    <row r="88" spans="2:34" s="4" customFormat="1" x14ac:dyDescent="0.25">
      <c r="O88" s="58"/>
      <c r="P88" s="504"/>
      <c r="Q88" s="505"/>
      <c r="R88" s="505"/>
      <c r="S88" s="34"/>
      <c r="U88" s="524"/>
      <c r="V88" s="524"/>
      <c r="W88" s="524"/>
      <c r="X88" s="34"/>
      <c r="AB88" s="56">
        <v>79</v>
      </c>
      <c r="AC88" s="56" t="str">
        <f>IF(ID!$B$82=AA88,AB88,"")</f>
        <v/>
      </c>
      <c r="AD88" s="56"/>
      <c r="AE88" s="1"/>
      <c r="AF88" s="1"/>
      <c r="AG88" s="1"/>
      <c r="AH88" s="1"/>
    </row>
    <row r="89" spans="2:34" x14ac:dyDescent="0.25">
      <c r="O89" s="59"/>
      <c r="P89" s="509"/>
      <c r="Q89" s="510"/>
      <c r="R89" s="511"/>
      <c r="S89" s="60"/>
      <c r="AB89" s="56">
        <v>80</v>
      </c>
      <c r="AC89" s="56" t="str">
        <f>IF(ID!$B$82=AA89,AB89,"")</f>
        <v/>
      </c>
      <c r="AD89" s="56"/>
    </row>
    <row r="90" spans="2:34" x14ac:dyDescent="0.25">
      <c r="B90" s="48"/>
      <c r="C90" s="61"/>
      <c r="D90" s="78"/>
      <c r="F90" s="48"/>
      <c r="G90" s="51"/>
      <c r="H90" s="78"/>
      <c r="I90" s="62"/>
      <c r="J90" s="48"/>
      <c r="K90" s="51"/>
      <c r="L90" s="61"/>
      <c r="M90" s="79"/>
      <c r="N90" s="53"/>
      <c r="O90" s="48"/>
      <c r="P90" s="508"/>
      <c r="Q90" s="508"/>
      <c r="R90" s="508"/>
      <c r="S90" s="90"/>
      <c r="T90" s="52"/>
      <c r="U90" s="528"/>
      <c r="V90" s="529"/>
      <c r="W90" s="529"/>
      <c r="X90" s="88"/>
      <c r="Y90" s="64"/>
      <c r="Z90" s="5"/>
      <c r="AA90" s="24" t="s">
        <v>831</v>
      </c>
      <c r="AB90" s="56">
        <v>81</v>
      </c>
      <c r="AC90" s="56" t="str">
        <f>IF(ID!$B$82=AA90,AB90,"")</f>
        <v/>
      </c>
      <c r="AD90" s="56"/>
    </row>
    <row r="91" spans="2:34" x14ac:dyDescent="0.25">
      <c r="B91" s="48"/>
      <c r="C91" s="61"/>
      <c r="D91" s="78"/>
      <c r="F91" s="48"/>
      <c r="G91" s="51"/>
      <c r="H91" s="78"/>
      <c r="I91" s="62"/>
      <c r="J91" s="48"/>
      <c r="K91" s="51"/>
      <c r="L91" s="61"/>
      <c r="M91" s="79"/>
      <c r="N91" s="53"/>
      <c r="O91" s="48"/>
      <c r="P91" s="508"/>
      <c r="Q91" s="508"/>
      <c r="R91" s="508"/>
      <c r="S91" s="90"/>
      <c r="T91" s="52"/>
      <c r="U91" s="528"/>
      <c r="V91" s="529"/>
      <c r="W91" s="529"/>
      <c r="X91" s="88"/>
      <c r="Y91" s="64"/>
      <c r="Z91" s="5"/>
      <c r="AA91" s="24" t="s">
        <v>370</v>
      </c>
      <c r="AB91" s="56">
        <v>82</v>
      </c>
      <c r="AC91" s="56" t="str">
        <f>IF(ID!$B$82=AA91,AB91,"")</f>
        <v/>
      </c>
      <c r="AD91" s="56"/>
    </row>
    <row r="92" spans="2:34" x14ac:dyDescent="0.25">
      <c r="B92" s="48"/>
      <c r="C92" s="61"/>
      <c r="D92" s="78"/>
      <c r="F92" s="48"/>
      <c r="G92" s="51"/>
      <c r="H92" s="78"/>
      <c r="I92" s="62"/>
      <c r="J92" s="48"/>
      <c r="K92" s="51"/>
      <c r="L92" s="61"/>
      <c r="M92" s="79"/>
      <c r="N92" s="53"/>
      <c r="O92" s="48"/>
      <c r="P92" s="508"/>
      <c r="Q92" s="508"/>
      <c r="R92" s="508"/>
      <c r="S92" s="90"/>
      <c r="T92" s="52"/>
      <c r="U92" s="528"/>
      <c r="V92" s="529"/>
      <c r="W92" s="529"/>
      <c r="X92" s="88"/>
      <c r="Y92" s="64"/>
      <c r="Z92" s="5"/>
      <c r="AA92" s="24" t="s">
        <v>370</v>
      </c>
      <c r="AB92" s="56">
        <v>83</v>
      </c>
      <c r="AC92" s="56" t="str">
        <f>IF(ID!$B$82=AA92,AB92,"")</f>
        <v/>
      </c>
      <c r="AD92" s="56"/>
    </row>
    <row r="93" spans="2:34" x14ac:dyDescent="0.25">
      <c r="B93" s="48"/>
      <c r="C93" s="61"/>
      <c r="D93" s="78"/>
      <c r="F93" s="48"/>
      <c r="G93" s="51"/>
      <c r="H93" s="78"/>
      <c r="I93" s="62"/>
      <c r="J93" s="48"/>
      <c r="K93" s="51"/>
      <c r="L93" s="61"/>
      <c r="M93" s="79"/>
      <c r="N93" s="53"/>
      <c r="O93" s="48"/>
      <c r="P93" s="508"/>
      <c r="Q93" s="508"/>
      <c r="R93" s="508"/>
      <c r="S93" s="90"/>
      <c r="T93" s="52"/>
      <c r="U93" s="528"/>
      <c r="V93" s="529"/>
      <c r="W93" s="529"/>
      <c r="X93" s="88"/>
      <c r="Y93" s="64"/>
      <c r="Z93" s="5"/>
      <c r="AA93" s="24" t="s">
        <v>370</v>
      </c>
      <c r="AB93" s="56">
        <v>84</v>
      </c>
      <c r="AC93" s="56" t="str">
        <f>IF(ID!$B$82=AA93,AB93,"")</f>
        <v/>
      </c>
      <c r="AD93" s="56"/>
    </row>
    <row r="94" spans="2:34" x14ac:dyDescent="0.25">
      <c r="B94" s="48"/>
      <c r="C94" s="61"/>
      <c r="D94" s="78"/>
      <c r="F94" s="48"/>
      <c r="G94" s="51"/>
      <c r="H94" s="78"/>
      <c r="I94" s="62"/>
      <c r="J94" s="48"/>
      <c r="K94" s="51"/>
      <c r="L94" s="61"/>
      <c r="M94" s="79"/>
      <c r="N94" s="53"/>
      <c r="O94" s="48"/>
      <c r="P94" s="508"/>
      <c r="Q94" s="508"/>
      <c r="R94" s="508"/>
      <c r="S94" s="90"/>
      <c r="T94" s="52"/>
      <c r="U94" s="528"/>
      <c r="V94" s="529"/>
      <c r="W94" s="529"/>
      <c r="X94" s="88"/>
      <c r="Y94" s="64"/>
      <c r="Z94" s="5"/>
      <c r="AA94" s="24" t="s">
        <v>370</v>
      </c>
      <c r="AB94" s="56">
        <v>85</v>
      </c>
      <c r="AC94" s="56" t="str">
        <f>IF(ID!$B$82=AA94,AB94,"")</f>
        <v/>
      </c>
      <c r="AD94" s="56"/>
    </row>
    <row r="95" spans="2:34" x14ac:dyDescent="0.25">
      <c r="B95" s="48"/>
      <c r="C95" s="61"/>
      <c r="D95" s="78"/>
      <c r="F95" s="48"/>
      <c r="G95" s="51"/>
      <c r="H95" s="78"/>
      <c r="I95" s="62"/>
      <c r="J95" s="48"/>
      <c r="K95" s="51"/>
      <c r="L95" s="61"/>
      <c r="M95" s="79"/>
      <c r="N95" s="53"/>
      <c r="O95" s="48"/>
      <c r="P95" s="508"/>
      <c r="Q95" s="508"/>
      <c r="R95" s="508"/>
      <c r="S95" s="90"/>
      <c r="T95" s="52"/>
      <c r="U95" s="528"/>
      <c r="V95" s="529"/>
      <c r="W95" s="529"/>
      <c r="X95" s="88"/>
      <c r="Y95" s="64"/>
      <c r="Z95" s="5"/>
      <c r="AA95" s="24" t="s">
        <v>370</v>
      </c>
      <c r="AB95" s="56">
        <v>86</v>
      </c>
      <c r="AC95" s="56" t="str">
        <f>IF(ID!$B$82=AA95,AB95,"")</f>
        <v/>
      </c>
      <c r="AD95" s="56"/>
    </row>
    <row r="96" spans="2:34" x14ac:dyDescent="0.25">
      <c r="B96" s="48"/>
      <c r="C96" s="61"/>
      <c r="D96" s="78"/>
      <c r="F96" s="48"/>
      <c r="G96" s="51"/>
      <c r="H96" s="78"/>
      <c r="I96" s="62"/>
      <c r="J96" s="48"/>
      <c r="K96" s="51"/>
      <c r="L96" s="61"/>
      <c r="M96" s="79"/>
      <c r="N96" s="53"/>
      <c r="O96" s="48"/>
      <c r="P96" s="508"/>
      <c r="Q96" s="508"/>
      <c r="R96" s="508"/>
      <c r="S96" s="90"/>
      <c r="T96" s="52"/>
      <c r="U96" s="528"/>
      <c r="V96" s="529"/>
      <c r="W96" s="529"/>
      <c r="X96" s="88"/>
      <c r="Y96" s="64"/>
      <c r="Z96" s="5"/>
      <c r="AA96" s="24" t="s">
        <v>370</v>
      </c>
      <c r="AB96" s="56">
        <v>87</v>
      </c>
      <c r="AC96" s="56" t="str">
        <f>IF(ID!$B$82=AA96,AB96,"")</f>
        <v/>
      </c>
      <c r="AD96" s="56"/>
    </row>
    <row r="97" spans="2:30" x14ac:dyDescent="0.25">
      <c r="O97" s="82"/>
      <c r="P97" s="520"/>
      <c r="Q97" s="519"/>
      <c r="R97" s="519"/>
      <c r="S97" s="80"/>
      <c r="T97" s="70"/>
      <c r="U97" s="531"/>
      <c r="V97" s="531"/>
      <c r="W97" s="531"/>
      <c r="X97" s="71"/>
      <c r="Y97" s="72"/>
      <c r="Z97" s="5"/>
      <c r="AA97" s="24" t="s">
        <v>370</v>
      </c>
      <c r="AB97" s="56">
        <v>88</v>
      </c>
      <c r="AC97" s="56" t="str">
        <f>IF(ID!$B$82=AA97,AB97,"")</f>
        <v/>
      </c>
      <c r="AD97" s="56"/>
    </row>
    <row r="98" spans="2:30" s="7" customFormat="1" x14ac:dyDescent="0.25">
      <c r="O98" s="82"/>
      <c r="P98" s="520"/>
      <c r="Q98" s="519"/>
      <c r="R98" s="519"/>
      <c r="S98" s="80"/>
      <c r="T98" s="70"/>
      <c r="U98" s="531"/>
      <c r="V98" s="531"/>
      <c r="W98" s="531"/>
      <c r="X98" s="71"/>
      <c r="Y98" s="72"/>
      <c r="Z98" s="5"/>
      <c r="AA98" s="24" t="s">
        <v>370</v>
      </c>
      <c r="AB98" s="56">
        <v>89</v>
      </c>
      <c r="AC98" s="56" t="str">
        <f>IF(ID!$B$82=AA98,AB98,"")</f>
        <v/>
      </c>
      <c r="AD98" s="56"/>
    </row>
    <row r="99" spans="2:30" x14ac:dyDescent="0.25">
      <c r="O99" s="82"/>
      <c r="P99" s="520"/>
      <c r="Q99" s="519"/>
      <c r="R99" s="519"/>
      <c r="S99" s="80"/>
      <c r="T99" s="70"/>
      <c r="U99" s="531"/>
      <c r="V99" s="531"/>
      <c r="W99" s="531"/>
      <c r="X99" s="71"/>
      <c r="Y99" s="72"/>
      <c r="Z99" s="5"/>
      <c r="AA99" s="24" t="s">
        <v>370</v>
      </c>
      <c r="AB99" s="56">
        <v>90</v>
      </c>
      <c r="AC99" s="56" t="str">
        <f>IF(ID!$B$82=AA99,AB99,"")</f>
        <v/>
      </c>
      <c r="AD99" s="56"/>
    </row>
    <row r="100" spans="2:30" x14ac:dyDescent="0.25">
      <c r="D100" s="7"/>
      <c r="H100" s="7"/>
      <c r="I100" s="7"/>
      <c r="J100" s="7"/>
      <c r="K100" s="7"/>
      <c r="L100" s="7"/>
      <c r="M100" s="7"/>
      <c r="N100" s="7"/>
      <c r="O100" s="48"/>
      <c r="P100" s="508"/>
      <c r="Q100" s="519"/>
      <c r="R100" s="519"/>
      <c r="S100" s="80"/>
      <c r="T100" s="70"/>
      <c r="U100" s="531"/>
      <c r="V100" s="531"/>
      <c r="W100" s="531"/>
      <c r="X100" s="71"/>
      <c r="Y100" s="72"/>
      <c r="Z100" s="5"/>
      <c r="AA100" s="24"/>
      <c r="AB100" s="56">
        <v>91</v>
      </c>
      <c r="AC100" s="56" t="str">
        <f>IF(ID!$B$82=AA100,AB100,"")</f>
        <v/>
      </c>
      <c r="AD100" s="56"/>
    </row>
    <row r="101" spans="2:30" s="7" customFormat="1" x14ac:dyDescent="0.25">
      <c r="O101" s="85"/>
      <c r="P101" s="504"/>
      <c r="Q101" s="505"/>
      <c r="R101" s="505"/>
      <c r="S101" s="34"/>
      <c r="T101" s="4"/>
      <c r="U101" s="524"/>
      <c r="V101" s="524"/>
      <c r="W101" s="524"/>
      <c r="X101" s="34"/>
      <c r="Y101" s="4"/>
      <c r="AB101" s="56">
        <v>92</v>
      </c>
      <c r="AC101" s="56" t="str">
        <f>IF(ID!$B$82=AA101,AB101,"")</f>
        <v/>
      </c>
      <c r="AD101" s="56"/>
    </row>
    <row r="102" spans="2:30" s="4" customFormat="1" x14ac:dyDescent="0.25">
      <c r="O102" s="58"/>
      <c r="P102" s="504"/>
      <c r="Q102" s="505"/>
      <c r="R102" s="505"/>
      <c r="S102" s="34"/>
      <c r="U102" s="524"/>
      <c r="V102" s="524"/>
      <c r="W102" s="524"/>
      <c r="X102" s="34"/>
      <c r="AB102" s="56">
        <v>93</v>
      </c>
      <c r="AC102" s="56" t="str">
        <f>IF(ID!$B$82=AA102,AB102,"")</f>
        <v/>
      </c>
      <c r="AD102" s="56"/>
    </row>
    <row r="103" spans="2:30" x14ac:dyDescent="0.25">
      <c r="D103" s="4"/>
      <c r="H103" s="4"/>
      <c r="I103" s="4"/>
      <c r="K103" s="4"/>
      <c r="M103" s="4"/>
      <c r="N103" s="4"/>
      <c r="O103" s="1178"/>
      <c r="P103" s="1178"/>
      <c r="Q103" s="1178"/>
      <c r="R103" s="1178"/>
      <c r="S103" s="1178"/>
      <c r="T103" s="1178"/>
      <c r="U103" s="525"/>
      <c r="V103" s="1179" t="s">
        <v>361</v>
      </c>
      <c r="W103" s="1180"/>
      <c r="X103" s="1180"/>
      <c r="Y103" s="1180"/>
      <c r="Z103" s="4"/>
      <c r="AA103" s="4"/>
      <c r="AB103" s="56">
        <v>94</v>
      </c>
      <c r="AC103" s="56" t="str">
        <f>IF(ID!$B$82=AA103,AB103,"")</f>
        <v/>
      </c>
      <c r="AD103" s="56"/>
    </row>
    <row r="104" spans="2:30" x14ac:dyDescent="0.25">
      <c r="B104" s="1171" t="s">
        <v>409</v>
      </c>
      <c r="C104" s="1172"/>
      <c r="D104" s="1173"/>
      <c r="F104" s="1171" t="s">
        <v>410</v>
      </c>
      <c r="G104" s="1172"/>
      <c r="H104" s="1173"/>
      <c r="I104" s="32"/>
      <c r="J104" s="1171" t="s">
        <v>358</v>
      </c>
      <c r="K104" s="1172"/>
      <c r="L104" s="1172"/>
      <c r="M104" s="1173"/>
      <c r="O104" s="41" t="s">
        <v>170</v>
      </c>
      <c r="P104" s="506"/>
      <c r="Q104" s="507"/>
      <c r="R104" s="507"/>
      <c r="S104" s="44"/>
      <c r="T104" s="45"/>
      <c r="U104" s="526" t="s">
        <v>412</v>
      </c>
      <c r="V104" s="527" t="s">
        <v>411</v>
      </c>
      <c r="W104" s="527" t="s">
        <v>366</v>
      </c>
      <c r="X104" s="44" t="s">
        <v>367</v>
      </c>
      <c r="Y104" s="45" t="s">
        <v>368</v>
      </c>
      <c r="AB104" s="56">
        <v>95</v>
      </c>
      <c r="AC104" s="56" t="str">
        <f>IF(ID!$B$82=AA104,AB104,"")</f>
        <v/>
      </c>
      <c r="AD104" s="56"/>
    </row>
    <row r="105" spans="2:30" x14ac:dyDescent="0.25">
      <c r="B105" s="48">
        <v>0</v>
      </c>
      <c r="C105" s="61" t="s">
        <v>99</v>
      </c>
      <c r="D105" s="1168"/>
      <c r="F105" s="48">
        <v>0</v>
      </c>
      <c r="G105" s="61" t="s">
        <v>99</v>
      </c>
      <c r="H105" s="1181"/>
      <c r="I105" s="62"/>
      <c r="J105" s="48">
        <v>0</v>
      </c>
      <c r="K105" s="51">
        <v>0</v>
      </c>
      <c r="L105" s="52">
        <v>0.2</v>
      </c>
      <c r="M105" s="1184" t="s">
        <v>737</v>
      </c>
      <c r="N105" s="53"/>
      <c r="O105" s="48">
        <v>0</v>
      </c>
      <c r="P105" s="508"/>
      <c r="Q105" s="508"/>
      <c r="R105" s="508"/>
      <c r="S105" s="90"/>
      <c r="T105" s="52"/>
      <c r="U105" s="534" t="str">
        <f>C105</f>
        <v>-</v>
      </c>
      <c r="V105" s="529" t="str">
        <f>G105</f>
        <v>-</v>
      </c>
      <c r="W105" s="529">
        <f>K105</f>
        <v>0</v>
      </c>
      <c r="X105" s="54">
        <f>(1/3)*Y105</f>
        <v>6.6666666666666666E-2</v>
      </c>
      <c r="Y105" s="55">
        <f>L105</f>
        <v>0.2</v>
      </c>
      <c r="Z105" s="3" t="s">
        <v>416</v>
      </c>
      <c r="AA105" s="24" t="s">
        <v>858</v>
      </c>
      <c r="AB105" s="56">
        <v>96</v>
      </c>
      <c r="AC105" s="56" t="str">
        <f>IF(ID!$B$82=AA105,AB105,"")</f>
        <v/>
      </c>
      <c r="AD105" s="56"/>
    </row>
    <row r="106" spans="2:30" x14ac:dyDescent="0.25">
      <c r="B106" s="48">
        <v>50</v>
      </c>
      <c r="C106" s="61" t="s">
        <v>99</v>
      </c>
      <c r="D106" s="1169"/>
      <c r="F106" s="48">
        <v>50</v>
      </c>
      <c r="G106" s="61" t="s">
        <v>99</v>
      </c>
      <c r="H106" s="1182"/>
      <c r="I106" s="62"/>
      <c r="J106" s="48">
        <v>50</v>
      </c>
      <c r="K106" s="51">
        <v>0.1</v>
      </c>
      <c r="L106" s="52">
        <v>0.2</v>
      </c>
      <c r="M106" s="1185"/>
      <c r="N106" s="53"/>
      <c r="O106" s="48">
        <f t="shared" ref="O106:O111" si="45">J106</f>
        <v>50</v>
      </c>
      <c r="P106" s="508"/>
      <c r="Q106" s="508"/>
      <c r="R106" s="508"/>
      <c r="S106" s="90"/>
      <c r="T106" s="52"/>
      <c r="U106" s="534" t="str">
        <f t="shared" ref="U106:U111" si="46">C106</f>
        <v>-</v>
      </c>
      <c r="V106" s="529" t="str">
        <f t="shared" ref="V106:V111" si="47">G106</f>
        <v>-</v>
      </c>
      <c r="W106" s="529">
        <f t="shared" ref="W106:W111" si="48">K106</f>
        <v>0.1</v>
      </c>
      <c r="X106" s="54">
        <f t="shared" ref="X106:X111" si="49">(1/3)*Y106</f>
        <v>6.6666666666666666E-2</v>
      </c>
      <c r="Y106" s="55">
        <f t="shared" ref="Y106:Y111" si="50">L106</f>
        <v>0.2</v>
      </c>
      <c r="Z106" s="3"/>
      <c r="AA106" s="24" t="s">
        <v>858</v>
      </c>
      <c r="AB106" s="56">
        <v>97</v>
      </c>
      <c r="AC106" s="56" t="str">
        <f>IF(ID!$B$82=AA106,AB106,"")</f>
        <v/>
      </c>
      <c r="AD106" s="56"/>
    </row>
    <row r="107" spans="2:30" x14ac:dyDescent="0.25">
      <c r="B107" s="48">
        <v>100</v>
      </c>
      <c r="C107" s="61" t="s">
        <v>99</v>
      </c>
      <c r="D107" s="1169"/>
      <c r="F107" s="48">
        <v>100</v>
      </c>
      <c r="G107" s="61" t="s">
        <v>99</v>
      </c>
      <c r="H107" s="1182"/>
      <c r="I107" s="62"/>
      <c r="J107" s="48">
        <v>100</v>
      </c>
      <c r="K107" s="51">
        <v>0.2</v>
      </c>
      <c r="L107" s="52">
        <v>0.2</v>
      </c>
      <c r="M107" s="1185"/>
      <c r="N107" s="53"/>
      <c r="O107" s="48">
        <f t="shared" si="45"/>
        <v>100</v>
      </c>
      <c r="P107" s="508"/>
      <c r="Q107" s="508"/>
      <c r="R107" s="508"/>
      <c r="S107" s="90"/>
      <c r="T107" s="52"/>
      <c r="U107" s="534" t="str">
        <f t="shared" si="46"/>
        <v>-</v>
      </c>
      <c r="V107" s="529" t="str">
        <f t="shared" si="47"/>
        <v>-</v>
      </c>
      <c r="W107" s="529">
        <f t="shared" si="48"/>
        <v>0.2</v>
      </c>
      <c r="X107" s="54">
        <f t="shared" si="49"/>
        <v>6.6666666666666666E-2</v>
      </c>
      <c r="Y107" s="55">
        <f t="shared" si="50"/>
        <v>0.2</v>
      </c>
      <c r="Z107" s="3"/>
      <c r="AA107" s="24" t="s">
        <v>858</v>
      </c>
      <c r="AB107" s="56">
        <v>98</v>
      </c>
      <c r="AC107" s="56" t="str">
        <f>IF(ID!$B$82=AA107,AB107,"")</f>
        <v/>
      </c>
      <c r="AD107" s="56"/>
    </row>
    <row r="108" spans="2:30" x14ac:dyDescent="0.25">
      <c r="B108" s="48">
        <v>150</v>
      </c>
      <c r="C108" s="61" t="s">
        <v>99</v>
      </c>
      <c r="D108" s="1169"/>
      <c r="F108" s="48">
        <v>150</v>
      </c>
      <c r="G108" s="61" t="s">
        <v>99</v>
      </c>
      <c r="H108" s="1182"/>
      <c r="I108" s="62"/>
      <c r="J108" s="48">
        <v>150</v>
      </c>
      <c r="K108" s="51">
        <v>0.4</v>
      </c>
      <c r="L108" s="52">
        <v>0.2</v>
      </c>
      <c r="M108" s="1185"/>
      <c r="N108" s="53"/>
      <c r="O108" s="48">
        <f t="shared" si="45"/>
        <v>150</v>
      </c>
      <c r="P108" s="508"/>
      <c r="Q108" s="508"/>
      <c r="R108" s="508"/>
      <c r="S108" s="90"/>
      <c r="T108" s="52"/>
      <c r="U108" s="534" t="str">
        <f t="shared" si="46"/>
        <v>-</v>
      </c>
      <c r="V108" s="529" t="str">
        <f t="shared" si="47"/>
        <v>-</v>
      </c>
      <c r="W108" s="529">
        <f t="shared" si="48"/>
        <v>0.4</v>
      </c>
      <c r="X108" s="54">
        <f t="shared" si="49"/>
        <v>6.6666666666666666E-2</v>
      </c>
      <c r="Y108" s="55">
        <f t="shared" si="50"/>
        <v>0.2</v>
      </c>
      <c r="Z108" s="3"/>
      <c r="AA108" s="24" t="s">
        <v>858</v>
      </c>
      <c r="AB108" s="56">
        <v>99</v>
      </c>
      <c r="AC108" s="56" t="str">
        <f>IF(ID!$B$82=AA108,AB108,"")</f>
        <v/>
      </c>
      <c r="AD108" s="56"/>
    </row>
    <row r="109" spans="2:30" x14ac:dyDescent="0.25">
      <c r="B109" s="48">
        <v>200</v>
      </c>
      <c r="C109" s="61" t="s">
        <v>99</v>
      </c>
      <c r="D109" s="1169"/>
      <c r="F109" s="48">
        <v>200</v>
      </c>
      <c r="G109" s="61" t="s">
        <v>99</v>
      </c>
      <c r="H109" s="1182"/>
      <c r="I109" s="62"/>
      <c r="J109" s="48">
        <v>200</v>
      </c>
      <c r="K109" s="51">
        <v>0.4</v>
      </c>
      <c r="L109" s="52">
        <v>0.2</v>
      </c>
      <c r="M109" s="1185"/>
      <c r="N109" s="53"/>
      <c r="O109" s="48">
        <f t="shared" si="45"/>
        <v>200</v>
      </c>
      <c r="P109" s="508"/>
      <c r="Q109" s="508"/>
      <c r="R109" s="508"/>
      <c r="S109" s="90"/>
      <c r="T109" s="52"/>
      <c r="U109" s="534" t="str">
        <f t="shared" si="46"/>
        <v>-</v>
      </c>
      <c r="V109" s="529" t="str">
        <f t="shared" si="47"/>
        <v>-</v>
      </c>
      <c r="W109" s="529">
        <f t="shared" si="48"/>
        <v>0.4</v>
      </c>
      <c r="X109" s="54">
        <f t="shared" si="49"/>
        <v>6.6666666666666666E-2</v>
      </c>
      <c r="Y109" s="55">
        <f t="shared" si="50"/>
        <v>0.2</v>
      </c>
      <c r="Z109" s="3"/>
      <c r="AA109" s="24" t="s">
        <v>858</v>
      </c>
      <c r="AB109" s="56">
        <v>100</v>
      </c>
      <c r="AC109" s="56" t="str">
        <f>IF(ID!$B$82=AA109,AB109,"")</f>
        <v/>
      </c>
      <c r="AD109" s="56"/>
    </row>
    <row r="110" spans="2:30" x14ac:dyDescent="0.25">
      <c r="B110" s="48">
        <v>250</v>
      </c>
      <c r="C110" s="61" t="s">
        <v>99</v>
      </c>
      <c r="D110" s="1169"/>
      <c r="F110" s="48">
        <v>250</v>
      </c>
      <c r="G110" s="61" t="s">
        <v>99</v>
      </c>
      <c r="H110" s="1182"/>
      <c r="I110" s="62"/>
      <c r="J110" s="48">
        <v>250</v>
      </c>
      <c r="K110" s="51">
        <v>0.6</v>
      </c>
      <c r="L110" s="52">
        <v>0.2</v>
      </c>
      <c r="M110" s="1185"/>
      <c r="N110" s="53"/>
      <c r="O110" s="48">
        <f t="shared" si="45"/>
        <v>250</v>
      </c>
      <c r="P110" s="508"/>
      <c r="Q110" s="508"/>
      <c r="R110" s="508"/>
      <c r="S110" s="90"/>
      <c r="T110" s="52"/>
      <c r="U110" s="534" t="str">
        <f t="shared" si="46"/>
        <v>-</v>
      </c>
      <c r="V110" s="529" t="str">
        <f t="shared" si="47"/>
        <v>-</v>
      </c>
      <c r="W110" s="529">
        <f t="shared" si="48"/>
        <v>0.6</v>
      </c>
      <c r="X110" s="54">
        <f t="shared" si="49"/>
        <v>6.6666666666666666E-2</v>
      </c>
      <c r="Y110" s="55">
        <f t="shared" si="50"/>
        <v>0.2</v>
      </c>
      <c r="Z110" s="3"/>
      <c r="AA110" s="24" t="s">
        <v>858</v>
      </c>
      <c r="AB110" s="56">
        <v>101</v>
      </c>
      <c r="AC110" s="56" t="str">
        <f>IF(ID!$B$82=AA110,AB110,"")</f>
        <v/>
      </c>
      <c r="AD110" s="56"/>
    </row>
    <row r="111" spans="2:30" x14ac:dyDescent="0.25">
      <c r="B111" s="48">
        <v>300</v>
      </c>
      <c r="C111" s="61" t="s">
        <v>99</v>
      </c>
      <c r="D111" s="1170"/>
      <c r="F111" s="48">
        <v>300</v>
      </c>
      <c r="G111" s="61" t="s">
        <v>99</v>
      </c>
      <c r="H111" s="1183"/>
      <c r="I111" s="62"/>
      <c r="J111" s="48">
        <v>300</v>
      </c>
      <c r="K111" s="51">
        <v>0.7</v>
      </c>
      <c r="L111" s="52">
        <v>0.2</v>
      </c>
      <c r="M111" s="1186"/>
      <c r="N111" s="53"/>
      <c r="O111" s="48">
        <f t="shared" si="45"/>
        <v>300</v>
      </c>
      <c r="P111" s="508"/>
      <c r="Q111" s="508"/>
      <c r="R111" s="508"/>
      <c r="S111" s="90"/>
      <c r="T111" s="52"/>
      <c r="U111" s="534" t="str">
        <f t="shared" si="46"/>
        <v>-</v>
      </c>
      <c r="V111" s="529" t="str">
        <f t="shared" si="47"/>
        <v>-</v>
      </c>
      <c r="W111" s="529">
        <f t="shared" si="48"/>
        <v>0.7</v>
      </c>
      <c r="X111" s="54">
        <f t="shared" si="49"/>
        <v>6.6666666666666666E-2</v>
      </c>
      <c r="Y111" s="55">
        <f t="shared" si="50"/>
        <v>0.2</v>
      </c>
      <c r="Z111" s="3"/>
      <c r="AA111" s="24" t="s">
        <v>858</v>
      </c>
      <c r="AB111" s="56">
        <v>102</v>
      </c>
      <c r="AC111" s="56" t="str">
        <f>IF(ID!$B$82=AA111,AB111,"")</f>
        <v/>
      </c>
      <c r="AD111" s="56"/>
    </row>
    <row r="112" spans="2:30" x14ac:dyDescent="0.25">
      <c r="O112" s="82"/>
      <c r="P112" s="520"/>
      <c r="Q112" s="521"/>
      <c r="R112" s="521"/>
      <c r="S112" s="83"/>
      <c r="T112" s="84"/>
      <c r="U112" s="533"/>
      <c r="V112" s="533"/>
      <c r="W112" s="533"/>
      <c r="X112" s="83" t="s">
        <v>783</v>
      </c>
      <c r="Y112" s="84"/>
      <c r="Z112" s="5"/>
      <c r="AA112" s="24"/>
      <c r="AB112" s="56">
        <v>103</v>
      </c>
      <c r="AC112" s="56" t="str">
        <f>IF(ID!$B$82=AA112,AB112,"")</f>
        <v/>
      </c>
      <c r="AD112" s="56"/>
    </row>
    <row r="113" spans="2:30" x14ac:dyDescent="0.25">
      <c r="D113" s="7"/>
      <c r="H113" s="7"/>
      <c r="I113" s="7"/>
      <c r="K113" s="7"/>
      <c r="M113" s="7"/>
      <c r="N113" s="7"/>
      <c r="O113" s="82"/>
      <c r="P113" s="520"/>
      <c r="Q113" s="521"/>
      <c r="R113" s="521"/>
      <c r="S113" s="83"/>
      <c r="T113" s="84"/>
      <c r="U113" s="533"/>
      <c r="V113" s="533"/>
      <c r="W113" s="533"/>
      <c r="X113" s="83"/>
      <c r="Y113" s="84"/>
      <c r="Z113" s="5"/>
      <c r="AA113" s="24"/>
      <c r="AB113" s="56">
        <v>104</v>
      </c>
      <c r="AC113" s="56" t="str">
        <f>IF(ID!$B$82=AA113,AB113,"")</f>
        <v/>
      </c>
      <c r="AD113" s="56"/>
    </row>
    <row r="114" spans="2:30" x14ac:dyDescent="0.25">
      <c r="O114" s="82"/>
      <c r="P114" s="520"/>
      <c r="Q114" s="521"/>
      <c r="R114" s="521"/>
      <c r="S114" s="83"/>
      <c r="T114" s="84"/>
      <c r="U114" s="533"/>
      <c r="V114" s="533"/>
      <c r="W114" s="533"/>
      <c r="X114" s="83"/>
      <c r="Y114" s="84"/>
      <c r="Z114" s="5"/>
      <c r="AA114" s="24"/>
      <c r="AB114" s="56">
        <v>105</v>
      </c>
      <c r="AC114" s="56" t="str">
        <f>IF(ID!$B$82=AA114,AB114,"")</f>
        <v/>
      </c>
      <c r="AD114" s="56"/>
    </row>
    <row r="115" spans="2:30" x14ac:dyDescent="0.25">
      <c r="O115" s="82"/>
      <c r="P115" s="520"/>
      <c r="Q115" s="521"/>
      <c r="R115" s="521"/>
      <c r="S115" s="83"/>
      <c r="T115" s="84"/>
      <c r="U115" s="533"/>
      <c r="V115" s="533"/>
      <c r="W115" s="533"/>
      <c r="X115" s="83"/>
      <c r="Y115" s="84"/>
      <c r="Z115" s="5"/>
      <c r="AA115" s="24"/>
      <c r="AB115" s="56">
        <v>106</v>
      </c>
      <c r="AC115" s="56" t="str">
        <f>IF(ID!$B$82=AA115,AB115,"")</f>
        <v/>
      </c>
      <c r="AD115" s="56"/>
    </row>
    <row r="116" spans="2:30" x14ac:dyDescent="0.25">
      <c r="D116" s="7"/>
      <c r="H116" s="7"/>
      <c r="I116" s="7"/>
      <c r="K116" s="7"/>
      <c r="M116" s="7"/>
      <c r="N116" s="7"/>
      <c r="O116" s="85"/>
      <c r="Z116" s="7"/>
      <c r="AA116" s="7"/>
      <c r="AB116" s="56">
        <v>107</v>
      </c>
      <c r="AC116" s="56" t="str">
        <f>IF(ID!$B$82=AA116,AB116,"")</f>
        <v/>
      </c>
      <c r="AD116" s="56"/>
    </row>
    <row r="117" spans="2:30" x14ac:dyDescent="0.25">
      <c r="D117" s="4"/>
      <c r="H117" s="4"/>
      <c r="I117" s="4"/>
      <c r="K117" s="4"/>
      <c r="M117" s="4"/>
      <c r="N117" s="4"/>
      <c r="O117" s="58"/>
      <c r="Z117" s="4"/>
      <c r="AA117" s="4"/>
      <c r="AB117" s="56">
        <v>108</v>
      </c>
      <c r="AC117" s="56" t="str">
        <f>IF(ID!$B$82=AA117,AB117,"")</f>
        <v/>
      </c>
      <c r="AD117" s="56"/>
    </row>
    <row r="118" spans="2:30" x14ac:dyDescent="0.25">
      <c r="D118" s="4"/>
      <c r="H118" s="4"/>
      <c r="I118" s="4"/>
      <c r="K118" s="4"/>
      <c r="M118" s="4"/>
      <c r="N118" s="4"/>
      <c r="O118" s="1178"/>
      <c r="P118" s="1178"/>
      <c r="Q118" s="1178"/>
      <c r="R118" s="1178"/>
      <c r="S118" s="1178"/>
      <c r="T118" s="1178"/>
      <c r="U118" s="525"/>
      <c r="V118" s="1179" t="s">
        <v>361</v>
      </c>
      <c r="W118" s="1180"/>
      <c r="X118" s="1180"/>
      <c r="Y118" s="1180"/>
      <c r="Z118" s="4"/>
      <c r="AA118" s="4"/>
      <c r="AB118" s="56">
        <v>109</v>
      </c>
      <c r="AC118" s="56" t="str">
        <f>IF(ID!$B$82=AA118,AB118,"")</f>
        <v/>
      </c>
      <c r="AD118" s="56"/>
    </row>
    <row r="119" spans="2:30" x14ac:dyDescent="0.25">
      <c r="O119" s="41" t="s">
        <v>170</v>
      </c>
      <c r="P119" s="506"/>
      <c r="Q119" s="507"/>
      <c r="R119" s="507"/>
      <c r="S119" s="44"/>
      <c r="T119" s="45"/>
      <c r="U119" s="526" t="s">
        <v>412</v>
      </c>
      <c r="V119" s="527" t="s">
        <v>411</v>
      </c>
      <c r="W119" s="527" t="s">
        <v>366</v>
      </c>
      <c r="X119" s="44" t="s">
        <v>367</v>
      </c>
      <c r="Y119" s="45" t="s">
        <v>368</v>
      </c>
      <c r="AB119" s="56">
        <v>110</v>
      </c>
      <c r="AC119" s="56" t="str">
        <f>IF(ID!$B$82=AA119,AB119,"")</f>
        <v/>
      </c>
      <c r="AD119" s="56"/>
    </row>
    <row r="120" spans="2:30" x14ac:dyDescent="0.25">
      <c r="B120" s="48">
        <v>0</v>
      </c>
      <c r="C120" s="61" t="s">
        <v>99</v>
      </c>
      <c r="D120" s="1165"/>
      <c r="F120" s="48">
        <v>0</v>
      </c>
      <c r="G120" s="61" t="s">
        <v>99</v>
      </c>
      <c r="H120" s="1165"/>
      <c r="I120" s="62"/>
      <c r="J120" s="48">
        <v>0</v>
      </c>
      <c r="K120" s="51">
        <v>0</v>
      </c>
      <c r="L120" s="52">
        <v>0.2</v>
      </c>
      <c r="M120" s="1168" t="s">
        <v>699</v>
      </c>
      <c r="N120" s="53"/>
      <c r="O120" s="48">
        <f t="shared" ref="O120:O126" si="51">J120</f>
        <v>0</v>
      </c>
      <c r="P120" s="508"/>
      <c r="Q120" s="508"/>
      <c r="R120" s="508"/>
      <c r="S120" s="90"/>
      <c r="T120" s="52"/>
      <c r="U120" s="534" t="str">
        <f>C120</f>
        <v>-</v>
      </c>
      <c r="V120" s="529" t="str">
        <f>G120</f>
        <v>-</v>
      </c>
      <c r="W120" s="529">
        <f>K120</f>
        <v>0</v>
      </c>
      <c r="X120" s="54">
        <f>(1/3)*Y120</f>
        <v>6.6666666666666666E-2</v>
      </c>
      <c r="Y120" s="55">
        <f>L120</f>
        <v>0.2</v>
      </c>
      <c r="Z120" s="3" t="s">
        <v>416</v>
      </c>
      <c r="AA120" s="24" t="s">
        <v>857</v>
      </c>
      <c r="AB120" s="56">
        <v>111</v>
      </c>
      <c r="AC120" s="56" t="str">
        <f>IF(ID!$B$82=AA120,AB120,"")</f>
        <v/>
      </c>
      <c r="AD120" s="56"/>
    </row>
    <row r="121" spans="2:30" x14ac:dyDescent="0.25">
      <c r="B121" s="48">
        <v>50</v>
      </c>
      <c r="C121" s="61" t="s">
        <v>99</v>
      </c>
      <c r="D121" s="1166"/>
      <c r="F121" s="48">
        <v>50</v>
      </c>
      <c r="G121" s="61" t="s">
        <v>99</v>
      </c>
      <c r="H121" s="1166"/>
      <c r="I121" s="62"/>
      <c r="J121" s="48">
        <v>50</v>
      </c>
      <c r="K121" s="51">
        <v>0.2</v>
      </c>
      <c r="L121" s="52">
        <v>0.2</v>
      </c>
      <c r="M121" s="1169"/>
      <c r="N121" s="53"/>
      <c r="O121" s="48">
        <f t="shared" si="51"/>
        <v>50</v>
      </c>
      <c r="P121" s="508"/>
      <c r="Q121" s="508"/>
      <c r="R121" s="508"/>
      <c r="S121" s="90"/>
      <c r="T121" s="52"/>
      <c r="U121" s="534" t="str">
        <f t="shared" ref="U121:U126" si="52">C121</f>
        <v>-</v>
      </c>
      <c r="V121" s="529" t="str">
        <f t="shared" ref="V121:V126" si="53">G121</f>
        <v>-</v>
      </c>
      <c r="W121" s="529">
        <f t="shared" ref="W121:W126" si="54">K121</f>
        <v>0.2</v>
      </c>
      <c r="X121" s="54">
        <f t="shared" ref="X121:X126" si="55">(1/3)*Y121</f>
        <v>6.6666666666666666E-2</v>
      </c>
      <c r="Y121" s="55">
        <f t="shared" ref="Y121:Y126" si="56">L121</f>
        <v>0.2</v>
      </c>
      <c r="Z121" s="3"/>
      <c r="AA121" s="24" t="s">
        <v>857</v>
      </c>
      <c r="AB121" s="56">
        <v>112</v>
      </c>
      <c r="AC121" s="56" t="str">
        <f>IF(ID!$B$82=AA121,AB121,"")</f>
        <v/>
      </c>
      <c r="AD121" s="56"/>
    </row>
    <row r="122" spans="2:30" x14ac:dyDescent="0.25">
      <c r="B122" s="48">
        <v>100</v>
      </c>
      <c r="C122" s="61" t="s">
        <v>99</v>
      </c>
      <c r="D122" s="1166"/>
      <c r="F122" s="48">
        <v>100</v>
      </c>
      <c r="G122" s="61" t="s">
        <v>99</v>
      </c>
      <c r="H122" s="1166"/>
      <c r="I122" s="62"/>
      <c r="J122" s="48">
        <v>100</v>
      </c>
      <c r="K122" s="51">
        <v>0.4</v>
      </c>
      <c r="L122" s="52">
        <v>0.2</v>
      </c>
      <c r="M122" s="1169"/>
      <c r="N122" s="53"/>
      <c r="O122" s="48">
        <f t="shared" si="51"/>
        <v>100</v>
      </c>
      <c r="P122" s="508"/>
      <c r="Q122" s="508"/>
      <c r="R122" s="508"/>
      <c r="S122" s="90"/>
      <c r="T122" s="52"/>
      <c r="U122" s="534" t="str">
        <f t="shared" si="52"/>
        <v>-</v>
      </c>
      <c r="V122" s="529" t="str">
        <f t="shared" si="53"/>
        <v>-</v>
      </c>
      <c r="W122" s="529">
        <f t="shared" si="54"/>
        <v>0.4</v>
      </c>
      <c r="X122" s="54">
        <f t="shared" si="55"/>
        <v>6.6666666666666666E-2</v>
      </c>
      <c r="Y122" s="55">
        <f t="shared" si="56"/>
        <v>0.2</v>
      </c>
      <c r="Z122" s="3"/>
      <c r="AA122" s="24" t="s">
        <v>857</v>
      </c>
      <c r="AB122" s="56">
        <v>113</v>
      </c>
      <c r="AC122" s="56" t="str">
        <f>IF(ID!$B$82=AA122,AB122,"")</f>
        <v/>
      </c>
      <c r="AD122" s="56"/>
    </row>
    <row r="123" spans="2:30" x14ac:dyDescent="0.25">
      <c r="B123" s="48">
        <v>150</v>
      </c>
      <c r="C123" s="61" t="s">
        <v>99</v>
      </c>
      <c r="D123" s="1166"/>
      <c r="F123" s="48">
        <v>150</v>
      </c>
      <c r="G123" s="61" t="s">
        <v>99</v>
      </c>
      <c r="H123" s="1166"/>
      <c r="I123" s="62"/>
      <c r="J123" s="48">
        <v>150</v>
      </c>
      <c r="K123" s="51">
        <v>0.7</v>
      </c>
      <c r="L123" s="52">
        <v>0.2</v>
      </c>
      <c r="M123" s="1169"/>
      <c r="N123" s="53"/>
      <c r="O123" s="48">
        <f t="shared" si="51"/>
        <v>150</v>
      </c>
      <c r="P123" s="508"/>
      <c r="Q123" s="508"/>
      <c r="R123" s="508"/>
      <c r="S123" s="90"/>
      <c r="T123" s="52"/>
      <c r="U123" s="534" t="str">
        <f t="shared" si="52"/>
        <v>-</v>
      </c>
      <c r="V123" s="529" t="str">
        <f t="shared" si="53"/>
        <v>-</v>
      </c>
      <c r="W123" s="529">
        <f t="shared" si="54"/>
        <v>0.7</v>
      </c>
      <c r="X123" s="54">
        <f t="shared" si="55"/>
        <v>6.6666666666666666E-2</v>
      </c>
      <c r="Y123" s="55">
        <f t="shared" si="56"/>
        <v>0.2</v>
      </c>
      <c r="Z123" s="3"/>
      <c r="AA123" s="24" t="s">
        <v>857</v>
      </c>
      <c r="AB123" s="56">
        <v>114</v>
      </c>
      <c r="AC123" s="56" t="str">
        <f>IF(ID!$B$82=AA123,AB123,"")</f>
        <v/>
      </c>
      <c r="AD123" s="56"/>
    </row>
    <row r="124" spans="2:30" x14ac:dyDescent="0.25">
      <c r="B124" s="48">
        <v>200</v>
      </c>
      <c r="C124" s="61" t="s">
        <v>99</v>
      </c>
      <c r="D124" s="1166"/>
      <c r="F124" s="48">
        <v>200</v>
      </c>
      <c r="G124" s="61" t="s">
        <v>99</v>
      </c>
      <c r="H124" s="1166"/>
      <c r="I124" s="62"/>
      <c r="J124" s="48">
        <v>200</v>
      </c>
      <c r="K124" s="51">
        <v>0.6</v>
      </c>
      <c r="L124" s="52">
        <v>0.2</v>
      </c>
      <c r="M124" s="1169"/>
      <c r="N124" s="53"/>
      <c r="O124" s="48">
        <f t="shared" si="51"/>
        <v>200</v>
      </c>
      <c r="P124" s="508"/>
      <c r="Q124" s="508"/>
      <c r="R124" s="508"/>
      <c r="S124" s="90"/>
      <c r="T124" s="52"/>
      <c r="U124" s="534" t="str">
        <f t="shared" si="52"/>
        <v>-</v>
      </c>
      <c r="V124" s="529" t="str">
        <f t="shared" si="53"/>
        <v>-</v>
      </c>
      <c r="W124" s="529">
        <f t="shared" si="54"/>
        <v>0.6</v>
      </c>
      <c r="X124" s="54">
        <f t="shared" si="55"/>
        <v>6.6666666666666666E-2</v>
      </c>
      <c r="Y124" s="55">
        <f t="shared" si="56"/>
        <v>0.2</v>
      </c>
      <c r="Z124" s="3"/>
      <c r="AA124" s="24" t="s">
        <v>857</v>
      </c>
      <c r="AB124" s="56">
        <v>115</v>
      </c>
      <c r="AC124" s="56" t="str">
        <f>IF(ID!$B$82=AA124,AB124,"")</f>
        <v/>
      </c>
      <c r="AD124" s="56"/>
    </row>
    <row r="125" spans="2:30" x14ac:dyDescent="0.25">
      <c r="B125" s="48">
        <v>250</v>
      </c>
      <c r="C125" s="61" t="s">
        <v>99</v>
      </c>
      <c r="D125" s="1166"/>
      <c r="F125" s="48">
        <v>250</v>
      </c>
      <c r="G125" s="61" t="s">
        <v>99</v>
      </c>
      <c r="H125" s="1166"/>
      <c r="I125" s="62"/>
      <c r="J125" s="48">
        <v>250</v>
      </c>
      <c r="K125" s="51">
        <v>0.7</v>
      </c>
      <c r="L125" s="52">
        <v>0.2</v>
      </c>
      <c r="M125" s="1169"/>
      <c r="N125" s="53"/>
      <c r="O125" s="48">
        <f t="shared" si="51"/>
        <v>250</v>
      </c>
      <c r="P125" s="508"/>
      <c r="Q125" s="508"/>
      <c r="R125" s="508"/>
      <c r="S125" s="90"/>
      <c r="T125" s="52"/>
      <c r="U125" s="534" t="str">
        <f t="shared" si="52"/>
        <v>-</v>
      </c>
      <c r="V125" s="529" t="str">
        <f t="shared" si="53"/>
        <v>-</v>
      </c>
      <c r="W125" s="529">
        <f t="shared" si="54"/>
        <v>0.7</v>
      </c>
      <c r="X125" s="54">
        <f t="shared" si="55"/>
        <v>6.6666666666666666E-2</v>
      </c>
      <c r="Y125" s="55">
        <f t="shared" si="56"/>
        <v>0.2</v>
      </c>
      <c r="Z125" s="3"/>
      <c r="AA125" s="24" t="s">
        <v>857</v>
      </c>
      <c r="AB125" s="56">
        <v>116</v>
      </c>
      <c r="AC125" s="56" t="str">
        <f>IF(ID!$B$82=AA125,AB125,"")</f>
        <v/>
      </c>
      <c r="AD125" s="56"/>
    </row>
    <row r="126" spans="2:30" x14ac:dyDescent="0.25">
      <c r="B126" s="48">
        <v>300</v>
      </c>
      <c r="C126" s="61" t="s">
        <v>99</v>
      </c>
      <c r="D126" s="1167"/>
      <c r="F126" s="48">
        <v>300</v>
      </c>
      <c r="G126" s="61" t="s">
        <v>99</v>
      </c>
      <c r="H126" s="1167"/>
      <c r="I126" s="62"/>
      <c r="J126" s="48">
        <v>300</v>
      </c>
      <c r="K126" s="51">
        <v>0.7</v>
      </c>
      <c r="L126" s="52">
        <v>0.2</v>
      </c>
      <c r="M126" s="1170"/>
      <c r="N126" s="53"/>
      <c r="O126" s="48">
        <f t="shared" si="51"/>
        <v>300</v>
      </c>
      <c r="P126" s="508"/>
      <c r="Q126" s="508"/>
      <c r="R126" s="508"/>
      <c r="S126" s="90"/>
      <c r="T126" s="52"/>
      <c r="U126" s="534" t="str">
        <f t="shared" si="52"/>
        <v>-</v>
      </c>
      <c r="V126" s="529" t="str">
        <f t="shared" si="53"/>
        <v>-</v>
      </c>
      <c r="W126" s="529">
        <f t="shared" si="54"/>
        <v>0.7</v>
      </c>
      <c r="X126" s="54">
        <f t="shared" si="55"/>
        <v>6.6666666666666666E-2</v>
      </c>
      <c r="Y126" s="55">
        <f t="shared" si="56"/>
        <v>0.2</v>
      </c>
      <c r="Z126" s="3"/>
      <c r="AA126" s="24" t="s">
        <v>857</v>
      </c>
      <c r="AB126" s="56">
        <v>117</v>
      </c>
      <c r="AC126" s="56" t="str">
        <f>IF(ID!$B$82=AA126,AB126,"")</f>
        <v/>
      </c>
      <c r="AD126" s="56"/>
    </row>
    <row r="127" spans="2:30" x14ac:dyDescent="0.25">
      <c r="O127" s="82"/>
      <c r="P127" s="520"/>
      <c r="Q127" s="521"/>
      <c r="R127" s="521"/>
      <c r="S127" s="83"/>
      <c r="T127" s="84"/>
      <c r="U127" s="533"/>
      <c r="V127" s="533"/>
      <c r="W127" s="533"/>
      <c r="X127" s="83" t="s">
        <v>783</v>
      </c>
      <c r="Y127" s="84"/>
      <c r="Z127" s="5"/>
      <c r="AA127" s="24"/>
      <c r="AB127" s="56">
        <v>118</v>
      </c>
      <c r="AC127" s="56" t="str">
        <f>IF(ID!$B$82=AA127,AB127,"")</f>
        <v/>
      </c>
      <c r="AD127" s="56"/>
    </row>
    <row r="128" spans="2:30" x14ac:dyDescent="0.25">
      <c r="D128" s="7"/>
      <c r="H128" s="7"/>
      <c r="I128" s="7"/>
      <c r="K128" s="7"/>
      <c r="M128" s="7"/>
      <c r="N128" s="7"/>
      <c r="O128" s="82"/>
      <c r="P128" s="520"/>
      <c r="Q128" s="521"/>
      <c r="R128" s="521"/>
      <c r="S128" s="83"/>
      <c r="T128" s="84"/>
      <c r="U128" s="533"/>
      <c r="V128" s="533"/>
      <c r="W128" s="533"/>
      <c r="X128" s="83"/>
      <c r="Y128" s="84"/>
      <c r="Z128" s="5"/>
      <c r="AA128" s="24"/>
      <c r="AB128" s="56">
        <v>119</v>
      </c>
      <c r="AC128" s="56" t="str">
        <f>IF(ID!$B$82=AA128,AB128,"")</f>
        <v/>
      </c>
      <c r="AD128" s="56"/>
    </row>
    <row r="129" spans="2:30" x14ac:dyDescent="0.25">
      <c r="O129" s="82"/>
      <c r="P129" s="520"/>
      <c r="Q129" s="521"/>
      <c r="R129" s="521"/>
      <c r="S129" s="83"/>
      <c r="T129" s="84"/>
      <c r="U129" s="533"/>
      <c r="V129" s="533"/>
      <c r="W129" s="533"/>
      <c r="X129" s="83"/>
      <c r="Y129" s="84"/>
      <c r="Z129" s="5"/>
      <c r="AA129" s="24"/>
      <c r="AB129" s="56">
        <v>120</v>
      </c>
      <c r="AC129" s="56" t="str">
        <f>IF(ID!$B$82=AA129,AB129,"")</f>
        <v/>
      </c>
      <c r="AD129" s="56"/>
    </row>
    <row r="130" spans="2:30" x14ac:dyDescent="0.25">
      <c r="O130" s="82"/>
      <c r="P130" s="520"/>
      <c r="Q130" s="521"/>
      <c r="R130" s="521"/>
      <c r="S130" s="83"/>
      <c r="T130" s="84"/>
      <c r="U130" s="533"/>
      <c r="V130" s="533"/>
      <c r="W130" s="533"/>
      <c r="X130" s="83"/>
      <c r="Y130" s="84"/>
      <c r="Z130" s="5"/>
      <c r="AA130" s="24"/>
      <c r="AB130" s="56">
        <v>121</v>
      </c>
      <c r="AC130" s="56" t="str">
        <f>IF(ID!$B$82=AA130,AB130,"")</f>
        <v/>
      </c>
      <c r="AD130" s="56"/>
    </row>
    <row r="131" spans="2:30" x14ac:dyDescent="0.25">
      <c r="D131" s="7"/>
      <c r="H131" s="7"/>
      <c r="I131" s="7"/>
      <c r="K131" s="7"/>
      <c r="M131" s="7"/>
      <c r="N131" s="7"/>
      <c r="O131" s="85"/>
      <c r="Z131" s="7"/>
      <c r="AA131" s="7"/>
      <c r="AB131" s="56">
        <v>122</v>
      </c>
      <c r="AC131" s="56" t="str">
        <f>IF(ID!$B$82=AA131,AB131,"")</f>
        <v/>
      </c>
      <c r="AD131" s="56"/>
    </row>
    <row r="132" spans="2:30" x14ac:dyDescent="0.25">
      <c r="D132" s="4"/>
      <c r="H132" s="4"/>
      <c r="I132" s="4"/>
      <c r="K132" s="4"/>
      <c r="M132" s="4"/>
      <c r="N132" s="4"/>
      <c r="O132" s="58"/>
      <c r="Z132" s="4"/>
      <c r="AA132" s="4"/>
      <c r="AB132" s="56">
        <v>123</v>
      </c>
      <c r="AC132" s="56" t="str">
        <f>IF(ID!$B$82=AA132,AB132,"")</f>
        <v/>
      </c>
      <c r="AD132" s="56"/>
    </row>
    <row r="133" spans="2:30" x14ac:dyDescent="0.25">
      <c r="D133" s="4"/>
      <c r="H133" s="4"/>
      <c r="I133" s="4"/>
      <c r="K133" s="4"/>
      <c r="M133" s="4"/>
      <c r="N133" s="4"/>
      <c r="O133" s="58"/>
      <c r="Z133" s="4"/>
      <c r="AA133" s="4"/>
      <c r="AB133" s="56">
        <v>124</v>
      </c>
      <c r="AC133" s="56" t="str">
        <f>IF(ID!$B$82=AA133,AB133,"")</f>
        <v/>
      </c>
      <c r="AD133" s="56"/>
    </row>
    <row r="134" spans="2:30" x14ac:dyDescent="0.25">
      <c r="O134" s="59"/>
      <c r="P134" s="509"/>
      <c r="Q134" s="510"/>
      <c r="R134" s="511"/>
      <c r="S134" s="60"/>
      <c r="AB134" s="56">
        <v>125</v>
      </c>
      <c r="AC134" s="56" t="str">
        <f>IF(ID!$B$82=AA134,AB134,"")</f>
        <v/>
      </c>
      <c r="AD134" s="56"/>
    </row>
    <row r="135" spans="2:30" x14ac:dyDescent="0.25">
      <c r="B135" s="48">
        <v>0</v>
      </c>
      <c r="C135" s="51">
        <v>-0.1</v>
      </c>
      <c r="D135" s="1165" t="s">
        <v>384</v>
      </c>
      <c r="F135" s="48">
        <v>0</v>
      </c>
      <c r="G135" s="51">
        <v>-0.1</v>
      </c>
      <c r="H135" s="1165" t="s">
        <v>384</v>
      </c>
      <c r="I135" s="62"/>
      <c r="J135" s="48">
        <v>0</v>
      </c>
      <c r="K135" s="51">
        <v>0</v>
      </c>
      <c r="L135" s="52">
        <v>0.1</v>
      </c>
      <c r="M135" s="1168" t="s">
        <v>348</v>
      </c>
      <c r="N135" s="67"/>
      <c r="O135" s="48">
        <f t="shared" ref="O135:O141" si="57">J135</f>
        <v>0</v>
      </c>
      <c r="P135" s="508"/>
      <c r="Q135" s="508"/>
      <c r="R135" s="508"/>
      <c r="S135" s="90"/>
      <c r="T135" s="52"/>
      <c r="U135" s="528"/>
      <c r="V135" s="529">
        <v>-0.1</v>
      </c>
      <c r="W135" s="529">
        <v>0</v>
      </c>
      <c r="X135" s="54">
        <v>0.05</v>
      </c>
      <c r="Y135" s="55">
        <v>0.1</v>
      </c>
      <c r="Z135" s="3" t="s">
        <v>385</v>
      </c>
      <c r="AA135" s="24"/>
      <c r="AB135" s="56">
        <v>126</v>
      </c>
      <c r="AC135" s="56" t="str">
        <f>IF(ID!$B$82=AA135,AB135,"")</f>
        <v/>
      </c>
      <c r="AD135" s="56"/>
    </row>
    <row r="136" spans="2:30" x14ac:dyDescent="0.25">
      <c r="B136" s="48">
        <v>50</v>
      </c>
      <c r="C136" s="51">
        <v>0</v>
      </c>
      <c r="D136" s="1166"/>
      <c r="F136" s="48">
        <v>50</v>
      </c>
      <c r="G136" s="51">
        <v>0</v>
      </c>
      <c r="H136" s="1166"/>
      <c r="I136" s="62"/>
      <c r="J136" s="48">
        <v>50</v>
      </c>
      <c r="K136" s="51">
        <v>-0.1</v>
      </c>
      <c r="L136" s="52">
        <v>0.1</v>
      </c>
      <c r="M136" s="1169"/>
      <c r="N136" s="53"/>
      <c r="O136" s="48">
        <f t="shared" si="57"/>
        <v>50</v>
      </c>
      <c r="P136" s="508"/>
      <c r="Q136" s="508"/>
      <c r="R136" s="508"/>
      <c r="S136" s="90"/>
      <c r="T136" s="52"/>
      <c r="U136" s="528"/>
      <c r="V136" s="529">
        <v>0</v>
      </c>
      <c r="W136" s="529">
        <v>-0.1</v>
      </c>
      <c r="X136" s="54">
        <v>0.05</v>
      </c>
      <c r="Y136" s="55">
        <v>0.1</v>
      </c>
      <c r="Z136" s="3"/>
      <c r="AA136" s="24"/>
      <c r="AB136" s="56">
        <v>127</v>
      </c>
      <c r="AC136" s="56" t="str">
        <f>IF(ID!$B$82=AA136,AB136,"")</f>
        <v/>
      </c>
      <c r="AD136" s="56"/>
    </row>
    <row r="137" spans="2:30" x14ac:dyDescent="0.25">
      <c r="B137" s="48">
        <v>100</v>
      </c>
      <c r="C137" s="51">
        <v>9.9999999999994316E-2</v>
      </c>
      <c r="D137" s="1166"/>
      <c r="F137" s="48">
        <v>100</v>
      </c>
      <c r="G137" s="51">
        <v>9.9999999999994316E-2</v>
      </c>
      <c r="H137" s="1166"/>
      <c r="I137" s="62"/>
      <c r="J137" s="48">
        <v>100</v>
      </c>
      <c r="K137" s="51">
        <v>0</v>
      </c>
      <c r="L137" s="52">
        <v>0.1</v>
      </c>
      <c r="M137" s="1169"/>
      <c r="N137" s="53"/>
      <c r="O137" s="48">
        <f t="shared" si="57"/>
        <v>100</v>
      </c>
      <c r="P137" s="508"/>
      <c r="Q137" s="508"/>
      <c r="R137" s="508"/>
      <c r="S137" s="90"/>
      <c r="T137" s="52"/>
      <c r="U137" s="528"/>
      <c r="V137" s="529">
        <v>9.9999999999994316E-2</v>
      </c>
      <c r="W137" s="529">
        <v>0</v>
      </c>
      <c r="X137" s="54">
        <v>4.9999999999997158E-2</v>
      </c>
      <c r="Y137" s="55">
        <v>0.1</v>
      </c>
      <c r="Z137" s="3"/>
      <c r="AA137" s="24"/>
      <c r="AB137" s="56">
        <v>128</v>
      </c>
      <c r="AC137" s="56" t="str">
        <f>IF(ID!$B$82=AA137,AB137,"")</f>
        <v/>
      </c>
      <c r="AD137" s="56"/>
    </row>
    <row r="138" spans="2:30" x14ac:dyDescent="0.25">
      <c r="B138" s="48">
        <v>150</v>
      </c>
      <c r="C138" s="51">
        <v>9.9999999999994316E-2</v>
      </c>
      <c r="D138" s="1166"/>
      <c r="F138" s="48">
        <v>150</v>
      </c>
      <c r="G138" s="51">
        <v>9.9999999999994316E-2</v>
      </c>
      <c r="H138" s="1166"/>
      <c r="I138" s="62"/>
      <c r="J138" s="48">
        <v>150</v>
      </c>
      <c r="K138" s="51">
        <v>0.2</v>
      </c>
      <c r="L138" s="52">
        <v>0.1</v>
      </c>
      <c r="M138" s="1169"/>
      <c r="N138" s="53"/>
      <c r="O138" s="48">
        <f t="shared" si="57"/>
        <v>150</v>
      </c>
      <c r="P138" s="508"/>
      <c r="Q138" s="508"/>
      <c r="R138" s="508"/>
      <c r="S138" s="90"/>
      <c r="T138" s="52"/>
      <c r="U138" s="528"/>
      <c r="V138" s="529">
        <v>9.9999999999994316E-2</v>
      </c>
      <c r="W138" s="529">
        <v>0.2</v>
      </c>
      <c r="X138" s="54">
        <v>5.0000000000002848E-2</v>
      </c>
      <c r="Y138" s="55">
        <v>0.1</v>
      </c>
      <c r="Z138" s="3"/>
      <c r="AA138" s="24"/>
      <c r="AB138" s="56">
        <v>129</v>
      </c>
      <c r="AC138" s="56" t="str">
        <f>IF(ID!$B$82=AA138,AB138,"")</f>
        <v/>
      </c>
      <c r="AD138" s="56"/>
    </row>
    <row r="139" spans="2:30" x14ac:dyDescent="0.25">
      <c r="B139" s="48">
        <v>200</v>
      </c>
      <c r="C139" s="51">
        <v>9.9999999999994316E-2</v>
      </c>
      <c r="D139" s="1166"/>
      <c r="F139" s="48">
        <v>200</v>
      </c>
      <c r="G139" s="51">
        <v>9.9999999999994316E-2</v>
      </c>
      <c r="H139" s="1166"/>
      <c r="I139" s="62"/>
      <c r="J139" s="48">
        <v>200</v>
      </c>
      <c r="K139" s="51">
        <v>0.2</v>
      </c>
      <c r="L139" s="52">
        <v>0.1</v>
      </c>
      <c r="M139" s="1169"/>
      <c r="N139" s="53"/>
      <c r="O139" s="48">
        <f t="shared" si="57"/>
        <v>200</v>
      </c>
      <c r="P139" s="508"/>
      <c r="Q139" s="508"/>
      <c r="R139" s="508"/>
      <c r="S139" s="90"/>
      <c r="T139" s="52"/>
      <c r="U139" s="528"/>
      <c r="V139" s="529">
        <v>9.9999999999994316E-2</v>
      </c>
      <c r="W139" s="529">
        <v>0.2</v>
      </c>
      <c r="X139" s="54">
        <v>5.0000000000002848E-2</v>
      </c>
      <c r="Y139" s="55">
        <v>0.1</v>
      </c>
      <c r="Z139" s="3"/>
      <c r="AA139" s="24"/>
      <c r="AB139" s="56">
        <v>130</v>
      </c>
      <c r="AC139" s="56" t="str">
        <f>IF(ID!$B$82=AA139,AB139,"")</f>
        <v/>
      </c>
      <c r="AD139" s="56"/>
    </row>
    <row r="140" spans="2:30" x14ac:dyDescent="0.25">
      <c r="B140" s="48">
        <v>250</v>
      </c>
      <c r="C140" s="51">
        <v>9.9999999999994316E-2</v>
      </c>
      <c r="D140" s="1166"/>
      <c r="F140" s="48">
        <v>250</v>
      </c>
      <c r="G140" s="51">
        <v>9.9999999999994316E-2</v>
      </c>
      <c r="H140" s="1166"/>
      <c r="I140" s="62"/>
      <c r="J140" s="48">
        <v>250</v>
      </c>
      <c r="K140" s="51">
        <v>0.2</v>
      </c>
      <c r="L140" s="52">
        <v>0.1</v>
      </c>
      <c r="M140" s="1169"/>
      <c r="N140" s="53"/>
      <c r="O140" s="48">
        <f t="shared" si="57"/>
        <v>250</v>
      </c>
      <c r="P140" s="508"/>
      <c r="Q140" s="508"/>
      <c r="R140" s="508"/>
      <c r="S140" s="90"/>
      <c r="T140" s="52"/>
      <c r="U140" s="528"/>
      <c r="V140" s="529">
        <v>9.9999999999994316E-2</v>
      </c>
      <c r="W140" s="529">
        <v>0.2</v>
      </c>
      <c r="X140" s="54">
        <v>5.0000000000002848E-2</v>
      </c>
      <c r="Y140" s="55">
        <v>0.1</v>
      </c>
      <c r="Z140" s="3"/>
      <c r="AA140" s="24"/>
      <c r="AB140" s="56">
        <v>131</v>
      </c>
      <c r="AC140" s="56" t="str">
        <f>IF(ID!$B$82=AA140,AB140,"")</f>
        <v/>
      </c>
      <c r="AD140" s="56"/>
    </row>
    <row r="141" spans="2:30" x14ac:dyDescent="0.25">
      <c r="B141" s="48">
        <v>300</v>
      </c>
      <c r="C141" s="51">
        <v>0</v>
      </c>
      <c r="D141" s="1167"/>
      <c r="F141" s="48">
        <v>300</v>
      </c>
      <c r="G141" s="51">
        <v>0</v>
      </c>
      <c r="H141" s="1167"/>
      <c r="I141" s="62"/>
      <c r="J141" s="48">
        <v>300</v>
      </c>
      <c r="K141" s="51">
        <v>0.1</v>
      </c>
      <c r="L141" s="52">
        <v>0.1</v>
      </c>
      <c r="M141" s="1170"/>
      <c r="N141" s="53"/>
      <c r="O141" s="48">
        <f t="shared" si="57"/>
        <v>300</v>
      </c>
      <c r="P141" s="508"/>
      <c r="Q141" s="508"/>
      <c r="R141" s="508"/>
      <c r="S141" s="90"/>
      <c r="T141" s="52"/>
      <c r="U141" s="528"/>
      <c r="V141" s="529">
        <v>0</v>
      </c>
      <c r="W141" s="529">
        <v>0.1</v>
      </c>
      <c r="X141" s="54">
        <v>0.05</v>
      </c>
      <c r="Y141" s="55">
        <v>0.1</v>
      </c>
      <c r="Z141" s="3"/>
      <c r="AA141" s="24"/>
      <c r="AB141" s="56">
        <v>132</v>
      </c>
      <c r="AC141" s="56" t="str">
        <f>IF(ID!$B$82=AA141,AB141,"")</f>
        <v/>
      </c>
      <c r="AD141" s="56"/>
    </row>
    <row r="142" spans="2:30" x14ac:dyDescent="0.25">
      <c r="K142" s="89"/>
      <c r="O142" s="82"/>
      <c r="P142" s="520"/>
      <c r="Q142" s="521"/>
      <c r="R142" s="521"/>
      <c r="S142" s="83"/>
      <c r="T142" s="84"/>
      <c r="U142" s="533"/>
      <c r="V142" s="533"/>
      <c r="W142" s="533"/>
      <c r="X142" s="83"/>
      <c r="Y142" s="84"/>
      <c r="Z142" s="5"/>
      <c r="AA142" s="24"/>
      <c r="AB142" s="56">
        <v>133</v>
      </c>
      <c r="AC142" s="56" t="str">
        <f>IF(ID!$B$82=AA142,AB142,"")</f>
        <v/>
      </c>
      <c r="AD142" s="56"/>
    </row>
    <row r="143" spans="2:30" x14ac:dyDescent="0.25">
      <c r="D143" s="7"/>
      <c r="H143" s="7"/>
      <c r="I143" s="7"/>
      <c r="K143" s="7"/>
      <c r="M143" s="7"/>
      <c r="N143" s="7"/>
      <c r="O143" s="82"/>
      <c r="P143" s="520"/>
      <c r="Q143" s="521"/>
      <c r="R143" s="521"/>
      <c r="S143" s="83"/>
      <c r="T143" s="84"/>
      <c r="U143" s="533"/>
      <c r="V143" s="533"/>
      <c r="W143" s="533"/>
      <c r="X143" s="83"/>
      <c r="Y143" s="84"/>
      <c r="Z143" s="5"/>
      <c r="AA143" s="24"/>
      <c r="AB143" s="56">
        <v>134</v>
      </c>
      <c r="AC143" s="56" t="str">
        <f>IF(ID!$B$82=AA143,AB143,"")</f>
        <v/>
      </c>
      <c r="AD143" s="56"/>
    </row>
    <row r="144" spans="2:30" x14ac:dyDescent="0.25">
      <c r="O144" s="82"/>
      <c r="P144" s="520"/>
      <c r="Q144" s="521"/>
      <c r="R144" s="521"/>
      <c r="S144" s="83"/>
      <c r="T144" s="84"/>
      <c r="U144" s="533"/>
      <c r="V144" s="533"/>
      <c r="W144" s="533"/>
      <c r="X144" s="83"/>
      <c r="Y144" s="84"/>
      <c r="Z144" s="5"/>
      <c r="AA144" s="24"/>
      <c r="AB144" s="56">
        <v>135</v>
      </c>
      <c r="AC144" s="56" t="str">
        <f>IF(ID!$B$82=AA144,AB144,"")</f>
        <v/>
      </c>
      <c r="AD144" s="56"/>
    </row>
    <row r="145" spans="2:30" x14ac:dyDescent="0.25">
      <c r="O145" s="82"/>
      <c r="P145" s="520"/>
      <c r="Q145" s="521"/>
      <c r="R145" s="521"/>
      <c r="S145" s="83"/>
      <c r="T145" s="84"/>
      <c r="U145" s="533"/>
      <c r="V145" s="533"/>
      <c r="W145" s="533"/>
      <c r="X145" s="83"/>
      <c r="Y145" s="84"/>
      <c r="Z145" s="5"/>
      <c r="AA145" s="24"/>
      <c r="AB145" s="56">
        <v>136</v>
      </c>
      <c r="AC145" s="56" t="str">
        <f>IF(ID!$B$82=AA145,AB145,"")</f>
        <v/>
      </c>
      <c r="AD145" s="56"/>
    </row>
    <row r="146" spans="2:30" x14ac:dyDescent="0.25">
      <c r="D146" s="7"/>
      <c r="H146" s="7"/>
      <c r="I146" s="7"/>
      <c r="K146" s="7"/>
      <c r="M146" s="7"/>
      <c r="N146" s="7"/>
      <c r="O146" s="85"/>
      <c r="Z146" s="7"/>
      <c r="AA146" s="7"/>
      <c r="AB146" s="56">
        <v>137</v>
      </c>
      <c r="AC146" s="56" t="str">
        <f>IF(ID!$B$82=AA146,AB146,"")</f>
        <v/>
      </c>
      <c r="AD146" s="56"/>
    </row>
    <row r="147" spans="2:30" x14ac:dyDescent="0.25">
      <c r="D147" s="4"/>
      <c r="H147" s="4"/>
      <c r="I147" s="4"/>
      <c r="K147" s="4"/>
      <c r="M147" s="4"/>
      <c r="N147" s="4"/>
      <c r="O147" s="58"/>
      <c r="Z147" s="4"/>
      <c r="AA147" s="4"/>
      <c r="AB147" s="56">
        <v>138</v>
      </c>
      <c r="AC147" s="56" t="str">
        <f>IF(ID!$B$82=AA147,AB147,"")</f>
        <v/>
      </c>
      <c r="AD147" s="56"/>
    </row>
    <row r="148" spans="2:30" x14ac:dyDescent="0.25">
      <c r="D148" s="4"/>
      <c r="H148" s="4"/>
      <c r="I148" s="4"/>
      <c r="K148" s="4"/>
      <c r="M148" s="4"/>
      <c r="N148" s="4"/>
      <c r="O148" s="58"/>
      <c r="Z148" s="4"/>
      <c r="AA148" s="4"/>
      <c r="AB148" s="56">
        <v>139</v>
      </c>
      <c r="AC148" s="56" t="str">
        <f>IF(ID!$B$82=AA148,AB148,"")</f>
        <v/>
      </c>
      <c r="AD148" s="56"/>
    </row>
    <row r="149" spans="2:30" x14ac:dyDescent="0.25">
      <c r="O149" s="59"/>
      <c r="P149" s="509"/>
      <c r="Q149" s="510"/>
      <c r="R149" s="511"/>
      <c r="S149" s="60"/>
      <c r="AB149" s="56">
        <v>140</v>
      </c>
      <c r="AC149" s="56" t="str">
        <f>IF(ID!$B$82=AA149,AB149,"")</f>
        <v/>
      </c>
      <c r="AD149" s="56"/>
    </row>
    <row r="150" spans="2:30" x14ac:dyDescent="0.25">
      <c r="B150" s="48">
        <v>0</v>
      </c>
      <c r="C150" s="51">
        <v>0</v>
      </c>
      <c r="D150" s="1165" t="s">
        <v>384</v>
      </c>
      <c r="F150" s="48">
        <v>0</v>
      </c>
      <c r="G150" s="51">
        <v>0</v>
      </c>
      <c r="H150" s="1165" t="s">
        <v>384</v>
      </c>
      <c r="I150" s="62"/>
      <c r="J150" s="48">
        <v>0</v>
      </c>
      <c r="K150" s="51"/>
      <c r="L150" s="52"/>
      <c r="M150" s="1168" t="s">
        <v>348</v>
      </c>
      <c r="N150" s="67"/>
      <c r="O150" s="48">
        <f t="shared" ref="O150:O156" si="58">J150</f>
        <v>0</v>
      </c>
      <c r="P150" s="508"/>
      <c r="Q150" s="508"/>
      <c r="R150" s="508"/>
      <c r="S150" s="90"/>
      <c r="T150" s="52"/>
      <c r="U150" s="528"/>
      <c r="V150" s="529">
        <v>0</v>
      </c>
      <c r="W150" s="529">
        <v>0</v>
      </c>
      <c r="X150" s="54">
        <v>0</v>
      </c>
      <c r="Y150" s="52">
        <v>0.1</v>
      </c>
      <c r="Z150" s="3" t="s">
        <v>385</v>
      </c>
      <c r="AA150" s="24"/>
      <c r="AB150" s="56">
        <v>141</v>
      </c>
      <c r="AC150" s="56" t="str">
        <f>IF(ID!$B$82=AA150,AB150,"")</f>
        <v/>
      </c>
      <c r="AD150" s="56"/>
    </row>
    <row r="151" spans="2:30" x14ac:dyDescent="0.25">
      <c r="B151" s="48">
        <v>50</v>
      </c>
      <c r="C151" s="51">
        <v>-0.10000000000000142</v>
      </c>
      <c r="D151" s="1166"/>
      <c r="F151" s="48">
        <v>50</v>
      </c>
      <c r="G151" s="51">
        <v>-0.10000000000000142</v>
      </c>
      <c r="H151" s="1166"/>
      <c r="I151" s="62"/>
      <c r="J151" s="48">
        <v>50</v>
      </c>
      <c r="K151" s="51"/>
      <c r="L151" s="52"/>
      <c r="M151" s="1169"/>
      <c r="N151" s="53"/>
      <c r="O151" s="48">
        <f t="shared" si="58"/>
        <v>50</v>
      </c>
      <c r="P151" s="508"/>
      <c r="Q151" s="508"/>
      <c r="R151" s="508"/>
      <c r="S151" s="90"/>
      <c r="T151" s="52"/>
      <c r="U151" s="528"/>
      <c r="V151" s="529">
        <v>-0.10000000000000142</v>
      </c>
      <c r="W151" s="529">
        <v>-0.1</v>
      </c>
      <c r="X151" s="54">
        <v>7.0776717819853729E-16</v>
      </c>
      <c r="Y151" s="52">
        <v>0.1</v>
      </c>
      <c r="Z151" s="3"/>
      <c r="AA151" s="24"/>
      <c r="AB151" s="56">
        <v>142</v>
      </c>
      <c r="AC151" s="56" t="str">
        <f>IF(ID!$B$82=AA151,AB151,"")</f>
        <v/>
      </c>
      <c r="AD151" s="56"/>
    </row>
    <row r="152" spans="2:30" x14ac:dyDescent="0.25">
      <c r="B152" s="48">
        <v>100</v>
      </c>
      <c r="C152" s="51">
        <v>-0.20000000000000284</v>
      </c>
      <c r="D152" s="1166"/>
      <c r="F152" s="48">
        <v>100</v>
      </c>
      <c r="G152" s="51">
        <v>-0.20000000000000284</v>
      </c>
      <c r="H152" s="1166"/>
      <c r="I152" s="62"/>
      <c r="J152" s="48">
        <v>100</v>
      </c>
      <c r="K152" s="51"/>
      <c r="L152" s="52"/>
      <c r="M152" s="1169"/>
      <c r="N152" s="53"/>
      <c r="O152" s="48">
        <f t="shared" si="58"/>
        <v>100</v>
      </c>
      <c r="P152" s="508"/>
      <c r="Q152" s="508"/>
      <c r="R152" s="508"/>
      <c r="S152" s="90"/>
      <c r="T152" s="52"/>
      <c r="U152" s="528"/>
      <c r="V152" s="529">
        <v>-0.20000000000000284</v>
      </c>
      <c r="W152" s="529">
        <v>-0.1</v>
      </c>
      <c r="X152" s="54">
        <v>5.0000000000001418E-2</v>
      </c>
      <c r="Y152" s="52">
        <v>0.1</v>
      </c>
      <c r="Z152" s="3"/>
      <c r="AA152" s="24"/>
      <c r="AB152" s="56">
        <v>143</v>
      </c>
      <c r="AC152" s="56" t="str">
        <f>IF(ID!$B$82=AA152,AB152,"")</f>
        <v/>
      </c>
      <c r="AD152" s="56"/>
    </row>
    <row r="153" spans="2:30" x14ac:dyDescent="0.25">
      <c r="B153" s="48">
        <v>150</v>
      </c>
      <c r="C153" s="51">
        <v>-0.19999999999998863</v>
      </c>
      <c r="D153" s="1166"/>
      <c r="F153" s="48">
        <v>150</v>
      </c>
      <c r="G153" s="51">
        <v>-0.19999999999998863</v>
      </c>
      <c r="H153" s="1166"/>
      <c r="I153" s="62"/>
      <c r="J153" s="48">
        <v>150</v>
      </c>
      <c r="K153" s="51"/>
      <c r="L153" s="52"/>
      <c r="M153" s="1169"/>
      <c r="N153" s="53"/>
      <c r="O153" s="48">
        <f t="shared" si="58"/>
        <v>150</v>
      </c>
      <c r="P153" s="508"/>
      <c r="Q153" s="508"/>
      <c r="R153" s="508"/>
      <c r="S153" s="90"/>
      <c r="T153" s="52"/>
      <c r="U153" s="528"/>
      <c r="V153" s="529">
        <v>-0.19999999999998863</v>
      </c>
      <c r="W153" s="529">
        <v>0</v>
      </c>
      <c r="X153" s="54">
        <v>9.9999999999994316E-2</v>
      </c>
      <c r="Y153" s="52">
        <v>0.1</v>
      </c>
      <c r="Z153" s="3"/>
      <c r="AA153" s="24"/>
      <c r="AB153" s="56">
        <v>144</v>
      </c>
      <c r="AC153" s="56" t="str">
        <f>IF(ID!$B$82=AA153,AB153,"")</f>
        <v/>
      </c>
      <c r="AD153" s="56"/>
    </row>
    <row r="154" spans="2:30" x14ac:dyDescent="0.25">
      <c r="B154" s="48">
        <v>200</v>
      </c>
      <c r="C154" s="51">
        <v>-0.19999999999998863</v>
      </c>
      <c r="D154" s="1166"/>
      <c r="F154" s="48">
        <v>200</v>
      </c>
      <c r="G154" s="51">
        <v>-0.19999999999998863</v>
      </c>
      <c r="H154" s="1166"/>
      <c r="I154" s="62"/>
      <c r="J154" s="48">
        <v>200</v>
      </c>
      <c r="K154" s="51"/>
      <c r="L154" s="52"/>
      <c r="M154" s="1169"/>
      <c r="N154" s="53"/>
      <c r="O154" s="48">
        <f t="shared" si="58"/>
        <v>200</v>
      </c>
      <c r="P154" s="508"/>
      <c r="Q154" s="508"/>
      <c r="R154" s="508"/>
      <c r="S154" s="90"/>
      <c r="T154" s="52"/>
      <c r="U154" s="528"/>
      <c r="V154" s="529">
        <v>-0.19999999999998863</v>
      </c>
      <c r="W154" s="529">
        <v>-0.2</v>
      </c>
      <c r="X154" s="54">
        <v>5.6898930012039273E-15</v>
      </c>
      <c r="Y154" s="52">
        <v>0.1</v>
      </c>
      <c r="Z154" s="3"/>
      <c r="AA154" s="24"/>
      <c r="AB154" s="56">
        <v>145</v>
      </c>
      <c r="AC154" s="56" t="str">
        <f>IF(ID!$B$82=AA154,AB154,"")</f>
        <v/>
      </c>
      <c r="AD154" s="56"/>
    </row>
    <row r="155" spans="2:30" x14ac:dyDescent="0.25">
      <c r="B155" s="48">
        <v>250</v>
      </c>
      <c r="C155" s="51">
        <v>-0.19999999999998863</v>
      </c>
      <c r="D155" s="1166"/>
      <c r="F155" s="48">
        <v>250</v>
      </c>
      <c r="G155" s="51">
        <v>-0.19999999999998863</v>
      </c>
      <c r="H155" s="1166"/>
      <c r="I155" s="62"/>
      <c r="J155" s="48">
        <v>250</v>
      </c>
      <c r="K155" s="51"/>
      <c r="L155" s="52"/>
      <c r="M155" s="1169"/>
      <c r="N155" s="53"/>
      <c r="O155" s="48">
        <f t="shared" si="58"/>
        <v>250</v>
      </c>
      <c r="P155" s="508"/>
      <c r="Q155" s="508"/>
      <c r="R155" s="508"/>
      <c r="S155" s="90"/>
      <c r="T155" s="52"/>
      <c r="U155" s="528"/>
      <c r="V155" s="529">
        <v>-0.19999999999998863</v>
      </c>
      <c r="W155" s="529">
        <v>0</v>
      </c>
      <c r="X155" s="54">
        <v>9.9999999999994316E-2</v>
      </c>
      <c r="Y155" s="52">
        <v>0.1</v>
      </c>
      <c r="Z155" s="3"/>
      <c r="AA155" s="24"/>
      <c r="AB155" s="56">
        <v>146</v>
      </c>
      <c r="AC155" s="56" t="str">
        <f>IF(ID!$B$82=AA155,AB155,"")</f>
        <v/>
      </c>
      <c r="AD155" s="56"/>
    </row>
    <row r="156" spans="2:30" x14ac:dyDescent="0.25">
      <c r="B156" s="48">
        <v>300</v>
      </c>
      <c r="C156" s="51">
        <v>-0.19999999999998863</v>
      </c>
      <c r="D156" s="1167"/>
      <c r="F156" s="48">
        <v>300</v>
      </c>
      <c r="G156" s="51">
        <v>-0.19999999999998863</v>
      </c>
      <c r="H156" s="1167"/>
      <c r="I156" s="62"/>
      <c r="J156" s="48">
        <v>300</v>
      </c>
      <c r="K156" s="51"/>
      <c r="L156" s="52"/>
      <c r="M156" s="1170"/>
      <c r="N156" s="53"/>
      <c r="O156" s="48">
        <f t="shared" si="58"/>
        <v>300</v>
      </c>
      <c r="P156" s="508"/>
      <c r="Q156" s="508"/>
      <c r="R156" s="508"/>
      <c r="S156" s="90"/>
      <c r="T156" s="52"/>
      <c r="U156" s="528"/>
      <c r="V156" s="529">
        <v>-0.19999999999998863</v>
      </c>
      <c r="W156" s="529">
        <v>0</v>
      </c>
      <c r="X156" s="54">
        <v>9.9999999999994316E-2</v>
      </c>
      <c r="Y156" s="52">
        <v>0.1</v>
      </c>
      <c r="Z156" s="3"/>
      <c r="AA156" s="24"/>
      <c r="AB156" s="56">
        <v>147</v>
      </c>
      <c r="AC156" s="56" t="str">
        <f>IF(ID!$B$82=AA156,AB156,"")</f>
        <v/>
      </c>
      <c r="AD156" s="56"/>
    </row>
    <row r="157" spans="2:30" x14ac:dyDescent="0.25">
      <c r="O157" s="82"/>
      <c r="P157" s="520"/>
      <c r="Q157" s="521"/>
      <c r="R157" s="521"/>
      <c r="S157" s="83"/>
      <c r="T157" s="84"/>
      <c r="U157" s="533"/>
      <c r="V157" s="533"/>
      <c r="W157" s="533"/>
      <c r="X157" s="83"/>
      <c r="Y157" s="84"/>
      <c r="Z157" s="5"/>
      <c r="AA157" s="24"/>
      <c r="AB157" s="56">
        <v>148</v>
      </c>
      <c r="AC157" s="56" t="str">
        <f>IF(ID!$B$82=AA157,AB157,"")</f>
        <v/>
      </c>
      <c r="AD157" s="56"/>
    </row>
    <row r="158" spans="2:30" x14ac:dyDescent="0.25">
      <c r="D158" s="7"/>
      <c r="H158" s="7"/>
      <c r="I158" s="7"/>
      <c r="K158" s="7"/>
      <c r="M158" s="7"/>
      <c r="N158" s="7"/>
      <c r="O158" s="82"/>
      <c r="P158" s="520"/>
      <c r="Q158" s="521"/>
      <c r="R158" s="521"/>
      <c r="S158" s="83"/>
      <c r="T158" s="84"/>
      <c r="U158" s="533"/>
      <c r="V158" s="533"/>
      <c r="W158" s="533"/>
      <c r="X158" s="83"/>
      <c r="Y158" s="84"/>
      <c r="Z158" s="5"/>
      <c r="AA158" s="24"/>
      <c r="AB158" s="56">
        <v>149</v>
      </c>
      <c r="AC158" s="56" t="str">
        <f>IF(ID!$B$82=AA158,AB158,"")</f>
        <v/>
      </c>
      <c r="AD158" s="56"/>
    </row>
    <row r="159" spans="2:30" x14ac:dyDescent="0.25">
      <c r="O159" s="82"/>
      <c r="P159" s="520"/>
      <c r="Q159" s="521"/>
      <c r="R159" s="521"/>
      <c r="S159" s="83"/>
      <c r="T159" s="84"/>
      <c r="U159" s="533"/>
      <c r="V159" s="533"/>
      <c r="W159" s="533"/>
      <c r="X159" s="83"/>
      <c r="Y159" s="84"/>
      <c r="Z159" s="5"/>
      <c r="AA159" s="24"/>
      <c r="AB159" s="56">
        <v>150</v>
      </c>
      <c r="AC159" s="56" t="str">
        <f>IF(ID!$B$82=AA159,AB159,"")</f>
        <v/>
      </c>
      <c r="AD159" s="56"/>
    </row>
    <row r="160" spans="2:30" x14ac:dyDescent="0.25">
      <c r="O160" s="82"/>
      <c r="P160" s="520"/>
      <c r="Q160" s="521"/>
      <c r="R160" s="521"/>
      <c r="S160" s="83"/>
      <c r="T160" s="84"/>
      <c r="U160" s="533"/>
      <c r="V160" s="533"/>
      <c r="W160" s="533"/>
      <c r="X160" s="83"/>
      <c r="Y160" s="84"/>
      <c r="Z160" s="5"/>
      <c r="AA160" s="24"/>
      <c r="AB160" s="56">
        <v>151</v>
      </c>
      <c r="AC160" s="56" t="str">
        <f>IF(ID!$B$82=AA160,AB160,"")</f>
        <v/>
      </c>
      <c r="AD160" s="56"/>
    </row>
    <row r="161" spans="2:30" x14ac:dyDescent="0.25">
      <c r="D161" s="7"/>
      <c r="H161" s="7"/>
      <c r="I161" s="7"/>
      <c r="K161" s="7"/>
      <c r="M161" s="7"/>
      <c r="N161" s="7"/>
      <c r="O161" s="85"/>
      <c r="Z161" s="7"/>
      <c r="AA161" s="7"/>
      <c r="AB161" s="56">
        <v>152</v>
      </c>
      <c r="AC161" s="56" t="str">
        <f>IF(ID!$B$82=AA161,AB161,"")</f>
        <v/>
      </c>
      <c r="AD161" s="56"/>
    </row>
    <row r="162" spans="2:30" x14ac:dyDescent="0.25">
      <c r="D162" s="4"/>
      <c r="H162" s="4"/>
      <c r="I162" s="4"/>
      <c r="K162" s="4"/>
      <c r="M162" s="4"/>
      <c r="N162" s="4"/>
      <c r="O162" s="58"/>
      <c r="Z162" s="4"/>
      <c r="AA162" s="4"/>
      <c r="AB162" s="56">
        <v>153</v>
      </c>
      <c r="AC162" s="56" t="str">
        <f>IF(ID!$B$82=AA162,AB162,"")</f>
        <v/>
      </c>
      <c r="AD162" s="56"/>
    </row>
    <row r="163" spans="2:30" x14ac:dyDescent="0.25">
      <c r="O163" s="59"/>
      <c r="P163" s="509"/>
      <c r="Q163" s="510"/>
      <c r="R163" s="511"/>
      <c r="S163" s="77"/>
      <c r="AB163" s="56">
        <v>154</v>
      </c>
      <c r="AC163" s="56" t="str">
        <f>IF(ID!$B$82=AA163,AB163,"")</f>
        <v/>
      </c>
      <c r="AD163" s="56"/>
    </row>
    <row r="164" spans="2:30" x14ac:dyDescent="0.25">
      <c r="B164" s="48">
        <v>0</v>
      </c>
      <c r="C164" s="61">
        <v>0</v>
      </c>
      <c r="D164" s="1165">
        <v>2017</v>
      </c>
      <c r="F164" s="48">
        <v>0</v>
      </c>
      <c r="G164" s="61">
        <v>0</v>
      </c>
      <c r="H164" s="1165">
        <v>2017</v>
      </c>
      <c r="I164" s="62"/>
      <c r="J164" s="48">
        <v>0</v>
      </c>
      <c r="K164" s="51">
        <v>0</v>
      </c>
      <c r="L164" s="6">
        <v>0.1</v>
      </c>
      <c r="M164" s="1168" t="s">
        <v>386</v>
      </c>
      <c r="N164" s="53"/>
      <c r="O164" s="48">
        <f t="shared" ref="O164:O170" si="59">J164</f>
        <v>0</v>
      </c>
      <c r="P164" s="508"/>
      <c r="Q164" s="508"/>
      <c r="R164" s="508"/>
      <c r="S164" s="90"/>
      <c r="T164" s="52"/>
      <c r="U164" s="528"/>
      <c r="V164" s="529">
        <v>0</v>
      </c>
      <c r="W164" s="528">
        <v>0</v>
      </c>
      <c r="X164" s="90">
        <v>3.3333333333333333E-2</v>
      </c>
      <c r="Y164" s="6">
        <v>0.1</v>
      </c>
      <c r="Z164" s="3" t="s">
        <v>381</v>
      </c>
      <c r="AA164" s="24"/>
      <c r="AB164" s="56">
        <v>155</v>
      </c>
      <c r="AC164" s="56" t="str">
        <f>IF(ID!$B$82=AA164,AB164,"")</f>
        <v/>
      </c>
      <c r="AD164" s="56"/>
    </row>
    <row r="165" spans="2:30" x14ac:dyDescent="0.25">
      <c r="B165" s="48">
        <v>50</v>
      </c>
      <c r="C165" s="61">
        <v>0</v>
      </c>
      <c r="D165" s="1166"/>
      <c r="F165" s="48">
        <v>50</v>
      </c>
      <c r="G165" s="61">
        <v>0</v>
      </c>
      <c r="H165" s="1166"/>
      <c r="I165" s="62"/>
      <c r="J165" s="48">
        <v>50</v>
      </c>
      <c r="K165" s="51">
        <v>0</v>
      </c>
      <c r="L165" s="6">
        <v>0.1</v>
      </c>
      <c r="M165" s="1169"/>
      <c r="N165" s="53"/>
      <c r="O165" s="48">
        <f t="shared" si="59"/>
        <v>50</v>
      </c>
      <c r="P165" s="508"/>
      <c r="Q165" s="508"/>
      <c r="R165" s="508"/>
      <c r="S165" s="90"/>
      <c r="T165" s="52"/>
      <c r="U165" s="528"/>
      <c r="V165" s="529">
        <v>0</v>
      </c>
      <c r="W165" s="528">
        <v>0.3</v>
      </c>
      <c r="X165" s="90">
        <v>3.3333333333333333E-2</v>
      </c>
      <c r="Y165" s="6">
        <v>0.1</v>
      </c>
      <c r="Z165" s="3"/>
      <c r="AA165" s="24"/>
      <c r="AB165" s="56">
        <v>156</v>
      </c>
      <c r="AC165" s="56" t="str">
        <f>IF(ID!$B$82=AA165,AB165,"")</f>
        <v/>
      </c>
      <c r="AD165" s="56"/>
    </row>
    <row r="166" spans="2:30" x14ac:dyDescent="0.25">
      <c r="B166" s="48">
        <v>100</v>
      </c>
      <c r="C166" s="61">
        <v>0</v>
      </c>
      <c r="D166" s="1166"/>
      <c r="F166" s="48">
        <v>100</v>
      </c>
      <c r="G166" s="61">
        <v>0</v>
      </c>
      <c r="H166" s="1166"/>
      <c r="I166" s="62"/>
      <c r="J166" s="48">
        <v>100</v>
      </c>
      <c r="K166" s="51">
        <v>0</v>
      </c>
      <c r="L166" s="6">
        <v>0.1</v>
      </c>
      <c r="M166" s="1169"/>
      <c r="N166" s="53"/>
      <c r="O166" s="48">
        <f t="shared" si="59"/>
        <v>100</v>
      </c>
      <c r="P166" s="508"/>
      <c r="Q166" s="508"/>
      <c r="R166" s="508"/>
      <c r="S166" s="90"/>
      <c r="T166" s="52"/>
      <c r="U166" s="528"/>
      <c r="V166" s="529">
        <v>0</v>
      </c>
      <c r="W166" s="528">
        <v>0.1</v>
      </c>
      <c r="X166" s="90">
        <v>3.3333333333333333E-2</v>
      </c>
      <c r="Y166" s="6">
        <v>0.1</v>
      </c>
      <c r="Z166" s="3"/>
      <c r="AA166" s="24"/>
      <c r="AB166" s="56">
        <v>157</v>
      </c>
      <c r="AC166" s="56" t="str">
        <f>IF(ID!$B$82=AA166,AB166,"")</f>
        <v/>
      </c>
      <c r="AD166" s="56"/>
    </row>
    <row r="167" spans="2:30" x14ac:dyDescent="0.25">
      <c r="B167" s="48">
        <v>150</v>
      </c>
      <c r="C167" s="61">
        <v>0</v>
      </c>
      <c r="D167" s="1166"/>
      <c r="F167" s="48">
        <v>150</v>
      </c>
      <c r="G167" s="61">
        <v>0</v>
      </c>
      <c r="H167" s="1166"/>
      <c r="I167" s="62"/>
      <c r="J167" s="48">
        <v>150</v>
      </c>
      <c r="K167" s="51">
        <v>-0.1</v>
      </c>
      <c r="L167" s="6">
        <v>0.1</v>
      </c>
      <c r="M167" s="1169"/>
      <c r="N167" s="53"/>
      <c r="O167" s="48">
        <f t="shared" si="59"/>
        <v>150</v>
      </c>
      <c r="P167" s="508"/>
      <c r="Q167" s="508"/>
      <c r="R167" s="508"/>
      <c r="S167" s="90"/>
      <c r="T167" s="52"/>
      <c r="U167" s="528"/>
      <c r="V167" s="529">
        <v>0</v>
      </c>
      <c r="W167" s="528">
        <v>0</v>
      </c>
      <c r="X167" s="90">
        <v>3.3333333333333333E-2</v>
      </c>
      <c r="Y167" s="6">
        <v>0.1</v>
      </c>
      <c r="Z167" s="3"/>
      <c r="AA167" s="24"/>
      <c r="AB167" s="56">
        <v>158</v>
      </c>
      <c r="AC167" s="56" t="str">
        <f>IF(ID!$B$82=AA167,AB167,"")</f>
        <v/>
      </c>
      <c r="AD167" s="56"/>
    </row>
    <row r="168" spans="2:30" x14ac:dyDescent="0.25">
      <c r="B168" s="48">
        <v>200</v>
      </c>
      <c r="C168" s="61">
        <v>0</v>
      </c>
      <c r="D168" s="1166"/>
      <c r="F168" s="48">
        <v>200</v>
      </c>
      <c r="G168" s="61">
        <v>0</v>
      </c>
      <c r="H168" s="1166"/>
      <c r="I168" s="62"/>
      <c r="J168" s="48">
        <v>200</v>
      </c>
      <c r="K168" s="51">
        <v>-0.1</v>
      </c>
      <c r="L168" s="6">
        <v>0.1</v>
      </c>
      <c r="M168" s="1169"/>
      <c r="N168" s="53"/>
      <c r="O168" s="48">
        <f t="shared" si="59"/>
        <v>200</v>
      </c>
      <c r="P168" s="508"/>
      <c r="Q168" s="508"/>
      <c r="R168" s="508"/>
      <c r="S168" s="90"/>
      <c r="T168" s="52"/>
      <c r="U168" s="528"/>
      <c r="V168" s="529">
        <v>0</v>
      </c>
      <c r="W168" s="528">
        <v>-0.1</v>
      </c>
      <c r="X168" s="90">
        <v>3.3333333333333333E-2</v>
      </c>
      <c r="Y168" s="6">
        <v>0.1</v>
      </c>
      <c r="Z168" s="3"/>
      <c r="AA168" s="24"/>
      <c r="AB168" s="56">
        <v>159</v>
      </c>
      <c r="AC168" s="56" t="str">
        <f>IF(ID!$B$82=AA168,AB168,"")</f>
        <v/>
      </c>
      <c r="AD168" s="56"/>
    </row>
    <row r="169" spans="2:30" x14ac:dyDescent="0.25">
      <c r="B169" s="48">
        <v>250</v>
      </c>
      <c r="C169" s="61">
        <v>0</v>
      </c>
      <c r="D169" s="1166"/>
      <c r="F169" s="48">
        <v>250</v>
      </c>
      <c r="G169" s="61">
        <v>0</v>
      </c>
      <c r="H169" s="1166"/>
      <c r="I169" s="62"/>
      <c r="J169" s="48">
        <v>250</v>
      </c>
      <c r="K169" s="51">
        <v>-0.4</v>
      </c>
      <c r="L169" s="6">
        <v>0.1</v>
      </c>
      <c r="M169" s="1169"/>
      <c r="N169" s="53"/>
      <c r="O169" s="48">
        <f t="shared" si="59"/>
        <v>250</v>
      </c>
      <c r="P169" s="508"/>
      <c r="Q169" s="508"/>
      <c r="R169" s="508"/>
      <c r="S169" s="90"/>
      <c r="T169" s="52"/>
      <c r="U169" s="528"/>
      <c r="V169" s="529">
        <v>0</v>
      </c>
      <c r="W169" s="528">
        <v>-0.4</v>
      </c>
      <c r="X169" s="90">
        <v>3.3333333333333333E-2</v>
      </c>
      <c r="Y169" s="6">
        <v>0.1</v>
      </c>
      <c r="Z169" s="3"/>
      <c r="AA169" s="24"/>
      <c r="AB169" s="56">
        <v>160</v>
      </c>
      <c r="AC169" s="56" t="str">
        <f>IF(ID!$B$82=AA169,AB169,"")</f>
        <v/>
      </c>
      <c r="AD169" s="56"/>
    </row>
    <row r="170" spans="2:30" x14ac:dyDescent="0.25">
      <c r="B170" s="48">
        <v>300</v>
      </c>
      <c r="C170" s="61">
        <v>0</v>
      </c>
      <c r="D170" s="1167"/>
      <c r="F170" s="48">
        <v>300</v>
      </c>
      <c r="G170" s="61">
        <v>0</v>
      </c>
      <c r="H170" s="1167"/>
      <c r="I170" s="62"/>
      <c r="J170" s="48">
        <v>300</v>
      </c>
      <c r="K170" s="51">
        <v>-0.7</v>
      </c>
      <c r="L170" s="6">
        <v>0.1</v>
      </c>
      <c r="M170" s="1170"/>
      <c r="N170" s="53"/>
      <c r="O170" s="48">
        <f t="shared" si="59"/>
        <v>300</v>
      </c>
      <c r="P170" s="508"/>
      <c r="Q170" s="508"/>
      <c r="R170" s="508"/>
      <c r="S170" s="90"/>
      <c r="T170" s="52"/>
      <c r="U170" s="528"/>
      <c r="V170" s="529">
        <v>0</v>
      </c>
      <c r="W170" s="528">
        <v>-0.6</v>
      </c>
      <c r="X170" s="90">
        <v>3.3333333333333333E-2</v>
      </c>
      <c r="Y170" s="6">
        <v>0.1</v>
      </c>
      <c r="Z170" s="3"/>
      <c r="AA170" s="24"/>
      <c r="AB170" s="56">
        <v>161</v>
      </c>
      <c r="AC170" s="56" t="str">
        <f>IF(ID!$B$82=AA170,AB170,"")</f>
        <v/>
      </c>
      <c r="AD170" s="56"/>
    </row>
    <row r="171" spans="2:30" x14ac:dyDescent="0.25">
      <c r="O171" s="82"/>
      <c r="P171" s="520"/>
      <c r="Q171" s="521"/>
      <c r="R171" s="521"/>
      <c r="S171" s="83"/>
      <c r="T171" s="84"/>
      <c r="U171" s="533"/>
      <c r="V171" s="533"/>
      <c r="W171" s="533"/>
      <c r="X171" s="83"/>
      <c r="Y171" s="84"/>
      <c r="Z171" s="23"/>
      <c r="AA171" s="24"/>
      <c r="AB171" s="56">
        <v>162</v>
      </c>
      <c r="AC171" s="56" t="str">
        <f>IF(ID!$B$82=AA171,AB171,"")</f>
        <v/>
      </c>
      <c r="AD171" s="56"/>
    </row>
    <row r="172" spans="2:30" x14ac:dyDescent="0.25">
      <c r="D172" s="7"/>
      <c r="H172" s="7"/>
      <c r="I172" s="7"/>
      <c r="K172" s="7"/>
      <c r="M172" s="7"/>
      <c r="N172" s="7"/>
      <c r="O172" s="82"/>
      <c r="P172" s="520"/>
      <c r="Q172" s="521"/>
      <c r="R172" s="521"/>
      <c r="S172" s="83"/>
      <c r="T172" s="84"/>
      <c r="U172" s="533"/>
      <c r="V172" s="533"/>
      <c r="W172" s="533"/>
      <c r="X172" s="83"/>
      <c r="Y172" s="84"/>
      <c r="Z172" s="23"/>
      <c r="AA172" s="24"/>
      <c r="AB172" s="56">
        <v>163</v>
      </c>
      <c r="AC172" s="56" t="str">
        <f>IF(ID!$B$82=AA172,AB172,"")</f>
        <v/>
      </c>
      <c r="AD172" s="56"/>
    </row>
    <row r="173" spans="2:30" x14ac:dyDescent="0.25">
      <c r="O173" s="82"/>
      <c r="P173" s="520"/>
      <c r="Q173" s="521"/>
      <c r="R173" s="521"/>
      <c r="S173" s="83"/>
      <c r="T173" s="84"/>
      <c r="U173" s="533"/>
      <c r="V173" s="533"/>
      <c r="W173" s="533"/>
      <c r="X173" s="83"/>
      <c r="Y173" s="84"/>
      <c r="Z173" s="23"/>
      <c r="AA173" s="24"/>
      <c r="AB173" s="56">
        <v>164</v>
      </c>
      <c r="AC173" s="56" t="str">
        <f>IF(ID!$B$82=AA173,AB173,"")</f>
        <v/>
      </c>
      <c r="AD173" s="56"/>
    </row>
    <row r="174" spans="2:30" x14ac:dyDescent="0.25">
      <c r="O174" s="82"/>
      <c r="P174" s="520"/>
      <c r="Q174" s="521"/>
      <c r="R174" s="521"/>
      <c r="S174" s="83"/>
      <c r="T174" s="84"/>
      <c r="U174" s="533"/>
      <c r="V174" s="533"/>
      <c r="W174" s="533"/>
      <c r="X174" s="83"/>
      <c r="Y174" s="84"/>
      <c r="Z174" s="23"/>
      <c r="AA174" s="24"/>
      <c r="AB174" s="56">
        <v>165</v>
      </c>
      <c r="AC174" s="56" t="str">
        <f>IF(ID!$B$82=AA174,AB174,"")</f>
        <v/>
      </c>
      <c r="AD174" s="56"/>
    </row>
    <row r="175" spans="2:30" x14ac:dyDescent="0.25">
      <c r="D175" s="7"/>
      <c r="H175" s="7"/>
      <c r="I175" s="7"/>
      <c r="K175" s="7"/>
      <c r="M175" s="7"/>
      <c r="N175" s="7"/>
      <c r="O175" s="85"/>
      <c r="Z175" s="7"/>
      <c r="AA175" s="7"/>
      <c r="AB175" s="56">
        <v>166</v>
      </c>
      <c r="AC175" s="56" t="str">
        <f>IF(ID!$B$82=AA175,AB175,"")</f>
        <v/>
      </c>
      <c r="AD175" s="56"/>
    </row>
    <row r="176" spans="2:30" x14ac:dyDescent="0.25">
      <c r="D176" s="4"/>
      <c r="H176" s="4"/>
      <c r="I176" s="4"/>
      <c r="K176" s="4"/>
      <c r="M176" s="4"/>
      <c r="N176" s="4"/>
      <c r="O176" s="58"/>
      <c r="Z176" s="4"/>
      <c r="AA176" s="4"/>
      <c r="AB176" s="56">
        <v>167</v>
      </c>
      <c r="AC176" s="56" t="str">
        <f>IF(ID!$B$82=AA176,AB176,"")</f>
        <v/>
      </c>
      <c r="AD176" s="56"/>
    </row>
    <row r="177" spans="2:30" x14ac:dyDescent="0.25">
      <c r="D177" s="4"/>
      <c r="H177" s="4"/>
      <c r="I177" s="4"/>
      <c r="K177" s="4"/>
      <c r="M177" s="4"/>
      <c r="N177" s="4"/>
      <c r="O177" s="58"/>
      <c r="Z177" s="4"/>
      <c r="AA177" s="4"/>
      <c r="AB177" s="56">
        <v>168</v>
      </c>
      <c r="AC177" s="56" t="str">
        <f>IF(ID!$B$82=AA177,AB177,"")</f>
        <v/>
      </c>
      <c r="AD177" s="56"/>
    </row>
    <row r="178" spans="2:30" x14ac:dyDescent="0.25">
      <c r="O178" s="59"/>
      <c r="P178" s="509"/>
      <c r="Q178" s="510"/>
      <c r="R178" s="511"/>
      <c r="S178" s="77"/>
      <c r="X178" s="77"/>
      <c r="AB178" s="56">
        <v>169</v>
      </c>
      <c r="AC178" s="56" t="str">
        <f>IF(ID!$B$82=AA178,AB178,"")</f>
        <v/>
      </c>
      <c r="AD178" s="56"/>
    </row>
    <row r="179" spans="2:30" x14ac:dyDescent="0.25">
      <c r="B179" s="48">
        <v>0</v>
      </c>
      <c r="C179" s="51">
        <v>-0.1</v>
      </c>
      <c r="D179" s="1165" t="s">
        <v>384</v>
      </c>
      <c r="F179" s="48">
        <v>0</v>
      </c>
      <c r="G179" s="51">
        <v>-0.1</v>
      </c>
      <c r="H179" s="1165" t="s">
        <v>384</v>
      </c>
      <c r="I179" s="62"/>
      <c r="J179" s="48">
        <v>0</v>
      </c>
      <c r="K179" s="51">
        <v>0</v>
      </c>
      <c r="L179" s="52">
        <v>0.1</v>
      </c>
      <c r="M179" s="1168" t="s">
        <v>387</v>
      </c>
      <c r="N179" s="67"/>
      <c r="O179" s="48">
        <f t="shared" ref="O179:O185" si="60">J179</f>
        <v>0</v>
      </c>
      <c r="P179" s="508"/>
      <c r="Q179" s="508"/>
      <c r="R179" s="508"/>
      <c r="S179" s="90"/>
      <c r="T179" s="52"/>
      <c r="U179" s="528"/>
      <c r="V179" s="529">
        <v>-0.1</v>
      </c>
      <c r="W179" s="529">
        <v>0</v>
      </c>
      <c r="X179" s="54">
        <v>0.05</v>
      </c>
      <c r="Y179" s="55">
        <v>0.1</v>
      </c>
      <c r="Z179" s="3" t="s">
        <v>385</v>
      </c>
      <c r="AA179" s="24"/>
      <c r="AB179" s="56">
        <v>170</v>
      </c>
      <c r="AC179" s="56" t="str">
        <f>IF(ID!$B$82=AA179,AB179,"")</f>
        <v/>
      </c>
      <c r="AD179" s="56"/>
    </row>
    <row r="180" spans="2:30" x14ac:dyDescent="0.25">
      <c r="B180" s="48">
        <v>50</v>
      </c>
      <c r="C180" s="51">
        <v>0.10000000000000142</v>
      </c>
      <c r="D180" s="1166"/>
      <c r="F180" s="48">
        <v>50</v>
      </c>
      <c r="G180" s="51">
        <v>0.10000000000000142</v>
      </c>
      <c r="H180" s="1166"/>
      <c r="I180" s="62"/>
      <c r="J180" s="48">
        <v>50</v>
      </c>
      <c r="K180" s="51">
        <v>0.1</v>
      </c>
      <c r="L180" s="52">
        <v>0.1</v>
      </c>
      <c r="M180" s="1169"/>
      <c r="N180" s="53"/>
      <c r="O180" s="48">
        <f t="shared" si="60"/>
        <v>50</v>
      </c>
      <c r="P180" s="508"/>
      <c r="Q180" s="508"/>
      <c r="R180" s="508"/>
      <c r="S180" s="90"/>
      <c r="T180" s="52"/>
      <c r="U180" s="528"/>
      <c r="V180" s="529">
        <v>0.10000000000000142</v>
      </c>
      <c r="W180" s="529">
        <v>0.1</v>
      </c>
      <c r="X180" s="54">
        <v>7.0776717819853729E-16</v>
      </c>
      <c r="Y180" s="55">
        <v>0.1</v>
      </c>
      <c r="Z180" s="3"/>
      <c r="AA180" s="24"/>
      <c r="AB180" s="56">
        <v>171</v>
      </c>
      <c r="AC180" s="56" t="str">
        <f>IF(ID!$B$82=AA180,AB180,"")</f>
        <v/>
      </c>
      <c r="AD180" s="56"/>
    </row>
    <row r="181" spans="2:30" x14ac:dyDescent="0.25">
      <c r="B181" s="48">
        <v>100</v>
      </c>
      <c r="C181" s="51">
        <v>0.20000000000000284</v>
      </c>
      <c r="D181" s="1166"/>
      <c r="F181" s="48">
        <v>100</v>
      </c>
      <c r="G181" s="51">
        <v>0.20000000000000284</v>
      </c>
      <c r="H181" s="1166"/>
      <c r="I181" s="62"/>
      <c r="J181" s="48">
        <v>100</v>
      </c>
      <c r="K181" s="51">
        <v>0.1</v>
      </c>
      <c r="L181" s="52">
        <v>0.1</v>
      </c>
      <c r="M181" s="1169"/>
      <c r="N181" s="53"/>
      <c r="O181" s="48">
        <f t="shared" si="60"/>
        <v>100</v>
      </c>
      <c r="P181" s="508"/>
      <c r="Q181" s="508"/>
      <c r="R181" s="508"/>
      <c r="S181" s="90"/>
      <c r="T181" s="52"/>
      <c r="U181" s="528"/>
      <c r="V181" s="529">
        <v>0.20000000000000284</v>
      </c>
      <c r="W181" s="529">
        <v>0.1</v>
      </c>
      <c r="X181" s="54">
        <v>5.0000000000001418E-2</v>
      </c>
      <c r="Y181" s="55">
        <v>0.1</v>
      </c>
      <c r="Z181" s="3"/>
      <c r="AA181" s="24"/>
      <c r="AB181" s="56">
        <v>172</v>
      </c>
      <c r="AC181" s="56" t="str">
        <f>IF(ID!$B$82=AA181,AB181,"")</f>
        <v/>
      </c>
      <c r="AD181" s="56"/>
    </row>
    <row r="182" spans="2:30" x14ac:dyDescent="0.25">
      <c r="B182" s="48">
        <v>150</v>
      </c>
      <c r="C182" s="51">
        <v>0.30000000000001137</v>
      </c>
      <c r="D182" s="1166"/>
      <c r="F182" s="48">
        <v>150</v>
      </c>
      <c r="G182" s="51">
        <v>0.30000000000001137</v>
      </c>
      <c r="H182" s="1166"/>
      <c r="I182" s="62"/>
      <c r="J182" s="48">
        <v>150</v>
      </c>
      <c r="K182" s="51">
        <v>0.3</v>
      </c>
      <c r="L182" s="52">
        <v>0.1</v>
      </c>
      <c r="M182" s="1169"/>
      <c r="N182" s="53"/>
      <c r="O182" s="48">
        <f t="shared" si="60"/>
        <v>150</v>
      </c>
      <c r="P182" s="508"/>
      <c r="Q182" s="508"/>
      <c r="R182" s="508"/>
      <c r="S182" s="90"/>
      <c r="T182" s="52"/>
      <c r="U182" s="528"/>
      <c r="V182" s="529">
        <v>0.30000000000001137</v>
      </c>
      <c r="W182" s="529">
        <v>0.3</v>
      </c>
      <c r="X182" s="54">
        <v>5.6898930012039273E-15</v>
      </c>
      <c r="Y182" s="55">
        <v>0.1</v>
      </c>
      <c r="Z182" s="3"/>
      <c r="AA182" s="24"/>
      <c r="AB182" s="56">
        <v>173</v>
      </c>
      <c r="AC182" s="56" t="str">
        <f>IF(ID!$B$82=AA182,AB182,"")</f>
        <v/>
      </c>
      <c r="AD182" s="56"/>
    </row>
    <row r="183" spans="2:30" x14ac:dyDescent="0.25">
      <c r="B183" s="48">
        <v>200</v>
      </c>
      <c r="C183" s="51">
        <v>0.40000000000000568</v>
      </c>
      <c r="D183" s="1166"/>
      <c r="F183" s="48">
        <v>200</v>
      </c>
      <c r="G183" s="51">
        <v>0.40000000000000568</v>
      </c>
      <c r="H183" s="1166"/>
      <c r="I183" s="62"/>
      <c r="J183" s="48">
        <v>200</v>
      </c>
      <c r="K183" s="51">
        <v>0.60000000000002274</v>
      </c>
      <c r="L183" s="52">
        <v>0.1</v>
      </c>
      <c r="M183" s="1169"/>
      <c r="N183" s="53"/>
      <c r="O183" s="48">
        <f t="shared" si="60"/>
        <v>200</v>
      </c>
      <c r="P183" s="508"/>
      <c r="Q183" s="508"/>
      <c r="R183" s="508"/>
      <c r="S183" s="90"/>
      <c r="T183" s="52"/>
      <c r="U183" s="528"/>
      <c r="V183" s="529">
        <v>0.40000000000000568</v>
      </c>
      <c r="W183" s="529">
        <v>0.60000000000002274</v>
      </c>
      <c r="X183" s="54">
        <v>0.10000000000000853</v>
      </c>
      <c r="Y183" s="55">
        <v>0.1</v>
      </c>
      <c r="Z183" s="3"/>
      <c r="AA183" s="24"/>
      <c r="AB183" s="56">
        <v>174</v>
      </c>
      <c r="AC183" s="56" t="str">
        <f>IF(ID!$B$82=AA183,AB183,"")</f>
        <v/>
      </c>
      <c r="AD183" s="56"/>
    </row>
    <row r="184" spans="2:30" x14ac:dyDescent="0.25">
      <c r="B184" s="48">
        <v>250</v>
      </c>
      <c r="C184" s="51">
        <v>0.5</v>
      </c>
      <c r="D184" s="1166"/>
      <c r="F184" s="48">
        <v>250</v>
      </c>
      <c r="G184" s="51">
        <v>0.5</v>
      </c>
      <c r="H184" s="1166"/>
      <c r="I184" s="62"/>
      <c r="J184" s="48">
        <v>250</v>
      </c>
      <c r="K184" s="51">
        <v>0.60000000000002274</v>
      </c>
      <c r="L184" s="52">
        <v>0.1</v>
      </c>
      <c r="M184" s="1169"/>
      <c r="N184" s="53"/>
      <c r="O184" s="48">
        <f t="shared" si="60"/>
        <v>250</v>
      </c>
      <c r="P184" s="508"/>
      <c r="Q184" s="508"/>
      <c r="R184" s="508"/>
      <c r="S184" s="90"/>
      <c r="T184" s="52"/>
      <c r="U184" s="528"/>
      <c r="V184" s="529">
        <v>0.5</v>
      </c>
      <c r="W184" s="529">
        <v>0.60000000000002274</v>
      </c>
      <c r="X184" s="54">
        <v>5.0000000000011369E-2</v>
      </c>
      <c r="Y184" s="55">
        <v>0.1</v>
      </c>
      <c r="Z184" s="3"/>
      <c r="AA184" s="24"/>
      <c r="AB184" s="56">
        <v>175</v>
      </c>
      <c r="AC184" s="56" t="str">
        <f>IF(ID!$B$82=AA184,AB184,"")</f>
        <v/>
      </c>
      <c r="AD184" s="56"/>
    </row>
    <row r="185" spans="2:30" x14ac:dyDescent="0.25">
      <c r="B185" s="48">
        <v>300</v>
      </c>
      <c r="C185" s="51">
        <v>0.60000000000002274</v>
      </c>
      <c r="D185" s="1167"/>
      <c r="F185" s="48">
        <v>300</v>
      </c>
      <c r="G185" s="51">
        <v>0.60000000000002274</v>
      </c>
      <c r="H185" s="1167"/>
      <c r="I185" s="62"/>
      <c r="J185" s="48">
        <v>300</v>
      </c>
      <c r="K185" s="51">
        <v>0.60000000000002274</v>
      </c>
      <c r="L185" s="52">
        <v>0.1</v>
      </c>
      <c r="M185" s="1170"/>
      <c r="N185" s="53"/>
      <c r="O185" s="48">
        <f t="shared" si="60"/>
        <v>300</v>
      </c>
      <c r="P185" s="508"/>
      <c r="Q185" s="508"/>
      <c r="R185" s="508"/>
      <c r="S185" s="90"/>
      <c r="T185" s="52"/>
      <c r="U185" s="528"/>
      <c r="V185" s="529">
        <v>0.60000000000002274</v>
      </c>
      <c r="W185" s="529">
        <v>0.60000000000002274</v>
      </c>
      <c r="X185" s="54">
        <v>0</v>
      </c>
      <c r="Y185" s="55">
        <v>0.1</v>
      </c>
      <c r="Z185" s="3"/>
      <c r="AA185" s="24"/>
      <c r="AB185" s="56">
        <v>176</v>
      </c>
      <c r="AC185" s="56" t="str">
        <f>IF(ID!$B$82=AA185,AB185,"")</f>
        <v/>
      </c>
      <c r="AD185" s="56"/>
    </row>
    <row r="186" spans="2:30" x14ac:dyDescent="0.25">
      <c r="O186" s="82"/>
      <c r="P186" s="520"/>
      <c r="Q186" s="521"/>
      <c r="R186" s="521"/>
      <c r="S186" s="83"/>
      <c r="T186" s="84"/>
      <c r="U186" s="533"/>
      <c r="V186" s="533"/>
      <c r="W186" s="533"/>
      <c r="X186" s="83"/>
      <c r="Y186" s="84"/>
      <c r="Z186" s="23"/>
      <c r="AA186" s="24"/>
      <c r="AB186" s="56">
        <v>177</v>
      </c>
      <c r="AC186" s="56" t="str">
        <f>IF(ID!$B$82=AA186,AB186,"")</f>
        <v/>
      </c>
      <c r="AD186" s="56"/>
    </row>
    <row r="187" spans="2:30" x14ac:dyDescent="0.25">
      <c r="D187" s="7"/>
      <c r="H187" s="7"/>
      <c r="I187" s="7"/>
      <c r="K187" s="7"/>
      <c r="M187" s="7"/>
      <c r="N187" s="7"/>
      <c r="O187" s="82"/>
      <c r="P187" s="520"/>
      <c r="Q187" s="521"/>
      <c r="R187" s="521"/>
      <c r="S187" s="83"/>
      <c r="T187" s="84"/>
      <c r="U187" s="533"/>
      <c r="V187" s="533"/>
      <c r="W187" s="533"/>
      <c r="X187" s="83"/>
      <c r="Y187" s="84"/>
      <c r="Z187" s="23"/>
      <c r="AA187" s="24"/>
      <c r="AB187" s="56">
        <v>178</v>
      </c>
      <c r="AC187" s="56" t="str">
        <f>IF(ID!$B$82=AA187,AB187,"")</f>
        <v/>
      </c>
      <c r="AD187" s="56"/>
    </row>
    <row r="188" spans="2:30" x14ac:dyDescent="0.25">
      <c r="O188" s="82"/>
      <c r="P188" s="520"/>
      <c r="Q188" s="521"/>
      <c r="R188" s="521"/>
      <c r="S188" s="83"/>
      <c r="T188" s="84"/>
      <c r="U188" s="533"/>
      <c r="V188" s="533"/>
      <c r="W188" s="533"/>
      <c r="X188" s="83"/>
      <c r="Y188" s="84"/>
      <c r="Z188" s="23"/>
      <c r="AA188" s="24"/>
      <c r="AB188" s="56">
        <v>179</v>
      </c>
      <c r="AC188" s="56" t="str">
        <f>IF(ID!$B$82=AA188,AB188,"")</f>
        <v/>
      </c>
      <c r="AD188" s="56"/>
    </row>
    <row r="189" spans="2:30" x14ac:dyDescent="0.25">
      <c r="O189" s="82"/>
      <c r="P189" s="520"/>
      <c r="Q189" s="521"/>
      <c r="R189" s="521"/>
      <c r="S189" s="83"/>
      <c r="T189" s="84"/>
      <c r="U189" s="533"/>
      <c r="V189" s="533"/>
      <c r="W189" s="533"/>
      <c r="X189" s="83"/>
      <c r="Y189" s="84"/>
      <c r="Z189" s="23"/>
      <c r="AA189" s="24"/>
      <c r="AB189" s="56">
        <v>180</v>
      </c>
      <c r="AC189" s="56" t="str">
        <f>IF(ID!$B$82=AA189,AB189,"")</f>
        <v/>
      </c>
      <c r="AD189" s="56"/>
    </row>
    <row r="190" spans="2:30" x14ac:dyDescent="0.25">
      <c r="D190" s="7"/>
      <c r="H190" s="7"/>
      <c r="I190" s="7"/>
      <c r="K190" s="7"/>
      <c r="M190" s="7"/>
      <c r="N190" s="7"/>
      <c r="O190" s="85"/>
      <c r="Z190" s="7"/>
      <c r="AA190" s="7"/>
      <c r="AB190" s="56">
        <v>181</v>
      </c>
      <c r="AC190" s="56" t="str">
        <f>IF(ID!$B$82=AA190,AB190,"")</f>
        <v/>
      </c>
      <c r="AD190" s="56"/>
    </row>
    <row r="191" spans="2:30" x14ac:dyDescent="0.25">
      <c r="D191" s="4"/>
      <c r="H191" s="4"/>
      <c r="I191" s="4"/>
      <c r="K191" s="4"/>
      <c r="M191" s="4"/>
      <c r="N191" s="4"/>
      <c r="O191" s="58"/>
      <c r="Z191" s="4"/>
      <c r="AA191" s="4"/>
      <c r="AB191" s="56">
        <v>182</v>
      </c>
      <c r="AC191" s="56" t="str">
        <f>IF(ID!$B$82=AA191,AB191,"")</f>
        <v/>
      </c>
      <c r="AD191" s="56"/>
    </row>
    <row r="192" spans="2:30" x14ac:dyDescent="0.25">
      <c r="D192" s="4"/>
      <c r="H192" s="4"/>
      <c r="I192" s="4"/>
      <c r="K192" s="4"/>
      <c r="M192" s="4"/>
      <c r="N192" s="4"/>
      <c r="O192" s="58"/>
      <c r="Z192" s="4"/>
      <c r="AA192" s="4"/>
      <c r="AB192" s="56">
        <v>183</v>
      </c>
      <c r="AC192" s="56" t="str">
        <f>IF(ID!$B$82=AA192,AB192,"")</f>
        <v/>
      </c>
      <c r="AD192" s="56"/>
    </row>
    <row r="193" spans="2:30" x14ac:dyDescent="0.25">
      <c r="B193" s="1171" t="s">
        <v>409</v>
      </c>
      <c r="C193" s="1172"/>
      <c r="D193" s="1173"/>
      <c r="F193" s="1171" t="s">
        <v>410</v>
      </c>
      <c r="G193" s="1172"/>
      <c r="H193" s="1173"/>
      <c r="I193" s="32"/>
      <c r="J193" s="1171" t="s">
        <v>358</v>
      </c>
      <c r="K193" s="1172"/>
      <c r="L193" s="1172"/>
      <c r="M193" s="1173"/>
      <c r="N193" s="91"/>
      <c r="O193" s="59"/>
      <c r="P193" s="509"/>
      <c r="Q193" s="510"/>
      <c r="R193" s="511"/>
      <c r="S193" s="77"/>
      <c r="X193" s="77" t="s">
        <v>375</v>
      </c>
      <c r="AB193" s="56">
        <v>184</v>
      </c>
      <c r="AC193" s="56" t="str">
        <f>IF(ID!$B$82=AA193,AB193,"")</f>
        <v/>
      </c>
      <c r="AD193" s="56"/>
    </row>
    <row r="194" spans="2:30" x14ac:dyDescent="0.25">
      <c r="B194" s="48">
        <v>0</v>
      </c>
      <c r="C194" s="51" t="s">
        <v>99</v>
      </c>
      <c r="D194" s="1165"/>
      <c r="F194" s="48">
        <v>0</v>
      </c>
      <c r="G194" s="51" t="s">
        <v>99</v>
      </c>
      <c r="H194" s="1165"/>
      <c r="I194" s="62"/>
      <c r="J194" s="48">
        <v>0</v>
      </c>
      <c r="K194" s="51">
        <v>0</v>
      </c>
      <c r="L194" s="52">
        <v>1.6</v>
      </c>
      <c r="M194" s="1168" t="s">
        <v>784</v>
      </c>
      <c r="N194" s="67"/>
      <c r="O194" s="48">
        <f t="shared" ref="O194:O200" si="61">J194</f>
        <v>0</v>
      </c>
      <c r="P194" s="508"/>
      <c r="Q194" s="508"/>
      <c r="R194" s="508"/>
      <c r="S194" s="90"/>
      <c r="T194" s="52"/>
      <c r="U194" s="534" t="str">
        <f>C194</f>
        <v>-</v>
      </c>
      <c r="V194" s="529" t="str">
        <f t="shared" ref="V194:V200" si="62">G194</f>
        <v>-</v>
      </c>
      <c r="W194" s="529">
        <f t="shared" ref="W194:W200" si="63">K194</f>
        <v>0</v>
      </c>
      <c r="X194" s="54">
        <f t="shared" ref="X194:X200" si="64">(1/3)*Y194</f>
        <v>0.53333333333333333</v>
      </c>
      <c r="Y194" s="133">
        <f t="shared" ref="Y194:Y200" si="65">L194</f>
        <v>1.6</v>
      </c>
      <c r="Z194" s="3" t="s">
        <v>785</v>
      </c>
      <c r="AA194" t="s">
        <v>838</v>
      </c>
      <c r="AB194" s="56">
        <v>185</v>
      </c>
      <c r="AC194" s="56" t="str">
        <f>IF(ID!$B$82=AA194,AB194,"")</f>
        <v/>
      </c>
      <c r="AD194" s="56"/>
    </row>
    <row r="195" spans="2:30" x14ac:dyDescent="0.25">
      <c r="B195" s="48">
        <v>50</v>
      </c>
      <c r="C195" s="51" t="s">
        <v>99</v>
      </c>
      <c r="D195" s="1166"/>
      <c r="F195" s="48">
        <v>50</v>
      </c>
      <c r="G195" s="51" t="s">
        <v>99</v>
      </c>
      <c r="H195" s="1166"/>
      <c r="I195" s="62"/>
      <c r="J195" s="48">
        <v>50</v>
      </c>
      <c r="K195" s="51">
        <v>-0.1</v>
      </c>
      <c r="L195" s="52">
        <v>1.6</v>
      </c>
      <c r="M195" s="1169"/>
      <c r="N195" s="53"/>
      <c r="O195" s="48">
        <f t="shared" si="61"/>
        <v>50</v>
      </c>
      <c r="P195" s="508"/>
      <c r="Q195" s="508"/>
      <c r="R195" s="508"/>
      <c r="S195" s="90"/>
      <c r="T195" s="52"/>
      <c r="U195" s="534" t="str">
        <f t="shared" ref="U195:U200" si="66">C195</f>
        <v>-</v>
      </c>
      <c r="V195" s="529" t="str">
        <f t="shared" si="62"/>
        <v>-</v>
      </c>
      <c r="W195" s="529">
        <f t="shared" si="63"/>
        <v>-0.1</v>
      </c>
      <c r="X195" s="54">
        <f t="shared" si="64"/>
        <v>0.53333333333333333</v>
      </c>
      <c r="Y195" s="133">
        <f t="shared" si="65"/>
        <v>1.6</v>
      </c>
      <c r="Z195" s="3"/>
      <c r="AA195" t="s">
        <v>838</v>
      </c>
      <c r="AB195" s="56">
        <v>186</v>
      </c>
      <c r="AC195" s="56" t="str">
        <f>IF(ID!$B$82=AA195,AB195,"")</f>
        <v/>
      </c>
      <c r="AD195" s="56"/>
    </row>
    <row r="196" spans="2:30" x14ac:dyDescent="0.25">
      <c r="B196" s="48">
        <v>100</v>
      </c>
      <c r="C196" s="51" t="s">
        <v>99</v>
      </c>
      <c r="D196" s="1166"/>
      <c r="F196" s="48">
        <v>100</v>
      </c>
      <c r="G196" s="51" t="s">
        <v>99</v>
      </c>
      <c r="H196" s="1166"/>
      <c r="I196" s="62"/>
      <c r="J196" s="48">
        <v>100</v>
      </c>
      <c r="K196" s="51">
        <v>0</v>
      </c>
      <c r="L196" s="52">
        <v>1.6</v>
      </c>
      <c r="M196" s="1169"/>
      <c r="N196" s="53"/>
      <c r="O196" s="48">
        <f t="shared" si="61"/>
        <v>100</v>
      </c>
      <c r="P196" s="508"/>
      <c r="Q196" s="508"/>
      <c r="R196" s="508"/>
      <c r="S196" s="90"/>
      <c r="T196" s="52"/>
      <c r="U196" s="534" t="str">
        <f t="shared" si="66"/>
        <v>-</v>
      </c>
      <c r="V196" s="529" t="str">
        <f t="shared" si="62"/>
        <v>-</v>
      </c>
      <c r="W196" s="529">
        <f t="shared" si="63"/>
        <v>0</v>
      </c>
      <c r="X196" s="54">
        <f t="shared" si="64"/>
        <v>0.53333333333333333</v>
      </c>
      <c r="Y196" s="133">
        <f t="shared" si="65"/>
        <v>1.6</v>
      </c>
      <c r="Z196" s="3"/>
      <c r="AA196" t="s">
        <v>838</v>
      </c>
      <c r="AB196" s="56">
        <v>187</v>
      </c>
      <c r="AC196" s="56" t="str">
        <f>IF(ID!$B$82=AA196,AB196,"")</f>
        <v/>
      </c>
      <c r="AD196" s="56"/>
    </row>
    <row r="197" spans="2:30" x14ac:dyDescent="0.25">
      <c r="B197" s="48">
        <v>150</v>
      </c>
      <c r="C197" s="51" t="s">
        <v>99</v>
      </c>
      <c r="D197" s="1166"/>
      <c r="F197" s="48">
        <v>150</v>
      </c>
      <c r="G197" s="51" t="s">
        <v>99</v>
      </c>
      <c r="H197" s="1166"/>
      <c r="I197" s="62"/>
      <c r="J197" s="48">
        <v>150</v>
      </c>
      <c r="K197" s="51">
        <v>0.1</v>
      </c>
      <c r="L197" s="52">
        <v>1.6</v>
      </c>
      <c r="M197" s="1169"/>
      <c r="N197" s="53"/>
      <c r="O197" s="48">
        <f t="shared" si="61"/>
        <v>150</v>
      </c>
      <c r="P197" s="508"/>
      <c r="Q197" s="508"/>
      <c r="R197" s="508"/>
      <c r="S197" s="90"/>
      <c r="T197" s="52"/>
      <c r="U197" s="534" t="str">
        <f t="shared" si="66"/>
        <v>-</v>
      </c>
      <c r="V197" s="529" t="str">
        <f t="shared" si="62"/>
        <v>-</v>
      </c>
      <c r="W197" s="529">
        <f t="shared" si="63"/>
        <v>0.1</v>
      </c>
      <c r="X197" s="54">
        <f t="shared" si="64"/>
        <v>0.53333333333333333</v>
      </c>
      <c r="Y197" s="133">
        <f t="shared" si="65"/>
        <v>1.6</v>
      </c>
      <c r="Z197" s="3"/>
      <c r="AA197" t="s">
        <v>838</v>
      </c>
      <c r="AB197" s="56">
        <v>188</v>
      </c>
      <c r="AC197" s="56" t="str">
        <f>IF(ID!$B$82=AA197,AB197,"")</f>
        <v/>
      </c>
      <c r="AD197" s="56"/>
    </row>
    <row r="198" spans="2:30" x14ac:dyDescent="0.25">
      <c r="B198" s="48">
        <v>200</v>
      </c>
      <c r="C198" s="51" t="s">
        <v>99</v>
      </c>
      <c r="D198" s="1166"/>
      <c r="F198" s="48">
        <v>200</v>
      </c>
      <c r="G198" s="51" t="s">
        <v>99</v>
      </c>
      <c r="H198" s="1166"/>
      <c r="I198" s="62"/>
      <c r="J198" s="48">
        <v>200</v>
      </c>
      <c r="K198" s="51">
        <v>0.1</v>
      </c>
      <c r="L198" s="52">
        <v>1.6</v>
      </c>
      <c r="M198" s="1169"/>
      <c r="N198" s="53"/>
      <c r="O198" s="48">
        <f t="shared" si="61"/>
        <v>200</v>
      </c>
      <c r="P198" s="508"/>
      <c r="Q198" s="508"/>
      <c r="R198" s="508"/>
      <c r="S198" s="90"/>
      <c r="T198" s="52"/>
      <c r="U198" s="534" t="str">
        <f t="shared" si="66"/>
        <v>-</v>
      </c>
      <c r="V198" s="529" t="str">
        <f t="shared" si="62"/>
        <v>-</v>
      </c>
      <c r="W198" s="529">
        <f t="shared" si="63"/>
        <v>0.1</v>
      </c>
      <c r="X198" s="54">
        <f t="shared" si="64"/>
        <v>0.53333333333333333</v>
      </c>
      <c r="Y198" s="133">
        <f t="shared" si="65"/>
        <v>1.6</v>
      </c>
      <c r="Z198" s="3"/>
      <c r="AA198" t="s">
        <v>838</v>
      </c>
      <c r="AB198" s="56">
        <v>189</v>
      </c>
      <c r="AC198" s="56" t="str">
        <f>IF(ID!$B$82=AA198,AB198,"")</f>
        <v/>
      </c>
      <c r="AD198" s="56"/>
    </row>
    <row r="199" spans="2:30" x14ac:dyDescent="0.25">
      <c r="B199" s="48">
        <v>250</v>
      </c>
      <c r="C199" s="51" t="s">
        <v>99</v>
      </c>
      <c r="D199" s="1166"/>
      <c r="F199" s="48">
        <v>250</v>
      </c>
      <c r="G199" s="51" t="s">
        <v>99</v>
      </c>
      <c r="H199" s="1166"/>
      <c r="I199" s="62"/>
      <c r="J199" s="48">
        <v>250</v>
      </c>
      <c r="K199" s="51">
        <v>0.2</v>
      </c>
      <c r="L199" s="52">
        <v>1.6</v>
      </c>
      <c r="M199" s="1169"/>
      <c r="N199" s="53"/>
      <c r="O199" s="48">
        <f t="shared" si="61"/>
        <v>250</v>
      </c>
      <c r="P199" s="508"/>
      <c r="Q199" s="508"/>
      <c r="R199" s="508"/>
      <c r="S199" s="90"/>
      <c r="T199" s="52"/>
      <c r="U199" s="534" t="str">
        <f t="shared" si="66"/>
        <v>-</v>
      </c>
      <c r="V199" s="529" t="str">
        <f t="shared" si="62"/>
        <v>-</v>
      </c>
      <c r="W199" s="529">
        <f t="shared" si="63"/>
        <v>0.2</v>
      </c>
      <c r="X199" s="54">
        <f t="shared" si="64"/>
        <v>0.53333333333333333</v>
      </c>
      <c r="Y199" s="133">
        <f t="shared" si="65"/>
        <v>1.6</v>
      </c>
      <c r="Z199" s="3"/>
      <c r="AA199" t="s">
        <v>838</v>
      </c>
      <c r="AB199" s="56">
        <v>190</v>
      </c>
      <c r="AC199" s="56" t="str">
        <f>IF(ID!$B$82=AA199,AB199,"")</f>
        <v/>
      </c>
      <c r="AD199" s="56"/>
    </row>
    <row r="200" spans="2:30" x14ac:dyDescent="0.25">
      <c r="B200" s="48">
        <v>300</v>
      </c>
      <c r="C200" s="51" t="s">
        <v>99</v>
      </c>
      <c r="D200" s="1167"/>
      <c r="F200" s="48">
        <v>300</v>
      </c>
      <c r="G200" s="51" t="s">
        <v>99</v>
      </c>
      <c r="H200" s="1167"/>
      <c r="I200" s="62"/>
      <c r="J200" s="48">
        <v>300</v>
      </c>
      <c r="K200" s="51">
        <v>0.3</v>
      </c>
      <c r="L200" s="52">
        <v>1.6</v>
      </c>
      <c r="M200" s="1170"/>
      <c r="N200" s="53"/>
      <c r="O200" s="48">
        <f t="shared" si="61"/>
        <v>300</v>
      </c>
      <c r="P200" s="508"/>
      <c r="Q200" s="508"/>
      <c r="R200" s="508"/>
      <c r="S200" s="90"/>
      <c r="T200" s="52"/>
      <c r="U200" s="534" t="str">
        <f t="shared" si="66"/>
        <v>-</v>
      </c>
      <c r="V200" s="529" t="str">
        <f t="shared" si="62"/>
        <v>-</v>
      </c>
      <c r="W200" s="529">
        <f t="shared" si="63"/>
        <v>0.3</v>
      </c>
      <c r="X200" s="54">
        <f t="shared" si="64"/>
        <v>0.53333333333333333</v>
      </c>
      <c r="Y200" s="133">
        <f t="shared" si="65"/>
        <v>1.6</v>
      </c>
      <c r="Z200" s="3"/>
      <c r="AA200" t="s">
        <v>838</v>
      </c>
      <c r="AB200" s="56">
        <v>191</v>
      </c>
      <c r="AC200" s="56" t="str">
        <f>IF(ID!$B$82=AA200,AB200,"")</f>
        <v/>
      </c>
      <c r="AD200" s="56"/>
    </row>
    <row r="201" spans="2:30" x14ac:dyDescent="0.25">
      <c r="O201" s="82"/>
      <c r="P201" s="520"/>
      <c r="Q201" s="521"/>
      <c r="R201" s="521"/>
      <c r="S201" s="83"/>
      <c r="T201" s="84"/>
      <c r="U201" s="533"/>
      <c r="V201" s="533"/>
      <c r="W201" s="533"/>
      <c r="X201" s="83"/>
      <c r="Y201" s="84"/>
      <c r="Z201" s="23"/>
      <c r="AA201" s="24"/>
      <c r="AB201" s="56">
        <v>192</v>
      </c>
      <c r="AC201" s="56" t="str">
        <f>IF(ID!$B$82=AA201,AB201,"")</f>
        <v/>
      </c>
      <c r="AD201" s="56"/>
    </row>
    <row r="202" spans="2:30" x14ac:dyDescent="0.25">
      <c r="D202" s="7"/>
      <c r="H202" s="7"/>
      <c r="I202" s="7"/>
      <c r="K202" s="7"/>
      <c r="M202" s="7"/>
      <c r="N202" s="7"/>
      <c r="O202" s="82"/>
      <c r="P202" s="520"/>
      <c r="Q202" s="521"/>
      <c r="R202" s="521"/>
      <c r="S202" s="83"/>
      <c r="T202" s="84"/>
      <c r="U202" s="533"/>
      <c r="V202" s="533"/>
      <c r="W202" s="533"/>
      <c r="X202" s="83"/>
      <c r="Y202" s="84"/>
      <c r="Z202" s="23"/>
      <c r="AA202" s="24"/>
      <c r="AB202" s="56">
        <v>193</v>
      </c>
      <c r="AC202" s="56" t="str">
        <f>IF(ID!$B$82=AA202,AB202,"")</f>
        <v/>
      </c>
      <c r="AD202" s="56"/>
    </row>
    <row r="203" spans="2:30" x14ac:dyDescent="0.25">
      <c r="O203" s="82"/>
      <c r="P203" s="520"/>
      <c r="Q203" s="521"/>
      <c r="R203" s="521"/>
      <c r="S203" s="83"/>
      <c r="T203" s="84"/>
      <c r="U203" s="533"/>
      <c r="V203" s="533"/>
      <c r="W203" s="533"/>
      <c r="X203" s="83"/>
      <c r="Y203" s="84"/>
      <c r="Z203" s="23"/>
      <c r="AA203" s="24"/>
      <c r="AB203" s="56">
        <v>194</v>
      </c>
      <c r="AC203" s="56" t="str">
        <f>IF(ID!$B$82=AA203,AB203,"")</f>
        <v/>
      </c>
      <c r="AD203" s="56"/>
    </row>
    <row r="204" spans="2:30" x14ac:dyDescent="0.25">
      <c r="O204" s="82"/>
      <c r="P204" s="520"/>
      <c r="Q204" s="521"/>
      <c r="R204" s="521"/>
      <c r="S204" s="83"/>
      <c r="T204" s="84"/>
      <c r="U204" s="533"/>
      <c r="V204" s="533"/>
      <c r="W204" s="533"/>
      <c r="X204" s="83"/>
      <c r="Y204" s="84"/>
      <c r="Z204" s="23"/>
      <c r="AA204" s="24"/>
      <c r="AB204" s="56">
        <v>195</v>
      </c>
      <c r="AC204" s="56" t="str">
        <f>IF(ID!$B$82=AA204,AB204,"")</f>
        <v/>
      </c>
      <c r="AD204" s="56"/>
    </row>
    <row r="205" spans="2:30" x14ac:dyDescent="0.25">
      <c r="D205" s="7"/>
      <c r="H205" s="7"/>
      <c r="I205" s="7"/>
      <c r="K205" s="7"/>
      <c r="M205" s="7"/>
      <c r="N205" s="7"/>
      <c r="O205" s="85"/>
      <c r="Z205" s="7"/>
      <c r="AA205" s="7"/>
      <c r="AB205" s="56">
        <v>196</v>
      </c>
      <c r="AC205" s="56" t="str">
        <f>IF(ID!$B$82=AA205,AB205,"")</f>
        <v/>
      </c>
      <c r="AD205" s="56"/>
    </row>
    <row r="206" spans="2:30" x14ac:dyDescent="0.25">
      <c r="D206" s="4"/>
      <c r="H206" s="4"/>
      <c r="I206" s="4"/>
      <c r="K206" s="4"/>
      <c r="M206" s="4"/>
      <c r="N206" s="4"/>
      <c r="O206" s="58"/>
      <c r="Z206" s="4"/>
      <c r="AA206" s="4"/>
      <c r="AB206" s="56">
        <v>197</v>
      </c>
      <c r="AC206" s="56" t="str">
        <f>IF(ID!$B$82=AA206,AB206,"")</f>
        <v/>
      </c>
      <c r="AD206" s="56"/>
    </row>
    <row r="207" spans="2:30" x14ac:dyDescent="0.25">
      <c r="D207" s="4"/>
      <c r="H207" s="4"/>
      <c r="I207" s="4"/>
      <c r="K207" s="4"/>
      <c r="M207" s="4"/>
      <c r="N207" s="4"/>
      <c r="O207" s="58"/>
      <c r="Z207" s="4"/>
      <c r="AA207" s="4"/>
      <c r="AB207" s="56">
        <v>198</v>
      </c>
      <c r="AC207" s="56" t="str">
        <f>IF(ID!$B$82=AA207,AB207,"")</f>
        <v/>
      </c>
      <c r="AD207" s="56"/>
    </row>
    <row r="208" spans="2:30" x14ac:dyDescent="0.25">
      <c r="B208" s="1171" t="s">
        <v>409</v>
      </c>
      <c r="C208" s="1172"/>
      <c r="D208" s="1173"/>
      <c r="F208" s="1171" t="s">
        <v>410</v>
      </c>
      <c r="G208" s="1172"/>
      <c r="H208" s="1173"/>
      <c r="I208" s="32"/>
      <c r="J208" s="1171" t="s">
        <v>358</v>
      </c>
      <c r="K208" s="1172"/>
      <c r="L208" s="1172"/>
      <c r="M208" s="1173"/>
      <c r="N208" s="91"/>
      <c r="O208" s="59"/>
      <c r="P208" s="509"/>
      <c r="Q208" s="510"/>
      <c r="R208" s="511"/>
      <c r="S208" s="77"/>
      <c r="X208" s="77" t="s">
        <v>375</v>
      </c>
      <c r="AB208" s="56">
        <v>199</v>
      </c>
      <c r="AC208" s="56" t="str">
        <f>IF(ID!$B$82=AA208,AB208,"")</f>
        <v/>
      </c>
      <c r="AD208" s="56"/>
    </row>
    <row r="209" spans="2:30" x14ac:dyDescent="0.25">
      <c r="B209" s="48">
        <v>0</v>
      </c>
      <c r="C209" s="51" t="s">
        <v>99</v>
      </c>
      <c r="D209" s="1165"/>
      <c r="F209" s="48">
        <v>0</v>
      </c>
      <c r="G209" s="51" t="s">
        <v>99</v>
      </c>
      <c r="H209" s="1165"/>
      <c r="I209" s="62"/>
      <c r="J209" s="48">
        <v>0</v>
      </c>
      <c r="K209" s="51">
        <v>0</v>
      </c>
      <c r="L209" s="52">
        <v>1.6</v>
      </c>
      <c r="M209" s="1168" t="s">
        <v>786</v>
      </c>
      <c r="N209" s="67"/>
      <c r="O209" s="48">
        <f t="shared" ref="O209:O215" si="67">J209</f>
        <v>0</v>
      </c>
      <c r="P209" s="508"/>
      <c r="Q209" s="508"/>
      <c r="R209" s="508"/>
      <c r="S209" s="90"/>
      <c r="T209" s="52"/>
      <c r="U209" s="534" t="str">
        <f>C209</f>
        <v>-</v>
      </c>
      <c r="V209" s="529" t="str">
        <f t="shared" ref="V209:V215" si="68">G209</f>
        <v>-</v>
      </c>
      <c r="W209" s="529">
        <f t="shared" ref="W209:W215" si="69">K209</f>
        <v>0</v>
      </c>
      <c r="X209" s="54">
        <f t="shared" ref="X209:X215" si="70">(1/3)*Y209</f>
        <v>0.53333333333333333</v>
      </c>
      <c r="Y209" s="133">
        <f t="shared" ref="Y209:Y215" si="71">L209</f>
        <v>1.6</v>
      </c>
      <c r="Z209" s="3" t="s">
        <v>785</v>
      </c>
      <c r="AA209" t="s">
        <v>837</v>
      </c>
      <c r="AB209" s="56">
        <v>200</v>
      </c>
      <c r="AC209" s="56" t="str">
        <f>IF(ID!$B$82=AA209,AB209,"")</f>
        <v/>
      </c>
      <c r="AD209" s="56"/>
    </row>
    <row r="210" spans="2:30" x14ac:dyDescent="0.25">
      <c r="B210" s="48">
        <v>50</v>
      </c>
      <c r="C210" s="51" t="s">
        <v>99</v>
      </c>
      <c r="D210" s="1166"/>
      <c r="F210" s="48">
        <v>50</v>
      </c>
      <c r="G210" s="51" t="s">
        <v>99</v>
      </c>
      <c r="H210" s="1166"/>
      <c r="I210" s="62"/>
      <c r="J210" s="48">
        <v>50</v>
      </c>
      <c r="K210" s="51">
        <v>0</v>
      </c>
      <c r="L210" s="52">
        <v>1.6</v>
      </c>
      <c r="M210" s="1169"/>
      <c r="N210" s="53"/>
      <c r="O210" s="48">
        <f t="shared" si="67"/>
        <v>50</v>
      </c>
      <c r="P210" s="508"/>
      <c r="Q210" s="508"/>
      <c r="R210" s="508"/>
      <c r="S210" s="90"/>
      <c r="T210" s="52"/>
      <c r="U210" s="534" t="str">
        <f t="shared" ref="U210:U215" si="72">C210</f>
        <v>-</v>
      </c>
      <c r="V210" s="529" t="str">
        <f t="shared" si="68"/>
        <v>-</v>
      </c>
      <c r="W210" s="529">
        <f t="shared" si="69"/>
        <v>0</v>
      </c>
      <c r="X210" s="54">
        <f t="shared" si="70"/>
        <v>0.53333333333333333</v>
      </c>
      <c r="Y210" s="133">
        <f t="shared" si="71"/>
        <v>1.6</v>
      </c>
      <c r="Z210" s="3"/>
      <c r="AA210" t="s">
        <v>837</v>
      </c>
      <c r="AB210" s="56">
        <v>201</v>
      </c>
      <c r="AC210" s="56" t="str">
        <f>IF(ID!$B$82=AA210,AB210,"")</f>
        <v/>
      </c>
      <c r="AD210" s="56"/>
    </row>
    <row r="211" spans="2:30" x14ac:dyDescent="0.25">
      <c r="B211" s="48">
        <v>100</v>
      </c>
      <c r="C211" s="51" t="s">
        <v>99</v>
      </c>
      <c r="D211" s="1166"/>
      <c r="F211" s="48">
        <v>100</v>
      </c>
      <c r="G211" s="51" t="s">
        <v>99</v>
      </c>
      <c r="H211" s="1166"/>
      <c r="I211" s="62"/>
      <c r="J211" s="48">
        <v>100</v>
      </c>
      <c r="K211" s="51">
        <v>0.1</v>
      </c>
      <c r="L211" s="52">
        <v>1.6</v>
      </c>
      <c r="M211" s="1169"/>
      <c r="N211" s="53"/>
      <c r="O211" s="48">
        <f t="shared" si="67"/>
        <v>100</v>
      </c>
      <c r="P211" s="508"/>
      <c r="Q211" s="508"/>
      <c r="R211" s="508"/>
      <c r="S211" s="90"/>
      <c r="T211" s="52"/>
      <c r="U211" s="534" t="str">
        <f t="shared" si="72"/>
        <v>-</v>
      </c>
      <c r="V211" s="529" t="str">
        <f t="shared" si="68"/>
        <v>-</v>
      </c>
      <c r="W211" s="529">
        <f t="shared" si="69"/>
        <v>0.1</v>
      </c>
      <c r="X211" s="54">
        <f t="shared" si="70"/>
        <v>0.53333333333333333</v>
      </c>
      <c r="Y211" s="133">
        <f t="shared" si="71"/>
        <v>1.6</v>
      </c>
      <c r="Z211" s="3"/>
      <c r="AA211" t="s">
        <v>837</v>
      </c>
      <c r="AB211" s="56">
        <v>202</v>
      </c>
      <c r="AC211" s="56" t="str">
        <f>IF(ID!$B$82=AA211,AB211,"")</f>
        <v/>
      </c>
      <c r="AD211" s="56"/>
    </row>
    <row r="212" spans="2:30" x14ac:dyDescent="0.25">
      <c r="B212" s="48">
        <v>150</v>
      </c>
      <c r="C212" s="51" t="s">
        <v>99</v>
      </c>
      <c r="D212" s="1166"/>
      <c r="F212" s="48">
        <v>150</v>
      </c>
      <c r="G212" s="51" t="s">
        <v>99</v>
      </c>
      <c r="H212" s="1166"/>
      <c r="I212" s="62"/>
      <c r="J212" s="48">
        <v>150</v>
      </c>
      <c r="K212" s="51">
        <v>0.1</v>
      </c>
      <c r="L212" s="52">
        <v>1.6</v>
      </c>
      <c r="M212" s="1169"/>
      <c r="N212" s="53"/>
      <c r="O212" s="48">
        <f t="shared" si="67"/>
        <v>150</v>
      </c>
      <c r="P212" s="508"/>
      <c r="Q212" s="508"/>
      <c r="R212" s="508"/>
      <c r="S212" s="90"/>
      <c r="T212" s="52"/>
      <c r="U212" s="534" t="str">
        <f t="shared" si="72"/>
        <v>-</v>
      </c>
      <c r="V212" s="529" t="str">
        <f t="shared" si="68"/>
        <v>-</v>
      </c>
      <c r="W212" s="529">
        <f t="shared" si="69"/>
        <v>0.1</v>
      </c>
      <c r="X212" s="54">
        <f t="shared" si="70"/>
        <v>0.53333333333333333</v>
      </c>
      <c r="Y212" s="133">
        <f t="shared" si="71"/>
        <v>1.6</v>
      </c>
      <c r="Z212" s="3"/>
      <c r="AA212" t="s">
        <v>837</v>
      </c>
      <c r="AB212" s="56">
        <v>203</v>
      </c>
      <c r="AC212" s="56" t="str">
        <f>IF(ID!$B$82=AA212,AB212,"")</f>
        <v/>
      </c>
      <c r="AD212" s="56"/>
    </row>
    <row r="213" spans="2:30" x14ac:dyDescent="0.25">
      <c r="B213" s="48">
        <v>200</v>
      </c>
      <c r="C213" s="51" t="s">
        <v>99</v>
      </c>
      <c r="D213" s="1166"/>
      <c r="F213" s="48">
        <v>200</v>
      </c>
      <c r="G213" s="51" t="s">
        <v>99</v>
      </c>
      <c r="H213" s="1166"/>
      <c r="I213" s="62"/>
      <c r="J213" s="48">
        <v>200</v>
      </c>
      <c r="K213" s="51">
        <v>0.2</v>
      </c>
      <c r="L213" s="52">
        <v>1.6</v>
      </c>
      <c r="M213" s="1169"/>
      <c r="N213" s="53"/>
      <c r="O213" s="48">
        <f t="shared" si="67"/>
        <v>200</v>
      </c>
      <c r="P213" s="508"/>
      <c r="Q213" s="508"/>
      <c r="R213" s="508"/>
      <c r="S213" s="90"/>
      <c r="T213" s="52"/>
      <c r="U213" s="534" t="str">
        <f t="shared" si="72"/>
        <v>-</v>
      </c>
      <c r="V213" s="529" t="str">
        <f t="shared" si="68"/>
        <v>-</v>
      </c>
      <c r="W213" s="529">
        <f t="shared" si="69"/>
        <v>0.2</v>
      </c>
      <c r="X213" s="54">
        <f t="shared" si="70"/>
        <v>0.53333333333333333</v>
      </c>
      <c r="Y213" s="133">
        <f t="shared" si="71"/>
        <v>1.6</v>
      </c>
      <c r="Z213" s="3"/>
      <c r="AA213" t="s">
        <v>837</v>
      </c>
      <c r="AB213" s="56">
        <v>204</v>
      </c>
      <c r="AC213" s="56" t="str">
        <f>IF(ID!$B$82=AA213,AB213,"")</f>
        <v/>
      </c>
      <c r="AD213" s="56"/>
    </row>
    <row r="214" spans="2:30" x14ac:dyDescent="0.25">
      <c r="B214" s="48">
        <v>250</v>
      </c>
      <c r="C214" s="51" t="s">
        <v>99</v>
      </c>
      <c r="D214" s="1166"/>
      <c r="F214" s="48">
        <v>250</v>
      </c>
      <c r="G214" s="51" t="s">
        <v>99</v>
      </c>
      <c r="H214" s="1166"/>
      <c r="I214" s="62"/>
      <c r="J214" s="48">
        <v>250</v>
      </c>
      <c r="K214" s="51">
        <v>0.2</v>
      </c>
      <c r="L214" s="52">
        <v>1.6</v>
      </c>
      <c r="M214" s="1169"/>
      <c r="N214" s="53"/>
      <c r="O214" s="48">
        <f t="shared" si="67"/>
        <v>250</v>
      </c>
      <c r="P214" s="508"/>
      <c r="Q214" s="508"/>
      <c r="R214" s="508"/>
      <c r="S214" s="90"/>
      <c r="T214" s="52"/>
      <c r="U214" s="534" t="str">
        <f t="shared" si="72"/>
        <v>-</v>
      </c>
      <c r="V214" s="529" t="str">
        <f t="shared" si="68"/>
        <v>-</v>
      </c>
      <c r="W214" s="529">
        <f t="shared" si="69"/>
        <v>0.2</v>
      </c>
      <c r="X214" s="54">
        <f t="shared" si="70"/>
        <v>0.53333333333333333</v>
      </c>
      <c r="Y214" s="133">
        <f t="shared" si="71"/>
        <v>1.6</v>
      </c>
      <c r="Z214" s="3"/>
      <c r="AA214" t="s">
        <v>837</v>
      </c>
      <c r="AB214" s="56">
        <v>205</v>
      </c>
      <c r="AC214" s="56" t="str">
        <f>IF(ID!$B$82=AA214,AB214,"")</f>
        <v/>
      </c>
      <c r="AD214" s="56"/>
    </row>
    <row r="215" spans="2:30" x14ac:dyDescent="0.25">
      <c r="B215" s="48">
        <v>300</v>
      </c>
      <c r="C215" s="51" t="s">
        <v>99</v>
      </c>
      <c r="D215" s="1167"/>
      <c r="F215" s="48">
        <v>300</v>
      </c>
      <c r="G215" s="51" t="s">
        <v>99</v>
      </c>
      <c r="H215" s="1167"/>
      <c r="I215" s="62"/>
      <c r="J215" s="48">
        <v>300</v>
      </c>
      <c r="K215" s="51">
        <v>0.4</v>
      </c>
      <c r="L215" s="52">
        <v>1.6</v>
      </c>
      <c r="M215" s="1170"/>
      <c r="N215" s="53"/>
      <c r="O215" s="48">
        <f t="shared" si="67"/>
        <v>300</v>
      </c>
      <c r="P215" s="508"/>
      <c r="Q215" s="508"/>
      <c r="R215" s="508"/>
      <c r="S215" s="90"/>
      <c r="T215" s="52"/>
      <c r="U215" s="534" t="str">
        <f t="shared" si="72"/>
        <v>-</v>
      </c>
      <c r="V215" s="529" t="str">
        <f t="shared" si="68"/>
        <v>-</v>
      </c>
      <c r="W215" s="529">
        <f t="shared" si="69"/>
        <v>0.4</v>
      </c>
      <c r="X215" s="54">
        <f t="shared" si="70"/>
        <v>0.53333333333333333</v>
      </c>
      <c r="Y215" s="133">
        <f t="shared" si="71"/>
        <v>1.6</v>
      </c>
      <c r="Z215" s="3"/>
      <c r="AA215" t="s">
        <v>837</v>
      </c>
      <c r="AB215" s="56">
        <v>206</v>
      </c>
      <c r="AC215" s="56" t="str">
        <f>IF(ID!$B$82=AA215,AB215,"")</f>
        <v/>
      </c>
      <c r="AD215" s="56"/>
    </row>
    <row r="216" spans="2:30" x14ac:dyDescent="0.25">
      <c r="O216" s="82"/>
      <c r="P216" s="520"/>
      <c r="Q216" s="521"/>
      <c r="R216" s="521"/>
      <c r="S216" s="83"/>
      <c r="T216" s="84"/>
      <c r="U216" s="533"/>
      <c r="V216" s="533"/>
      <c r="W216" s="533"/>
      <c r="X216" s="83"/>
      <c r="Y216" s="84"/>
      <c r="Z216" s="23"/>
      <c r="AA216" s="24"/>
      <c r="AB216" s="56">
        <v>207</v>
      </c>
      <c r="AC216" s="56" t="str">
        <f>IF(ID!$B$82=AA216,AB216,"")</f>
        <v/>
      </c>
      <c r="AD216" s="56"/>
    </row>
    <row r="217" spans="2:30" x14ac:dyDescent="0.25">
      <c r="D217" s="7"/>
      <c r="H217" s="7"/>
      <c r="I217" s="7"/>
      <c r="K217" s="7"/>
      <c r="M217" s="7"/>
      <c r="N217" s="7"/>
      <c r="O217" s="82"/>
      <c r="P217" s="520"/>
      <c r="Q217" s="521"/>
      <c r="R217" s="521"/>
      <c r="S217" s="83"/>
      <c r="T217" s="84"/>
      <c r="U217" s="533"/>
      <c r="V217" s="533"/>
      <c r="W217" s="533"/>
      <c r="X217" s="83"/>
      <c r="Y217" s="84"/>
      <c r="Z217" s="23"/>
      <c r="AA217" s="24"/>
      <c r="AB217" s="56">
        <v>208</v>
      </c>
      <c r="AC217" s="56" t="str">
        <f>IF(ID!$B$82=AA217,AB217,"")</f>
        <v/>
      </c>
      <c r="AD217" s="56"/>
    </row>
    <row r="218" spans="2:30" x14ac:dyDescent="0.25">
      <c r="O218" s="82"/>
      <c r="P218" s="520"/>
      <c r="Q218" s="521"/>
      <c r="R218" s="521"/>
      <c r="S218" s="83"/>
      <c r="T218" s="84"/>
      <c r="U218" s="533"/>
      <c r="V218" s="533"/>
      <c r="W218" s="533"/>
      <c r="X218" s="83"/>
      <c r="Y218" s="84"/>
      <c r="Z218" s="23"/>
      <c r="AA218" s="24"/>
      <c r="AB218" s="56">
        <v>209</v>
      </c>
      <c r="AC218" s="56" t="str">
        <f>IF(ID!$B$82=AA218,AB218,"")</f>
        <v/>
      </c>
      <c r="AD218" s="56"/>
    </row>
    <row r="219" spans="2:30" x14ac:dyDescent="0.25">
      <c r="O219" s="82"/>
      <c r="P219" s="520"/>
      <c r="Q219" s="521"/>
      <c r="R219" s="521"/>
      <c r="S219" s="83"/>
      <c r="T219" s="84"/>
      <c r="U219" s="533"/>
      <c r="V219" s="533"/>
      <c r="W219" s="533"/>
      <c r="X219" s="83"/>
      <c r="Y219" s="84"/>
      <c r="Z219" s="23"/>
      <c r="AA219" s="24"/>
      <c r="AB219" s="56">
        <v>210</v>
      </c>
      <c r="AC219" s="56" t="str">
        <f>IF(ID!$B$82=AA219,AB219,"")</f>
        <v/>
      </c>
      <c r="AD219" s="56"/>
    </row>
    <row r="220" spans="2:30" x14ac:dyDescent="0.25">
      <c r="D220" s="7"/>
      <c r="H220" s="7"/>
      <c r="I220" s="7"/>
      <c r="K220" s="7"/>
      <c r="M220" s="7"/>
      <c r="N220" s="7"/>
      <c r="O220" s="85"/>
      <c r="Z220" s="7"/>
      <c r="AA220" s="7"/>
      <c r="AB220" s="56">
        <v>211</v>
      </c>
      <c r="AC220" s="56" t="str">
        <f>IF(ID!$B$82=AA220,AB220,"")</f>
        <v/>
      </c>
      <c r="AD220" s="56"/>
    </row>
    <row r="221" spans="2:30" x14ac:dyDescent="0.25">
      <c r="D221" s="4"/>
      <c r="H221" s="4"/>
      <c r="I221" s="4"/>
      <c r="K221" s="4"/>
      <c r="M221" s="4"/>
      <c r="N221" s="4"/>
      <c r="O221" s="58"/>
      <c r="Z221" s="4"/>
      <c r="AA221" s="4"/>
      <c r="AB221" s="56">
        <v>212</v>
      </c>
      <c r="AC221" s="56" t="str">
        <f>IF(ID!$B$82=AA221,AB221,"")</f>
        <v/>
      </c>
      <c r="AD221" s="56"/>
    </row>
    <row r="222" spans="2:30" x14ac:dyDescent="0.25">
      <c r="D222" s="4"/>
      <c r="H222" s="4"/>
      <c r="I222" s="4"/>
      <c r="K222" s="4"/>
      <c r="M222" s="4"/>
      <c r="N222" s="4"/>
      <c r="O222" s="58"/>
      <c r="Z222" s="4"/>
      <c r="AA222" s="4"/>
      <c r="AB222" s="56">
        <v>213</v>
      </c>
      <c r="AC222" s="56" t="str">
        <f>IF(ID!$B$82=AA222,AB222,"")</f>
        <v/>
      </c>
      <c r="AD222" s="56"/>
    </row>
    <row r="223" spans="2:30" x14ac:dyDescent="0.25">
      <c r="B223" s="1171" t="s">
        <v>409</v>
      </c>
      <c r="C223" s="1172"/>
      <c r="D223" s="1173"/>
      <c r="F223" s="1171" t="s">
        <v>410</v>
      </c>
      <c r="G223" s="1172"/>
      <c r="H223" s="1173"/>
      <c r="I223" s="32"/>
      <c r="J223" s="1171" t="s">
        <v>358</v>
      </c>
      <c r="K223" s="1172"/>
      <c r="L223" s="1172"/>
      <c r="M223" s="1173"/>
      <c r="N223" s="91"/>
      <c r="O223" s="59"/>
      <c r="P223" s="509"/>
      <c r="Q223" s="510"/>
      <c r="R223" s="511"/>
      <c r="S223" s="77"/>
      <c r="X223" s="77" t="s">
        <v>375</v>
      </c>
      <c r="AB223" s="56">
        <v>214</v>
      </c>
      <c r="AC223" s="56" t="str">
        <f>IF(ID!$B$82=AA223,AB223,"")</f>
        <v/>
      </c>
      <c r="AD223" s="56"/>
    </row>
    <row r="224" spans="2:30" x14ac:dyDescent="0.25">
      <c r="B224" s="48">
        <v>0</v>
      </c>
      <c r="C224" s="51" t="s">
        <v>99</v>
      </c>
      <c r="D224" s="1165"/>
      <c r="F224" s="48">
        <v>0</v>
      </c>
      <c r="G224" s="51" t="s">
        <v>99</v>
      </c>
      <c r="H224" s="1165"/>
      <c r="I224" s="62"/>
      <c r="J224" s="48">
        <v>0</v>
      </c>
      <c r="K224" s="51">
        <v>0</v>
      </c>
      <c r="L224" s="52">
        <v>0</v>
      </c>
      <c r="M224" s="1187" t="s">
        <v>805</v>
      </c>
      <c r="N224" s="67"/>
      <c r="O224" s="48">
        <f t="shared" ref="O224:O230" si="73">J224</f>
        <v>0</v>
      </c>
      <c r="P224" s="508"/>
      <c r="Q224" s="508"/>
      <c r="R224" s="508"/>
      <c r="S224" s="90"/>
      <c r="T224" s="52"/>
      <c r="U224" s="534" t="str">
        <f>C224</f>
        <v>-</v>
      </c>
      <c r="V224" s="529" t="str">
        <f t="shared" ref="V224:V230" si="74">G224</f>
        <v>-</v>
      </c>
      <c r="W224" s="529">
        <f t="shared" ref="W224:W230" si="75">K224</f>
        <v>0</v>
      </c>
      <c r="X224" s="54">
        <v>0.2</v>
      </c>
      <c r="Y224" s="133">
        <v>0.05</v>
      </c>
      <c r="Z224" s="3" t="s">
        <v>804</v>
      </c>
      <c r="AA224" s="24" t="s">
        <v>856</v>
      </c>
      <c r="AB224" s="56">
        <v>215</v>
      </c>
      <c r="AC224" s="56" t="str">
        <f>IF(ID!$B$82=AA224,AB224,"")</f>
        <v/>
      </c>
      <c r="AD224" s="56"/>
    </row>
    <row r="225" spans="2:30" x14ac:dyDescent="0.25">
      <c r="B225" s="48">
        <v>40</v>
      </c>
      <c r="C225" s="51" t="s">
        <v>99</v>
      </c>
      <c r="D225" s="1166"/>
      <c r="F225" s="48">
        <v>40</v>
      </c>
      <c r="G225" s="51" t="s">
        <v>99</v>
      </c>
      <c r="H225" s="1166"/>
      <c r="I225" s="62"/>
      <c r="J225" s="48">
        <v>40</v>
      </c>
      <c r="K225" s="51">
        <f>41.2-40</f>
        <v>1.2000000000000028</v>
      </c>
      <c r="L225" s="52">
        <v>0</v>
      </c>
      <c r="M225" s="1188"/>
      <c r="N225" s="53"/>
      <c r="O225" s="48">
        <f t="shared" si="73"/>
        <v>40</v>
      </c>
      <c r="P225" s="508"/>
      <c r="Q225" s="508"/>
      <c r="R225" s="508"/>
      <c r="S225" s="90"/>
      <c r="T225" s="52"/>
      <c r="U225" s="534" t="str">
        <f t="shared" ref="U225:U230" si="76">C225</f>
        <v>-</v>
      </c>
      <c r="V225" s="529" t="str">
        <f t="shared" si="74"/>
        <v>-</v>
      </c>
      <c r="W225" s="529">
        <f t="shared" si="75"/>
        <v>1.2000000000000028</v>
      </c>
      <c r="X225" s="54">
        <v>0.2</v>
      </c>
      <c r="Y225" s="133">
        <v>0.05</v>
      </c>
      <c r="Z225" s="3"/>
      <c r="AA225" s="24" t="s">
        <v>856</v>
      </c>
      <c r="AB225" s="56">
        <v>216</v>
      </c>
      <c r="AC225" s="56" t="str">
        <f>IF(ID!$B$82=AA225,AB225,"")</f>
        <v/>
      </c>
      <c r="AD225" s="56"/>
    </row>
    <row r="226" spans="2:30" x14ac:dyDescent="0.25">
      <c r="B226" s="48">
        <v>100</v>
      </c>
      <c r="C226" s="51" t="s">
        <v>99</v>
      </c>
      <c r="D226" s="1166"/>
      <c r="F226" s="48">
        <v>100</v>
      </c>
      <c r="G226" s="51" t="s">
        <v>99</v>
      </c>
      <c r="H226" s="1166"/>
      <c r="I226" s="62"/>
      <c r="J226" s="48">
        <v>100</v>
      </c>
      <c r="K226" s="51">
        <f>100.9-100</f>
        <v>0.90000000000000568</v>
      </c>
      <c r="L226" s="52">
        <v>0</v>
      </c>
      <c r="M226" s="1188"/>
      <c r="N226" s="53"/>
      <c r="O226" s="48">
        <f t="shared" si="73"/>
        <v>100</v>
      </c>
      <c r="P226" s="508"/>
      <c r="Q226" s="508"/>
      <c r="R226" s="508"/>
      <c r="S226" s="90"/>
      <c r="T226" s="52"/>
      <c r="U226" s="534" t="str">
        <f t="shared" si="76"/>
        <v>-</v>
      </c>
      <c r="V226" s="529" t="str">
        <f t="shared" si="74"/>
        <v>-</v>
      </c>
      <c r="W226" s="529">
        <f t="shared" si="75"/>
        <v>0.90000000000000568</v>
      </c>
      <c r="X226" s="54">
        <v>0.2</v>
      </c>
      <c r="Y226" s="133">
        <v>0.05</v>
      </c>
      <c r="Z226" s="3"/>
      <c r="AA226" s="24" t="s">
        <v>856</v>
      </c>
      <c r="AB226" s="56">
        <v>217</v>
      </c>
      <c r="AC226" s="56" t="str">
        <f>IF(ID!$B$82=AA226,AB226,"")</f>
        <v/>
      </c>
      <c r="AD226" s="56"/>
    </row>
    <row r="227" spans="2:30" x14ac:dyDescent="0.25">
      <c r="B227" s="48">
        <v>150</v>
      </c>
      <c r="C227" s="51" t="s">
        <v>99</v>
      </c>
      <c r="D227" s="1166"/>
      <c r="F227" s="48">
        <v>150</v>
      </c>
      <c r="G227" s="51" t="s">
        <v>99</v>
      </c>
      <c r="H227" s="1166"/>
      <c r="I227" s="62"/>
      <c r="J227" s="48">
        <v>150</v>
      </c>
      <c r="K227" s="51">
        <f>150.8-150</f>
        <v>0.80000000000001137</v>
      </c>
      <c r="L227" s="52">
        <v>0</v>
      </c>
      <c r="M227" s="1188"/>
      <c r="N227" s="53"/>
      <c r="O227" s="48">
        <f t="shared" si="73"/>
        <v>150</v>
      </c>
      <c r="P227" s="508"/>
      <c r="Q227" s="508"/>
      <c r="R227" s="508"/>
      <c r="S227" s="90"/>
      <c r="T227" s="52"/>
      <c r="U227" s="534" t="str">
        <f t="shared" si="76"/>
        <v>-</v>
      </c>
      <c r="V227" s="529" t="str">
        <f t="shared" si="74"/>
        <v>-</v>
      </c>
      <c r="W227" s="529">
        <f t="shared" si="75"/>
        <v>0.80000000000001137</v>
      </c>
      <c r="X227" s="54">
        <v>0.2</v>
      </c>
      <c r="Y227" s="133">
        <v>0.05</v>
      </c>
      <c r="Z227" s="3"/>
      <c r="AA227" s="24" t="s">
        <v>856</v>
      </c>
      <c r="AB227" s="56">
        <v>218</v>
      </c>
      <c r="AC227" s="56" t="str">
        <f>IF(ID!$B$82=AA227,AB227,"")</f>
        <v/>
      </c>
      <c r="AD227" s="56"/>
    </row>
    <row r="228" spans="2:30" x14ac:dyDescent="0.25">
      <c r="B228" s="48">
        <v>200</v>
      </c>
      <c r="C228" s="51" t="s">
        <v>99</v>
      </c>
      <c r="D228" s="1166"/>
      <c r="F228" s="48">
        <v>200</v>
      </c>
      <c r="G228" s="51" t="s">
        <v>99</v>
      </c>
      <c r="H228" s="1166"/>
      <c r="I228" s="62"/>
      <c r="J228" s="48">
        <v>200</v>
      </c>
      <c r="K228" s="51">
        <f>200.5-200</f>
        <v>0.5</v>
      </c>
      <c r="L228" s="52">
        <v>0</v>
      </c>
      <c r="M228" s="1188"/>
      <c r="N228" s="53"/>
      <c r="O228" s="48">
        <f t="shared" si="73"/>
        <v>200</v>
      </c>
      <c r="P228" s="508"/>
      <c r="Q228" s="508"/>
      <c r="R228" s="508"/>
      <c r="S228" s="90"/>
      <c r="T228" s="52"/>
      <c r="U228" s="534" t="str">
        <f t="shared" si="76"/>
        <v>-</v>
      </c>
      <c r="V228" s="529" t="str">
        <f t="shared" si="74"/>
        <v>-</v>
      </c>
      <c r="W228" s="529">
        <f t="shared" si="75"/>
        <v>0.5</v>
      </c>
      <c r="X228" s="54">
        <v>0.2</v>
      </c>
      <c r="Y228" s="133">
        <v>0.05</v>
      </c>
      <c r="Z228" s="3"/>
      <c r="AA228" s="24" t="s">
        <v>856</v>
      </c>
      <c r="AB228" s="56">
        <v>219</v>
      </c>
      <c r="AC228" s="56" t="str">
        <f>IF(ID!$B$82=AA228,AB228,"")</f>
        <v/>
      </c>
      <c r="AD228" s="56"/>
    </row>
    <row r="229" spans="2:30" x14ac:dyDescent="0.25">
      <c r="B229" s="48">
        <v>250</v>
      </c>
      <c r="C229" s="51" t="s">
        <v>99</v>
      </c>
      <c r="D229" s="1166"/>
      <c r="F229" s="48">
        <v>250</v>
      </c>
      <c r="G229" s="51" t="s">
        <v>99</v>
      </c>
      <c r="H229" s="1166"/>
      <c r="I229" s="62"/>
      <c r="J229" s="48">
        <v>250</v>
      </c>
      <c r="K229" s="51">
        <f>250.5-250</f>
        <v>0.5</v>
      </c>
      <c r="L229" s="52">
        <v>0</v>
      </c>
      <c r="M229" s="1188"/>
      <c r="N229" s="53"/>
      <c r="O229" s="48">
        <f t="shared" si="73"/>
        <v>250</v>
      </c>
      <c r="P229" s="508"/>
      <c r="Q229" s="508"/>
      <c r="R229" s="508"/>
      <c r="S229" s="90"/>
      <c r="T229" s="52"/>
      <c r="U229" s="534" t="str">
        <f t="shared" si="76"/>
        <v>-</v>
      </c>
      <c r="V229" s="529" t="str">
        <f t="shared" si="74"/>
        <v>-</v>
      </c>
      <c r="W229" s="529">
        <f t="shared" si="75"/>
        <v>0.5</v>
      </c>
      <c r="X229" s="54">
        <v>0.2</v>
      </c>
      <c r="Y229" s="133">
        <v>0.05</v>
      </c>
      <c r="Z229" s="3"/>
      <c r="AA229" s="24" t="s">
        <v>856</v>
      </c>
      <c r="AB229" s="56">
        <v>220</v>
      </c>
      <c r="AC229" s="56" t="str">
        <f>IF(ID!$B$82=AA229,AB229,"")</f>
        <v/>
      </c>
      <c r="AD229" s="56"/>
    </row>
    <row r="230" spans="2:30" x14ac:dyDescent="0.25">
      <c r="B230" s="48">
        <v>400</v>
      </c>
      <c r="C230" s="51" t="s">
        <v>99</v>
      </c>
      <c r="D230" s="1167"/>
      <c r="F230" s="48">
        <v>400</v>
      </c>
      <c r="G230" s="51" t="s">
        <v>99</v>
      </c>
      <c r="H230" s="1167"/>
      <c r="I230" s="62"/>
      <c r="J230" s="48">
        <v>400</v>
      </c>
      <c r="K230" s="51">
        <f>401-400</f>
        <v>1</v>
      </c>
      <c r="L230" s="52">
        <v>0</v>
      </c>
      <c r="M230" s="1189"/>
      <c r="N230" s="53"/>
      <c r="O230" s="48">
        <f t="shared" si="73"/>
        <v>400</v>
      </c>
      <c r="P230" s="508"/>
      <c r="Q230" s="508"/>
      <c r="R230" s="508"/>
      <c r="S230" s="90"/>
      <c r="T230" s="52"/>
      <c r="U230" s="534" t="str">
        <f t="shared" si="76"/>
        <v>-</v>
      </c>
      <c r="V230" s="529" t="str">
        <f t="shared" si="74"/>
        <v>-</v>
      </c>
      <c r="W230" s="529">
        <f t="shared" si="75"/>
        <v>1</v>
      </c>
      <c r="X230" s="54">
        <v>0.2</v>
      </c>
      <c r="Y230" s="133">
        <v>0.05</v>
      </c>
      <c r="Z230" s="3"/>
      <c r="AA230" s="24" t="s">
        <v>856</v>
      </c>
      <c r="AB230" s="56">
        <v>221</v>
      </c>
      <c r="AC230" s="56" t="str">
        <f>IF(ID!$B$82=AA230,AB230,"")</f>
        <v/>
      </c>
      <c r="AD230" s="56"/>
    </row>
    <row r="231" spans="2:30" x14ac:dyDescent="0.25">
      <c r="O231" s="82"/>
      <c r="P231" s="520"/>
      <c r="Q231" s="521"/>
      <c r="R231" s="521"/>
      <c r="S231" s="83"/>
      <c r="T231" s="84"/>
      <c r="U231" s="533"/>
      <c r="V231" s="533"/>
      <c r="W231" s="533"/>
      <c r="X231" s="83"/>
      <c r="Y231" s="84"/>
      <c r="Z231" s="23"/>
      <c r="AA231" s="24"/>
      <c r="AB231" s="56">
        <v>222</v>
      </c>
      <c r="AC231" s="56" t="str">
        <f>IF(ID!$B$82=AA231,AB231,"")</f>
        <v/>
      </c>
      <c r="AD231" s="56"/>
    </row>
    <row r="232" spans="2:30" x14ac:dyDescent="0.25">
      <c r="D232" s="7"/>
      <c r="H232" s="7"/>
      <c r="I232" s="7"/>
      <c r="K232" s="7"/>
      <c r="M232" s="7"/>
      <c r="N232" s="7"/>
      <c r="O232" s="82"/>
      <c r="P232" s="520"/>
      <c r="Q232" s="521"/>
      <c r="R232" s="521"/>
      <c r="S232" s="83"/>
      <c r="T232" s="84"/>
      <c r="U232" s="533"/>
      <c r="V232" s="533"/>
      <c r="W232" s="533"/>
      <c r="X232" s="83"/>
      <c r="Y232" s="84"/>
      <c r="Z232" s="23"/>
      <c r="AA232" s="24"/>
      <c r="AB232" s="56">
        <v>223</v>
      </c>
      <c r="AC232" s="56" t="str">
        <f>IF(ID!$B$82=AA232,AB232,"")</f>
        <v/>
      </c>
      <c r="AD232" s="56"/>
    </row>
    <row r="233" spans="2:30" x14ac:dyDescent="0.25">
      <c r="O233" s="82"/>
      <c r="P233" s="520"/>
      <c r="Q233" s="521"/>
      <c r="R233" s="521"/>
      <c r="S233" s="83"/>
      <c r="T233" s="84"/>
      <c r="U233" s="533"/>
      <c r="V233" s="533"/>
      <c r="W233" s="533"/>
      <c r="X233" s="83"/>
      <c r="Y233" s="84"/>
      <c r="Z233" s="23"/>
      <c r="AA233" s="24"/>
      <c r="AB233" s="56">
        <v>224</v>
      </c>
      <c r="AC233" s="56" t="str">
        <f>IF(ID!$B$82=AA233,AB233,"")</f>
        <v/>
      </c>
      <c r="AD233" s="56"/>
    </row>
    <row r="234" spans="2:30" x14ac:dyDescent="0.25">
      <c r="O234" s="82"/>
      <c r="P234" s="520"/>
      <c r="Q234" s="521"/>
      <c r="R234" s="521"/>
      <c r="S234" s="83"/>
      <c r="T234" s="84"/>
      <c r="U234" s="533"/>
      <c r="V234" s="533"/>
      <c r="W234" s="533"/>
      <c r="X234" s="83"/>
      <c r="Y234" s="84"/>
      <c r="Z234" s="23"/>
      <c r="AA234" s="24"/>
      <c r="AB234" s="56">
        <v>225</v>
      </c>
      <c r="AC234" s="56" t="str">
        <f>IF(ID!$B$82=AA234,AB234,"")</f>
        <v/>
      </c>
      <c r="AD234" s="56"/>
    </row>
  </sheetData>
  <mergeCells count="67">
    <mergeCell ref="B223:D223"/>
    <mergeCell ref="F223:H223"/>
    <mergeCell ref="J223:M223"/>
    <mergeCell ref="D224:D230"/>
    <mergeCell ref="H224:H230"/>
    <mergeCell ref="M224:M230"/>
    <mergeCell ref="B208:D208"/>
    <mergeCell ref="F208:H208"/>
    <mergeCell ref="J208:M208"/>
    <mergeCell ref="D209:D215"/>
    <mergeCell ref="H209:H215"/>
    <mergeCell ref="M209:M215"/>
    <mergeCell ref="O118:T118"/>
    <mergeCell ref="V118:Y118"/>
    <mergeCell ref="B193:D193"/>
    <mergeCell ref="F193:H193"/>
    <mergeCell ref="J193:M193"/>
    <mergeCell ref="D150:D156"/>
    <mergeCell ref="D164:D170"/>
    <mergeCell ref="D179:D185"/>
    <mergeCell ref="O103:T103"/>
    <mergeCell ref="V103:Y103"/>
    <mergeCell ref="B104:D104"/>
    <mergeCell ref="F104:H104"/>
    <mergeCell ref="J104:M104"/>
    <mergeCell ref="H194:H200"/>
    <mergeCell ref="M194:M200"/>
    <mergeCell ref="H150:H156"/>
    <mergeCell ref="M150:M156"/>
    <mergeCell ref="H164:H170"/>
    <mergeCell ref="M164:M170"/>
    <mergeCell ref="H179:H185"/>
    <mergeCell ref="M179:M185"/>
    <mergeCell ref="H105:H111"/>
    <mergeCell ref="M105:M111"/>
    <mergeCell ref="H120:H126"/>
    <mergeCell ref="M120:M126"/>
    <mergeCell ref="H135:H141"/>
    <mergeCell ref="M135:M141"/>
    <mergeCell ref="H20:H26"/>
    <mergeCell ref="M20:M26"/>
    <mergeCell ref="H30:H36"/>
    <mergeCell ref="M30:M36"/>
    <mergeCell ref="H75:H81"/>
    <mergeCell ref="M75:M81"/>
    <mergeCell ref="H45:H51"/>
    <mergeCell ref="M45:M51"/>
    <mergeCell ref="H60:H66"/>
    <mergeCell ref="M60:M66"/>
    <mergeCell ref="H9:H16"/>
    <mergeCell ref="M9:M16"/>
    <mergeCell ref="O6:AD7"/>
    <mergeCell ref="F7:H7"/>
    <mergeCell ref="J7:M7"/>
    <mergeCell ref="O8:T8"/>
    <mergeCell ref="V8:Y8"/>
    <mergeCell ref="B7:D7"/>
    <mergeCell ref="D9:D16"/>
    <mergeCell ref="D20:D26"/>
    <mergeCell ref="D30:D36"/>
    <mergeCell ref="D45:D51"/>
    <mergeCell ref="D194:D200"/>
    <mergeCell ref="D60:D66"/>
    <mergeCell ref="D75:D81"/>
    <mergeCell ref="D105:D111"/>
    <mergeCell ref="D120:D126"/>
    <mergeCell ref="D135:D141"/>
  </mergeCells>
  <phoneticPr fontId="4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8C856-0158-495D-9FDB-A7A716C9D824}">
  <sheetPr codeName="Sheet26"/>
  <dimension ref="A4:DS44"/>
  <sheetViews>
    <sheetView topLeftCell="BU7" zoomScale="80" zoomScaleNormal="80" workbookViewId="0">
      <selection activeCell="CE27" sqref="CE27"/>
    </sheetView>
  </sheetViews>
  <sheetFormatPr defaultColWidth="8.77734375" defaultRowHeight="13.8" x14ac:dyDescent="0.25"/>
  <cols>
    <col min="1" max="6" width="8.77734375" style="734"/>
    <col min="7" max="7" width="11" style="734" bestFit="1" customWidth="1"/>
    <col min="8" max="10" width="8.77734375" style="734"/>
    <col min="11" max="11" width="11" style="734" customWidth="1"/>
    <col min="12" max="16" width="1" style="734" customWidth="1"/>
    <col min="17" max="17" width="13.77734375" style="734" bestFit="1" customWidth="1"/>
    <col min="18" max="21" width="8.77734375" style="734"/>
    <col min="22" max="22" width="10.77734375" style="734" customWidth="1"/>
    <col min="23" max="35" width="8.77734375" style="734"/>
    <col min="36" max="36" width="11.21875" style="734" customWidth="1"/>
    <col min="37" max="41" width="1.5546875" style="734" customWidth="1"/>
    <col min="42" max="42" width="12.5546875" style="734" bestFit="1" customWidth="1"/>
    <col min="43" max="46" width="8.77734375" style="734"/>
    <col min="47" max="47" width="10.77734375" style="734" customWidth="1"/>
    <col min="48" max="55" width="8.77734375" style="734"/>
    <col min="56" max="56" width="10.21875" style="734" customWidth="1"/>
    <col min="57" max="58" width="8.77734375" style="734"/>
    <col min="59" max="59" width="9.21875" style="734" customWidth="1"/>
    <col min="60" max="60" width="8.77734375" style="734"/>
    <col min="61" max="61" width="12.21875" style="734" customWidth="1"/>
    <col min="62" max="66" width="1.5546875" style="734" customWidth="1"/>
    <col min="67" max="67" width="10.21875" style="734" customWidth="1"/>
    <col min="68" max="71" width="8.77734375" style="734"/>
    <col min="72" max="72" width="12.21875" style="734" customWidth="1"/>
    <col min="73" max="85" width="8.77734375" style="734"/>
    <col min="86" max="86" width="11.77734375" style="734" customWidth="1"/>
    <col min="87" max="91" width="1.5546875" style="734" customWidth="1"/>
    <col min="92" max="96" width="8.77734375" style="734"/>
    <col min="97" max="97" width="12.5546875" style="734" customWidth="1"/>
    <col min="98" max="110" width="8.77734375" style="734"/>
    <col min="111" max="111" width="11.44140625" style="734" customWidth="1"/>
    <col min="112" max="116" width="3" style="734" customWidth="1"/>
    <col min="117" max="121" width="8.77734375" style="734"/>
    <col min="122" max="122" width="12.44140625" style="734" customWidth="1"/>
    <col min="123" max="16384" width="8.77734375" style="734"/>
  </cols>
  <sheetData>
    <row r="4" spans="1:123" x14ac:dyDescent="0.25">
      <c r="X4" s="734">
        <v>10</v>
      </c>
      <c r="Y4" s="734">
        <v>20</v>
      </c>
      <c r="Z4" s="734">
        <v>30</v>
      </c>
    </row>
    <row r="10" spans="1:123" x14ac:dyDescent="0.25">
      <c r="A10" s="734" t="s">
        <v>758</v>
      </c>
      <c r="B10" s="735" t="s">
        <v>759</v>
      </c>
    </row>
    <row r="11" spans="1:123" ht="14.4" thickBot="1" x14ac:dyDescent="0.3"/>
    <row r="12" spans="1:123" x14ac:dyDescent="0.25">
      <c r="E12" s="1190" t="s">
        <v>760</v>
      </c>
      <c r="F12" s="1191"/>
      <c r="G12" s="1191"/>
      <c r="H12" s="1191"/>
      <c r="I12" s="1191"/>
      <c r="J12" s="1191"/>
      <c r="K12" s="1191"/>
      <c r="L12" s="1191"/>
      <c r="M12" s="1191"/>
      <c r="N12" s="1191"/>
      <c r="O12" s="1191"/>
      <c r="P12" s="1191"/>
      <c r="Q12" s="1191"/>
      <c r="R12" s="1191"/>
      <c r="S12" s="1191"/>
      <c r="T12" s="1191"/>
      <c r="U12" s="1191"/>
      <c r="V12" s="1191"/>
      <c r="W12" s="1192"/>
      <c r="AD12" s="1190" t="s">
        <v>761</v>
      </c>
      <c r="AE12" s="1191"/>
      <c r="AF12" s="1191"/>
      <c r="AG12" s="1191"/>
      <c r="AH12" s="1191"/>
      <c r="AI12" s="1191"/>
      <c r="AJ12" s="1191"/>
      <c r="AK12" s="1191"/>
      <c r="AL12" s="1191"/>
      <c r="AM12" s="1191"/>
      <c r="AN12" s="1191"/>
      <c r="AO12" s="1191"/>
      <c r="AP12" s="1191"/>
      <c r="AQ12" s="1191"/>
      <c r="AR12" s="1191"/>
      <c r="AS12" s="1191"/>
      <c r="AT12" s="1191"/>
      <c r="AU12" s="1191"/>
      <c r="AV12" s="1192"/>
      <c r="BC12" s="1190" t="s">
        <v>762</v>
      </c>
      <c r="BD12" s="1191"/>
      <c r="BE12" s="1191"/>
      <c r="BF12" s="1191"/>
      <c r="BG12" s="1191"/>
      <c r="BH12" s="1191"/>
      <c r="BI12" s="1191"/>
      <c r="BJ12" s="1191"/>
      <c r="BK12" s="1191"/>
      <c r="BL12" s="1191"/>
      <c r="BM12" s="1191"/>
      <c r="BN12" s="1191"/>
      <c r="BO12" s="1191"/>
      <c r="BP12" s="1191"/>
      <c r="BQ12" s="1191"/>
      <c r="BR12" s="1191"/>
      <c r="BS12" s="1191"/>
      <c r="BT12" s="1191"/>
      <c r="BU12" s="1192"/>
      <c r="CB12" s="1190" t="s">
        <v>763</v>
      </c>
      <c r="CC12" s="1191"/>
      <c r="CD12" s="1191"/>
      <c r="CE12" s="1191"/>
      <c r="CF12" s="1191"/>
      <c r="CG12" s="1191"/>
      <c r="CH12" s="1191"/>
      <c r="CI12" s="1191"/>
      <c r="CJ12" s="1191"/>
      <c r="CK12" s="1191"/>
      <c r="CL12" s="1191"/>
      <c r="CM12" s="1191"/>
      <c r="CN12" s="1191"/>
      <c r="CO12" s="1191"/>
      <c r="CP12" s="1191"/>
      <c r="CQ12" s="1191"/>
      <c r="CR12" s="1191"/>
      <c r="CS12" s="1191"/>
      <c r="CT12" s="1192"/>
      <c r="DA12" s="1190"/>
      <c r="DB12" s="1191"/>
      <c r="DC12" s="1191"/>
      <c r="DD12" s="1191"/>
      <c r="DE12" s="1191"/>
      <c r="DF12" s="1191"/>
      <c r="DG12" s="1191"/>
      <c r="DH12" s="1192"/>
      <c r="DL12" s="1190"/>
      <c r="DM12" s="1191"/>
      <c r="DN12" s="1191"/>
      <c r="DO12" s="1191"/>
      <c r="DP12" s="1191"/>
      <c r="DQ12" s="1191"/>
      <c r="DR12" s="1191"/>
      <c r="DS12" s="1192"/>
    </row>
    <row r="13" spans="1:123" ht="14.4" thickBot="1" x14ac:dyDescent="0.3">
      <c r="E13" s="1193"/>
      <c r="F13" s="1194"/>
      <c r="G13" s="1194"/>
      <c r="H13" s="1194"/>
      <c r="I13" s="1194"/>
      <c r="J13" s="1194"/>
      <c r="K13" s="1194"/>
      <c r="L13" s="1194"/>
      <c r="M13" s="1194"/>
      <c r="N13" s="1194"/>
      <c r="O13" s="1194"/>
      <c r="P13" s="1194"/>
      <c r="Q13" s="1194"/>
      <c r="R13" s="1194"/>
      <c r="S13" s="1194"/>
      <c r="T13" s="1194"/>
      <c r="U13" s="1194"/>
      <c r="V13" s="1194"/>
      <c r="W13" s="1195"/>
      <c r="AD13" s="1193"/>
      <c r="AE13" s="1194"/>
      <c r="AF13" s="1194"/>
      <c r="AG13" s="1194"/>
      <c r="AH13" s="1194"/>
      <c r="AI13" s="1194"/>
      <c r="AJ13" s="1194"/>
      <c r="AK13" s="1194"/>
      <c r="AL13" s="1194"/>
      <c r="AM13" s="1194"/>
      <c r="AN13" s="1194"/>
      <c r="AO13" s="1194"/>
      <c r="AP13" s="1194"/>
      <c r="AQ13" s="1194"/>
      <c r="AR13" s="1194"/>
      <c r="AS13" s="1194"/>
      <c r="AT13" s="1194"/>
      <c r="AU13" s="1194"/>
      <c r="AV13" s="1195"/>
      <c r="BC13" s="1193"/>
      <c r="BD13" s="1194"/>
      <c r="BE13" s="1194"/>
      <c r="BF13" s="1194"/>
      <c r="BG13" s="1194"/>
      <c r="BH13" s="1194"/>
      <c r="BI13" s="1194"/>
      <c r="BJ13" s="1194"/>
      <c r="BK13" s="1194"/>
      <c r="BL13" s="1194"/>
      <c r="BM13" s="1194"/>
      <c r="BN13" s="1194"/>
      <c r="BO13" s="1194"/>
      <c r="BP13" s="1194"/>
      <c r="BQ13" s="1194"/>
      <c r="BR13" s="1194"/>
      <c r="BS13" s="1194"/>
      <c r="BT13" s="1194"/>
      <c r="BU13" s="1195"/>
      <c r="CB13" s="1193"/>
      <c r="CC13" s="1194"/>
      <c r="CD13" s="1194"/>
      <c r="CE13" s="1194"/>
      <c r="CF13" s="1194"/>
      <c r="CG13" s="1194"/>
      <c r="CH13" s="1194"/>
      <c r="CI13" s="1194"/>
      <c r="CJ13" s="1194"/>
      <c r="CK13" s="1194"/>
      <c r="CL13" s="1194"/>
      <c r="CM13" s="1194"/>
      <c r="CN13" s="1194"/>
      <c r="CO13" s="1194"/>
      <c r="CP13" s="1194"/>
      <c r="CQ13" s="1194"/>
      <c r="CR13" s="1194"/>
      <c r="CS13" s="1194"/>
      <c r="CT13" s="1195"/>
      <c r="DA13" s="1193"/>
      <c r="DB13" s="1194"/>
      <c r="DC13" s="1194"/>
      <c r="DD13" s="1194"/>
      <c r="DE13" s="1194"/>
      <c r="DF13" s="1194"/>
      <c r="DG13" s="1194"/>
      <c r="DH13" s="1195"/>
      <c r="DL13" s="1193"/>
      <c r="DM13" s="1194"/>
      <c r="DN13" s="1194"/>
      <c r="DO13" s="1194"/>
      <c r="DP13" s="1194"/>
      <c r="DQ13" s="1194"/>
      <c r="DR13" s="1194"/>
      <c r="DS13" s="1195"/>
    </row>
    <row r="14" spans="1:123" x14ac:dyDescent="0.25">
      <c r="E14" s="736"/>
      <c r="F14" s="737"/>
      <c r="G14" s="737"/>
      <c r="H14" s="737"/>
      <c r="I14" s="737"/>
      <c r="J14" s="737"/>
      <c r="K14" s="737"/>
      <c r="L14" s="737"/>
      <c r="M14" s="737"/>
      <c r="N14" s="737"/>
      <c r="O14" s="737"/>
      <c r="P14" s="737"/>
      <c r="Q14" s="737"/>
      <c r="R14" s="737"/>
      <c r="S14" s="737"/>
      <c r="T14" s="737"/>
      <c r="U14" s="737"/>
      <c r="V14" s="737"/>
      <c r="W14" s="738"/>
      <c r="AD14" s="736"/>
      <c r="AE14" s="737"/>
      <c r="AF14" s="737"/>
      <c r="AG14" s="737"/>
      <c r="AH14" s="737"/>
      <c r="AI14" s="737"/>
      <c r="AJ14" s="737"/>
      <c r="AK14" s="737"/>
      <c r="AL14" s="737"/>
      <c r="AM14" s="737"/>
      <c r="AN14" s="737"/>
      <c r="AO14" s="737"/>
      <c r="AP14" s="737"/>
      <c r="AQ14" s="737"/>
      <c r="AR14" s="737"/>
      <c r="AS14" s="737"/>
      <c r="AT14" s="737"/>
      <c r="AU14" s="737"/>
      <c r="AV14" s="738"/>
      <c r="BC14" s="739"/>
      <c r="BD14" s="740"/>
      <c r="BE14" s="740"/>
      <c r="BF14" s="740"/>
      <c r="BG14" s="740"/>
      <c r="BH14" s="740"/>
      <c r="BI14" s="740"/>
      <c r="BJ14" s="740"/>
      <c r="BK14" s="740"/>
      <c r="BL14" s="740"/>
      <c r="BM14" s="740"/>
      <c r="BN14" s="740"/>
      <c r="BO14" s="740"/>
      <c r="BP14" s="740"/>
      <c r="BQ14" s="740"/>
      <c r="BR14" s="740"/>
      <c r="BS14" s="740"/>
      <c r="BT14" s="740"/>
      <c r="BU14" s="741"/>
      <c r="CB14" s="736"/>
      <c r="CT14" s="738"/>
      <c r="DA14" s="736"/>
      <c r="DH14" s="738"/>
      <c r="DL14" s="736"/>
      <c r="DS14" s="738"/>
    </row>
    <row r="15" spans="1:123" ht="12.75" customHeight="1" x14ac:dyDescent="0.25">
      <c r="E15" s="736"/>
      <c r="F15" s="1196" t="s">
        <v>771</v>
      </c>
      <c r="G15" s="1196"/>
      <c r="H15" s="1196"/>
      <c r="I15" s="1196"/>
      <c r="J15" s="1196"/>
      <c r="K15" s="1196"/>
      <c r="R15" s="1196" t="s">
        <v>772</v>
      </c>
      <c r="S15" s="1196"/>
      <c r="T15" s="1196"/>
      <c r="U15" s="1196"/>
      <c r="V15" s="1196"/>
      <c r="W15" s="738"/>
      <c r="AD15" s="736"/>
      <c r="AF15" s="1196" t="s">
        <v>773</v>
      </c>
      <c r="AG15" s="1196"/>
      <c r="AH15" s="1196"/>
      <c r="AI15" s="1196"/>
      <c r="AJ15" s="1196"/>
      <c r="AQ15" s="1196" t="s">
        <v>774</v>
      </c>
      <c r="AR15" s="1196"/>
      <c r="AS15" s="1196"/>
      <c r="AT15" s="1196"/>
      <c r="AU15" s="1196"/>
      <c r="AV15" s="738"/>
      <c r="BC15" s="739"/>
      <c r="BD15" s="742"/>
      <c r="BE15" s="1196" t="s">
        <v>775</v>
      </c>
      <c r="BF15" s="1196"/>
      <c r="BG15" s="1196"/>
      <c r="BH15" s="1196"/>
      <c r="BI15" s="1196"/>
      <c r="BJ15" s="742"/>
      <c r="BK15" s="742"/>
      <c r="BL15" s="742"/>
      <c r="BM15" s="742"/>
      <c r="BN15" s="742"/>
      <c r="BO15" s="742"/>
      <c r="BP15" s="1196" t="s">
        <v>776</v>
      </c>
      <c r="BQ15" s="1196"/>
      <c r="BR15" s="1196"/>
      <c r="BS15" s="1196"/>
      <c r="BT15" s="1196"/>
      <c r="BU15" s="741"/>
      <c r="CB15" s="736"/>
      <c r="CC15" s="1196" t="s">
        <v>764</v>
      </c>
      <c r="CD15" s="1196"/>
      <c r="CE15" s="1196"/>
      <c r="CF15" s="1196"/>
      <c r="CG15" s="1196"/>
      <c r="CH15" s="1196"/>
      <c r="CN15" s="1196" t="s">
        <v>765</v>
      </c>
      <c r="CO15" s="1196"/>
      <c r="CP15" s="1196"/>
      <c r="CQ15" s="1196"/>
      <c r="CR15" s="1196"/>
      <c r="CS15" s="1196"/>
      <c r="CT15" s="738"/>
      <c r="DA15" s="736"/>
      <c r="DB15" s="1196"/>
      <c r="DC15" s="1196"/>
      <c r="DD15" s="1196"/>
      <c r="DE15" s="1196"/>
      <c r="DF15" s="1196"/>
      <c r="DG15" s="1196"/>
      <c r="DH15" s="738"/>
      <c r="DL15" s="736"/>
      <c r="DM15" s="1196"/>
      <c r="DN15" s="1196"/>
      <c r="DO15" s="1196"/>
      <c r="DP15" s="1196"/>
      <c r="DQ15" s="1196"/>
      <c r="DR15" s="1196"/>
      <c r="DS15" s="738"/>
    </row>
    <row r="16" spans="1:123" x14ac:dyDescent="0.25">
      <c r="E16" s="736"/>
      <c r="F16" s="1197" t="s">
        <v>766</v>
      </c>
      <c r="G16" s="1197" t="s">
        <v>767</v>
      </c>
      <c r="H16" s="1197" t="s">
        <v>455</v>
      </c>
      <c r="I16" s="1197" t="s">
        <v>768</v>
      </c>
      <c r="J16" s="1197" t="s">
        <v>454</v>
      </c>
      <c r="K16" s="1198" t="s">
        <v>769</v>
      </c>
      <c r="Q16" s="1197" t="s">
        <v>766</v>
      </c>
      <c r="R16" s="1197" t="s">
        <v>767</v>
      </c>
      <c r="S16" s="1197" t="s">
        <v>455</v>
      </c>
      <c r="T16" s="1197" t="s">
        <v>768</v>
      </c>
      <c r="U16" s="1197" t="s">
        <v>454</v>
      </c>
      <c r="V16" s="1198" t="s">
        <v>769</v>
      </c>
      <c r="W16" s="738"/>
      <c r="AD16" s="736"/>
      <c r="AE16" s="1197" t="s">
        <v>766</v>
      </c>
      <c r="AF16" s="1197" t="s">
        <v>767</v>
      </c>
      <c r="AG16" s="1197" t="s">
        <v>455</v>
      </c>
      <c r="AH16" s="1197" t="s">
        <v>768</v>
      </c>
      <c r="AI16" s="1197" t="s">
        <v>454</v>
      </c>
      <c r="AJ16" s="1198" t="s">
        <v>769</v>
      </c>
      <c r="AP16" s="1197" t="s">
        <v>766</v>
      </c>
      <c r="AQ16" s="1197" t="s">
        <v>767</v>
      </c>
      <c r="AR16" s="1197" t="s">
        <v>455</v>
      </c>
      <c r="AS16" s="1197" t="s">
        <v>768</v>
      </c>
      <c r="AT16" s="1197" t="s">
        <v>454</v>
      </c>
      <c r="AU16" s="1198" t="s">
        <v>769</v>
      </c>
      <c r="AV16" s="738"/>
      <c r="BC16" s="736"/>
      <c r="BD16" s="1197" t="s">
        <v>766</v>
      </c>
      <c r="BE16" s="1197" t="s">
        <v>767</v>
      </c>
      <c r="BF16" s="1197" t="s">
        <v>455</v>
      </c>
      <c r="BG16" s="1197" t="s">
        <v>768</v>
      </c>
      <c r="BH16" s="1197" t="s">
        <v>454</v>
      </c>
      <c r="BI16" s="1198" t="s">
        <v>769</v>
      </c>
      <c r="BO16" s="1197" t="s">
        <v>766</v>
      </c>
      <c r="BP16" s="1197" t="s">
        <v>767</v>
      </c>
      <c r="BQ16" s="1197" t="s">
        <v>455</v>
      </c>
      <c r="BR16" s="1197" t="s">
        <v>768</v>
      </c>
      <c r="BS16" s="1197" t="s">
        <v>454</v>
      </c>
      <c r="BT16" s="1198" t="s">
        <v>769</v>
      </c>
      <c r="BU16" s="738"/>
      <c r="CB16" s="736"/>
      <c r="CC16" s="1197" t="s">
        <v>766</v>
      </c>
      <c r="CD16" s="1197" t="s">
        <v>767</v>
      </c>
      <c r="CE16" s="1197" t="s">
        <v>455</v>
      </c>
      <c r="CF16" s="1197" t="s">
        <v>768</v>
      </c>
      <c r="CG16" s="1197" t="s">
        <v>454</v>
      </c>
      <c r="CH16" s="1198" t="s">
        <v>769</v>
      </c>
      <c r="CN16" s="1197" t="s">
        <v>766</v>
      </c>
      <c r="CO16" s="1197" t="s">
        <v>767</v>
      </c>
      <c r="CP16" s="1197" t="s">
        <v>455</v>
      </c>
      <c r="CQ16" s="1197" t="s">
        <v>768</v>
      </c>
      <c r="CR16" s="1197" t="s">
        <v>454</v>
      </c>
      <c r="CS16" s="1198" t="s">
        <v>769</v>
      </c>
      <c r="CT16" s="738"/>
      <c r="DA16" s="736"/>
      <c r="DB16" s="1197"/>
      <c r="DC16" s="1197"/>
      <c r="DD16" s="1197"/>
      <c r="DE16" s="1197"/>
      <c r="DF16" s="1197"/>
      <c r="DG16" s="1198"/>
      <c r="DH16" s="738"/>
      <c r="DL16" s="736"/>
      <c r="DM16" s="1197"/>
      <c r="DN16" s="1197"/>
      <c r="DO16" s="1197"/>
      <c r="DP16" s="1197"/>
      <c r="DQ16" s="1197"/>
      <c r="DR16" s="1198"/>
      <c r="DS16" s="738"/>
    </row>
    <row r="17" spans="5:123" x14ac:dyDescent="0.25">
      <c r="E17" s="736"/>
      <c r="F17" s="1197"/>
      <c r="G17" s="1197"/>
      <c r="H17" s="1197"/>
      <c r="I17" s="1197"/>
      <c r="J17" s="1197"/>
      <c r="K17" s="1198"/>
      <c r="Q17" s="1197"/>
      <c r="R17" s="1197"/>
      <c r="S17" s="1197"/>
      <c r="T17" s="1197"/>
      <c r="U17" s="1197"/>
      <c r="V17" s="1198"/>
      <c r="W17" s="738"/>
      <c r="AD17" s="736"/>
      <c r="AE17" s="1197"/>
      <c r="AF17" s="1197"/>
      <c r="AG17" s="1197"/>
      <c r="AH17" s="1197"/>
      <c r="AI17" s="1197"/>
      <c r="AJ17" s="1198"/>
      <c r="AP17" s="1197"/>
      <c r="AQ17" s="1197"/>
      <c r="AR17" s="1197"/>
      <c r="AS17" s="1197"/>
      <c r="AT17" s="1197"/>
      <c r="AU17" s="1198"/>
      <c r="AV17" s="738"/>
      <c r="BC17" s="736"/>
      <c r="BD17" s="1197"/>
      <c r="BE17" s="1197"/>
      <c r="BF17" s="1197"/>
      <c r="BG17" s="1197"/>
      <c r="BH17" s="1197"/>
      <c r="BI17" s="1198"/>
      <c r="BO17" s="1197"/>
      <c r="BP17" s="1197"/>
      <c r="BQ17" s="1197"/>
      <c r="BR17" s="1197"/>
      <c r="BS17" s="1197"/>
      <c r="BT17" s="1198"/>
      <c r="BU17" s="738"/>
      <c r="CB17" s="736"/>
      <c r="CC17" s="1197"/>
      <c r="CD17" s="1197"/>
      <c r="CE17" s="1197"/>
      <c r="CF17" s="1197"/>
      <c r="CG17" s="1197"/>
      <c r="CH17" s="1198"/>
      <c r="CN17" s="1197"/>
      <c r="CO17" s="1197"/>
      <c r="CP17" s="1197"/>
      <c r="CQ17" s="1197"/>
      <c r="CR17" s="1197"/>
      <c r="CS17" s="1198"/>
      <c r="CT17" s="738"/>
      <c r="DA17" s="736"/>
      <c r="DB17" s="1197"/>
      <c r="DC17" s="1197"/>
      <c r="DD17" s="1197"/>
      <c r="DE17" s="1197"/>
      <c r="DF17" s="1197"/>
      <c r="DG17" s="1198"/>
      <c r="DH17" s="738"/>
      <c r="DL17" s="736"/>
      <c r="DM17" s="1197"/>
      <c r="DN17" s="1197"/>
      <c r="DO17" s="1197"/>
      <c r="DP17" s="1197"/>
      <c r="DQ17" s="1197"/>
      <c r="DR17" s="1198"/>
      <c r="DS17" s="738"/>
    </row>
    <row r="18" spans="5:123" ht="19.5" customHeight="1" x14ac:dyDescent="0.25">
      <c r="E18" s="736"/>
      <c r="F18" s="734">
        <f>ID!K51</f>
        <v>76.8</v>
      </c>
      <c r="G18" s="744">
        <f>IF(INDEX(NIBP!$AO$10:$AO$16,MATCH(F18,NIBP!$AG$10:$AG$16,1)+1-1)=0,0.000001,INDEX(NIBP!$AO$10:$AO$16,MATCH(F18,NIBP!$AG$10:$AG$16,1)))</f>
        <v>0.3</v>
      </c>
      <c r="H18" s="744">
        <f>IF(INDEX(NIBP!$AO$10:$AO$16,MATCH(F18,NIBP!$AG$10:$AG$16,1)+1)=0,0.000001,INDEX(NIBP!$AO$10:$AO$16,MATCH(F18,NIBP!$AG$10:$AG$16,1)+1))</f>
        <v>0.1</v>
      </c>
      <c r="I18" s="745">
        <f>IF(INDEX(NIBP!$AG$10:$AG$16,MATCH(F18,NIBP!$AG$10:$AG$16,1)+1-1)=0,0.000001,INDEX(NIBP!$AG$10:$AG$16,MATCH(F18,NIBP!$AG$10:$AG$16,1)))</f>
        <v>50</v>
      </c>
      <c r="J18" s="746">
        <f>INDEX(NIBP!$AG$10:$AG$16,MATCH(F18,NIBP!$AG$10:$AG$16,1)+1)</f>
        <v>100</v>
      </c>
      <c r="K18" s="746">
        <f>(((F18-I18)*(H18-G18))/(J18-I18))+G18</f>
        <v>0.19280000000000003</v>
      </c>
      <c r="Q18" s="743">
        <f>IF(ID!K52=0,0.000001,ID!K52)</f>
        <v>49</v>
      </c>
      <c r="R18" s="744">
        <f>IF(INDEX(NIBP!$AO$10:$AO$16,MATCH(Q18,NIBP!$AG$10:$AG$16,1)+1-1)=0,0.000001,INDEX(NIBP!$AO$10:$AO$16,MATCH(Q18,NIBP!$AG$10:$AG$16,1)))</f>
        <v>9.9999999999999995E-7</v>
      </c>
      <c r="S18" s="744">
        <f>IF(INDEX(NIBP!$AO$10:$AO$16,MATCH(Q18,NIBP!$AG$10:$AG$16,1)+1)=0,0.000001,INDEX(NIBP!$AO$10:$AO$16,MATCH(Q18,NIBP!$AG$10:$AG$16,1)+1))</f>
        <v>0.3</v>
      </c>
      <c r="T18" s="745">
        <f>IF(INDEX(NIBP!$AG$10:$AG$16,MATCH(Q18,NIBP!$AG$10:$AG$16,1)+1-1)=0,0.000001,INDEX(NIBP!$AG$10:$AG$16,MATCH(Q18,NIBP!$AG$10:$AG$16,1)))</f>
        <v>9.9999999999999995E-7</v>
      </c>
      <c r="U18" s="746">
        <f>INDEX(NIBP!$AG$10:$AG$16,MATCH(Q18,NIBP!$AG$10:$AG$16,1)+1)</f>
        <v>50</v>
      </c>
      <c r="V18" s="746">
        <f>(((Q18-T18)*(S18-R18))/(U18-T18))+R18</f>
        <v>0.29400001988000041</v>
      </c>
      <c r="W18" s="738"/>
      <c r="AD18" s="736"/>
      <c r="AE18" s="743">
        <f>IF('BUDGET KTP'!A6=0,0.000001,'BUDGET KTP'!A6)</f>
        <v>35</v>
      </c>
      <c r="AF18" s="744">
        <f>IF(INDEX(NIBP!$AQ$10:$AQ$16,MATCH(AE18,NIBP!$AG$10:$AG$16,1)+1-1)=0,0.000001,INDEX(NIBP!$AQ$10:$AQ$16,MATCH(AE18,NIBP!$AG$10:$AG$16,1)))</f>
        <v>0.1</v>
      </c>
      <c r="AG18" s="744">
        <f>IF(INDEX(NIBP!$AQ$10:$AQ$16,MATCH(AE18,NIBP!$AG$10:$AG$16,1)+1-1+1)=0,0.000001,INDEX(NIBP!$AQ$10:$AQ$16,MATCH(AE18,NIBP!$AG$10:$AG$16,1)+1))</f>
        <v>0.1</v>
      </c>
      <c r="AH18" s="745">
        <f>IF(INDEX(NIBP!$AG$10:$AG$16,MATCH(AE18,NIBP!$AG$10:$AG$16,1)+1-1)=0,0.000001,INDEX(NIBP!$AG$10:$AG$16,MATCH(AE18,NIBP!$AG$10:$AG$16,1)))</f>
        <v>9.9999999999999995E-7</v>
      </c>
      <c r="AI18" s="746">
        <f>INDEX(NIBP!$AG$10:$AG$16,MATCH(AE18,NIBP!$AG$10:$AG$16,1)+1)</f>
        <v>50</v>
      </c>
      <c r="AJ18" s="746">
        <f>(((AE18-AH18)*(AG18-AF18))/(AI18-AH18))+AF18</f>
        <v>0.1</v>
      </c>
      <c r="AP18" s="743">
        <f>IF('BUDGET KTP'!A20=0,0.000001,'BUDGET KTP'!A20)</f>
        <v>15</v>
      </c>
      <c r="AQ18" s="744">
        <f>IF(INDEX(NIBP!$AQ$10:$AQ$16,MATCH(AP18,NIBP!$AG$10:$AG$16,1)+1-1)=0,0.000001,INDEX(NIBP!$AQ$10:$AQ$16,MATCH(AP18,NIBP!$AG$10:$AG$16,1)))</f>
        <v>0.1</v>
      </c>
      <c r="AR18" s="744">
        <f>IF(INDEX(NIBP!$AQ$10:$AQ$16,MATCH(AP18,NIBP!$AG$10:$AG$16,1)+1)=0,0.000001,INDEX(NIBP!$AQ$10:$AQ$16,MATCH(AP18,NIBP!$AG$10:$AG$16,1)+1))</f>
        <v>0.1</v>
      </c>
      <c r="AS18" s="745">
        <f>IF(INDEX(NIBP!$AG$10:$AG$16,MATCH(AP18,NIBP!$AG$10:$AG$16,1)+1-1)=0,0.000001,INDEX(NIBP!$AG$10:$AG$16,MATCH(AP18,NIBP!$AG$10:$AG$16,1)))</f>
        <v>9.9999999999999995E-7</v>
      </c>
      <c r="AT18" s="746">
        <f>INDEX(NIBP!$AG$10:$AG$16,MATCH(AP18,NIBP!$AG$10:$AG$16,1)+1)</f>
        <v>50</v>
      </c>
      <c r="AU18" s="746">
        <f>(((AP18-AS18)*(AR18-AQ18))/(AT18-AS18))+AQ18</f>
        <v>0.1</v>
      </c>
      <c r="AV18" s="738"/>
      <c r="BC18" s="736"/>
      <c r="BD18" s="743">
        <f>IF(ID!L51=0,0.000001,ID!L51)</f>
        <v>76.992800000000003</v>
      </c>
      <c r="BE18" s="744">
        <f>IF(INDEX(NIBP!$AP$10:$AP$16,MATCH(BD18,NIBP!$AG$10:$AG$16,1)+1-1)=0,0.000001,INDEX(NIBP!$AP$10:$AP$16,MATCH(BD18,NIBP!$AG$10:$AG$16,1)))</f>
        <v>3.3333333333333333E-2</v>
      </c>
      <c r="BF18" s="744">
        <f>IF(INDEX(NIBP!$AP$10:$AP$16,MATCH(BD18,NIBP!$AG$10:$AG$16,1)+1)=0,0.000001,INDEX(NIBP!$AP$10:$AP$16,MATCH(BD18,NIBP!$AG$10:$AG$16,1)+1))</f>
        <v>3.3333333333333333E-2</v>
      </c>
      <c r="BG18" s="745">
        <f>IF(INDEX(NIBP!$AG$10:$AG$16,MATCH(BD18,NIBP!$AG$10:$AG$16,1)+1-1)=0,0.000001,INDEX(NIBP!$AG$10:$AG$16,MATCH(BD18,NIBP!$AG$10:$AG$16,1)))</f>
        <v>50</v>
      </c>
      <c r="BH18" s="746">
        <f>INDEX(NIBP!$AG$10:$AG$16,MATCH(BD18,NIBP!$AG$10:$AG$16,1)+1)</f>
        <v>100</v>
      </c>
      <c r="BI18" s="746">
        <f>(((BD18-BG18)*(BF18-BE18))/(BH18-BG18))+BE18</f>
        <v>3.3333333333333333E-2</v>
      </c>
      <c r="BO18" s="743">
        <f>IF('BUDGET KTP'!A20=0,0.000001,'BUDGET KTP'!A20)</f>
        <v>15</v>
      </c>
      <c r="BP18" s="744">
        <f>IF(INDEX(NIBP!$AP$10:$AP$16,MATCH(BO18,NIBP!$AG$10:$AG$16,1)+1-1)=0,0.000001,INDEX(NIBP!$AP$10:$AP$16,MATCH(BO18,NIBP!$AG$10:$AG$16,1)))</f>
        <v>3.3333333333333333E-2</v>
      </c>
      <c r="BQ18" s="744">
        <f>IF(INDEX(NIBP!$AP$10:$AP$16,MATCH(BO18,NIBP!$AG$10:$AG$16,1)+1-1+1)=0,0.000001,INDEX(NIBP!$AP$10:$AP$16,MATCH(BO18,NIBP!$AG$10:$AG$16,1)+1))</f>
        <v>3.3333333333333333E-2</v>
      </c>
      <c r="BR18" s="745">
        <f>IF(INDEX(NIBP!$AG$10:$AG$16,MATCH(BO18,NIBP!$AG$10:$AG$16,1)+1-1)=0,0.000001,INDEX(NIBP!$AG$10:$AG$16,MATCH(BO18,NIBP!$AG$10:$AG$16,1)))</f>
        <v>9.9999999999999995E-7</v>
      </c>
      <c r="BS18" s="746">
        <f>INDEX(NIBP!$AG$10:$AG$16,MATCH(BO18,NIBP!$AG$10:$AG$16,1)+1)</f>
        <v>50</v>
      </c>
      <c r="BT18" s="746">
        <f>(((BO18-BR18)*(BQ18-BP18))/(BS18-BR18))+BP18</f>
        <v>3.3333333333333333E-2</v>
      </c>
      <c r="BU18" s="738"/>
      <c r="CB18" s="736"/>
      <c r="CC18" s="743">
        <f>IF(ID!D33=0,0.000001,ID!D33)</f>
        <v>22.7</v>
      </c>
      <c r="CD18" s="744">
        <f>IF(INDEX(THERMOHYGROMETER!$P$8:$P$14,MATCH(CC18,THERMOHYGROMETER!$O$8:$O$14,1)+1-1)=0,0.000001,INDEX(THERMOHYGROMETER!$P$8:$P$14,MATCH(CC18,THERMOHYGROMETER!$O$8:$O$14,1)))</f>
        <v>0.2</v>
      </c>
      <c r="CE18" s="744">
        <f>IF(INDEX(THERMOHYGROMETER!$P$8:$P$14,MATCH(CC18,THERMOHYGROMETER!$O$8:$O$14)+1)=0,0.000001,INDEX(THERMOHYGROMETER!$P$8:$P$14,MATCH(CC18,THERMOHYGROMETER!$O$8:$O$14,1)+1))</f>
        <v>0.2</v>
      </c>
      <c r="CF18" s="745">
        <f>IF(INDEX(THERMOHYGROMETER!$O$8:$O$14,MATCH(CC18,THERMOHYGROMETER!$O$8:$O$14,1)+1-1)=0,0.000001,INDEX(THERMOHYGROMETER!$O$8:$O$14,MATCH(CC18,THERMOHYGROMETER!$O$8:$O$14,1)))</f>
        <v>20</v>
      </c>
      <c r="CG18" s="746">
        <f>INDEX(THERMOHYGROMETER!$O$8:$O$14,MATCH(CC18,THERMOHYGROMETER!$O$8:$O$14)+1)</f>
        <v>25</v>
      </c>
      <c r="CH18" s="746">
        <f>(((CC18-CF18)*(CE18-CD18))/(CG18-CF18))+CD18</f>
        <v>0.2</v>
      </c>
      <c r="CN18" s="743">
        <f>IF(ID!D34=0,0.000001,ID!D34)</f>
        <v>55.7</v>
      </c>
      <c r="CO18" s="744">
        <f>IF(INDEX(THERMOHYGROMETER!$S$8:$S$14,MATCH(CN18,THERMOHYGROMETER!$R$8:$R$14,1)+1-1)=0,0.000001,INDEX(THERMOHYGROMETER!$S$8:$S$14,MATCH(CN18,THERMOHYGROMETER!$R$8:$R$14,1)))</f>
        <v>-1.4</v>
      </c>
      <c r="CP18" s="744">
        <f>IF(INDEX(THERMOHYGROMETER!$S$8:$S$14,MATCH(CN18,THERMOHYGROMETER!$R$8:$R$14)+1)=0,0.000001,INDEX(THERMOHYGROMETER!$S$8:$S$14,MATCH(CN18,THERMOHYGROMETER!$R$8:$R$14,1)+1))</f>
        <v>-1.5</v>
      </c>
      <c r="CQ18" s="745">
        <f>IF(INDEX(THERMOHYGROMETER!$R$8:$R$14,MATCH(CN18,THERMOHYGROMETER!$R$8:$R$14,1)+1-1)=0,0.000001,INDEX(THERMOHYGROMETER!$R$8:$R$14,MATCH(CN18,THERMOHYGROMETER!$R$8:$R$14,1)))</f>
        <v>50</v>
      </c>
      <c r="CR18" s="746">
        <f>INDEX(THERMOHYGROMETER!$R$8:$R$14,MATCH(CN18,THERMOHYGROMETER!$R$8:$R$14,1)+1)</f>
        <v>60</v>
      </c>
      <c r="CS18" s="746">
        <f>(((CN18-CQ18)*(CP18-CO18))/(CR18-CQ18))+CO18</f>
        <v>-1.4570000000000001</v>
      </c>
      <c r="CT18" s="738"/>
      <c r="DA18" s="736"/>
      <c r="DB18" s="743"/>
      <c r="DC18" s="744"/>
      <c r="DD18" s="744"/>
      <c r="DE18" s="745"/>
      <c r="DF18" s="746"/>
      <c r="DG18" s="746"/>
      <c r="DH18" s="738"/>
      <c r="DL18" s="736"/>
      <c r="DM18" s="743"/>
      <c r="DN18" s="744"/>
      <c r="DO18" s="744"/>
      <c r="DP18" s="745"/>
      <c r="DQ18" s="746"/>
      <c r="DR18" s="746"/>
      <c r="DS18" s="738"/>
    </row>
    <row r="19" spans="5:123" x14ac:dyDescent="0.25">
      <c r="E19" s="736"/>
      <c r="F19" s="734">
        <f>ID!K53</f>
        <v>98.8</v>
      </c>
      <c r="G19" s="744">
        <f>IF(INDEX(NIBP!$AO$10:$AO$16,MATCH(F19,NIBP!$AG$10:$AG$16,1)+1-1)=0,0.000001,INDEX(NIBP!$AO$10:$AO$16,MATCH(F19,NIBP!$AG$10:$AG$16,1)))</f>
        <v>0.3</v>
      </c>
      <c r="H19" s="744">
        <f>IF(INDEX(NIBP!$AO$10:$AO$16,MATCH(F19,NIBP!$AG$10:$AG$16,1)+1)=0,0.000001,INDEX(NIBP!$AO$10:$AO$16,MATCH(F19,NIBP!$AG$10:$AG$16,1)+1))</f>
        <v>0.1</v>
      </c>
      <c r="I19" s="745">
        <f>IF(INDEX(NIBP!$AG$10:$AG$16,MATCH(F19,NIBP!$AG$10:$AG$16,1)+1-1)=0,0.000001,INDEX(NIBP!$AG$10:$AG$16,MATCH(F19,NIBP!$AG$10:$AG$16,1)))</f>
        <v>50</v>
      </c>
      <c r="J19" s="746">
        <f>INDEX(NIBP!$AG$10:$AG$16,MATCH(F19,NIBP!$AG$10:$AG$16,1)+1)</f>
        <v>100</v>
      </c>
      <c r="K19" s="746">
        <f t="shared" ref="K19:K22" si="0">(((F19-I19)*(H19-G19))/(J19-I19))+G19</f>
        <v>0.10480000000000003</v>
      </c>
      <c r="Q19" s="734">
        <f>ID!K54</f>
        <v>63.2</v>
      </c>
      <c r="R19" s="744">
        <f>IF(INDEX(NIBP!$AO$10:$AO$16,MATCH(Q19,NIBP!$AG$10:$AG$16,1)+1-1)=0,0.000001,INDEX(NIBP!$AO$10:$AO$16,MATCH(Q19,NIBP!$AG$10:$AG$16,1)))</f>
        <v>0.3</v>
      </c>
      <c r="S19" s="744">
        <f>IF(INDEX(NIBP!$AO$10:$AO$16,MATCH(Q19,NIBP!$AG$10:$AG$16,1)+1)=0,0.000001,INDEX(NIBP!$AO$10:$AO$16,MATCH(Q19,NIBP!$AG$10:$AG$16,1)+1))</f>
        <v>0.1</v>
      </c>
      <c r="T19" s="745">
        <f>IF(INDEX(NIBP!$AG$10:$AG$16,MATCH(Q19,NIBP!$AG$10:$AG$16,1)+1-1)=0,0.000001,INDEX(NIBP!$AG$10:$AG$16,MATCH(Q19,NIBP!$AG$10:$AG$16,1)))</f>
        <v>50</v>
      </c>
      <c r="U19" s="746">
        <f>INDEX(NIBP!$AG$10:$AG$16,MATCH(Q19,NIBP!$AG$10:$AG$16,1)+1)</f>
        <v>100</v>
      </c>
      <c r="V19" s="746">
        <f t="shared" ref="V19:V22" si="1">(((Q19-T19)*(S19-R19))/(U19-T19))+R19</f>
        <v>0.24719999999999998</v>
      </c>
      <c r="W19" s="738"/>
      <c r="AD19" s="736"/>
      <c r="AE19" s="734">
        <f>'BUDGET KTP'!A34</f>
        <v>60</v>
      </c>
      <c r="AF19" s="744">
        <f>IF(INDEX(NIBP!$AQ$10:$AQ$16,MATCH(AE19,NIBP!$AG$10:$AG$16,1)+1-1)=0,0.000001,INDEX(NIBP!$AQ$10:$AQ$16,MATCH(AE19,NIBP!$AG$10:$AG$16,1)))</f>
        <v>0.1</v>
      </c>
      <c r="AG19" s="744">
        <f>IF(INDEX(NIBP!$AQ$10:$AQ$16,MATCH(AE19,NIBP!$AG$10:$AG$16,1)+1-1+1)=0,0.000001,INDEX(NIBP!$AQ$10:$AQ$16,MATCH(AE19,NIBP!$AG$10:$AG$16,1)+1))</f>
        <v>0.1</v>
      </c>
      <c r="AH19" s="745">
        <f>IF(INDEX(NIBP!$AG$10:$AG$16,MATCH(AE19,NIBP!$AG$10:$AG$16,1)+1-1)=0,0.000001,INDEX(NIBP!$AG$10:$AG$16,MATCH(AE19,NIBP!$AG$10:$AG$16,1)))</f>
        <v>50</v>
      </c>
      <c r="AI19" s="746">
        <f>INDEX(NIBP!$AG$10:$AG$16,MATCH(AE19,NIBP!$AG$10:$AG$16,1)+1)</f>
        <v>100</v>
      </c>
      <c r="AJ19" s="746">
        <f t="shared" ref="AJ19:AJ22" si="2">(((AE19-AH19)*(AG19-AF19))/(AI19-AH19))+AF19</f>
        <v>0.1</v>
      </c>
      <c r="AP19" s="734">
        <f>'BUDGET KTP'!A57</f>
        <v>30</v>
      </c>
      <c r="AQ19" s="744">
        <f>IF(INDEX(NIBP!$AQ$10:$AQ$16,MATCH(AP19,NIBP!$AG$10:$AG$16,1)+1-1)=0,0.000001,INDEX(NIBP!$AQ$10:$AQ$16,MATCH(AP19,NIBP!$AG$10:$AG$16,1)))</f>
        <v>0.1</v>
      </c>
      <c r="AR19" s="744">
        <f>IF(INDEX(NIBP!$AQ$10:$AQ$16,MATCH(AP19,NIBP!$AG$10:$AG$16,1)+1)=0,0.000001,INDEX(NIBP!$AQ$10:$AQ$16,MATCH(AP19,NIBP!$AG$10:$AG$16,1)+1))</f>
        <v>0.1</v>
      </c>
      <c r="AS19" s="745">
        <f>IF(INDEX(NIBP!$AG$10:$AG$16,MATCH(AP19,NIBP!$AG$10:$AG$16,1)+1-1)=0,0.000001,INDEX(NIBP!$AG$10:$AG$16,MATCH(AP19,NIBP!$AG$10:$AG$16,1)))</f>
        <v>9.9999999999999995E-7</v>
      </c>
      <c r="AT19" s="746">
        <f>INDEX(NIBP!$AG$10:$AG$16,MATCH(AP19,NIBP!$AG$10:$AG$16,1)+1)</f>
        <v>50</v>
      </c>
      <c r="AU19" s="746">
        <f t="shared" ref="AU19:AU22" si="3">(((AP19-AS19)*(AR19-AQ19))/(AT19-AS19))+AQ19</f>
        <v>0.1</v>
      </c>
      <c r="AV19" s="738"/>
      <c r="BC19" s="736"/>
      <c r="BD19" s="743">
        <f>IF(ID!L53=0,0.000001,ID!L53)</f>
        <v>98.904799999999994</v>
      </c>
      <c r="BE19" s="744">
        <f>IF(INDEX(NIBP!$AP$10:$AP$16,MATCH(BD19,NIBP!$AG$10:$AG$16,1)+1-1)=0,0.000001,INDEX(NIBP!$AP$10:$AP$16,MATCH(BD19,NIBP!$AG$10:$AG$16,1)))</f>
        <v>3.3333333333333333E-2</v>
      </c>
      <c r="BF19" s="744">
        <f>IF(INDEX(NIBP!$AP$10:$AP$16,MATCH(BD19,NIBP!$AG$10:$AG$16,1)+1)=0,0.000001,INDEX(NIBP!$AP$10:$AP$16,MATCH(BD19,NIBP!$AG$10:$AG$16,1)+1))</f>
        <v>3.3333333333333333E-2</v>
      </c>
      <c r="BG19" s="745">
        <f>IF(INDEX(NIBP!$AG$10:$AG$16,MATCH(BD19,NIBP!$AG$10:$AG$16,1)+1-1)=0,0.000001,INDEX(NIBP!$AG$10:$AG$16,MATCH(BD19,NIBP!$AG$10:$AG$16,1)))</f>
        <v>50</v>
      </c>
      <c r="BH19" s="746">
        <f>INDEX(NIBP!$AG$10:$AG$16,MATCH(BD19,NIBP!$AG$10:$AG$16,1)+1)</f>
        <v>100</v>
      </c>
      <c r="BI19" s="746">
        <f t="shared" ref="BI19:BI22" si="4">(((BD19-BG19)*(BF19-BE19))/(BH19-BG19))+BE19</f>
        <v>3.3333333333333333E-2</v>
      </c>
      <c r="BO19" s="734">
        <f>'BUDGET KTP'!A57</f>
        <v>30</v>
      </c>
      <c r="BP19" s="744">
        <f>IF(INDEX(NIBP!$AP$10:$AP$16,MATCH(BO19,NIBP!$AG$10:$AG$16,1)+1-1)=0,0.000001,INDEX(NIBP!$AP$10:$AP$16,MATCH(BO19,NIBP!$AG$10:$AG$16,1)))</f>
        <v>3.3333333333333333E-2</v>
      </c>
      <c r="BQ19" s="744">
        <f>IF(INDEX(NIBP!$AP$10:$AP$16,MATCH(BO19,NIBP!$AG$10:$AG$16,1)+1-1+1)=0,0.000001,INDEX(NIBP!$AP$10:$AP$16,MATCH(BO19,NIBP!$AG$10:$AG$16,1)+1))</f>
        <v>3.3333333333333333E-2</v>
      </c>
      <c r="BR19" s="745">
        <f>IF(INDEX(NIBP!$AG$10:$AG$16,MATCH(BO19,NIBP!$AG$10:$AG$16,1)+1-1)=0,0.000001,INDEX(NIBP!$AG$10:$AG$16,MATCH(BO19,NIBP!$AG$10:$AG$16,1)))</f>
        <v>9.9999999999999995E-7</v>
      </c>
      <c r="BS19" s="746">
        <f>INDEX(NIBP!$AG$10:$AG$16,MATCH(BO19,NIBP!$AG$10:$AG$16,1)+1)</f>
        <v>50</v>
      </c>
      <c r="BT19" s="746">
        <f t="shared" ref="BT19:BT22" si="5">(((BO19-BR19)*(BQ19-BP19))/(BS19-BR19))+BP19</f>
        <v>3.3333333333333333E-2</v>
      </c>
      <c r="BU19" s="738"/>
      <c r="CB19" s="736"/>
      <c r="CT19" s="738"/>
      <c r="DA19" s="736"/>
      <c r="DH19" s="738"/>
      <c r="DL19" s="736"/>
      <c r="DS19" s="738"/>
    </row>
    <row r="20" spans="5:123" ht="14.4" thickBot="1" x14ac:dyDescent="0.3">
      <c r="E20" s="736"/>
      <c r="F20" s="734">
        <f>ID!K55</f>
        <v>117.8</v>
      </c>
      <c r="G20" s="744">
        <f>IF(INDEX(NIBP!$AO$10:$AO$16,MATCH(F20,NIBP!$AG$10:$AG$16,1)+1-1)=0,0.000001,INDEX(NIBP!$AO$10:$AO$16,MATCH(F20,NIBP!$AG$10:$AG$16,1)))</f>
        <v>0.1</v>
      </c>
      <c r="H20" s="744">
        <f>IF(INDEX(NIBP!$AO$10:$AO$16,MATCH(F20,NIBP!$AG$10:$AG$16,1)+1)=0,0.000001,INDEX(NIBP!$AO$10:$AO$16,MATCH(F20,NIBP!$AG$10:$AG$16,1)+1))</f>
        <v>9.9999999999999995E-7</v>
      </c>
      <c r="I20" s="745">
        <f>IF(INDEX(NIBP!$AG$10:$AG$16,MATCH(F20,NIBP!$AG$10:$AG$16,1)+1-1)=0,0.000001,INDEX(NIBP!$AG$10:$AG$16,MATCH(F20,NIBP!$AG$10:$AG$16,1)))</f>
        <v>100</v>
      </c>
      <c r="J20" s="746">
        <f>INDEX(NIBP!$AG$10:$AG$16,MATCH(F20,NIBP!$AG$10:$AG$16,1)+1)</f>
        <v>150</v>
      </c>
      <c r="K20" s="746">
        <f t="shared" si="0"/>
        <v>6.4400356000000006E-2</v>
      </c>
      <c r="Q20" s="734">
        <f>ID!K56</f>
        <v>78</v>
      </c>
      <c r="R20" s="744">
        <f>IF(INDEX(NIBP!$AO$10:$AO$16,MATCH(Q20,NIBP!$AG$10:$AG$16,1)+1-1)=0,0.000001,INDEX(NIBP!$AO$10:$AO$16,MATCH(Q20,NIBP!$AG$10:$AG$16,1)))</f>
        <v>0.3</v>
      </c>
      <c r="S20" s="744">
        <f>IF(INDEX(NIBP!$AO$10:$AO$16,MATCH(Q20,NIBP!$AG$10:$AG$16,1)+1)=0,0.000001,INDEX(NIBP!$AO$10:$AO$16,MATCH(Q20,NIBP!$AG$10:$AG$16,1)+1))</f>
        <v>0.1</v>
      </c>
      <c r="T20" s="745">
        <f>IF(INDEX(NIBP!$AG$10:$AG$16,MATCH(Q20,NIBP!$AG$10:$AG$16,1)+1-1)=0,0.000001,INDEX(NIBP!$AG$10:$AG$16,MATCH(Q20,NIBP!$AG$10:$AG$16,1)))</f>
        <v>50</v>
      </c>
      <c r="U20" s="746">
        <f>INDEX(NIBP!$AG$10:$AG$16,MATCH(Q20,NIBP!$AG$10:$AG$16,1)+1)</f>
        <v>100</v>
      </c>
      <c r="V20" s="746">
        <f t="shared" si="1"/>
        <v>0.188</v>
      </c>
      <c r="W20" s="738"/>
      <c r="AD20" s="736"/>
      <c r="AE20" s="734">
        <f>'BUDGET KTP'!A71</f>
        <v>80</v>
      </c>
      <c r="AF20" s="744">
        <f>IF(INDEX(NIBP!$AQ$10:$AQ$16,MATCH(AE20,NIBP!$AG$10:$AG$16,1)+1-1)=0,0.000001,INDEX(NIBP!$AQ$10:$AQ$16,MATCH(AE20,NIBP!$AG$10:$AG$16,1)))</f>
        <v>0.1</v>
      </c>
      <c r="AG20" s="744">
        <f>IF(INDEX(NIBP!$AQ$10:$AQ$16,MATCH(AE20,NIBP!$AG$10:$AG$16,1)+1-1+1)=0,0.000001,INDEX(NIBP!$AQ$10:$AQ$16,MATCH(AE20,NIBP!$AG$10:$AG$16,1)+1))</f>
        <v>0.1</v>
      </c>
      <c r="AH20" s="745">
        <f>IF(INDEX(NIBP!$AG$10:$AG$16,MATCH(AE20,NIBP!$AG$10:$AG$16,1)+1-1)=0,0.000001,INDEX(NIBP!$AG$10:$AG$16,MATCH(AE20,NIBP!$AG$10:$AG$16,1)))</f>
        <v>50</v>
      </c>
      <c r="AI20" s="746">
        <f>INDEX(NIBP!$AG$10:$AG$16,MATCH(AE20,NIBP!$AG$10:$AG$16,1)+1)</f>
        <v>100</v>
      </c>
      <c r="AJ20" s="746">
        <f t="shared" si="2"/>
        <v>0.1</v>
      </c>
      <c r="AP20" s="734">
        <f>'BUDGET KTP'!A85</f>
        <v>50</v>
      </c>
      <c r="AQ20" s="744">
        <f>IF(INDEX(NIBP!$AQ$10:$AQ$16,MATCH(AP20,NIBP!$AG$10:$AG$16,1)+1-1)=0,0.000001,INDEX(NIBP!$AQ$10:$AQ$16,MATCH(AP20,NIBP!$AG$10:$AG$16,1)))</f>
        <v>0.1</v>
      </c>
      <c r="AR20" s="744">
        <f>IF(INDEX(NIBP!$AQ$10:$AQ$16,MATCH(AP20,NIBP!$AG$10:$AG$16,1)+1)=0,0.000001,INDEX(NIBP!$AQ$10:$AQ$16,MATCH(AP20,NIBP!$AG$10:$AG$16,1)+1))</f>
        <v>0.1</v>
      </c>
      <c r="AS20" s="745">
        <f>IF(INDEX(NIBP!$AG$10:$AG$16,MATCH(AP20,NIBP!$AG$10:$AG$16,1)+1-1)=0,0.000001,INDEX(NIBP!$AG$10:$AG$16,MATCH(AP20,NIBP!$AG$10:$AG$16,1)))</f>
        <v>50</v>
      </c>
      <c r="AT20" s="746">
        <f>INDEX(NIBP!$AG$10:$AG$16,MATCH(AP20,NIBP!$AG$10:$AG$16,1)+1)</f>
        <v>100</v>
      </c>
      <c r="AU20" s="746">
        <f t="shared" si="3"/>
        <v>0.1</v>
      </c>
      <c r="AV20" s="738"/>
      <c r="BC20" s="736"/>
      <c r="BD20" s="743">
        <f>IF(ID!L55=0,0.000001,ID!L55)</f>
        <v>117.86440035599999</v>
      </c>
      <c r="BE20" s="744">
        <f>IF(INDEX(NIBP!$AP$10:$AP$16,MATCH(BD20,NIBP!$AG$10:$AG$16,1)+1-1)=0,0.000001,INDEX(NIBP!$AP$10:$AP$16,MATCH(BD20,NIBP!$AG$10:$AG$16,1)))</f>
        <v>3.3333333333333333E-2</v>
      </c>
      <c r="BF20" s="744">
        <f>IF(INDEX(NIBP!$AP$10:$AP$16,MATCH(BD20,NIBP!$AG$10:$AG$16,1)+1)=0,0.000001,INDEX(NIBP!$AP$10:$AP$16,MATCH(BD20,NIBP!$AG$10:$AG$16,1)+1))</f>
        <v>3.3333333333333333E-2</v>
      </c>
      <c r="BG20" s="745">
        <f>IF(INDEX(NIBP!$AG$10:$AG$16,MATCH(BD20,NIBP!$AG$10:$AG$16,1)+1-1)=0,0.000001,INDEX(NIBP!$AG$10:$AG$16,MATCH(BD20,NIBP!$AG$10:$AG$16,1)))</f>
        <v>100</v>
      </c>
      <c r="BH20" s="746">
        <f>INDEX(NIBP!$AG$10:$AG$16,MATCH(BD20,NIBP!$AG$10:$AG$16,1)+1)</f>
        <v>150</v>
      </c>
      <c r="BI20" s="746">
        <f t="shared" si="4"/>
        <v>3.3333333333333333E-2</v>
      </c>
      <c r="BO20" s="734">
        <f>'BUDGET KTP'!A85</f>
        <v>50</v>
      </c>
      <c r="BP20" s="744">
        <f>IF(INDEX(NIBP!$AP$10:$AP$16,MATCH(BO20,NIBP!$AG$10:$AG$16,1)+1-1)=0,0.000001,INDEX(NIBP!$AP$10:$AP$16,MATCH(BO20,NIBP!$AG$10:$AG$16,1)))</f>
        <v>3.3333333333333333E-2</v>
      </c>
      <c r="BQ20" s="744">
        <f>IF(INDEX(NIBP!$AP$10:$AP$16,MATCH(BO20,NIBP!$AG$10:$AG$16,1)+1-1+1)=0,0.000001,INDEX(NIBP!$AP$10:$AP$16,MATCH(BO20,NIBP!$AG$10:$AG$16,1)+1))</f>
        <v>3.3333333333333333E-2</v>
      </c>
      <c r="BR20" s="745">
        <f>IF(INDEX(NIBP!$AG$10:$AG$16,MATCH(BO20,NIBP!$AG$10:$AG$16,1)+1-1)=0,0.000001,INDEX(NIBP!$AG$10:$AG$16,MATCH(BO20,NIBP!$AG$10:$AG$16,1)))</f>
        <v>50</v>
      </c>
      <c r="BS20" s="746">
        <f>INDEX(NIBP!$AG$10:$AG$16,MATCH(BO20,NIBP!$AG$10:$AG$16,1)+1)</f>
        <v>100</v>
      </c>
      <c r="BT20" s="746">
        <f t="shared" si="5"/>
        <v>3.3333333333333333E-2</v>
      </c>
      <c r="BU20" s="738"/>
      <c r="CB20" s="736"/>
      <c r="CT20" s="738"/>
      <c r="DA20" s="749"/>
      <c r="DB20" s="750"/>
      <c r="DC20" s="750"/>
      <c r="DD20" s="750"/>
      <c r="DE20" s="750"/>
      <c r="DF20" s="750"/>
      <c r="DG20" s="750"/>
      <c r="DH20" s="751"/>
      <c r="DL20" s="749"/>
      <c r="DM20" s="750"/>
      <c r="DN20" s="750"/>
      <c r="DO20" s="750"/>
      <c r="DP20" s="750"/>
      <c r="DQ20" s="750"/>
      <c r="DR20" s="750"/>
      <c r="DS20" s="751"/>
    </row>
    <row r="21" spans="5:123" x14ac:dyDescent="0.25">
      <c r="E21" s="736"/>
      <c r="F21" s="734">
        <f>ID!K57</f>
        <v>146</v>
      </c>
      <c r="G21" s="744">
        <f>IF(INDEX(NIBP!$AO$10:$AO$16,MATCH(F21,NIBP!$AG$10:$AG$16,1)+1-1)=0,0.000001,INDEX(NIBP!$AO$10:$AO$16,MATCH(F21,NIBP!$AG$10:$AG$16,1)))</f>
        <v>0.1</v>
      </c>
      <c r="H21" s="744">
        <f>IF(INDEX(NIBP!$AO$10:$AO$16,MATCH(F21,NIBP!$AG$10:$AG$16,1)+1)=0,0.000001,INDEX(NIBP!$AO$10:$AO$16,MATCH(F21,NIBP!$AG$10:$AG$16,1)+1))</f>
        <v>9.9999999999999995E-7</v>
      </c>
      <c r="I21" s="745">
        <f>IF(INDEX(NIBP!$AG$10:$AG$16,MATCH(F21,NIBP!$AG$10:$AG$16,1)+1-1)=0,0.000001,INDEX(NIBP!$AG$10:$AG$16,MATCH(F21,NIBP!$AG$10:$AG$16,1)))</f>
        <v>100</v>
      </c>
      <c r="J21" s="746">
        <f>INDEX(NIBP!$AG$10:$AG$16,MATCH(F21,NIBP!$AG$10:$AG$16,1)+1)</f>
        <v>150</v>
      </c>
      <c r="K21" s="746">
        <f t="shared" si="0"/>
        <v>8.0009199999999947E-3</v>
      </c>
      <c r="Q21" s="734">
        <f>ID!K58</f>
        <v>97.8</v>
      </c>
      <c r="R21" s="744">
        <f>IF(INDEX(NIBP!$AO$10:$AO$16,MATCH(Q21,NIBP!$AG$10:$AG$16,1)+1-1)=0,0.000001,INDEX(NIBP!$AO$10:$AO$16,MATCH(Q21,NIBP!$AG$10:$AG$16,1)))</f>
        <v>0.3</v>
      </c>
      <c r="S21" s="744">
        <f>IF(INDEX(NIBP!$AO$10:$AO$16,MATCH(Q21,NIBP!$AG$10:$AG$16,1)+1)=0,0.000001,INDEX(NIBP!$AO$10:$AO$16,MATCH(Q21,NIBP!$AG$10:$AG$16,1)+1))</f>
        <v>0.1</v>
      </c>
      <c r="T21" s="745">
        <f>IF(INDEX(NIBP!$AG$10:$AG$16,MATCH(Q21,NIBP!$AG$10:$AG$16,1)+1-1)=0,0.000001,INDEX(NIBP!$AG$10:$AG$16,MATCH(Q21,NIBP!$AG$10:$AG$16,1)))</f>
        <v>50</v>
      </c>
      <c r="U21" s="746">
        <f>INDEX(NIBP!$AG$10:$AG$16,MATCH(Q21,NIBP!$AG$10:$AG$16,1)+1)</f>
        <v>100</v>
      </c>
      <c r="V21" s="746">
        <f t="shared" si="1"/>
        <v>0.10880000000000001</v>
      </c>
      <c r="W21" s="738"/>
      <c r="AD21" s="736"/>
      <c r="AE21" s="734">
        <f>'BUDGET KTP'!A99</f>
        <v>100</v>
      </c>
      <c r="AF21" s="744">
        <f>IF(INDEX(NIBP!$AQ$10:$AQ$16,MATCH(AE21,NIBP!$AG$10:$AG$16,1)+1-1)=0,0.000001,INDEX(NIBP!$AQ$10:$AQ$16,MATCH(AE21,NIBP!$AG$10:$AG$16,1)))</f>
        <v>0.1</v>
      </c>
      <c r="AG21" s="744">
        <f>IF(INDEX(NIBP!$AQ$10:$AQ$16,MATCH(AE21,NIBP!$AG$10:$AG$16,1)+1-1+1)=0,0.000001,INDEX(NIBP!$AQ$10:$AQ$16,MATCH(AE21,NIBP!$AG$10:$AG$16,1)+1))</f>
        <v>0.1</v>
      </c>
      <c r="AH21" s="745">
        <f>IF(INDEX(NIBP!$AG$10:$AG$16,MATCH(AE21,NIBP!$AG$10:$AG$16,1)+1-1)=0,0.000001,INDEX(NIBP!$AG$10:$AG$16,MATCH(AE21,NIBP!$AG$10:$AG$16,1)))</f>
        <v>100</v>
      </c>
      <c r="AI21" s="746">
        <f>INDEX(NIBP!$AG$10:$AG$16,MATCH(AE21,NIBP!$AG$10:$AG$16,1)+1)</f>
        <v>150</v>
      </c>
      <c r="AJ21" s="746">
        <f t="shared" si="2"/>
        <v>0.1</v>
      </c>
      <c r="AP21" s="734">
        <f>'BUDGET KTP'!A112</f>
        <v>70</v>
      </c>
      <c r="AQ21" s="744">
        <f>IF(INDEX(NIBP!$AQ$10:$AQ$16,MATCH(AP21,NIBP!$AG$10:$AG$16,1)+1-1)=0,0.000001,INDEX(NIBP!$AQ$10:$AQ$16,MATCH(AP21,NIBP!$AG$10:$AG$16,1)))</f>
        <v>0.1</v>
      </c>
      <c r="AR21" s="744">
        <f>IF(INDEX(NIBP!$AQ$10:$AQ$16,MATCH(AP21,NIBP!$AG$10:$AG$16,1)+1)=0,0.000001,INDEX(NIBP!$AQ$10:$AQ$16,MATCH(AP21,NIBP!$AG$10:$AG$16,1)+1))</f>
        <v>0.1</v>
      </c>
      <c r="AS21" s="745">
        <f>IF(INDEX(NIBP!$AG$10:$AG$16,MATCH(AP21,NIBP!$AG$10:$AG$16,1)+1-1)=0,0.000001,INDEX(NIBP!$AG$10:$AG$16,MATCH(AP21,NIBP!$AG$10:$AG$16,1)))</f>
        <v>50</v>
      </c>
      <c r="AT21" s="746">
        <f>INDEX(NIBP!$AG$10:$AG$16,MATCH(AP21,NIBP!$AG$10:$AG$16,1)+1)</f>
        <v>100</v>
      </c>
      <c r="AU21" s="746">
        <f t="shared" si="3"/>
        <v>0.1</v>
      </c>
      <c r="AV21" s="738"/>
      <c r="BC21" s="736"/>
      <c r="BD21" s="743">
        <f>IF(ID!L57=0,0.000001,ID!L57)</f>
        <v>146.00800092</v>
      </c>
      <c r="BE21" s="744">
        <f>IF(INDEX(NIBP!$AP$10:$AP$16,MATCH(BD21,NIBP!$AG$10:$AG$16,1)+1-1)=0,0.000001,INDEX(NIBP!$AP$10:$AP$16,MATCH(BD21,NIBP!$AG$10:$AG$16,1)))</f>
        <v>3.3333333333333333E-2</v>
      </c>
      <c r="BF21" s="744">
        <f>IF(INDEX(NIBP!$AP$10:$AP$16,MATCH(BD21,NIBP!$AG$10:$AG$16,1)+1)=0,0.000001,INDEX(NIBP!$AP$10:$AP$16,MATCH(BD21,NIBP!$AG$10:$AG$16,1)+1))</f>
        <v>3.3333333333333333E-2</v>
      </c>
      <c r="BG21" s="745">
        <f>IF(INDEX(NIBP!$AG$10:$AG$16,MATCH(BD21,NIBP!$AG$10:$AG$16,1)+1-1)=0,0.000001,INDEX(NIBP!$AG$10:$AG$16,MATCH(BD21,NIBP!$AG$10:$AG$16,1)))</f>
        <v>100</v>
      </c>
      <c r="BH21" s="746">
        <f>INDEX(NIBP!$AG$10:$AG$16,MATCH(BD21,NIBP!$AG$10:$AG$16,1)+1)</f>
        <v>150</v>
      </c>
      <c r="BI21" s="746">
        <f>(((BD21-BG21)*(BF21-BE21))/(BH21-BG21))+BE21</f>
        <v>3.3333333333333333E-2</v>
      </c>
      <c r="BO21" s="734">
        <f>'BUDGET KTP'!A112</f>
        <v>70</v>
      </c>
      <c r="BP21" s="744">
        <f>IF(INDEX(NIBP!$AP$10:$AP$16,MATCH(BO21,NIBP!$AG$10:$AG$16,1)+1-1)=0,0.000001,INDEX(NIBP!$AP$10:$AP$16,MATCH(BO21,NIBP!$AG$10:$AG$16,1)))</f>
        <v>3.3333333333333333E-2</v>
      </c>
      <c r="BQ21" s="744">
        <f>IF(INDEX(NIBP!$AP$10:$AP$16,MATCH(BO21,NIBP!$AG$10:$AG$16,1)+1-1+1)=0,0.000001,INDEX(NIBP!$AP$10:$AP$16,MATCH(BO21,NIBP!$AG$10:$AG$16,1)+1))</f>
        <v>3.3333333333333333E-2</v>
      </c>
      <c r="BR21" s="745">
        <f>IF(INDEX(NIBP!$AG$10:$AG$16,MATCH(BO21,NIBP!$AG$10:$AG$16,1)+1-1)=0,0.000001,INDEX(NIBP!$AG$10:$AG$16,MATCH(BO21,NIBP!$AG$10:$AG$16,1)))</f>
        <v>50</v>
      </c>
      <c r="BS21" s="746">
        <f>INDEX(NIBP!$AG$10:$AG$16,MATCH(BO21,NIBP!$AG$10:$AG$16,1)+1)</f>
        <v>100</v>
      </c>
      <c r="BT21" s="746">
        <f t="shared" si="5"/>
        <v>3.3333333333333333E-2</v>
      </c>
      <c r="BU21" s="738"/>
      <c r="CB21" s="736"/>
      <c r="CC21" s="1196" t="s">
        <v>770</v>
      </c>
      <c r="CD21" s="1196"/>
      <c r="CE21" s="1196"/>
      <c r="CF21" s="1196"/>
      <c r="CG21" s="1196"/>
      <c r="CH21" s="1196"/>
      <c r="CN21" s="1196" t="s">
        <v>765</v>
      </c>
      <c r="CO21" s="1196"/>
      <c r="CP21" s="1196"/>
      <c r="CQ21" s="1196"/>
      <c r="CR21" s="1196"/>
      <c r="CS21" s="1196"/>
      <c r="CT21" s="738"/>
    </row>
    <row r="22" spans="5:123" x14ac:dyDescent="0.25">
      <c r="E22" s="736"/>
      <c r="F22" s="734">
        <f>ID!K59</f>
        <v>166.6</v>
      </c>
      <c r="G22" s="744">
        <f>IF(INDEX(NIBP!$AO$10:$AO$16,MATCH(F22,NIBP!$AG$10:$AG$16,1)+1-1)=0,0.000001,INDEX(NIBP!$AO$10:$AO$16,MATCH(F22,NIBP!$AG$10:$AG$16,1)))</f>
        <v>9.9999999999999995E-7</v>
      </c>
      <c r="H22" s="744">
        <f>IF(INDEX(NIBP!$AO$10:$AO$16,MATCH(F22,NIBP!$AG$10:$AG$16,1)+1)=0,0.000001,INDEX(NIBP!$AO$10:$AO$16,MATCH(F22,NIBP!$AG$10:$AG$16,1)+1))</f>
        <v>-0.1</v>
      </c>
      <c r="I22" s="745">
        <f>IF(INDEX(NIBP!$AG$10:$AG$16,MATCH(F22,NIBP!$AG$10:$AG$16,1)+1-1)=0,0.000001,INDEX(NIBP!$AG$10:$AG$16,MATCH(F22,NIBP!$AG$10:$AG$16,1)))</f>
        <v>150</v>
      </c>
      <c r="J22" s="746">
        <f>INDEX(NIBP!$AG$10:$AG$16,MATCH(F22,NIBP!$AG$10:$AG$16,1)+1)</f>
        <v>200</v>
      </c>
      <c r="K22" s="746">
        <f t="shared" si="0"/>
        <v>-3.3199331999999991E-2</v>
      </c>
      <c r="Q22" s="734">
        <f>ID!K60</f>
        <v>97.8</v>
      </c>
      <c r="R22" s="744">
        <f>IF(INDEX(NIBP!$AO$10:$AO$16,MATCH(Q22,NIBP!$AG$10:$AG$16,1)+1-1)=0,0.000001,INDEX(NIBP!$AO$10:$AO$16,MATCH(Q22,NIBP!$AG$10:$AG$16,1)))</f>
        <v>0.3</v>
      </c>
      <c r="S22" s="744">
        <f>IF(INDEX(NIBP!$AO$10:$AO$16,MATCH(Q22,NIBP!$AG$10:$AG$16,1)+1)=0,0.000001,INDEX(NIBP!$AO$10:$AO$16,MATCH(Q22,NIBP!$AG$10:$AG$16,1)+1))</f>
        <v>0.1</v>
      </c>
      <c r="T22" s="745">
        <f>IF(INDEX(NIBP!$AG$10:$AG$16,MATCH(Q22,NIBP!$AG$10:$AG$16,1)+1-1)=0,0.000001,INDEX(NIBP!$AG$10:$AG$16,MATCH(Q22,NIBP!$AG$10:$AG$16,1)))</f>
        <v>50</v>
      </c>
      <c r="U22" s="746">
        <f>INDEX(NIBP!$AG$10:$AG$16,MATCH(Q22,NIBP!$AG$10:$AG$16,1)+1)</f>
        <v>100</v>
      </c>
      <c r="V22" s="746">
        <f t="shared" si="1"/>
        <v>0.10880000000000001</v>
      </c>
      <c r="W22" s="738"/>
      <c r="AD22" s="736"/>
      <c r="AE22" s="734">
        <f>ID!C59</f>
        <v>170</v>
      </c>
      <c r="AF22" s="744">
        <f>IF(INDEX(NIBP!$AQ$10:$AQ$16,MATCH(AE22,NIBP!$AG$10:$AG$16,1)+1-1)=0,0.000001,INDEX(NIBP!$AQ$10:$AQ$16,MATCH(AE22,NIBP!$AG$10:$AG$16,1)))</f>
        <v>0.1</v>
      </c>
      <c r="AG22" s="744">
        <f>IF(INDEX(NIBP!$AQ$10:$AQ$16,MATCH(AE22,NIBP!$AG$10:$AG$16,1)+1-1+1)=0,0.000001,INDEX(NIBP!$AQ$10:$AQ$16,MATCH(AE22,NIBP!$AG$10:$AG$16,1)+1))</f>
        <v>0.1</v>
      </c>
      <c r="AH22" s="745">
        <f>IF(INDEX(NIBP!$AG$10:$AG$16,MATCH(AE22,NIBP!$AG$10:$AG$16,1)+1-1)=0,0.000001,INDEX(NIBP!$AG$10:$AG$16,MATCH(AE22,NIBP!$AG$10:$AG$16,1)))</f>
        <v>150</v>
      </c>
      <c r="AI22" s="746">
        <f>INDEX(NIBP!$AG$10:$AG$16,MATCH(AE22,NIBP!$AG$10:$AG$16,1)+1)</f>
        <v>200</v>
      </c>
      <c r="AJ22" s="746">
        <f t="shared" si="2"/>
        <v>0.1</v>
      </c>
      <c r="AP22" s="734">
        <f>ID!D60</f>
        <v>100</v>
      </c>
      <c r="AQ22" s="744">
        <f>IF(INDEX(NIBP!$AQ$10:$AQ$16,MATCH(AP22,NIBP!$AG$10:$AG$16,1)+1-1)=0,0.000001,INDEX(NIBP!$AQ$10:$AQ$16,MATCH(AP22,NIBP!$AG$10:$AG$16,1)))</f>
        <v>0.1</v>
      </c>
      <c r="AR22" s="744">
        <f>IF(INDEX(NIBP!$AQ$10:$AQ$16,MATCH(AP22,NIBP!$AG$10:$AG$16,1)+1)=0,0.000001,INDEX(NIBP!$AQ$10:$AQ$16,MATCH(AP22,NIBP!$AG$10:$AG$16,1)+1))</f>
        <v>0.1</v>
      </c>
      <c r="AS22" s="745">
        <f>IF(INDEX(NIBP!$AG$10:$AG$16,MATCH(AP22,NIBP!$AG$10:$AG$16,1)+1-1)=0,0.000001,INDEX(NIBP!$AG$10:$AG$16,MATCH(AP22,NIBP!$AG$10:$AG$16,1)))</f>
        <v>100</v>
      </c>
      <c r="AT22" s="746">
        <f>INDEX(NIBP!$AG$10:$AG$16,MATCH(AP22,NIBP!$AG$10:$AG$16,1)+1)</f>
        <v>150</v>
      </c>
      <c r="AU22" s="746">
        <f t="shared" si="3"/>
        <v>0.1</v>
      </c>
      <c r="AV22" s="738"/>
      <c r="BC22" s="736"/>
      <c r="BD22" s="743">
        <f>IF(ID!L59=0,0.000001,ID!L59)</f>
        <v>166.56680066799998</v>
      </c>
      <c r="BE22" s="744">
        <f>IF(INDEX(NIBP!$AP$10:$AP$16,MATCH(BD22,NIBP!$AG$10:$AG$16,1)+1-1)=0,0.000001,INDEX(NIBP!$AP$10:$AP$16,MATCH(BD22,NIBP!$AG$10:$AG$16,1)))</f>
        <v>3.3333333333333333E-2</v>
      </c>
      <c r="BF22" s="744">
        <f>IF(INDEX(NIBP!$AP$10:$AP$16,MATCH(BD22,NIBP!$AG$10:$AG$16,1)+1)=0,0.000001,INDEX(NIBP!$AP$10:$AP$16,MATCH(BD22,NIBP!$AG$10:$AG$16,1)+1))</f>
        <v>3.3333333333333333E-2</v>
      </c>
      <c r="BG22" s="745">
        <f>IF(INDEX(NIBP!$AG$10:$AG$16,MATCH(BD22,NIBP!$AG$10:$AG$16,1)+1-1)=0,0.000001,INDEX(NIBP!$AG$10:$AG$16,MATCH(BD22,NIBP!$AG$10:$AG$16,1)))</f>
        <v>150</v>
      </c>
      <c r="BH22" s="746">
        <f>INDEX(NIBP!$AG$10:$AG$16,MATCH(BD22,NIBP!$AG$10:$AG$16,1)+1)</f>
        <v>200</v>
      </c>
      <c r="BI22" s="746">
        <f t="shared" si="4"/>
        <v>3.3333333333333333E-2</v>
      </c>
      <c r="BO22" s="734">
        <f>AP22</f>
        <v>100</v>
      </c>
      <c r="BP22" s="744">
        <f>IF(INDEX(NIBP!$AP$10:$AP$16,MATCH(BO22,NIBP!$AG$10:$AG$16,1)+1-1)=0,0.000001,INDEX(NIBP!$AP$10:$AP$16,MATCH(BO22,NIBP!$AG$10:$AG$16,1)))</f>
        <v>3.3333333333333333E-2</v>
      </c>
      <c r="BQ22" s="744">
        <f>IF(INDEX(NIBP!$AP$10:$AP$16,MATCH(BO22,NIBP!$AG$10:$AG$16,1)+1-1+1)=0,0.000001,INDEX(NIBP!$AP$10:$AP$16,MATCH(BO22,NIBP!$AG$10:$AG$16,1)+1))</f>
        <v>3.3333333333333333E-2</v>
      </c>
      <c r="BR22" s="745">
        <f>IF(INDEX(NIBP!$AG$10:$AG$16,MATCH(BO22,NIBP!$AG$10:$AG$16,1)+1-1)=0,0.000001,INDEX(NIBP!$AG$10:$AG$16,MATCH(BO22,NIBP!$AG$10:$AG$16,1)))</f>
        <v>100</v>
      </c>
      <c r="BS22" s="746">
        <f>INDEX(NIBP!$AG$10:$AG$16,MATCH(BO22,NIBP!$AG$10:$AG$16,1)+1)</f>
        <v>150</v>
      </c>
      <c r="BT22" s="746">
        <f t="shared" si="5"/>
        <v>3.3333333333333333E-2</v>
      </c>
      <c r="BU22" s="738"/>
      <c r="CB22" s="736"/>
      <c r="CC22" s="1197" t="s">
        <v>766</v>
      </c>
      <c r="CD22" s="1197" t="s">
        <v>767</v>
      </c>
      <c r="CE22" s="1197" t="s">
        <v>455</v>
      </c>
      <c r="CF22" s="1197" t="s">
        <v>768</v>
      </c>
      <c r="CG22" s="1197" t="s">
        <v>454</v>
      </c>
      <c r="CH22" s="1198" t="s">
        <v>769</v>
      </c>
      <c r="CN22" s="1197" t="s">
        <v>766</v>
      </c>
      <c r="CO22" s="1197" t="s">
        <v>767</v>
      </c>
      <c r="CP22" s="1197" t="s">
        <v>455</v>
      </c>
      <c r="CQ22" s="1197" t="s">
        <v>768</v>
      </c>
      <c r="CR22" s="1197" t="s">
        <v>454</v>
      </c>
      <c r="CS22" s="1198" t="s">
        <v>769</v>
      </c>
      <c r="CT22" s="738"/>
    </row>
    <row r="23" spans="5:123" x14ac:dyDescent="0.25">
      <c r="E23" s="736"/>
      <c r="G23" s="744"/>
      <c r="H23" s="744"/>
      <c r="I23" s="745"/>
      <c r="J23" s="746"/>
      <c r="K23" s="746"/>
      <c r="R23" s="744"/>
      <c r="S23" s="744"/>
      <c r="T23" s="745"/>
      <c r="U23" s="746"/>
      <c r="V23" s="746"/>
      <c r="W23" s="738"/>
      <c r="AD23" s="736"/>
      <c r="AF23" s="744"/>
      <c r="AG23" s="744"/>
      <c r="AH23" s="745"/>
      <c r="AI23" s="746"/>
      <c r="AJ23" s="746"/>
      <c r="AQ23" s="744"/>
      <c r="AR23" s="744"/>
      <c r="AS23" s="745"/>
      <c r="AT23" s="746"/>
      <c r="AU23" s="746"/>
      <c r="AV23" s="738"/>
      <c r="BC23" s="736"/>
      <c r="BE23" s="744"/>
      <c r="BF23" s="744"/>
      <c r="BG23" s="745"/>
      <c r="BH23" s="746"/>
      <c r="BI23" s="746"/>
      <c r="BP23" s="747"/>
      <c r="BQ23" s="744"/>
      <c r="BR23" s="745"/>
      <c r="BS23" s="746"/>
      <c r="BT23" s="746"/>
      <c r="BU23" s="738"/>
      <c r="CB23" s="736"/>
      <c r="CC23" s="1197"/>
      <c r="CD23" s="1197"/>
      <c r="CE23" s="1197"/>
      <c r="CF23" s="1197"/>
      <c r="CG23" s="1197"/>
      <c r="CH23" s="1198"/>
      <c r="CN23" s="1197"/>
      <c r="CO23" s="1197"/>
      <c r="CP23" s="1197"/>
      <c r="CQ23" s="1197"/>
      <c r="CR23" s="1197"/>
      <c r="CS23" s="1198"/>
      <c r="CT23" s="738"/>
    </row>
    <row r="24" spans="5:123" x14ac:dyDescent="0.25">
      <c r="E24" s="736"/>
      <c r="G24" s="752"/>
      <c r="H24" s="752"/>
      <c r="I24" s="748"/>
      <c r="J24" s="746"/>
      <c r="K24" s="746"/>
      <c r="W24" s="738"/>
      <c r="AD24" s="736"/>
      <c r="AF24" s="752"/>
      <c r="AG24" s="752"/>
      <c r="AH24" s="748"/>
      <c r="AI24" s="746"/>
      <c r="AJ24" s="746"/>
      <c r="AV24" s="738"/>
      <c r="BC24" s="736"/>
      <c r="BU24" s="738"/>
      <c r="CB24" s="736"/>
      <c r="CC24" s="743">
        <f>IF(ID!F33=0,0.000001,ID!F33)</f>
        <v>22.7</v>
      </c>
      <c r="CD24" s="744">
        <f>IF(INDEX(THERMOHYGROMETER!$P$8:$P$14,MATCH(CC24,THERMOHYGROMETER!$O$8:$O$14,1)+1-1)=0,0.000001,INDEX(THERMOHYGROMETER!$P$8:$P$14,MATCH(CC24,THERMOHYGROMETER!$O$8:$O$14,1)))</f>
        <v>0.2</v>
      </c>
      <c r="CE24" s="744">
        <f>IF(INDEX(THERMOHYGROMETER!$P$8:$P$14,MATCH(CC24,THERMOHYGROMETER!$O$8:$O$14)+1)=0,0.000001,INDEX(THERMOHYGROMETER!$P$8:$P$14,MATCH(CC24,THERMOHYGROMETER!$O$8:$O$14,1)+1))</f>
        <v>0.2</v>
      </c>
      <c r="CF24" s="745">
        <f>IF(INDEX(THERMOHYGROMETER!$O$8:$O$14,MATCH(CC24,THERMOHYGROMETER!$O$8:$O$14,1)+1-1)=0,0.000001,INDEX(THERMOHYGROMETER!$O$8:$O$14,MATCH(CC24,THERMOHYGROMETER!$O$8:$O$14,1)))</f>
        <v>20</v>
      </c>
      <c r="CG24" s="746">
        <f>INDEX(THERMOHYGROMETER!$O$8:$O$14,MATCH(CC24,THERMOHYGROMETER!$O$8:$O$14)+1)</f>
        <v>25</v>
      </c>
      <c r="CH24" s="746">
        <f>(((CC24-CF24)*(CE24-CD24))/(CG24-CF24))+CD24</f>
        <v>0.2</v>
      </c>
      <c r="CN24" s="743">
        <f>IF(ID!F34=0,0.000001,ID!F34)</f>
        <v>57.9</v>
      </c>
      <c r="CO24" s="744">
        <f>IF(INDEX(THERMOHYGROMETER!$S$8:$S$14,MATCH(CN24,THERMOHYGROMETER!$R$8:$R$14,1)+1-1)=0,0.000001,INDEX(THERMOHYGROMETER!$S$8:$S$14,MATCH(CN24,THERMOHYGROMETER!$R$8:$R$14,1)))</f>
        <v>-1.4</v>
      </c>
      <c r="CP24" s="744">
        <f>IF(INDEX(THERMOHYGROMETER!$S$8:$S$14,MATCH(CN24,THERMOHYGROMETER!$R$8:$R$14)+1)=0,0.000001,INDEX(THERMOHYGROMETER!$S$8:$S$14,MATCH(CN24,THERMOHYGROMETER!$R$8:$R$14,1)+1))</f>
        <v>-1.5</v>
      </c>
      <c r="CQ24" s="745">
        <f>IF(INDEX(THERMOHYGROMETER!$R$8:$R$14,MATCH(CN24,THERMOHYGROMETER!$R$8:$R$14,1)+1-1)=0,0.000001,INDEX(THERMOHYGROMETER!$R$8:$R$14,MATCH(CN24,THERMOHYGROMETER!$R$8:$R$14,1)))</f>
        <v>50</v>
      </c>
      <c r="CR24" s="746">
        <f>INDEX(THERMOHYGROMETER!$R$8:$R$14,MATCH(CN24,THERMOHYGROMETER!$R$8:$R$14,1)+1)</f>
        <v>60</v>
      </c>
      <c r="CS24" s="746">
        <f>(((CN24-CQ24)*(CP24-CO24))/(CR24-CQ24))+CO24</f>
        <v>-1.4789999999999999</v>
      </c>
      <c r="CT24" s="738"/>
    </row>
    <row r="25" spans="5:123" ht="14.4" thickBot="1" x14ac:dyDescent="0.3">
      <c r="E25" s="749"/>
      <c r="F25" s="750"/>
      <c r="G25" s="753"/>
      <c r="H25" s="753"/>
      <c r="I25" s="754"/>
      <c r="J25" s="755"/>
      <c r="K25" s="755"/>
      <c r="L25" s="750"/>
      <c r="M25" s="750"/>
      <c r="N25" s="750"/>
      <c r="O25" s="750"/>
      <c r="P25" s="750"/>
      <c r="Q25" s="750"/>
      <c r="R25" s="750"/>
      <c r="S25" s="750"/>
      <c r="T25" s="750"/>
      <c r="U25" s="750"/>
      <c r="V25" s="750"/>
      <c r="W25" s="751"/>
      <c r="AD25" s="749"/>
      <c r="AE25" s="750"/>
      <c r="AF25" s="750"/>
      <c r="AG25" s="750"/>
      <c r="AH25" s="750"/>
      <c r="AI25" s="750"/>
      <c r="AJ25" s="750"/>
      <c r="AK25" s="750"/>
      <c r="AL25" s="750"/>
      <c r="AM25" s="750"/>
      <c r="AN25" s="750"/>
      <c r="AO25" s="750"/>
      <c r="AP25" s="750"/>
      <c r="AQ25" s="750"/>
      <c r="AR25" s="750"/>
      <c r="AS25" s="750"/>
      <c r="AT25" s="750"/>
      <c r="AU25" s="750"/>
      <c r="AV25" s="751"/>
      <c r="BC25" s="749"/>
      <c r="BD25" s="750"/>
      <c r="BE25" s="750"/>
      <c r="BF25" s="750"/>
      <c r="BG25" s="750"/>
      <c r="BH25" s="750"/>
      <c r="BI25" s="750"/>
      <c r="BJ25" s="750"/>
      <c r="BK25" s="750"/>
      <c r="BL25" s="750"/>
      <c r="BM25" s="750"/>
      <c r="BN25" s="750"/>
      <c r="BO25" s="750"/>
      <c r="BP25" s="750"/>
      <c r="BQ25" s="750"/>
      <c r="BR25" s="750"/>
      <c r="BS25" s="750"/>
      <c r="BT25" s="750"/>
      <c r="BU25" s="751"/>
      <c r="CB25" s="736"/>
      <c r="CT25" s="738"/>
    </row>
    <row r="26" spans="5:123" ht="14.4" thickBot="1" x14ac:dyDescent="0.3">
      <c r="CB26" s="749"/>
      <c r="CC26" s="750"/>
      <c r="CD26" s="750"/>
      <c r="CE26" s="750"/>
      <c r="CF26" s="750"/>
      <c r="CG26" s="750"/>
      <c r="CH26" s="750"/>
      <c r="CI26" s="750"/>
      <c r="CJ26" s="750"/>
      <c r="CK26" s="750"/>
      <c r="CL26" s="750"/>
      <c r="CM26" s="750"/>
      <c r="CN26" s="750"/>
      <c r="CO26" s="750"/>
      <c r="CP26" s="750"/>
      <c r="CQ26" s="750"/>
      <c r="CR26" s="750"/>
      <c r="CS26" s="750"/>
      <c r="CT26" s="751"/>
    </row>
    <row r="27" spans="5:123" x14ac:dyDescent="0.25">
      <c r="V27" s="746"/>
    </row>
    <row r="28" spans="5:123" x14ac:dyDescent="0.25">
      <c r="F28" s="1203" t="s">
        <v>802</v>
      </c>
      <c r="G28" s="1203"/>
      <c r="V28" s="746"/>
      <c r="CP28" s="734">
        <f>ID!L34+INTERPOLASI!CS18</f>
        <v>53.875</v>
      </c>
    </row>
    <row r="29" spans="5:123" x14ac:dyDescent="0.25">
      <c r="F29" s="820" t="s">
        <v>766</v>
      </c>
      <c r="G29" s="820" t="s">
        <v>801</v>
      </c>
      <c r="V29" s="746"/>
    </row>
    <row r="30" spans="5:123" ht="14.4" thickBot="1" x14ac:dyDescent="0.3">
      <c r="F30" s="821">
        <f>NIBP!AG10</f>
        <v>0</v>
      </c>
      <c r="G30" s="821">
        <f>NIBP!AO10</f>
        <v>0</v>
      </c>
      <c r="V30" s="746"/>
    </row>
    <row r="31" spans="5:123" x14ac:dyDescent="0.25">
      <c r="F31" s="821">
        <f>NIBP!AG11</f>
        <v>50</v>
      </c>
      <c r="G31" s="821">
        <f>NIBP!AO11</f>
        <v>0.3</v>
      </c>
      <c r="V31" s="746"/>
      <c r="CB31" s="1190" t="s">
        <v>777</v>
      </c>
      <c r="CC31" s="1191"/>
      <c r="CD31" s="1191"/>
      <c r="CE31" s="1191"/>
      <c r="CF31" s="1191"/>
      <c r="CG31" s="1191"/>
      <c r="CH31" s="1191"/>
      <c r="CI31" s="1191"/>
      <c r="CJ31" s="1191"/>
      <c r="CK31" s="1191"/>
      <c r="CL31" s="1191"/>
      <c r="CM31" s="1191"/>
      <c r="CN31" s="1191"/>
      <c r="CO31" s="1191"/>
      <c r="CP31" s="1191"/>
      <c r="CQ31" s="1191"/>
      <c r="CR31" s="1191"/>
      <c r="CS31" s="1191"/>
      <c r="CT31" s="1191"/>
      <c r="CU31" s="1191"/>
      <c r="CV31" s="1191"/>
      <c r="CW31" s="1191"/>
      <c r="CX31" s="1191"/>
      <c r="CY31" s="1191"/>
      <c r="CZ31" s="1191"/>
      <c r="DA31" s="1191"/>
      <c r="DB31" s="1191"/>
      <c r="DC31" s="1191"/>
      <c r="DD31" s="1191"/>
      <c r="DE31" s="1191"/>
      <c r="DF31" s="1191"/>
      <c r="DG31" s="1191"/>
      <c r="DH31" s="1192"/>
    </row>
    <row r="32" spans="5:123" ht="14.4" thickBot="1" x14ac:dyDescent="0.3">
      <c r="F32" s="821">
        <f>NIBP!AG12</f>
        <v>100</v>
      </c>
      <c r="G32" s="821">
        <f>NIBP!AO12</f>
        <v>0.1</v>
      </c>
      <c r="CB32" s="1193"/>
      <c r="CC32" s="1194"/>
      <c r="CD32" s="1194"/>
      <c r="CE32" s="1194"/>
      <c r="CF32" s="1194"/>
      <c r="CG32" s="1194"/>
      <c r="CH32" s="1194"/>
      <c r="CI32" s="1194"/>
      <c r="CJ32" s="1194"/>
      <c r="CK32" s="1194"/>
      <c r="CL32" s="1194"/>
      <c r="CM32" s="1194"/>
      <c r="CN32" s="1194"/>
      <c r="CO32" s="1194"/>
      <c r="CP32" s="1194"/>
      <c r="CQ32" s="1194"/>
      <c r="CR32" s="1194"/>
      <c r="CS32" s="1194"/>
      <c r="CT32" s="1194"/>
      <c r="CU32" s="1194"/>
      <c r="CV32" s="1194"/>
      <c r="CW32" s="1194"/>
      <c r="CX32" s="1194"/>
      <c r="CY32" s="1194"/>
      <c r="CZ32" s="1194"/>
      <c r="DA32" s="1194"/>
      <c r="DB32" s="1194"/>
      <c r="DC32" s="1194"/>
      <c r="DD32" s="1194"/>
      <c r="DE32" s="1194"/>
      <c r="DF32" s="1194"/>
      <c r="DG32" s="1194"/>
      <c r="DH32" s="1195"/>
    </row>
    <row r="33" spans="6:112" ht="14.4" thickBot="1" x14ac:dyDescent="0.3">
      <c r="F33" s="821">
        <f>NIBP!AG13</f>
        <v>150</v>
      </c>
      <c r="G33" s="821">
        <f>NIBP!AO13</f>
        <v>0</v>
      </c>
      <c r="CB33" s="739"/>
      <c r="CC33" s="740"/>
      <c r="CD33" s="740"/>
      <c r="CE33" s="740"/>
      <c r="CF33" s="740"/>
      <c r="CG33" s="740"/>
      <c r="CH33" s="740"/>
      <c r="CI33" s="740"/>
      <c r="CJ33" s="740"/>
      <c r="CK33" s="740"/>
      <c r="CL33" s="740"/>
      <c r="CM33" s="740"/>
      <c r="CN33" s="740"/>
      <c r="CO33" s="740"/>
      <c r="CP33" s="740"/>
      <c r="CQ33" s="740"/>
      <c r="CR33" s="740"/>
      <c r="CS33" s="740"/>
      <c r="CT33" s="742"/>
      <c r="DH33" s="738"/>
    </row>
    <row r="34" spans="6:112" ht="14.4" thickBot="1" x14ac:dyDescent="0.3">
      <c r="F34" s="821">
        <f>NIBP!AG14</f>
        <v>200</v>
      </c>
      <c r="G34" s="821">
        <f>NIBP!AO14</f>
        <v>-0.1</v>
      </c>
      <c r="CB34" s="739"/>
      <c r="CC34" s="1199" t="s">
        <v>778</v>
      </c>
      <c r="CD34" s="1200"/>
      <c r="CE34" s="1200"/>
      <c r="CF34" s="1200"/>
      <c r="CG34" s="1200"/>
      <c r="CH34" s="1201"/>
      <c r="CI34" s="742"/>
      <c r="CJ34" s="742"/>
      <c r="CK34" s="742"/>
      <c r="CL34" s="742"/>
      <c r="CM34" s="742"/>
      <c r="CN34" s="1199" t="s">
        <v>779</v>
      </c>
      <c r="CO34" s="1200"/>
      <c r="CP34" s="1200"/>
      <c r="CQ34" s="1200"/>
      <c r="CR34" s="1200"/>
      <c r="CS34" s="1201"/>
      <c r="CT34" s="742"/>
      <c r="DA34" s="1199" t="s">
        <v>780</v>
      </c>
      <c r="DB34" s="1200"/>
      <c r="DC34" s="1200"/>
      <c r="DD34" s="1200"/>
      <c r="DE34" s="1200"/>
      <c r="DF34" s="1201"/>
      <c r="DH34" s="738"/>
    </row>
    <row r="35" spans="6:112" x14ac:dyDescent="0.25">
      <c r="F35" s="821">
        <f>NIBP!AG15</f>
        <v>250</v>
      </c>
      <c r="G35" s="821">
        <f>NIBP!AO15</f>
        <v>-0.4</v>
      </c>
      <c r="CB35" s="736"/>
      <c r="CC35" s="1196" t="s">
        <v>766</v>
      </c>
      <c r="CD35" s="1196" t="s">
        <v>767</v>
      </c>
      <c r="CE35" s="1196" t="s">
        <v>455</v>
      </c>
      <c r="CF35" s="1196" t="s">
        <v>768</v>
      </c>
      <c r="CG35" s="1196" t="s">
        <v>454</v>
      </c>
      <c r="CH35" s="1202" t="s">
        <v>769</v>
      </c>
      <c r="CN35" s="1196" t="s">
        <v>766</v>
      </c>
      <c r="CO35" s="1196" t="s">
        <v>767</v>
      </c>
      <c r="CP35" s="1196" t="s">
        <v>455</v>
      </c>
      <c r="CQ35" s="1196" t="s">
        <v>768</v>
      </c>
      <c r="CR35" s="1196" t="s">
        <v>454</v>
      </c>
      <c r="CS35" s="1202" t="s">
        <v>769</v>
      </c>
      <c r="DA35" s="1196" t="s">
        <v>766</v>
      </c>
      <c r="DB35" s="1196" t="s">
        <v>767</v>
      </c>
      <c r="DC35" s="1196" t="s">
        <v>455</v>
      </c>
      <c r="DD35" s="1196" t="s">
        <v>768</v>
      </c>
      <c r="DE35" s="1196" t="s">
        <v>454</v>
      </c>
      <c r="DF35" s="1202" t="s">
        <v>769</v>
      </c>
      <c r="DH35" s="738"/>
    </row>
    <row r="36" spans="6:112" x14ac:dyDescent="0.25">
      <c r="F36" s="821">
        <f>NIBP!AG16</f>
        <v>300</v>
      </c>
      <c r="G36" s="821">
        <f>NIBP!AO16</f>
        <v>-0.6</v>
      </c>
      <c r="CB36" s="736"/>
      <c r="CC36" s="1196"/>
      <c r="CD36" s="1196"/>
      <c r="CE36" s="1196"/>
      <c r="CF36" s="1196"/>
      <c r="CG36" s="1196"/>
      <c r="CH36" s="1202"/>
      <c r="CN36" s="1196"/>
      <c r="CO36" s="1196"/>
      <c r="CP36" s="1196"/>
      <c r="CQ36" s="1196"/>
      <c r="CR36" s="1196"/>
      <c r="CS36" s="1202"/>
      <c r="DA36" s="1196"/>
      <c r="DB36" s="1196"/>
      <c r="DC36" s="1196"/>
      <c r="DD36" s="1196"/>
      <c r="DE36" s="1196"/>
      <c r="DF36" s="1202"/>
      <c r="DH36" s="738"/>
    </row>
    <row r="37" spans="6:112" x14ac:dyDescent="0.25">
      <c r="CB37" s="736"/>
      <c r="CC37" s="743" t="str">
        <f>IF(ID!D35=0,0.000001,ID!D35)</f>
        <v>-</v>
      </c>
      <c r="CD37" s="744" t="str">
        <f>IF(CC37="-","-",IF(INDEX(VOLT!$N$8:$N$14,MATCH(CC37,VOLT!$M$8:$M$14,1)+1-1)=0,0.000001,INDEX(VOLT!$N$8:$N$14,MATCH(CC37,VOLT!$M$8:$M$14,1))))</f>
        <v>-</v>
      </c>
      <c r="CE37" s="744" t="str">
        <f>IF(CC37="-","-",IF(INDEX(VOLT!N8:N14,MATCH(CC37,VOLT!M8:M14,1)+1)=0,0.000001,INDEX(VOLT!N8:N14,MATCH(CC37,VOLT!M8:M14,1)+1)))</f>
        <v>-</v>
      </c>
      <c r="CF37" s="745" t="str">
        <f>IF(CC37="-","-",IF(INDEX(VOLT!M8:M14,MATCH(CC37,VOLT!M8:M14,1)+1-1)=0,0.000001,INDEX(VOLT!M8:M14,MATCH(CC37,VOLT!M8:M14,1))))</f>
        <v>-</v>
      </c>
      <c r="CG37" s="734" t="str">
        <f>IF(CC37="-","-",INDEX(VOLT!M8:M14,MATCH(CC37,VOLT!M8:M14,1)+1))</f>
        <v>-</v>
      </c>
      <c r="CH37" s="757" t="str">
        <f>IF(CC37="-","-",IF(ID!B79=" ",(((CC37-CF37)*(CE37-CD37))/(CG37-CF37))+CD37))</f>
        <v>-</v>
      </c>
      <c r="CN37" s="743" t="str">
        <f>IF(ID!G43=0,0.000001,ID!G43)</f>
        <v>-</v>
      </c>
      <c r="CO37" s="744" t="str">
        <f>IF(CN37="-","-",IF(INDEX(RESISTANCE!L8:L14,MATCH(CN37,RESISTANCE!K8:K14,1)+1-1)=0,0.000001,INDEX(RESISTANCE!L8:L14,MATCH(CN37,RESISTANCE!K8:K14,1))))</f>
        <v>-</v>
      </c>
      <c r="CP37" s="744" t="str">
        <f>IF(CN37="-","-",IF(INDEX(RESISTANCE!L8:L14,MATCH(CN37,RESISTANCE!K8:K14,1)+1)=0,0.000001,INDEX(RESISTANCE!L8:L14,MATCH(CN37,RESISTANCE!K8:K14,1)+1)))</f>
        <v>-</v>
      </c>
      <c r="CQ37" s="745" t="str">
        <f>IF(CN37="-","-",IF(INDEX(RESISTANCE!K8:K14,MATCH(CN37,RESISTANCE!K8:K14,1)+1-1)=0,0.000001,INDEX(RESISTANCE!K8:K14,MATCH(CN37,RESISTANCE!K8:K14,1))))</f>
        <v>-</v>
      </c>
      <c r="CR37" s="734" t="str">
        <f>IF(CN37="-","-",INDEX(RESISTANCE!K8:K14,MATCH(CN37,RESISTANCE!K8:K14,1)+1))</f>
        <v>-</v>
      </c>
      <c r="CS37" s="757" t="str">
        <f>IF(CC37="-","-",IF(ID!B79=" ",(((CN37-CQ37)*(CP37-CO37))/(CR37-CQ37))+CO37))</f>
        <v>-</v>
      </c>
      <c r="DA37" s="743">
        <f>ID!T43</f>
        <v>10</v>
      </c>
      <c r="DB37" s="744" t="e">
        <f ca="1">INDEX(LEAKAGE!$L$8:$L$13,MATCH(DA37,LEAKAGE!$K$8:$K$13,1))</f>
        <v>#N/A</v>
      </c>
      <c r="DC37" s="744" t="e" cm="1">
        <f t="array" aca="1" ref="DC37" ca="1">INDEX(LEAKAGE!$L$8:$L$13,MATCH(DA37,LEAKAGE!$K$8:$K$13,1)+1)</f>
        <v>#N/A</v>
      </c>
      <c r="DD37" s="745" t="e">
        <f ca="1">INDEX(LEAKAGE!$K$8:$K$13,MATCH(DA37,LEAKAGE!$K$8:$K$13,1))</f>
        <v>#N/A</v>
      </c>
      <c r="DE37" s="734" t="e" cm="1">
        <f t="array" aca="1" ref="DE37" ca="1">INDEX(LEAKAGE!$K$8:$K$13,MATCH(DA37,LEAKAGE!$K$8:$K$13,1)+1)</f>
        <v>#N/A</v>
      </c>
      <c r="DF37" s="757" t="e">
        <f t="shared" ref="DF37" ca="1" si="6">(((DA37-DD37)*(DC37-DB37))/(DE37-DD37))+DB37</f>
        <v>#N/A</v>
      </c>
      <c r="DH37" s="738"/>
    </row>
    <row r="38" spans="6:112" x14ac:dyDescent="0.25">
      <c r="CB38" s="736"/>
      <c r="CD38" s="734" t="s">
        <v>829</v>
      </c>
      <c r="DH38" s="738"/>
    </row>
    <row r="39" spans="6:112" ht="14.4" thickBot="1" x14ac:dyDescent="0.3">
      <c r="CB39" s="736"/>
      <c r="DH39" s="738"/>
    </row>
    <row r="40" spans="6:112" ht="14.4" thickBot="1" x14ac:dyDescent="0.3">
      <c r="CB40" s="736"/>
      <c r="CC40" s="1199" t="s">
        <v>781</v>
      </c>
      <c r="CD40" s="1200"/>
      <c r="CE40" s="1200"/>
      <c r="CF40" s="1200"/>
      <c r="CG40" s="1200"/>
      <c r="CH40" s="1201"/>
      <c r="CN40" s="1199" t="s">
        <v>782</v>
      </c>
      <c r="CO40" s="1200"/>
      <c r="CP40" s="1200"/>
      <c r="CQ40" s="1200"/>
      <c r="CR40" s="1200"/>
      <c r="CS40" s="1201"/>
      <c r="DA40" s="742"/>
      <c r="DB40" s="742"/>
      <c r="DC40" s="742"/>
      <c r="DD40" s="742"/>
      <c r="DE40" s="742"/>
      <c r="DF40" s="742"/>
      <c r="DH40" s="738"/>
    </row>
    <row r="41" spans="6:112" x14ac:dyDescent="0.25">
      <c r="CB41" s="736"/>
      <c r="CC41" s="1196" t="s">
        <v>766</v>
      </c>
      <c r="CD41" s="1196" t="s">
        <v>767</v>
      </c>
      <c r="CE41" s="1196" t="s">
        <v>455</v>
      </c>
      <c r="CF41" s="1196" t="s">
        <v>768</v>
      </c>
      <c r="CG41" s="1196" t="s">
        <v>454</v>
      </c>
      <c r="CH41" s="1202" t="s">
        <v>769</v>
      </c>
      <c r="CN41" s="1196" t="s">
        <v>766</v>
      </c>
      <c r="CO41" s="1196" t="s">
        <v>767</v>
      </c>
      <c r="CP41" s="1196" t="s">
        <v>455</v>
      </c>
      <c r="CQ41" s="1196" t="s">
        <v>768</v>
      </c>
      <c r="CR41" s="1196" t="s">
        <v>454</v>
      </c>
      <c r="CS41" s="1202" t="s">
        <v>769</v>
      </c>
      <c r="DA41" s="742"/>
      <c r="DB41" s="742"/>
      <c r="DC41" s="742"/>
      <c r="DD41" s="742"/>
      <c r="DE41" s="742"/>
      <c r="DF41" s="742"/>
      <c r="DH41" s="738"/>
    </row>
    <row r="42" spans="6:112" x14ac:dyDescent="0.25">
      <c r="CB42" s="736"/>
      <c r="CC42" s="1196"/>
      <c r="CD42" s="1196"/>
      <c r="CE42" s="1196"/>
      <c r="CF42" s="1196"/>
      <c r="CG42" s="1196"/>
      <c r="CH42" s="1202"/>
      <c r="CI42" s="758"/>
      <c r="CJ42" s="758"/>
      <c r="CK42" s="758"/>
      <c r="CL42" s="758"/>
      <c r="CM42" s="758"/>
      <c r="CN42" s="1196"/>
      <c r="CO42" s="1196"/>
      <c r="CP42" s="1196"/>
      <c r="CQ42" s="1196"/>
      <c r="CR42" s="1196"/>
      <c r="CS42" s="1202"/>
      <c r="CT42" s="758"/>
      <c r="DA42" s="742"/>
      <c r="DB42" s="742"/>
      <c r="DC42" s="742"/>
      <c r="DD42" s="742"/>
      <c r="DE42" s="742"/>
      <c r="DF42" s="742"/>
      <c r="DH42" s="738"/>
    </row>
    <row r="43" spans="6:112" x14ac:dyDescent="0.25">
      <c r="CB43" s="736"/>
      <c r="CC43" s="743" t="str">
        <f>IF(ID!G42=0,0.000001,ID!G42)</f>
        <v>-</v>
      </c>
      <c r="CD43" s="744" t="str">
        <f>IF(CC43="-","-",IF(INDEX(MOhm!L8:L16,MATCH(CC43,MOhm!K8:K16,1)+1-1)=0,0.000001,INDEX(MOhm!L8:L16,MATCH(CC43,MOhm!K8:K16,1))))</f>
        <v>-</v>
      </c>
      <c r="CE43" s="744" t="str">
        <f>IF(CC43="-","-",IF(INDEX(MOhm!L8:L16,MATCH(CC43,MOhm!K8:K16,1)+1)=0,0.000001,INDEX(MOhm!L8:L16,MATCH(CC43,MOhm!K8:K16,1)+1)))</f>
        <v>-</v>
      </c>
      <c r="CF43" s="745" t="str">
        <f>IF(CC43="-","-",IF(INDEX(MOhm!K8:K16,MATCH(CC43,MOhm!K8:K16,1)+1-1)=0,0.000001,INDEX(MOhm!K8:K16,MATCH(CC43,MOhm!K8:K16,1))))</f>
        <v>-</v>
      </c>
      <c r="CG43" s="734" t="str">
        <f>IF(CC43="-","-",INDEX(MOhm!K8:K16,MATCH(CC43,MOhm!K8:K16,1)+1))</f>
        <v>-</v>
      </c>
      <c r="CH43" s="757" t="str">
        <f>IF(CC37="-","-",IF(ID!B79=" ",(((CC43-CF43)*(CE43-CD43))/(CG43-CF43))+CD43))</f>
        <v>-</v>
      </c>
      <c r="CN43" s="743" t="str">
        <f>IF(ID!G44=0,0.000001,ID!G44)</f>
        <v>-</v>
      </c>
      <c r="CO43" s="744" t="str">
        <f>IF(CN43="-","-",IF(INDEX(LEAKAGE!$L$8:$L$13,MATCH(CN43,LEAKAGE!$K$8:$K$13,1)+1-1)=0,0.000001,INDEX(LEAKAGE!$L$8:$L$13,MATCH(CN43,LEAKAGE!$K$8:$K$13,1))))</f>
        <v>-</v>
      </c>
      <c r="CP43" s="744" t="str">
        <f>IF(CN43="-","-",IF(INDEX(LEAKAGE!$L$8:$L$13,MATCH(CN43,LEAKAGE!$K$8:$K$13,1)+1)=0,0.000001,INDEX(LEAKAGE!$L$8:$L$13,MATCH(CN43,LEAKAGE!$K$8:$K$13,1)+1)))</f>
        <v>-</v>
      </c>
      <c r="CQ43" s="745" t="str">
        <f>IF(CN43="-","-",IF(INDEX(LEAKAGE!$K$8:$K$13,MATCH(CN43,LEAKAGE!$K$8:$K$13,1)+1-1)=0,0.000001,INDEX(LEAKAGE!$K$8:$K$13,MATCH(CN43,LEAKAGE!$K$8:$K$13,1))))</f>
        <v>-</v>
      </c>
      <c r="CR43" s="734" t="str">
        <f>IF(CN43="-","-",INDEX(LEAKAGE!$K$8:$K$13,MATCH(CN43,LEAKAGE!$K$8:$K$13,1)+1))</f>
        <v>-</v>
      </c>
      <c r="CS43" s="757" t="str">
        <f>IF(CC37="-","-",IF(ID!B79=" ",(((CN43-CQ43)*(CP43-CO43))/(CR43-CQ43))+CO43))</f>
        <v>-</v>
      </c>
      <c r="DA43" s="742"/>
      <c r="DB43" s="742"/>
      <c r="DC43" s="742"/>
      <c r="DD43" s="742"/>
      <c r="DE43" s="742"/>
      <c r="DF43" s="742"/>
      <c r="DH43" s="738"/>
    </row>
    <row r="44" spans="6:112" ht="14.4" thickBot="1" x14ac:dyDescent="0.3">
      <c r="CB44" s="749"/>
      <c r="CC44" s="750"/>
      <c r="CD44" s="750"/>
      <c r="CE44" s="750"/>
      <c r="CF44" s="750"/>
      <c r="CG44" s="750"/>
      <c r="CH44" s="750"/>
      <c r="CI44" s="750"/>
      <c r="CJ44" s="750"/>
      <c r="CK44" s="750"/>
      <c r="CL44" s="750"/>
      <c r="CM44" s="750"/>
      <c r="CN44" s="750"/>
      <c r="CO44" s="750"/>
      <c r="CP44" s="750"/>
      <c r="CQ44" s="750"/>
      <c r="CR44" s="750"/>
      <c r="CS44" s="750"/>
      <c r="CT44" s="750"/>
      <c r="CU44" s="750"/>
      <c r="CV44" s="750"/>
      <c r="CW44" s="750"/>
      <c r="CX44" s="750"/>
      <c r="CY44" s="750"/>
      <c r="CZ44" s="750"/>
      <c r="DA44" s="750"/>
      <c r="DB44" s="750"/>
      <c r="DC44" s="750"/>
      <c r="DD44" s="750"/>
      <c r="DE44" s="750"/>
      <c r="DF44" s="750"/>
      <c r="DG44" s="750"/>
      <c r="DH44" s="751"/>
    </row>
  </sheetData>
  <mergeCells count="127">
    <mergeCell ref="F28:G28"/>
    <mergeCell ref="CP41:CP42"/>
    <mergeCell ref="CQ41:CQ42"/>
    <mergeCell ref="CR41:CR42"/>
    <mergeCell ref="CS41:CS42"/>
    <mergeCell ref="CC40:CH40"/>
    <mergeCell ref="CN40:CS40"/>
    <mergeCell ref="CC41:CC42"/>
    <mergeCell ref="CD41:CD42"/>
    <mergeCell ref="CE41:CE42"/>
    <mergeCell ref="CF41:CF42"/>
    <mergeCell ref="CG41:CG42"/>
    <mergeCell ref="CH41:CH42"/>
    <mergeCell ref="CN41:CN42"/>
    <mergeCell ref="CO41:CO42"/>
    <mergeCell ref="CC35:CC36"/>
    <mergeCell ref="CD35:CD36"/>
    <mergeCell ref="CE35:CE36"/>
    <mergeCell ref="CF35:CF36"/>
    <mergeCell ref="CG35:CG36"/>
    <mergeCell ref="CH35:CH36"/>
    <mergeCell ref="DA35:DA36"/>
    <mergeCell ref="DB35:DB36"/>
    <mergeCell ref="DC35:DC36"/>
    <mergeCell ref="DD35:DD36"/>
    <mergeCell ref="DE35:DE36"/>
    <mergeCell ref="DF35:DF36"/>
    <mergeCell ref="CN35:CN36"/>
    <mergeCell ref="CO35:CO36"/>
    <mergeCell ref="CP35:CP36"/>
    <mergeCell ref="CQ35:CQ36"/>
    <mergeCell ref="CR35:CR36"/>
    <mergeCell ref="CS35:CS36"/>
    <mergeCell ref="CP22:CP23"/>
    <mergeCell ref="CQ22:CQ23"/>
    <mergeCell ref="CR22:CR23"/>
    <mergeCell ref="CS22:CS23"/>
    <mergeCell ref="CB31:DH32"/>
    <mergeCell ref="CC34:CH34"/>
    <mergeCell ref="CN34:CS34"/>
    <mergeCell ref="DA34:DF34"/>
    <mergeCell ref="CC21:CH21"/>
    <mergeCell ref="CN21:CS21"/>
    <mergeCell ref="CC22:CC23"/>
    <mergeCell ref="CD22:CD23"/>
    <mergeCell ref="CE22:CE23"/>
    <mergeCell ref="CF22:CF23"/>
    <mergeCell ref="CG22:CG23"/>
    <mergeCell ref="CH22:CH23"/>
    <mergeCell ref="CN22:CN23"/>
    <mergeCell ref="CO22:CO23"/>
    <mergeCell ref="DO16:DO17"/>
    <mergeCell ref="DP16:DP17"/>
    <mergeCell ref="DQ16:DQ17"/>
    <mergeCell ref="DR16:DR17"/>
    <mergeCell ref="DB16:DB17"/>
    <mergeCell ref="DC16:DC17"/>
    <mergeCell ref="DD16:DD17"/>
    <mergeCell ref="DE16:DE17"/>
    <mergeCell ref="DF16:DF17"/>
    <mergeCell ref="DG16:DG17"/>
    <mergeCell ref="CS16:CS17"/>
    <mergeCell ref="CC16:CC17"/>
    <mergeCell ref="CD16:CD17"/>
    <mergeCell ref="CE16:CE17"/>
    <mergeCell ref="CF16:CF17"/>
    <mergeCell ref="CG16:CG17"/>
    <mergeCell ref="CH16:CH17"/>
    <mergeCell ref="DM16:DM17"/>
    <mergeCell ref="DN16:DN17"/>
    <mergeCell ref="BF16:BF17"/>
    <mergeCell ref="BG16:BG17"/>
    <mergeCell ref="BH16:BH17"/>
    <mergeCell ref="BI16:BI17"/>
    <mergeCell ref="CN16:CN17"/>
    <mergeCell ref="CO16:CO17"/>
    <mergeCell ref="CP16:CP17"/>
    <mergeCell ref="CQ16:CQ17"/>
    <mergeCell ref="CR16:CR17"/>
    <mergeCell ref="V16:V17"/>
    <mergeCell ref="CC15:CH15"/>
    <mergeCell ref="CN15:CS15"/>
    <mergeCell ref="DB15:DG15"/>
    <mergeCell ref="AP16:AP17"/>
    <mergeCell ref="AQ16:AQ17"/>
    <mergeCell ref="AR16:AR17"/>
    <mergeCell ref="AS16:AS17"/>
    <mergeCell ref="AT16:AT17"/>
    <mergeCell ref="AU16:AU17"/>
    <mergeCell ref="AE16:AE17"/>
    <mergeCell ref="AF16:AF17"/>
    <mergeCell ref="AG16:AG17"/>
    <mergeCell ref="AH16:AH17"/>
    <mergeCell ref="AI16:AI17"/>
    <mergeCell ref="AJ16:AJ17"/>
    <mergeCell ref="BO16:BO17"/>
    <mergeCell ref="BP16:BP17"/>
    <mergeCell ref="BQ16:BQ17"/>
    <mergeCell ref="BR16:BR17"/>
    <mergeCell ref="BS16:BS17"/>
    <mergeCell ref="BT16:BT17"/>
    <mergeCell ref="BD16:BD17"/>
    <mergeCell ref="BE16:BE17"/>
    <mergeCell ref="E12:W13"/>
    <mergeCell ref="AD12:AV13"/>
    <mergeCell ref="BC12:BU13"/>
    <mergeCell ref="CB12:CT13"/>
    <mergeCell ref="DA12:DH13"/>
    <mergeCell ref="DL12:DS13"/>
    <mergeCell ref="DM15:DR15"/>
    <mergeCell ref="F16:F17"/>
    <mergeCell ref="G16:G17"/>
    <mergeCell ref="H16:H17"/>
    <mergeCell ref="I16:I17"/>
    <mergeCell ref="J16:J17"/>
    <mergeCell ref="K16:K17"/>
    <mergeCell ref="F15:K15"/>
    <mergeCell ref="R15:V15"/>
    <mergeCell ref="AF15:AJ15"/>
    <mergeCell ref="AQ15:AU15"/>
    <mergeCell ref="BE15:BI15"/>
    <mergeCell ref="BP15:BT15"/>
    <mergeCell ref="Q16:Q17"/>
    <mergeCell ref="R16:R17"/>
    <mergeCell ref="S16:S17"/>
    <mergeCell ref="T16:T17"/>
    <mergeCell ref="U16:U1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5"/>
  <dimension ref="B2:Q105"/>
  <sheetViews>
    <sheetView topLeftCell="D1" workbookViewId="0">
      <selection activeCell="H8" sqref="H8"/>
    </sheetView>
  </sheetViews>
  <sheetFormatPr defaultColWidth="9.21875" defaultRowHeight="13.2" x14ac:dyDescent="0.25"/>
  <cols>
    <col min="5" max="5" width="64.77734375" customWidth="1"/>
    <col min="15" max="15" width="58.77734375" customWidth="1"/>
  </cols>
  <sheetData>
    <row r="2" spans="2:17" x14ac:dyDescent="0.25">
      <c r="K2" s="303"/>
      <c r="L2" s="303"/>
      <c r="M2" s="303"/>
      <c r="N2" s="303"/>
      <c r="O2" s="304" t="s">
        <v>266</v>
      </c>
      <c r="P2" s="311"/>
      <c r="Q2" s="311"/>
    </row>
    <row r="3" spans="2:17" x14ac:dyDescent="0.25">
      <c r="K3" s="303"/>
      <c r="L3" s="303"/>
      <c r="M3" s="303"/>
      <c r="N3" s="303"/>
      <c r="O3" s="298" t="s">
        <v>281</v>
      </c>
    </row>
    <row r="4" spans="2:17" x14ac:dyDescent="0.25">
      <c r="K4" s="303"/>
      <c r="L4" s="303"/>
      <c r="M4" s="303"/>
      <c r="N4" s="303"/>
      <c r="O4" s="298" t="s">
        <v>281</v>
      </c>
    </row>
    <row r="5" spans="2:17" x14ac:dyDescent="0.25">
      <c r="K5" s="303"/>
      <c r="L5" s="303"/>
      <c r="M5" s="303"/>
      <c r="N5" s="303"/>
      <c r="O5" s="298" t="s">
        <v>282</v>
      </c>
    </row>
    <row r="6" spans="2:17" x14ac:dyDescent="0.25">
      <c r="K6" s="303"/>
      <c r="L6" s="303"/>
      <c r="M6" s="303"/>
      <c r="N6" s="303"/>
      <c r="O6" s="298" t="s">
        <v>283</v>
      </c>
    </row>
    <row r="7" spans="2:17" ht="13.8" x14ac:dyDescent="0.3">
      <c r="B7" s="347" t="s">
        <v>284</v>
      </c>
      <c r="C7" s="348" t="s">
        <v>272</v>
      </c>
      <c r="D7" s="349" t="s">
        <v>273</v>
      </c>
      <c r="E7" s="2" t="s">
        <v>266</v>
      </c>
      <c r="F7" s="308" t="s">
        <v>275</v>
      </c>
      <c r="G7" s="308" t="s">
        <v>276</v>
      </c>
      <c r="H7" s="308" t="s">
        <v>277</v>
      </c>
      <c r="K7" s="306" t="s">
        <v>285</v>
      </c>
      <c r="L7" s="306" t="s">
        <v>272</v>
      </c>
      <c r="M7" s="307" t="s">
        <v>273</v>
      </c>
      <c r="N7" s="303"/>
      <c r="O7" s="298" t="s">
        <v>286</v>
      </c>
    </row>
    <row r="8" spans="2:17" x14ac:dyDescent="0.25">
      <c r="B8" s="357">
        <v>0</v>
      </c>
      <c r="C8" s="355">
        <v>0</v>
      </c>
      <c r="D8" s="559">
        <v>2020</v>
      </c>
      <c r="E8" s="539" t="s">
        <v>255</v>
      </c>
      <c r="F8" s="1090">
        <v>1</v>
      </c>
      <c r="G8" s="14" t="str">
        <f>IF(ID!$B$84=E8,F8,"")</f>
        <v/>
      </c>
      <c r="H8" s="1088" t="e">
        <f ca="1">_xlfn.XLOOKUP(ID!$B$84,$E$8:$E$224,$F$8:$F$224,,)</f>
        <v>#NAME?</v>
      </c>
      <c r="K8" s="309" t="e">
        <f ca="1">INDEX($B$8:$D$105,$H8,COLUMNS(J$8:$J8))</f>
        <v>#NAME?</v>
      </c>
      <c r="L8" s="313" t="str">
        <f ca="1">IFERROR(INDEX($B$8:$D$105,$H8,COLUMNS($J$8:K8)),"")</f>
        <v/>
      </c>
      <c r="M8" s="309" t="str">
        <f ca="1">IFERROR(INDEX($B$8:$D$105,$H8,COLUMNS($J$8:L8)),"")</f>
        <v/>
      </c>
      <c r="N8" s="303"/>
      <c r="O8" s="298" t="s">
        <v>287</v>
      </c>
    </row>
    <row r="9" spans="2:17" x14ac:dyDescent="0.25">
      <c r="B9" s="357">
        <v>50</v>
      </c>
      <c r="C9" s="355">
        <v>0.1</v>
      </c>
      <c r="D9" s="559"/>
      <c r="E9" s="539" t="s">
        <v>255</v>
      </c>
      <c r="F9" s="1090">
        <v>2</v>
      </c>
      <c r="G9" s="14" t="str">
        <f>IF(ID!$B$84=E9,F9,"")</f>
        <v/>
      </c>
      <c r="H9" s="1088" t="e">
        <f ca="1">H8+1</f>
        <v>#NAME?</v>
      </c>
      <c r="K9" s="309" t="e">
        <f ca="1">INDEX($B$8:$D$105,$H9,COLUMNS(J$8:$J9))</f>
        <v>#NAME?</v>
      </c>
      <c r="L9" s="313" t="str">
        <f ca="1">IFERROR(INDEX($B$8:$D$105,$H9,COLUMNS($J$8:K9)),"")</f>
        <v/>
      </c>
      <c r="M9" s="309"/>
      <c r="N9" s="303"/>
      <c r="O9" s="298" t="s">
        <v>288</v>
      </c>
    </row>
    <row r="10" spans="2:17" x14ac:dyDescent="0.25">
      <c r="B10" s="357">
        <v>100</v>
      </c>
      <c r="C10" s="355">
        <v>0.2</v>
      </c>
      <c r="D10" s="559"/>
      <c r="E10" s="539" t="s">
        <v>255</v>
      </c>
      <c r="F10" s="1090">
        <v>3</v>
      </c>
      <c r="G10" s="14" t="str">
        <f>IF(ID!$B$84=E10,F10,"")</f>
        <v/>
      </c>
      <c r="H10" s="1088" t="e">
        <f t="shared" ref="H10:H13" ca="1" si="0">H9+1</f>
        <v>#NAME?</v>
      </c>
      <c r="K10" s="309" t="e">
        <f ca="1">INDEX($B$8:$D$105,$H10,COLUMNS(J$8:$J10))</f>
        <v>#NAME?</v>
      </c>
      <c r="L10" s="313" t="str">
        <f ca="1">IFERROR(INDEX($B$8:$D$105,$H10,COLUMNS($J$8:K10)),"")</f>
        <v/>
      </c>
      <c r="M10" s="309"/>
      <c r="N10" s="303"/>
      <c r="O10" s="298" t="s">
        <v>289</v>
      </c>
    </row>
    <row r="11" spans="2:17" x14ac:dyDescent="0.25">
      <c r="B11" s="357">
        <v>200</v>
      </c>
      <c r="C11" s="355">
        <v>0.4</v>
      </c>
      <c r="D11" s="559"/>
      <c r="E11" s="539" t="s">
        <v>255</v>
      </c>
      <c r="F11" s="1090">
        <v>4</v>
      </c>
      <c r="G11" s="14" t="str">
        <f>IF(ID!$B$84=E11,F11,"")</f>
        <v/>
      </c>
      <c r="H11" s="1088" t="e">
        <f t="shared" ca="1" si="0"/>
        <v>#NAME?</v>
      </c>
      <c r="K11" s="309" t="e">
        <f ca="1">INDEX($B$8:$D$105,$H11,COLUMNS(J$8:$J11))</f>
        <v>#NAME?</v>
      </c>
      <c r="L11" s="313" t="str">
        <f ca="1">IFERROR(INDEX($B$8:$D$105,$H11,COLUMNS($J$8:K11)),"")</f>
        <v/>
      </c>
      <c r="M11" s="309"/>
      <c r="N11" s="303"/>
      <c r="O11" s="310" t="s">
        <v>2</v>
      </c>
    </row>
    <row r="12" spans="2:17" x14ac:dyDescent="0.25">
      <c r="B12" s="357">
        <v>500</v>
      </c>
      <c r="C12" s="355">
        <v>3.8</v>
      </c>
      <c r="D12" s="559"/>
      <c r="E12" s="539" t="s">
        <v>255</v>
      </c>
      <c r="F12" s="1090">
        <v>5</v>
      </c>
      <c r="G12" s="14" t="str">
        <f>IF(ID!$B$84=E12,F12,"")</f>
        <v/>
      </c>
      <c r="H12" s="1088" t="e">
        <f t="shared" ca="1" si="0"/>
        <v>#NAME?</v>
      </c>
      <c r="K12" s="309" t="e">
        <f ca="1">INDEX($B$8:$D$105,$H12,COLUMNS(J$8:$J12))</f>
        <v>#NAME?</v>
      </c>
      <c r="L12" s="313" t="str">
        <f ca="1">IFERROR(INDEX($B$8:$D$105,$H12,COLUMNS($J$8:K12)),"")</f>
        <v/>
      </c>
      <c r="M12" s="309"/>
      <c r="N12" s="303"/>
      <c r="O12" s="310" t="s">
        <v>2</v>
      </c>
    </row>
    <row r="13" spans="2:17" ht="13.8" thickBot="1" x14ac:dyDescent="0.3">
      <c r="B13" s="560">
        <v>700</v>
      </c>
      <c r="C13" s="561">
        <f>C12</f>
        <v>3.8</v>
      </c>
      <c r="D13" s="562"/>
      <c r="E13" s="543" t="s">
        <v>255</v>
      </c>
      <c r="F13" s="1090">
        <v>6</v>
      </c>
      <c r="G13" s="14" t="str">
        <f>IF(ID!$B$84=E13,F13,"")</f>
        <v/>
      </c>
      <c r="H13" s="1088" t="e">
        <f t="shared" ca="1" si="0"/>
        <v>#NAME?</v>
      </c>
      <c r="K13" s="309" t="e">
        <f ca="1">INDEX($B$8:$D$105,$H13,COLUMNS(J$8:$J13))</f>
        <v>#NAME?</v>
      </c>
      <c r="L13" s="313" t="str">
        <f ca="1">IFERROR(INDEX($B$8:$D$105,$H13,COLUMNS($J$8:K13)),"")</f>
        <v/>
      </c>
      <c r="M13" s="309"/>
      <c r="N13" s="303"/>
      <c r="O13" s="310" t="s">
        <v>2</v>
      </c>
    </row>
    <row r="14" spans="2:17" x14ac:dyDescent="0.25">
      <c r="B14" s="563"/>
      <c r="D14" s="564"/>
      <c r="E14" s="539"/>
      <c r="F14" s="1090">
        <v>7</v>
      </c>
      <c r="G14" s="14" t="str">
        <f>IF(ID!$B$84=E14,F14,"")</f>
        <v/>
      </c>
      <c r="H14" s="309" t="str">
        <f>IFERROR(SMALL($G$8:$G$105,ROWS(G$8:$G14)),"")</f>
        <v/>
      </c>
      <c r="K14" s="309" t="str">
        <f>IFERROR(INDEX($B$8:$D$105,$H14,COLUMNS(J$8:$J14)),"")</f>
        <v/>
      </c>
      <c r="L14" s="313" t="str">
        <f>IFERROR(INDEX($B$8:$D$105,$H14,COLUMNS($J$8:K14)),"")</f>
        <v/>
      </c>
      <c r="M14" s="309"/>
      <c r="N14" s="303"/>
      <c r="O14" s="310" t="s">
        <v>2</v>
      </c>
    </row>
    <row r="15" spans="2:17" x14ac:dyDescent="0.25">
      <c r="B15" s="563"/>
      <c r="F15" s="1090">
        <v>8</v>
      </c>
      <c r="G15" s="14" t="str">
        <f>IF(ID!$B$84=E15,F15,"")</f>
        <v/>
      </c>
      <c r="H15" s="309" t="str">
        <f>IFERROR(SMALL($G$8:$G$105,ROWS(G$8:$G15)),"")</f>
        <v/>
      </c>
    </row>
    <row r="16" spans="2:17" x14ac:dyDescent="0.25">
      <c r="B16" s="563"/>
      <c r="F16" s="1090">
        <v>9</v>
      </c>
      <c r="G16" s="14" t="str">
        <f>IF(ID!$B$84=E16,F16,"")</f>
        <v/>
      </c>
      <c r="H16" s="309" t="str">
        <f>IFERROR(SMALL($G$8:$G$105,ROWS(G$8:$G16)),"")</f>
        <v/>
      </c>
    </row>
    <row r="17" spans="2:8" x14ac:dyDescent="0.25">
      <c r="B17" s="563"/>
      <c r="F17" s="1090">
        <v>10</v>
      </c>
      <c r="G17" s="14" t="str">
        <f>IF(ID!$B$84=E17,F17,"")</f>
        <v/>
      </c>
      <c r="H17" s="309" t="str">
        <f>IFERROR(SMALL($G$8:$G$105,ROWS(G$8:$G17)),"")</f>
        <v/>
      </c>
    </row>
    <row r="18" spans="2:8" x14ac:dyDescent="0.25">
      <c r="B18" s="357">
        <v>0</v>
      </c>
      <c r="C18" s="565">
        <v>0.3</v>
      </c>
      <c r="D18" s="559">
        <v>2019</v>
      </c>
      <c r="E18" s="539" t="s">
        <v>256</v>
      </c>
      <c r="F18" s="1090">
        <v>11</v>
      </c>
      <c r="G18" s="14" t="str">
        <f>IF(ID!$B$84=E18,F18,"")</f>
        <v/>
      </c>
      <c r="H18" s="309" t="str">
        <f>IFERROR(SMALL($G$8:$G$105,ROWS(G$8:$G18)),"")</f>
        <v/>
      </c>
    </row>
    <row r="19" spans="2:8" x14ac:dyDescent="0.25">
      <c r="B19" s="357">
        <v>50</v>
      </c>
      <c r="C19" s="565">
        <v>0.1</v>
      </c>
      <c r="D19" s="559"/>
      <c r="E19" s="539" t="s">
        <v>256</v>
      </c>
      <c r="F19" s="1090">
        <v>12</v>
      </c>
      <c r="G19" s="14" t="str">
        <f>IF(ID!$B$84=E19,F19,"")</f>
        <v/>
      </c>
      <c r="H19" s="309" t="str">
        <f>IFERROR(SMALL($G$8:$G$105,ROWS(G$8:$G19)),"")</f>
        <v/>
      </c>
    </row>
    <row r="20" spans="2:8" x14ac:dyDescent="0.25">
      <c r="B20" s="357">
        <v>100</v>
      </c>
      <c r="C20" s="565">
        <v>0.4</v>
      </c>
      <c r="D20" s="559"/>
      <c r="E20" s="539" t="s">
        <v>256</v>
      </c>
      <c r="F20" s="1090">
        <v>13</v>
      </c>
      <c r="G20" s="14" t="str">
        <f>IF(ID!$B$84=E20,F20,"")</f>
        <v/>
      </c>
      <c r="H20" s="309" t="str">
        <f>IFERROR(SMALL($G$8:$G$105,ROWS(G$8:$G20)),"")</f>
        <v/>
      </c>
    </row>
    <row r="21" spans="2:8" x14ac:dyDescent="0.25">
      <c r="B21" s="357">
        <v>200</v>
      </c>
      <c r="C21" s="565">
        <v>0.7</v>
      </c>
      <c r="D21" s="559"/>
      <c r="E21" s="539" t="s">
        <v>256</v>
      </c>
      <c r="F21" s="1090">
        <v>14</v>
      </c>
      <c r="G21" s="14" t="str">
        <f>IF(ID!$B$84=E21,F21,"")</f>
        <v/>
      </c>
      <c r="H21" s="309" t="str">
        <f>IFERROR(SMALL($G$8:$G$105,ROWS(G$8:$G21)),"")</f>
        <v/>
      </c>
    </row>
    <row r="22" spans="2:8" x14ac:dyDescent="0.25">
      <c r="B22" s="357">
        <v>500</v>
      </c>
      <c r="C22" s="566">
        <v>0.8</v>
      </c>
      <c r="D22" s="559"/>
      <c r="E22" s="539" t="s">
        <v>256</v>
      </c>
      <c r="F22" s="1090">
        <v>15</v>
      </c>
      <c r="G22" s="14" t="str">
        <f>IF(ID!$B$84=E22,F22,"")</f>
        <v/>
      </c>
      <c r="H22" s="309" t="str">
        <f>IFERROR(SMALL($G$8:$G$105,ROWS(G$8:$G22)),"")</f>
        <v/>
      </c>
    </row>
    <row r="23" spans="2:8" ht="13.8" thickBot="1" x14ac:dyDescent="0.3">
      <c r="B23" s="560">
        <v>700</v>
      </c>
      <c r="C23" s="561">
        <f>C22</f>
        <v>0.8</v>
      </c>
      <c r="D23" s="562"/>
      <c r="E23" s="549" t="s">
        <v>256</v>
      </c>
      <c r="F23" s="1090">
        <v>16</v>
      </c>
      <c r="G23" s="14" t="str">
        <f>IF(ID!$B$84=E23,F23,"")</f>
        <v/>
      </c>
      <c r="H23" s="309" t="str">
        <f>IFERROR(SMALL($G$8:$G$105,ROWS(G$8:$G23)),"")</f>
        <v/>
      </c>
    </row>
    <row r="24" spans="2:8" ht="13.8" thickBot="1" x14ac:dyDescent="0.3">
      <c r="B24" s="358"/>
      <c r="C24" s="567"/>
      <c r="D24" s="562"/>
      <c r="E24" s="543"/>
      <c r="F24" s="1090">
        <v>17</v>
      </c>
      <c r="G24" s="14" t="str">
        <f>IF(ID!$B$84=E24,F24,"")</f>
        <v/>
      </c>
      <c r="H24" s="309" t="str">
        <f>IFERROR(SMALL($G$8:$G$105,ROWS(G$8:$G24)),"")</f>
        <v/>
      </c>
    </row>
    <row r="25" spans="2:8" x14ac:dyDescent="0.25">
      <c r="B25" s="372"/>
      <c r="C25" s="568"/>
      <c r="D25" s="364"/>
      <c r="F25" s="1090">
        <v>18</v>
      </c>
      <c r="G25" s="14" t="str">
        <f>IF(ID!$B$84=E25,F25,"")</f>
        <v/>
      </c>
      <c r="H25" s="309" t="str">
        <f>IFERROR(SMALL($G$8:$G$105,ROWS(G$8:$G25)),"")</f>
        <v/>
      </c>
    </row>
    <row r="26" spans="2:8" x14ac:dyDescent="0.25">
      <c r="B26" s="563"/>
      <c r="F26" s="1090">
        <v>19</v>
      </c>
      <c r="G26" s="14" t="str">
        <f>IF(ID!$B$84=E26,F26,"")</f>
        <v/>
      </c>
      <c r="H26" s="309" t="str">
        <f>IFERROR(SMALL($G$8:$G$105,ROWS(G$8:$G26)),"")</f>
        <v/>
      </c>
    </row>
    <row r="27" spans="2:8" ht="13.8" x14ac:dyDescent="0.3">
      <c r="B27" s="779" t="s">
        <v>284</v>
      </c>
      <c r="C27" s="779" t="s">
        <v>272</v>
      </c>
      <c r="D27" s="780" t="s">
        <v>273</v>
      </c>
      <c r="E27" s="24"/>
      <c r="F27" s="1090">
        <v>20</v>
      </c>
      <c r="G27" s="14" t="str">
        <f>IF(ID!$B$84=E27,F27,"")</f>
        <v/>
      </c>
      <c r="H27" s="309" t="str">
        <f>IFERROR(SMALL($G$8:$G$105,ROWS(G$8:$G27)),"")</f>
        <v/>
      </c>
    </row>
    <row r="28" spans="2:8" x14ac:dyDescent="0.25">
      <c r="B28" s="569">
        <v>0</v>
      </c>
      <c r="C28" s="781">
        <v>0</v>
      </c>
      <c r="D28" s="562">
        <v>2022</v>
      </c>
      <c r="E28" s="549" t="s">
        <v>257</v>
      </c>
      <c r="F28" s="1090">
        <v>21</v>
      </c>
      <c r="G28" s="14" t="str">
        <f>IF(ID!$B$84=E28,F28,"")</f>
        <v/>
      </c>
      <c r="H28" s="309" t="str">
        <f>IFERROR(SMALL($G$8:$G$105,ROWS(G$8:$G28)),"")</f>
        <v/>
      </c>
    </row>
    <row r="29" spans="2:8" x14ac:dyDescent="0.25">
      <c r="B29" s="357">
        <v>20</v>
      </c>
      <c r="C29" s="782">
        <v>5.2</v>
      </c>
      <c r="D29" s="364"/>
      <c r="E29" s="539" t="s">
        <v>257</v>
      </c>
      <c r="F29" s="1090">
        <v>22</v>
      </c>
      <c r="G29" s="14" t="str">
        <f>IF(ID!$B$84=E29,F29,"")</f>
        <v/>
      </c>
      <c r="H29" s="309" t="str">
        <f>IFERROR(SMALL($G$8:$G$105,ROWS(G$8:$G29)),"")</f>
        <v/>
      </c>
    </row>
    <row r="30" spans="2:8" x14ac:dyDescent="0.25">
      <c r="B30" s="357">
        <v>50</v>
      </c>
      <c r="C30" s="782">
        <v>9.1</v>
      </c>
      <c r="D30" s="364"/>
      <c r="E30" s="539" t="s">
        <v>257</v>
      </c>
      <c r="F30" s="1090">
        <v>23</v>
      </c>
      <c r="G30" s="14" t="str">
        <f>IF(ID!$B$84=E30,F30,"")</f>
        <v/>
      </c>
      <c r="H30" s="309" t="str">
        <f>IFERROR(SMALL($G$8:$G$105,ROWS(G$8:$G30)),"")</f>
        <v/>
      </c>
    </row>
    <row r="31" spans="2:8" x14ac:dyDescent="0.25">
      <c r="B31" s="357">
        <v>100</v>
      </c>
      <c r="C31" s="782">
        <v>6</v>
      </c>
      <c r="D31" s="364"/>
      <c r="E31" s="539" t="s">
        <v>257</v>
      </c>
      <c r="F31" s="1090">
        <v>24</v>
      </c>
      <c r="G31" s="14" t="str">
        <f>IF(ID!$B$84=E31,F31,"")</f>
        <v/>
      </c>
      <c r="H31" s="309" t="str">
        <f>IFERROR(SMALL($G$8:$G$105,ROWS(G$8:$G31)),"")</f>
        <v/>
      </c>
    </row>
    <row r="32" spans="2:8" x14ac:dyDescent="0.25">
      <c r="B32" s="357">
        <v>200</v>
      </c>
      <c r="C32" s="782">
        <v>-3.6</v>
      </c>
      <c r="D32" s="364"/>
      <c r="E32" s="539" t="s">
        <v>257</v>
      </c>
      <c r="F32" s="1090">
        <v>25</v>
      </c>
      <c r="G32" s="14" t="str">
        <f>IF(ID!$B$84=E32,F32,"")</f>
        <v/>
      </c>
      <c r="H32" s="309" t="str">
        <f>IFERROR(SMALL($G$8:$G$105,ROWS(G$8:$G32)),"")</f>
        <v/>
      </c>
    </row>
    <row r="33" spans="2:8" ht="13.8" thickBot="1" x14ac:dyDescent="0.3">
      <c r="B33" s="783">
        <v>500</v>
      </c>
      <c r="C33" s="784">
        <v>-18.8</v>
      </c>
      <c r="D33" s="570"/>
      <c r="E33" s="543" t="s">
        <v>257</v>
      </c>
      <c r="F33" s="1090">
        <v>26</v>
      </c>
      <c r="G33" s="14" t="str">
        <f>IF(ID!$B$84=E33,F33,"")</f>
        <v/>
      </c>
      <c r="H33" s="309" t="str">
        <f>IFERROR(SMALL($G$8:$G$105,ROWS(G$8:$G33)),"")</f>
        <v/>
      </c>
    </row>
    <row r="34" spans="2:8" x14ac:dyDescent="0.25">
      <c r="B34" s="785">
        <v>700</v>
      </c>
      <c r="C34" s="786">
        <f>C33</f>
        <v>-18.8</v>
      </c>
      <c r="E34" s="543" t="s">
        <v>257</v>
      </c>
      <c r="F34" s="1090">
        <v>27</v>
      </c>
      <c r="G34" s="14" t="str">
        <f>IF(ID!$B$84=E34,F34,"")</f>
        <v/>
      </c>
      <c r="H34" s="309" t="str">
        <f>IFERROR(SMALL($G$8:$G$105,ROWS(G$8:$G34)),"")</f>
        <v/>
      </c>
    </row>
    <row r="35" spans="2:8" x14ac:dyDescent="0.25">
      <c r="B35" s="563"/>
      <c r="F35" s="1090">
        <v>28</v>
      </c>
      <c r="G35" s="14" t="str">
        <f>IF(ID!$B$84=E35,F35,"")</f>
        <v/>
      </c>
      <c r="H35" s="309" t="str">
        <f>IFERROR(SMALL($G$8:$G$105,ROWS(G$8:$G35)),"")</f>
        <v/>
      </c>
    </row>
    <row r="36" spans="2:8" ht="13.8" x14ac:dyDescent="0.3">
      <c r="B36" s="779" t="s">
        <v>284</v>
      </c>
      <c r="C36" s="779" t="s">
        <v>272</v>
      </c>
      <c r="D36" s="780" t="s">
        <v>273</v>
      </c>
      <c r="E36" s="24"/>
      <c r="F36" s="1090">
        <v>29</v>
      </c>
      <c r="G36" s="14" t="str">
        <f>IF(ID!$B$84=E36,F36,"")</f>
        <v/>
      </c>
      <c r="H36" s="309" t="str">
        <f>IFERROR(SMALL($G$8:$G$105,ROWS(G$8:$G36)),"")</f>
        <v/>
      </c>
    </row>
    <row r="37" spans="2:8" x14ac:dyDescent="0.25">
      <c r="B37" s="569">
        <v>0</v>
      </c>
      <c r="C37" s="570">
        <v>0</v>
      </c>
      <c r="D37" s="571">
        <v>2021</v>
      </c>
      <c r="E37" s="549" t="s">
        <v>147</v>
      </c>
      <c r="F37" s="1090">
        <v>30</v>
      </c>
      <c r="G37" s="14" t="str">
        <f>IF(ID!$B$84=E37,F37,"")</f>
        <v/>
      </c>
      <c r="H37" s="309" t="str">
        <f>IFERROR(SMALL($G$8:$G$105,ROWS(G$8:$G37)),"")</f>
        <v/>
      </c>
    </row>
    <row r="38" spans="2:8" x14ac:dyDescent="0.25">
      <c r="B38" s="357">
        <v>20</v>
      </c>
      <c r="C38" s="355">
        <v>0.3</v>
      </c>
      <c r="D38" s="364"/>
      <c r="E38" s="551" t="s">
        <v>147</v>
      </c>
      <c r="F38" s="1090">
        <v>31</v>
      </c>
      <c r="G38" s="14" t="str">
        <f>IF(ID!$B$84=E38,F38,"")</f>
        <v/>
      </c>
      <c r="H38" s="309" t="str">
        <f>IFERROR(SMALL($G$8:$G$105,ROWS(G$8:$G38)),"")</f>
        <v/>
      </c>
    </row>
    <row r="39" spans="2:8" x14ac:dyDescent="0.25">
      <c r="B39" s="357">
        <v>50</v>
      </c>
      <c r="C39" s="355">
        <v>0.4</v>
      </c>
      <c r="D39" s="364"/>
      <c r="E39" s="551" t="s">
        <v>147</v>
      </c>
      <c r="F39" s="1090">
        <v>32</v>
      </c>
      <c r="G39" s="14" t="str">
        <f>IF(ID!$B$84=E39,F39,"")</f>
        <v/>
      </c>
      <c r="H39" s="309" t="str">
        <f>IFERROR(SMALL($G$8:$G$105,ROWS(G$8:$G39)),"")</f>
        <v/>
      </c>
    </row>
    <row r="40" spans="2:8" x14ac:dyDescent="0.25">
      <c r="B40" s="357">
        <v>100</v>
      </c>
      <c r="C40" s="355">
        <v>0.4</v>
      </c>
      <c r="D40" s="364"/>
      <c r="E40" s="551" t="s">
        <v>147</v>
      </c>
      <c r="F40" s="1090">
        <v>33</v>
      </c>
      <c r="G40" s="14" t="str">
        <f>IF(ID!$B$84=E40,F40,"")</f>
        <v/>
      </c>
      <c r="H40" s="309" t="str">
        <f>IFERROR(SMALL($G$8:$G$105,ROWS(G$8:$G40)),"")</f>
        <v/>
      </c>
    </row>
    <row r="41" spans="2:8" x14ac:dyDescent="0.25">
      <c r="B41" s="357">
        <v>500</v>
      </c>
      <c r="C41" s="355">
        <v>1.5</v>
      </c>
      <c r="D41" s="364"/>
      <c r="E41" s="551" t="s">
        <v>147</v>
      </c>
      <c r="F41" s="1090">
        <v>34</v>
      </c>
      <c r="G41" s="14" t="str">
        <f>IF(ID!$B$84=E41,F41,"")</f>
        <v/>
      </c>
      <c r="H41" s="309" t="str">
        <f>IFERROR(SMALL($G$8:$G$105,ROWS(G$8:$G41)),"")</f>
        <v/>
      </c>
    </row>
    <row r="42" spans="2:8" ht="13.8" thickBot="1" x14ac:dyDescent="0.3">
      <c r="B42" s="560">
        <v>700</v>
      </c>
      <c r="C42" s="561">
        <f>C41</f>
        <v>1.5</v>
      </c>
      <c r="D42" s="364"/>
      <c r="E42" s="551" t="s">
        <v>147</v>
      </c>
      <c r="F42" s="1090">
        <v>35</v>
      </c>
      <c r="G42" s="14" t="str">
        <f>IF(ID!$B$84=E42,F42,"")</f>
        <v/>
      </c>
      <c r="H42" s="309" t="str">
        <f>IFERROR(SMALL($G$8:$G$105,ROWS(G$8:$G42)),"")</f>
        <v/>
      </c>
    </row>
    <row r="43" spans="2:8" ht="13.8" thickBot="1" x14ac:dyDescent="0.3">
      <c r="B43" s="358"/>
      <c r="C43" s="567"/>
      <c r="D43" s="570"/>
      <c r="E43" s="361"/>
      <c r="F43" s="1090">
        <v>36</v>
      </c>
      <c r="G43" s="14" t="str">
        <f>IF(ID!$B$84=E43,F43,"")</f>
        <v/>
      </c>
      <c r="H43" s="309" t="str">
        <f>IFERROR(SMALL($G$8:$G$105,ROWS(G$8:$G43)),"")</f>
        <v/>
      </c>
    </row>
    <row r="44" spans="2:8" x14ac:dyDescent="0.25">
      <c r="B44" s="563"/>
      <c r="F44" s="1090">
        <v>37</v>
      </c>
      <c r="G44" s="14" t="str">
        <f>IF(ID!$B$84=E44,F44,"")</f>
        <v/>
      </c>
      <c r="H44" s="309" t="str">
        <f>IFERROR(SMALL($G$8:$G$105,ROWS(G$8:$G44)),"")</f>
        <v/>
      </c>
    </row>
    <row r="45" spans="2:8" x14ac:dyDescent="0.25">
      <c r="B45" s="563"/>
      <c r="E45" s="24"/>
      <c r="F45" s="1090">
        <v>38</v>
      </c>
      <c r="G45" s="14" t="str">
        <f>IF(ID!$B$84=E45,F45,"")</f>
        <v/>
      </c>
      <c r="H45" s="309" t="str">
        <f>IFERROR(SMALL($G$8:$G$105,ROWS(G$8:$G45)),"")</f>
        <v/>
      </c>
    </row>
    <row r="46" spans="2:8" x14ac:dyDescent="0.25">
      <c r="B46" s="569">
        <v>0</v>
      </c>
      <c r="C46" s="787">
        <v>0</v>
      </c>
      <c r="D46" s="571">
        <v>2021</v>
      </c>
      <c r="E46" s="549" t="s">
        <v>258</v>
      </c>
      <c r="F46" s="1090">
        <v>39</v>
      </c>
      <c r="G46" s="14" t="str">
        <f>IF(ID!$B$84=E46,F46,"")</f>
        <v/>
      </c>
      <c r="H46" s="309" t="str">
        <f>IFERROR(SMALL($G$8:$G$105,ROWS(G$8:$G46)),"")</f>
        <v/>
      </c>
    </row>
    <row r="47" spans="2:8" x14ac:dyDescent="0.25">
      <c r="B47" s="357">
        <v>50</v>
      </c>
      <c r="C47" s="355">
        <v>1.2</v>
      </c>
      <c r="D47" s="364"/>
      <c r="E47" s="539" t="s">
        <v>258</v>
      </c>
      <c r="F47" s="1090">
        <v>40</v>
      </c>
      <c r="G47" s="14" t="str">
        <f>IF(ID!$B$84=E47,F47,"")</f>
        <v/>
      </c>
      <c r="H47" s="309" t="str">
        <f>IFERROR(SMALL($G$8:$G$105,ROWS(G$8:$G47)),"")</f>
        <v/>
      </c>
    </row>
    <row r="48" spans="2:8" x14ac:dyDescent="0.25">
      <c r="B48" s="357">
        <v>100</v>
      </c>
      <c r="C48" s="355">
        <v>3.9</v>
      </c>
      <c r="D48" s="364"/>
      <c r="E48" s="539" t="s">
        <v>258</v>
      </c>
      <c r="F48" s="1090">
        <v>41</v>
      </c>
      <c r="G48" s="14" t="str">
        <f>IF(ID!$B$84=E48,F48,"")</f>
        <v/>
      </c>
      <c r="H48" s="309" t="str">
        <f>IFERROR(SMALL($G$8:$G$105,ROWS(G$8:$G48)),"")</f>
        <v/>
      </c>
    </row>
    <row r="49" spans="2:8" x14ac:dyDescent="0.25">
      <c r="B49" s="357">
        <v>500</v>
      </c>
      <c r="C49" s="355">
        <v>9.3000000000000007</v>
      </c>
      <c r="D49" s="364"/>
      <c r="E49" s="539" t="s">
        <v>258</v>
      </c>
      <c r="F49" s="1090">
        <v>42</v>
      </c>
      <c r="G49" s="14" t="str">
        <f>IF(ID!$B$84=E49,F49,"")</f>
        <v/>
      </c>
      <c r="H49" s="309" t="str">
        <f>IFERROR(SMALL($G$8:$G$105,ROWS(G$8:$G49)),"")</f>
        <v/>
      </c>
    </row>
    <row r="50" spans="2:8" ht="13.8" thickBot="1" x14ac:dyDescent="0.3">
      <c r="B50" s="560">
        <v>700</v>
      </c>
      <c r="C50" s="561">
        <f>C49</f>
        <v>9.3000000000000007</v>
      </c>
      <c r="D50" s="570"/>
      <c r="E50" s="549" t="s">
        <v>258</v>
      </c>
      <c r="F50" s="1090">
        <v>43</v>
      </c>
      <c r="G50" s="14" t="str">
        <f>IF(ID!$B$84=E50,F50,"")</f>
        <v/>
      </c>
      <c r="H50" s="309" t="str">
        <f>IFERROR(SMALL($G$8:$G$105,ROWS(G$8:$G50)),"")</f>
        <v/>
      </c>
    </row>
    <row r="51" spans="2:8" ht="13.8" thickBot="1" x14ac:dyDescent="0.3">
      <c r="B51" s="358"/>
      <c r="C51" s="567"/>
      <c r="D51" s="570"/>
      <c r="E51" s="361"/>
      <c r="F51" s="1090">
        <v>44</v>
      </c>
      <c r="G51" s="14" t="str">
        <f>IF(ID!$B$84=E51,F51,"")</f>
        <v/>
      </c>
      <c r="H51" s="309" t="str">
        <f>IFERROR(SMALL($G$8:$G$105,ROWS(G$8:$G51)),"")</f>
        <v/>
      </c>
    </row>
    <row r="52" spans="2:8" ht="13.8" thickBot="1" x14ac:dyDescent="0.3">
      <c r="B52" s="358"/>
      <c r="C52" s="572"/>
      <c r="D52" s="364"/>
      <c r="E52" s="24"/>
      <c r="F52" s="1090">
        <v>45</v>
      </c>
      <c r="G52" s="14" t="str">
        <f>IF(ID!$B$84=E52,F52,"")</f>
        <v/>
      </c>
      <c r="H52" s="309" t="str">
        <f>IFERROR(SMALL($G$8:$G$105,ROWS(G$8:$G52)),"")</f>
        <v/>
      </c>
    </row>
    <row r="53" spans="2:8" x14ac:dyDescent="0.25">
      <c r="B53" s="563"/>
      <c r="F53" s="1090">
        <v>46</v>
      </c>
      <c r="G53" s="14" t="str">
        <f>IF(ID!$B$84=E53,F53,"")</f>
        <v/>
      </c>
      <c r="H53" s="309" t="str">
        <f>IFERROR(SMALL($G$8:$G$105,ROWS(G$8:$G53)),"")</f>
        <v/>
      </c>
    </row>
    <row r="54" spans="2:8" x14ac:dyDescent="0.25">
      <c r="B54" s="563"/>
      <c r="E54" s="24"/>
      <c r="F54" s="1090">
        <v>47</v>
      </c>
      <c r="G54" s="14" t="str">
        <f>IF(ID!$B$84=E54,F54,"")</f>
        <v/>
      </c>
      <c r="H54" s="309" t="str">
        <f>IFERROR(SMALL($G$8:$G$105,ROWS(G$8:$G54)),"")</f>
        <v/>
      </c>
    </row>
    <row r="55" spans="2:8" ht="13.8" x14ac:dyDescent="0.3">
      <c r="B55" s="779" t="s">
        <v>284</v>
      </c>
      <c r="C55" s="779" t="s">
        <v>272</v>
      </c>
      <c r="D55" s="780" t="s">
        <v>273</v>
      </c>
      <c r="E55" s="24"/>
      <c r="F55" s="1090">
        <v>48</v>
      </c>
      <c r="G55" s="14" t="str">
        <f>IF(ID!$B$84=E55,F55,"")</f>
        <v/>
      </c>
      <c r="H55" s="309" t="str">
        <f>IFERROR(SMALL($G$8:$G$105,ROWS(G$8:$G55)),"")</f>
        <v/>
      </c>
    </row>
    <row r="56" spans="2:8" x14ac:dyDescent="0.25">
      <c r="B56" s="357">
        <v>0</v>
      </c>
      <c r="C56" s="782">
        <v>0</v>
      </c>
      <c r="D56" s="559">
        <v>2022</v>
      </c>
      <c r="E56" s="539" t="s">
        <v>260</v>
      </c>
      <c r="F56" s="1090">
        <v>49</v>
      </c>
      <c r="G56" s="14" t="str">
        <f>IF(ID!$B$84=E56,F56,"")</f>
        <v/>
      </c>
      <c r="H56" s="309" t="str">
        <f>IFERROR(SMALL($G$8:$G$105,ROWS(G$8:$G56)),"")</f>
        <v/>
      </c>
    </row>
    <row r="57" spans="2:8" x14ac:dyDescent="0.25">
      <c r="B57" s="357">
        <v>15</v>
      </c>
      <c r="C57" s="782">
        <v>7.9</v>
      </c>
      <c r="D57" s="364"/>
      <c r="E57" s="539" t="s">
        <v>260</v>
      </c>
      <c r="F57" s="1090">
        <v>50</v>
      </c>
      <c r="G57" s="14" t="str">
        <f>IF(ID!$B$84=E57,F57,"")</f>
        <v/>
      </c>
      <c r="H57" s="309" t="str">
        <f>IFERROR(SMALL($G$8:$G$105,ROWS(G$8:$G57)),"")</f>
        <v/>
      </c>
    </row>
    <row r="58" spans="2:8" x14ac:dyDescent="0.25">
      <c r="B58" s="357">
        <v>50</v>
      </c>
      <c r="C58" s="782">
        <v>19.100000000000001</v>
      </c>
      <c r="D58" s="364"/>
      <c r="E58" s="539" t="s">
        <v>260</v>
      </c>
      <c r="F58" s="1090">
        <v>51</v>
      </c>
      <c r="G58" s="14" t="str">
        <f>IF(ID!$B$84=E58,F58,"")</f>
        <v/>
      </c>
      <c r="H58" s="309" t="str">
        <f>IFERROR(SMALL($G$8:$G$105,ROWS(G$8:$G58)),"")</f>
        <v/>
      </c>
    </row>
    <row r="59" spans="2:8" x14ac:dyDescent="0.25">
      <c r="B59" s="357">
        <v>100</v>
      </c>
      <c r="C59" s="782">
        <v>18.399999999999999</v>
      </c>
      <c r="D59" s="364"/>
      <c r="E59" s="539" t="s">
        <v>260</v>
      </c>
      <c r="F59" s="1090">
        <v>52</v>
      </c>
      <c r="G59" s="14" t="str">
        <f>IF(ID!$B$84=E59,F59,"")</f>
        <v/>
      </c>
      <c r="H59" s="309" t="str">
        <f>IFERROR(SMALL($G$8:$G$105,ROWS(G$8:$G59)),"")</f>
        <v/>
      </c>
    </row>
    <row r="60" spans="2:8" x14ac:dyDescent="0.25">
      <c r="B60" s="357">
        <v>200</v>
      </c>
      <c r="C60" s="788">
        <v>14.4</v>
      </c>
      <c r="D60" s="364"/>
      <c r="E60" s="539" t="s">
        <v>260</v>
      </c>
      <c r="F60" s="1090">
        <v>53</v>
      </c>
      <c r="G60" s="14" t="str">
        <f>IF(ID!$B$84=E60,F60,"")</f>
        <v/>
      </c>
      <c r="H60" s="309" t="str">
        <f>IFERROR(SMALL($G$8:$G$105,ROWS(G$8:$G60)),"")</f>
        <v/>
      </c>
    </row>
    <row r="61" spans="2:8" ht="13.8" thickBot="1" x14ac:dyDescent="0.3">
      <c r="B61" s="783">
        <v>500</v>
      </c>
      <c r="C61" s="784">
        <v>6.2</v>
      </c>
      <c r="D61" s="789"/>
      <c r="E61" s="790" t="s">
        <v>260</v>
      </c>
      <c r="F61" s="1090">
        <v>54</v>
      </c>
      <c r="G61" s="14" t="str">
        <f>IF(ID!$B$84=E61,F61,"")</f>
        <v/>
      </c>
      <c r="H61" s="309" t="str">
        <f>IFERROR(SMALL($G$8:$G$105,ROWS(G$8:$G61)),"")</f>
        <v/>
      </c>
    </row>
    <row r="62" spans="2:8" x14ac:dyDescent="0.25">
      <c r="B62" s="563">
        <v>700</v>
      </c>
      <c r="C62" s="791">
        <f>C61</f>
        <v>6.2</v>
      </c>
      <c r="E62" s="608" t="s">
        <v>260</v>
      </c>
      <c r="F62" s="1090">
        <v>55</v>
      </c>
      <c r="G62" s="14" t="str">
        <f>IF(ID!$B$84=E62,F62,"")</f>
        <v/>
      </c>
      <c r="H62" s="309" t="str">
        <f>IFERROR(SMALL($G$8:$G$105,ROWS(G$8:$G62)),"")</f>
        <v/>
      </c>
    </row>
    <row r="63" spans="2:8" x14ac:dyDescent="0.25">
      <c r="B63" s="563"/>
      <c r="E63" s="24"/>
      <c r="F63" s="1090">
        <v>56</v>
      </c>
      <c r="G63" s="14" t="str">
        <f>IF(ID!$B$84=E63,F63,"")</f>
        <v/>
      </c>
      <c r="H63" s="309" t="str">
        <f>IFERROR(SMALL($G$8:$G$105,ROWS(G$8:$G63)),"")</f>
        <v/>
      </c>
    </row>
    <row r="64" spans="2:8" x14ac:dyDescent="0.25">
      <c r="B64" s="563"/>
      <c r="E64" s="24"/>
      <c r="F64" s="1090">
        <v>57</v>
      </c>
      <c r="G64" s="14" t="str">
        <f>IF(ID!$B$84=E64,F64,"")</f>
        <v/>
      </c>
      <c r="H64" s="309" t="str">
        <f>IFERROR(SMALL($G$8:$G$105,ROWS(G$8:$G64)),"")</f>
        <v/>
      </c>
    </row>
    <row r="65" spans="2:8" ht="13.8" x14ac:dyDescent="0.3">
      <c r="B65" s="779" t="s">
        <v>284</v>
      </c>
      <c r="C65" s="779" t="s">
        <v>272</v>
      </c>
      <c r="D65" s="780" t="s">
        <v>273</v>
      </c>
      <c r="E65" s="24"/>
      <c r="F65" s="1090">
        <v>58</v>
      </c>
      <c r="G65" s="14" t="str">
        <f>IF(ID!$B$84=E65,F65,"")</f>
        <v/>
      </c>
      <c r="H65" s="309" t="str">
        <f>IFERROR(SMALL($G$8:$G$105,ROWS(G$8:$G65)),"")</f>
        <v/>
      </c>
    </row>
    <row r="66" spans="2:8" x14ac:dyDescent="0.25">
      <c r="B66" s="357">
        <v>0</v>
      </c>
      <c r="C66" s="355">
        <v>0</v>
      </c>
      <c r="D66" s="364">
        <v>2022</v>
      </c>
      <c r="E66" s="24" t="s">
        <v>261</v>
      </c>
      <c r="F66" s="1090">
        <v>59</v>
      </c>
      <c r="G66" s="14" t="str">
        <f>IF(ID!$B$84=E66,F66,"")</f>
        <v/>
      </c>
      <c r="H66" s="309" t="str">
        <f>IFERROR(SMALL($G$8:$G$105,ROWS(G$8:$G66)),"")</f>
        <v/>
      </c>
    </row>
    <row r="67" spans="2:8" x14ac:dyDescent="0.25">
      <c r="B67" s="357">
        <v>50</v>
      </c>
      <c r="C67" s="355">
        <v>1.9</v>
      </c>
      <c r="D67" s="364"/>
      <c r="E67" s="24" t="s">
        <v>261</v>
      </c>
      <c r="F67" s="1090">
        <v>60</v>
      </c>
      <c r="G67" s="14" t="str">
        <f>IF(ID!$B$84=E67,F67,"")</f>
        <v/>
      </c>
      <c r="H67" s="309" t="str">
        <f>IFERROR(SMALL($G$8:$G$105,ROWS(G$8:$G67)),"")</f>
        <v/>
      </c>
    </row>
    <row r="68" spans="2:8" x14ac:dyDescent="0.25">
      <c r="B68" s="357">
        <v>100</v>
      </c>
      <c r="C68" s="355">
        <v>1.7</v>
      </c>
      <c r="D68" s="364"/>
      <c r="E68" s="24" t="s">
        <v>261</v>
      </c>
      <c r="F68" s="1090">
        <v>61</v>
      </c>
      <c r="G68" s="14" t="str">
        <f>IF(ID!$B$84=E68,F68,"")</f>
        <v/>
      </c>
      <c r="H68" s="309" t="str">
        <f>IFERROR(SMALL($G$8:$G$105,ROWS(G$8:$G68)),"")</f>
        <v/>
      </c>
    </row>
    <row r="69" spans="2:8" x14ac:dyDescent="0.25">
      <c r="B69" s="357">
        <v>200</v>
      </c>
      <c r="C69" s="355">
        <v>1.5</v>
      </c>
      <c r="D69" s="364"/>
      <c r="E69" s="24" t="s">
        <v>261</v>
      </c>
      <c r="F69" s="1090">
        <v>62</v>
      </c>
      <c r="G69" s="14" t="str">
        <f>IF(ID!$B$84=E69,F69,"")</f>
        <v/>
      </c>
      <c r="H69" s="309" t="str">
        <f>IFERROR(SMALL($G$8:$G$105,ROWS(G$8:$G69)),"")</f>
        <v/>
      </c>
    </row>
    <row r="70" spans="2:8" x14ac:dyDescent="0.25">
      <c r="B70" s="357">
        <v>500</v>
      </c>
      <c r="C70" s="355">
        <v>0.9</v>
      </c>
      <c r="D70" s="364"/>
      <c r="E70" s="24" t="s">
        <v>261</v>
      </c>
      <c r="F70" s="1090">
        <v>63</v>
      </c>
      <c r="G70" s="14" t="str">
        <f>IF(ID!$B$84=E70,F70,"")</f>
        <v/>
      </c>
      <c r="H70" s="309" t="str">
        <f>IFERROR(SMALL($G$8:$G$105,ROWS(G$8:$G70)),"")</f>
        <v/>
      </c>
    </row>
    <row r="71" spans="2:8" ht="13.8" thickBot="1" x14ac:dyDescent="0.3">
      <c r="B71" s="560">
        <v>700</v>
      </c>
      <c r="C71" s="561">
        <f>C70</f>
        <v>0.9</v>
      </c>
      <c r="D71" s="570"/>
      <c r="E71" s="361" t="s">
        <v>261</v>
      </c>
      <c r="F71" s="1090">
        <v>64</v>
      </c>
      <c r="G71" s="14" t="str">
        <f>IF(ID!$B$84=E71,F71,"")</f>
        <v/>
      </c>
      <c r="H71" s="309" t="str">
        <f>IFERROR(SMALL($G$8:$G$105,ROWS(G$8:$G71)),"")</f>
        <v/>
      </c>
    </row>
    <row r="72" spans="2:8" x14ac:dyDescent="0.25">
      <c r="B72" s="563"/>
      <c r="F72" s="1090">
        <v>65</v>
      </c>
      <c r="G72" s="14" t="str">
        <f>IF(ID!$B$84=E72,F72,"")</f>
        <v/>
      </c>
      <c r="H72" s="309" t="str">
        <f>IFERROR(SMALL($G$8:$G$105,ROWS(G$8:$G72)),"")</f>
        <v/>
      </c>
    </row>
    <row r="73" spans="2:8" x14ac:dyDescent="0.25">
      <c r="B73" s="563"/>
      <c r="F73" s="1090">
        <v>66</v>
      </c>
      <c r="G73" s="14" t="str">
        <f>IF(ID!$B$84=E73,F73,"")</f>
        <v/>
      </c>
      <c r="H73" s="309" t="str">
        <f>IFERROR(SMALL($G$8:$G$105,ROWS(G$8:$G73)),"")</f>
        <v/>
      </c>
    </row>
    <row r="74" spans="2:8" x14ac:dyDescent="0.25">
      <c r="B74" s="563"/>
      <c r="F74" s="1090">
        <v>67</v>
      </c>
      <c r="G74" s="14" t="str">
        <f>IF(ID!$B$84=E74,F74,"")</f>
        <v/>
      </c>
      <c r="H74" s="309" t="str">
        <f>IFERROR(SMALL($G$8:$G$105,ROWS(G$8:$G74)),"")</f>
        <v/>
      </c>
    </row>
    <row r="75" spans="2:8" ht="13.8" x14ac:dyDescent="0.3">
      <c r="B75" s="779" t="s">
        <v>284</v>
      </c>
      <c r="C75" s="779" t="s">
        <v>272</v>
      </c>
      <c r="D75" s="780" t="s">
        <v>273</v>
      </c>
      <c r="F75" s="1090">
        <v>68</v>
      </c>
      <c r="G75" s="14" t="str">
        <f>IF(ID!$B$84=E75,F75,"")</f>
        <v/>
      </c>
      <c r="H75" s="309" t="str">
        <f>IFERROR(SMALL($G$8:$G$105,ROWS(G$8:$G75)),"")</f>
        <v/>
      </c>
    </row>
    <row r="76" spans="2:8" ht="13.8" x14ac:dyDescent="0.25">
      <c r="B76" s="366">
        <v>0</v>
      </c>
      <c r="C76" s="792">
        <v>6.6</v>
      </c>
      <c r="D76" s="573">
        <v>2022</v>
      </c>
      <c r="E76" s="539" t="s">
        <v>422</v>
      </c>
      <c r="F76" s="1090">
        <v>69</v>
      </c>
      <c r="G76" s="14" t="str">
        <f>IF(ID!$B$84=E76,F76,"")</f>
        <v/>
      </c>
      <c r="H76" s="309" t="str">
        <f>IFERROR(SMALL($G$8:$G$105,ROWS(G$8:$G76)),"")</f>
        <v/>
      </c>
    </row>
    <row r="77" spans="2:8" x14ac:dyDescent="0.25">
      <c r="B77" s="369">
        <v>20</v>
      </c>
      <c r="C77" s="792">
        <v>5</v>
      </c>
      <c r="D77" s="573"/>
      <c r="E77" s="539" t="s">
        <v>422</v>
      </c>
      <c r="F77" s="1090">
        <v>70</v>
      </c>
      <c r="G77" s="14" t="str">
        <f>IF(ID!$B$84=E77,F77,"")</f>
        <v/>
      </c>
      <c r="H77" s="309" t="str">
        <f>IFERROR(SMALL($G$8:$G$105,ROWS(G$8:$G77)),"")</f>
        <v/>
      </c>
    </row>
    <row r="78" spans="2:8" x14ac:dyDescent="0.25">
      <c r="B78" s="369">
        <v>50</v>
      </c>
      <c r="C78" s="793">
        <v>0.7</v>
      </c>
      <c r="D78" s="573"/>
      <c r="E78" s="539" t="s">
        <v>422</v>
      </c>
      <c r="F78" s="1090">
        <v>71</v>
      </c>
      <c r="G78" s="14" t="str">
        <f>IF(ID!$B$84=E78,F78,"")</f>
        <v/>
      </c>
      <c r="H78" s="309" t="str">
        <f>IFERROR(SMALL($G$8:$G$105,ROWS(G$8:$G78)),"")</f>
        <v/>
      </c>
    </row>
    <row r="79" spans="2:8" x14ac:dyDescent="0.25">
      <c r="B79" s="369">
        <v>100</v>
      </c>
      <c r="C79" s="793">
        <v>-8.1999999999999993</v>
      </c>
      <c r="D79" s="573"/>
      <c r="E79" s="539" t="s">
        <v>422</v>
      </c>
      <c r="F79" s="1090">
        <v>72</v>
      </c>
      <c r="G79" s="14" t="str">
        <f>IF(ID!$B$84=E79,F79,"")</f>
        <v/>
      </c>
      <c r="H79" s="309" t="str">
        <f>IFERROR(SMALL($G$8:$G$105,ROWS(G$8:$G79)),"")</f>
        <v/>
      </c>
    </row>
    <row r="80" spans="2:8" x14ac:dyDescent="0.25">
      <c r="B80" s="372">
        <v>500</v>
      </c>
      <c r="C80" s="793">
        <v>-31.8</v>
      </c>
      <c r="D80" s="573"/>
      <c r="E80" s="539" t="s">
        <v>422</v>
      </c>
      <c r="F80" s="1090">
        <v>73</v>
      </c>
      <c r="G80" s="14" t="str">
        <f>IF(ID!$B$84=E80,F80,"")</f>
        <v/>
      </c>
      <c r="H80" s="309" t="str">
        <f>IFERROR(SMALL($G$8:$G$105,ROWS(G$8:$G80)),"")</f>
        <v/>
      </c>
    </row>
    <row r="81" spans="2:8" ht="13.8" thickBot="1" x14ac:dyDescent="0.3">
      <c r="B81" s="560">
        <v>700</v>
      </c>
      <c r="C81" s="561">
        <f>C80</f>
        <v>-31.8</v>
      </c>
      <c r="D81" s="573"/>
      <c r="E81" s="549" t="s">
        <v>422</v>
      </c>
      <c r="F81" s="1090">
        <v>74</v>
      </c>
      <c r="G81" s="14" t="str">
        <f>IF(ID!$B$84=E81,F81,"")</f>
        <v/>
      </c>
      <c r="H81" s="309" t="str">
        <f>IFERROR(SMALL($G$8:$G$105,ROWS(G$8:$G81)),"")</f>
        <v/>
      </c>
    </row>
    <row r="82" spans="2:8" x14ac:dyDescent="0.25">
      <c r="B82" s="574"/>
      <c r="C82" s="575"/>
      <c r="D82" s="576"/>
      <c r="E82" s="551"/>
      <c r="F82" s="1090">
        <v>75</v>
      </c>
      <c r="G82" s="14" t="str">
        <f>IF(ID!$B$84=E82,F82,"")</f>
        <v/>
      </c>
      <c r="H82" s="309" t="str">
        <f>IFERROR(SMALL($G$8:$G$105,ROWS(G$8:$G82)),"")</f>
        <v/>
      </c>
    </row>
    <row r="83" spans="2:8" x14ac:dyDescent="0.25">
      <c r="B83" s="563"/>
      <c r="F83" s="1090">
        <v>76</v>
      </c>
      <c r="G83" s="14" t="str">
        <f>IF(ID!$B$84=E83,F83,"")</f>
        <v/>
      </c>
      <c r="H83" s="309" t="str">
        <f>IFERROR(SMALL($G$8:$G$105,ROWS(G$8:$G83)),"")</f>
        <v/>
      </c>
    </row>
    <row r="84" spans="2:8" x14ac:dyDescent="0.25">
      <c r="B84" s="563"/>
      <c r="F84" s="1090">
        <v>77</v>
      </c>
      <c r="G84" s="14" t="str">
        <f>IF(ID!$B$84=E84,F84,"")</f>
        <v/>
      </c>
      <c r="H84" s="309" t="str">
        <f>IFERROR(SMALL($G$8:$G$105,ROWS(G$8:$G84)),"")</f>
        <v/>
      </c>
    </row>
    <row r="85" spans="2:8" x14ac:dyDescent="0.25">
      <c r="B85" s="563"/>
      <c r="F85" s="1090">
        <v>78</v>
      </c>
      <c r="G85" s="14" t="str">
        <f>IF(ID!$B$84=E85,F85,"")</f>
        <v/>
      </c>
      <c r="H85" s="309" t="str">
        <f>IFERROR(SMALL($G$8:$G$105,ROWS(G$8:$G85)),"")</f>
        <v/>
      </c>
    </row>
    <row r="86" spans="2:8" ht="13.8" x14ac:dyDescent="0.3">
      <c r="B86" s="779" t="s">
        <v>284</v>
      </c>
      <c r="C86" s="779" t="s">
        <v>272</v>
      </c>
      <c r="D86" s="780" t="s">
        <v>273</v>
      </c>
      <c r="F86" s="1090">
        <v>79</v>
      </c>
      <c r="G86" s="14" t="str">
        <f>IF(ID!$B$84=E86,F86,"")</f>
        <v/>
      </c>
      <c r="H86" s="309" t="str">
        <f>IFERROR(SMALL($G$8:$G$105,ROWS(G$8:$G86)),"")</f>
        <v/>
      </c>
    </row>
    <row r="87" spans="2:8" ht="13.8" x14ac:dyDescent="0.25">
      <c r="B87" s="366">
        <v>0</v>
      </c>
      <c r="C87" s="367">
        <v>0</v>
      </c>
      <c r="D87" s="573">
        <v>2022</v>
      </c>
      <c r="E87" s="539" t="s">
        <v>423</v>
      </c>
      <c r="F87" s="1090">
        <v>80</v>
      </c>
      <c r="G87" s="14" t="str">
        <f>IF(ID!$B$84=E87,F87,"")</f>
        <v/>
      </c>
      <c r="H87" s="309" t="str">
        <f>IFERROR(SMALL($G$8:$G$105,ROWS(G$8:$G87)),"")</f>
        <v/>
      </c>
    </row>
    <row r="88" spans="2:8" x14ac:dyDescent="0.25">
      <c r="B88" s="369">
        <v>15</v>
      </c>
      <c r="C88" s="367">
        <v>4.9000000000000004</v>
      </c>
      <c r="D88" s="577"/>
      <c r="E88" s="539" t="s">
        <v>423</v>
      </c>
      <c r="F88" s="1090">
        <v>81</v>
      </c>
      <c r="G88" s="14" t="str">
        <f>IF(ID!$B$84=E88,F88,"")</f>
        <v/>
      </c>
      <c r="H88" s="309" t="str">
        <f>IFERROR(SMALL($G$8:$G$105,ROWS(G$8:$G88)),"")</f>
        <v/>
      </c>
    </row>
    <row r="89" spans="2:8" x14ac:dyDescent="0.25">
      <c r="B89" s="369">
        <v>50</v>
      </c>
      <c r="C89" s="371">
        <v>9.1999999999999993</v>
      </c>
      <c r="D89" s="577"/>
      <c r="E89" s="539" t="s">
        <v>423</v>
      </c>
      <c r="F89" s="1090">
        <v>82</v>
      </c>
      <c r="G89" s="14" t="str">
        <f>IF(ID!$B$84=E89,F89,"")</f>
        <v/>
      </c>
      <c r="H89" s="309" t="str">
        <f>IFERROR(SMALL($G$8:$G$105,ROWS(G$8:$G89)),"")</f>
        <v/>
      </c>
    </row>
    <row r="90" spans="2:8" x14ac:dyDescent="0.25">
      <c r="B90" s="369">
        <v>100</v>
      </c>
      <c r="C90" s="371">
        <v>7.7</v>
      </c>
      <c r="D90" s="577"/>
      <c r="E90" s="539" t="s">
        <v>423</v>
      </c>
      <c r="F90" s="1090">
        <v>83</v>
      </c>
      <c r="G90" s="14" t="str">
        <f>IF(ID!$B$84=E90,F90,"")</f>
        <v/>
      </c>
      <c r="H90" s="309" t="str">
        <f>IFERROR(SMALL($G$8:$G$105,ROWS(G$8:$G90)),"")</f>
        <v/>
      </c>
    </row>
    <row r="91" spans="2:8" x14ac:dyDescent="0.25">
      <c r="B91" s="372">
        <v>200</v>
      </c>
      <c r="C91" s="371">
        <v>-0.2</v>
      </c>
      <c r="D91" s="577"/>
      <c r="E91" s="539" t="s">
        <v>423</v>
      </c>
      <c r="F91" s="1090">
        <v>84</v>
      </c>
      <c r="G91" s="14" t="str">
        <f>IF(ID!$B$84=E91,F91,"")</f>
        <v/>
      </c>
      <c r="H91" s="309" t="str">
        <f>IFERROR(SMALL($G$8:$G$105,ROWS(G$8:$G91)),"")</f>
        <v/>
      </c>
    </row>
    <row r="92" spans="2:8" ht="13.8" thickBot="1" x14ac:dyDescent="0.3">
      <c r="B92" s="783">
        <v>500</v>
      </c>
      <c r="C92" s="794">
        <v>-25.1</v>
      </c>
      <c r="D92" s="577"/>
      <c r="E92" s="549" t="s">
        <v>423</v>
      </c>
      <c r="F92" s="1090">
        <v>85</v>
      </c>
      <c r="G92" s="14" t="str">
        <f>IF(ID!$B$84=E92,F92,"")</f>
        <v/>
      </c>
      <c r="H92" s="309" t="str">
        <f>IFERROR(SMALL($G$8:$G$105,ROWS(G$8:$G92)),"")</f>
        <v/>
      </c>
    </row>
    <row r="93" spans="2:8" x14ac:dyDescent="0.25">
      <c r="B93" s="795">
        <v>700</v>
      </c>
      <c r="C93" s="796">
        <f>C92</f>
        <v>-25.1</v>
      </c>
      <c r="D93" s="578"/>
      <c r="E93" s="549" t="s">
        <v>423</v>
      </c>
      <c r="F93" s="1090">
        <v>86</v>
      </c>
      <c r="G93" s="14" t="str">
        <f>IF(ID!$B$84=E93,F93,"")</f>
        <v/>
      </c>
      <c r="H93" s="309" t="str">
        <f>IFERROR(SMALL($G$8:$G$105,ROWS(G$8:$G93)),"")</f>
        <v/>
      </c>
    </row>
    <row r="94" spans="2:8" x14ac:dyDescent="0.25">
      <c r="B94" s="563"/>
      <c r="F94" s="1090">
        <v>87</v>
      </c>
      <c r="G94" s="14" t="str">
        <f>IF(ID!$B$84=E94,F94,"")</f>
        <v/>
      </c>
      <c r="H94" s="309" t="str">
        <f>IFERROR(SMALL($G$8:$G$105,ROWS(G$8:$G94)),"")</f>
        <v/>
      </c>
    </row>
    <row r="95" spans="2:8" x14ac:dyDescent="0.25">
      <c r="B95" s="563"/>
      <c r="F95" s="1090">
        <v>88</v>
      </c>
      <c r="G95" s="14" t="str">
        <f>IF(ID!$B$84=E95,F95,"")</f>
        <v/>
      </c>
      <c r="H95" s="309" t="str">
        <f>IFERROR(SMALL($G$8:$G$105,ROWS(G$8:$G95)),"")</f>
        <v/>
      </c>
    </row>
    <row r="96" spans="2:8" x14ac:dyDescent="0.25">
      <c r="B96" s="563"/>
      <c r="F96" s="1090">
        <v>89</v>
      </c>
      <c r="G96" s="14" t="str">
        <f>IF(ID!$B$84=E96,F96,"")</f>
        <v/>
      </c>
      <c r="H96" s="309" t="str">
        <f>IFERROR(SMALL($G$8:$G$105,ROWS(G$8:$G96)),"")</f>
        <v/>
      </c>
    </row>
    <row r="97" spans="2:8" x14ac:dyDescent="0.25">
      <c r="B97" s="563"/>
      <c r="F97" s="1090">
        <v>90</v>
      </c>
      <c r="G97" s="14" t="str">
        <f>IF(ID!$B$84=E97,F97,"")</f>
        <v/>
      </c>
      <c r="H97" s="309" t="str">
        <f>IFERROR(SMALL($G$8:$G$105,ROWS(G$8:$G97)),"")</f>
        <v/>
      </c>
    </row>
    <row r="98" spans="2:8" ht="13.8" x14ac:dyDescent="0.25">
      <c r="B98" s="366">
        <v>0</v>
      </c>
      <c r="C98" s="792">
        <v>0</v>
      </c>
      <c r="D98" s="573">
        <v>2021</v>
      </c>
      <c r="E98" s="539"/>
      <c r="F98" s="1090">
        <v>91</v>
      </c>
      <c r="G98" s="14" t="str">
        <f>IF(ID!$B$84=E98,F98,"")</f>
        <v/>
      </c>
      <c r="H98" s="309" t="str">
        <f>IFERROR(SMALL($G$8:$G$105,ROWS(G$8:$G98)),"")</f>
        <v/>
      </c>
    </row>
    <row r="99" spans="2:8" x14ac:dyDescent="0.25">
      <c r="B99" s="369">
        <v>20</v>
      </c>
      <c r="C99" s="792">
        <v>0.3</v>
      </c>
      <c r="D99" s="577"/>
      <c r="E99" s="539"/>
      <c r="F99" s="1090">
        <v>92</v>
      </c>
      <c r="G99" s="14" t="str">
        <f>IF(ID!$B$84=E99,F99,"")</f>
        <v/>
      </c>
      <c r="H99" s="309" t="str">
        <f>IFERROR(SMALL($G$8:$G$105,ROWS(G$8:$G99)),"")</f>
        <v/>
      </c>
    </row>
    <row r="100" spans="2:8" x14ac:dyDescent="0.25">
      <c r="B100" s="369">
        <v>50</v>
      </c>
      <c r="C100" s="793">
        <v>0.4</v>
      </c>
      <c r="D100" s="577"/>
      <c r="E100" s="539"/>
      <c r="F100" s="1090">
        <v>93</v>
      </c>
      <c r="G100" s="14" t="str">
        <f>IF(ID!$B$84=E100,F100,"")</f>
        <v/>
      </c>
      <c r="H100" s="309" t="str">
        <f>IFERROR(SMALL($G$8:$G$105,ROWS(G$8:$G100)),"")</f>
        <v/>
      </c>
    </row>
    <row r="101" spans="2:8" x14ac:dyDescent="0.25">
      <c r="B101" s="369">
        <v>100</v>
      </c>
      <c r="C101" s="793">
        <v>0.4</v>
      </c>
      <c r="D101" s="577"/>
      <c r="E101" s="539"/>
      <c r="F101" s="1090">
        <v>94</v>
      </c>
      <c r="G101" s="14" t="str">
        <f>IF(ID!$B$84=E101,F101,"")</f>
        <v/>
      </c>
      <c r="H101" s="309" t="str">
        <f>IFERROR(SMALL($G$8:$G$105,ROWS(G$8:$G101)),"")</f>
        <v/>
      </c>
    </row>
    <row r="102" spans="2:8" x14ac:dyDescent="0.25">
      <c r="B102" s="372">
        <v>500</v>
      </c>
      <c r="C102" s="793">
        <v>1.5</v>
      </c>
      <c r="D102" s="577"/>
      <c r="E102" s="539"/>
      <c r="F102" s="1090">
        <v>95</v>
      </c>
      <c r="G102" s="14" t="str">
        <f>IF(ID!$B$84=E102,F102,"")</f>
        <v/>
      </c>
      <c r="H102" s="309" t="str">
        <f>IFERROR(SMALL($G$8:$G$105,ROWS(G$8:$G102)),"")</f>
        <v/>
      </c>
    </row>
    <row r="103" spans="2:8" ht="13.8" thickBot="1" x14ac:dyDescent="0.3">
      <c r="B103" s="560">
        <v>700</v>
      </c>
      <c r="C103" s="797">
        <f>C102</f>
        <v>1.5</v>
      </c>
      <c r="D103" s="577"/>
      <c r="E103" s="539"/>
      <c r="F103" s="1090">
        <v>96</v>
      </c>
      <c r="G103" s="14" t="str">
        <f>IF(ID!$B$84=E103,F103,"")</f>
        <v/>
      </c>
      <c r="H103" s="309" t="str">
        <f>IFERROR(SMALL($G$8:$G$105,ROWS(G$8:$G103)),"")</f>
        <v/>
      </c>
    </row>
    <row r="104" spans="2:8" x14ac:dyDescent="0.25">
      <c r="B104" s="574"/>
      <c r="C104" s="575"/>
      <c r="D104" s="578"/>
      <c r="E104" s="539"/>
      <c r="F104" s="1090">
        <v>97</v>
      </c>
      <c r="G104" s="14" t="str">
        <f>IF(ID!$B$84=E104,F104,"")</f>
        <v/>
      </c>
      <c r="H104" s="309" t="str">
        <f>IFERROR(SMALL($G$8:$G$105,ROWS(G$8:$G104)),"")</f>
        <v/>
      </c>
    </row>
    <row r="105" spans="2:8" x14ac:dyDescent="0.25">
      <c r="B105" s="563"/>
      <c r="F105" s="1090">
        <v>98</v>
      </c>
      <c r="G105" s="14" t="str">
        <f>IF(ID!$B$84=E105,F105,"")</f>
        <v/>
      </c>
      <c r="H105" s="309" t="str">
        <f>IFERROR(SMALL($G$8:$G$105,ROWS(G$8:$G105)),"")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2"/>
  <dimension ref="A1:W224"/>
  <sheetViews>
    <sheetView topLeftCell="O1" workbookViewId="0">
      <selection activeCell="T15" sqref="T15"/>
    </sheetView>
  </sheetViews>
  <sheetFormatPr defaultColWidth="9.21875" defaultRowHeight="10.199999999999999" x14ac:dyDescent="0.2"/>
  <cols>
    <col min="1" max="1" width="9.21875" style="11"/>
    <col min="2" max="2" width="9.21875" style="11" bestFit="1" customWidth="1"/>
    <col min="3" max="3" width="11.5546875" style="11" customWidth="1"/>
    <col min="4" max="5" width="9.21875" style="11" bestFit="1" customWidth="1"/>
    <col min="6" max="6" width="13.21875" style="11" customWidth="1"/>
    <col min="7" max="7" width="9.21875" style="11" bestFit="1" customWidth="1"/>
    <col min="8" max="8" width="10.44140625" style="11" bestFit="1" customWidth="1"/>
    <col min="9" max="9" width="68.77734375" style="11" customWidth="1"/>
    <col min="10" max="14" width="9.21875" style="11" customWidth="1"/>
    <col min="15" max="21" width="12.21875" style="11" customWidth="1"/>
    <col min="22" max="22" width="10.44140625" style="11" customWidth="1"/>
    <col min="23" max="23" width="70" style="11" customWidth="1"/>
    <col min="24" max="24" width="9.21875" style="11" customWidth="1"/>
    <col min="25" max="16384" width="9.21875" style="11"/>
  </cols>
  <sheetData>
    <row r="1" spans="2:23" x14ac:dyDescent="0.2">
      <c r="B1" s="1204" t="s">
        <v>825</v>
      </c>
      <c r="C1" s="1204"/>
      <c r="D1" s="1204"/>
      <c r="E1" s="1204"/>
      <c r="F1" s="1204"/>
      <c r="G1" s="1204"/>
      <c r="H1" s="1204"/>
    </row>
    <row r="2" spans="2:23" x14ac:dyDescent="0.2">
      <c r="B2" s="1204"/>
      <c r="C2" s="1204"/>
      <c r="D2" s="1204"/>
      <c r="E2" s="1204"/>
      <c r="F2" s="1204"/>
      <c r="G2" s="1204"/>
      <c r="H2" s="1204"/>
      <c r="W2" s="12" t="s">
        <v>266</v>
      </c>
    </row>
    <row r="3" spans="2:23" x14ac:dyDescent="0.2">
      <c r="O3" s="14"/>
    </row>
    <row r="4" spans="2:23" x14ac:dyDescent="0.2">
      <c r="P4" s="11">
        <f>COLUMNS($N8:N8)</f>
        <v>1</v>
      </c>
    </row>
    <row r="7" spans="2:23" x14ac:dyDescent="0.2">
      <c r="B7" s="13" t="s">
        <v>342</v>
      </c>
      <c r="C7" s="13" t="s">
        <v>343</v>
      </c>
      <c r="D7" s="13" t="s">
        <v>344</v>
      </c>
      <c r="E7" s="13" t="s">
        <v>345</v>
      </c>
      <c r="F7" s="13" t="s">
        <v>346</v>
      </c>
      <c r="G7" s="13" t="s">
        <v>347</v>
      </c>
      <c r="H7" s="26" t="s">
        <v>273</v>
      </c>
      <c r="I7" s="12" t="s">
        <v>266</v>
      </c>
      <c r="J7" s="27" t="s">
        <v>275</v>
      </c>
      <c r="K7" s="27" t="s">
        <v>276</v>
      </c>
      <c r="L7" s="27" t="s">
        <v>277</v>
      </c>
      <c r="O7" s="905" t="s">
        <v>342</v>
      </c>
      <c r="P7" s="13" t="s">
        <v>343</v>
      </c>
      <c r="Q7" s="13" t="s">
        <v>344</v>
      </c>
      <c r="R7" s="905" t="s">
        <v>345</v>
      </c>
      <c r="S7" s="13" t="s">
        <v>346</v>
      </c>
      <c r="T7" s="13" t="s">
        <v>347</v>
      </c>
      <c r="U7" s="31" t="s">
        <v>273</v>
      </c>
    </row>
    <row r="8" spans="2:23" ht="13.8" x14ac:dyDescent="0.3">
      <c r="B8" s="9">
        <v>15</v>
      </c>
      <c r="C8" s="28">
        <v>-0.1</v>
      </c>
      <c r="D8" s="29">
        <v>0.3</v>
      </c>
      <c r="E8" s="9">
        <v>30</v>
      </c>
      <c r="F8" s="28">
        <v>-9.6999999999999993</v>
      </c>
      <c r="G8" s="29">
        <v>3.1</v>
      </c>
      <c r="H8" s="655" t="s">
        <v>470</v>
      </c>
      <c r="I8" s="764" t="s">
        <v>787</v>
      </c>
      <c r="J8" s="14">
        <f>ROWS($H$8:I8)</f>
        <v>1</v>
      </c>
      <c r="K8" s="14" t="str">
        <f>IF(ID!$B$83=I8,J8,"")</f>
        <v/>
      </c>
      <c r="L8" s="1088">
        <f>IFERROR(SMALL($K$8:$K$224,ROWS($K$8:K9)),"")</f>
        <v>182</v>
      </c>
      <c r="O8" s="919" cm="1">
        <f t="array" ref="O8">INDEX($B$8:$B$224,L8)</f>
        <v>20</v>
      </c>
      <c r="P8" s="906" cm="1">
        <f t="array" ref="P8">INDEX($C$8:$C$224,L8)</f>
        <v>0.2</v>
      </c>
      <c r="Q8" s="904" cm="1">
        <f t="array" ref="Q8">INDEX($D$8:$D$224,L8)</f>
        <v>0.4</v>
      </c>
      <c r="R8" s="919" cm="1">
        <f t="array" ref="R8">INDEX($E$8:$E$224,L8)</f>
        <v>40</v>
      </c>
      <c r="S8" s="904" cm="1">
        <f t="array" ref="S8">INDEX($F$8:$F$224,L8)</f>
        <v>-1.4</v>
      </c>
      <c r="T8" s="904" cm="1">
        <f t="array" ref="T8">INDEX($G$8:$G$224,L8)</f>
        <v>2.2000000000000002</v>
      </c>
      <c r="U8" s="904" cm="1">
        <f t="array" ref="U8">INDEX($H$8:$H$224,L8)</f>
        <v>0</v>
      </c>
    </row>
    <row r="9" spans="2:23" ht="13.8" x14ac:dyDescent="0.3">
      <c r="B9" s="9">
        <v>20</v>
      </c>
      <c r="C9" s="30">
        <v>0.1</v>
      </c>
      <c r="D9" s="29">
        <v>0.3</v>
      </c>
      <c r="E9" s="9">
        <v>40</v>
      </c>
      <c r="F9" s="30">
        <v>-9.6999999999999993</v>
      </c>
      <c r="G9" s="29">
        <v>3.1</v>
      </c>
      <c r="H9" s="655"/>
      <c r="I9" s="764" t="s">
        <v>787</v>
      </c>
      <c r="J9" s="14">
        <f>ROWS($H$8:I9)</f>
        <v>2</v>
      </c>
      <c r="K9" s="14" t="str">
        <f>IF(ID!$B$83=I9,J9,"")</f>
        <v/>
      </c>
      <c r="L9" s="1088">
        <f>L8+1</f>
        <v>183</v>
      </c>
      <c r="O9" s="919" cm="1">
        <f t="array" ref="O9">INDEX($B$8:$B$224,L9)</f>
        <v>25</v>
      </c>
      <c r="P9" s="906" cm="1">
        <f t="array" ref="P9">INDEX($C$8:$C$224,L9)</f>
        <v>0.2</v>
      </c>
      <c r="Q9" s="904" cm="1">
        <f t="array" ref="Q9">INDEX($D$8:$D$224,L9)</f>
        <v>0.4</v>
      </c>
      <c r="R9" s="919" cm="1">
        <f t="array" ref="R9">INDEX($E$8:$E$224,L9)</f>
        <v>50</v>
      </c>
      <c r="S9" s="904" cm="1">
        <f t="array" ref="S9">INDEX($F$8:$F$224,L9)</f>
        <v>-1.4</v>
      </c>
      <c r="T9" s="904" cm="1">
        <f t="array" ref="T9">INDEX($G$8:$G$224,L9)</f>
        <v>2.2000000000000002</v>
      </c>
      <c r="U9" s="904"/>
    </row>
    <row r="10" spans="2:23" ht="13.8" x14ac:dyDescent="0.3">
      <c r="B10" s="9">
        <v>25</v>
      </c>
      <c r="C10" s="30">
        <v>0.2</v>
      </c>
      <c r="D10" s="29">
        <v>0.3</v>
      </c>
      <c r="E10" s="9">
        <v>50</v>
      </c>
      <c r="F10" s="30">
        <v>-9.1</v>
      </c>
      <c r="G10" s="29">
        <v>3.1</v>
      </c>
      <c r="H10" s="655"/>
      <c r="I10" s="764" t="s">
        <v>787</v>
      </c>
      <c r="J10" s="14">
        <f>ROWS($H$8:I10)</f>
        <v>3</v>
      </c>
      <c r="K10" s="14" t="str">
        <f>IF(ID!$B$83=I10,J10,"")</f>
        <v/>
      </c>
      <c r="L10" s="1088">
        <f>L9+1</f>
        <v>184</v>
      </c>
      <c r="O10" s="919" cm="1">
        <f t="array" ref="O10">INDEX($B$8:$B$224,L10)</f>
        <v>30</v>
      </c>
      <c r="P10" s="906" cm="1">
        <f t="array" ref="P10">INDEX($C$8:$C$224,L10)</f>
        <v>0.2</v>
      </c>
      <c r="Q10" s="904" cm="1">
        <f t="array" ref="Q10">INDEX($D$8:$D$224,L10)</f>
        <v>0.4</v>
      </c>
      <c r="R10" s="919" cm="1">
        <f t="array" ref="R10">INDEX($E$8:$E$224,L10)</f>
        <v>60</v>
      </c>
      <c r="S10" s="904" cm="1">
        <f t="array" ref="S10">INDEX($F$8:$F$224,L10)</f>
        <v>-1.5</v>
      </c>
      <c r="T10" s="904" cm="1">
        <f t="array" ref="T10">INDEX($G$8:$G$224,L10)</f>
        <v>2.2000000000000002</v>
      </c>
      <c r="U10" s="904"/>
    </row>
    <row r="11" spans="2:23" ht="13.8" x14ac:dyDescent="0.3">
      <c r="B11" s="9">
        <v>30</v>
      </c>
      <c r="C11" s="30">
        <v>0.1</v>
      </c>
      <c r="D11" s="29">
        <v>0.3</v>
      </c>
      <c r="E11" s="9">
        <v>60</v>
      </c>
      <c r="F11" s="30">
        <v>-7.9</v>
      </c>
      <c r="G11" s="29">
        <v>3.1</v>
      </c>
      <c r="H11" s="655"/>
      <c r="I11" s="764" t="s">
        <v>787</v>
      </c>
      <c r="J11" s="14">
        <f>ROWS($H$8:I11)</f>
        <v>4</v>
      </c>
      <c r="K11" s="14" t="str">
        <f>IF(ID!$B$83=I11,J11,"")</f>
        <v/>
      </c>
      <c r="L11" s="1088">
        <f t="shared" ref="L11:L14" si="0">L10+1</f>
        <v>185</v>
      </c>
      <c r="O11" s="919" cm="1">
        <f t="array" ref="O11">INDEX($B$8:$B$224,L11)</f>
        <v>35</v>
      </c>
      <c r="P11" s="906" cm="1">
        <f t="array" ref="P11">INDEX($C$8:$C$224,L11)</f>
        <v>0.1</v>
      </c>
      <c r="Q11" s="904" cm="1">
        <f t="array" ref="Q11">INDEX($D$8:$D$224,L11)</f>
        <v>0.4</v>
      </c>
      <c r="R11" s="919" cm="1">
        <f t="array" ref="R11">INDEX($E$8:$E$224,L11)</f>
        <v>70</v>
      </c>
      <c r="S11" s="904" cm="1">
        <f t="array" ref="S11">INDEX($F$8:$F$224,L11)</f>
        <v>-1.8</v>
      </c>
      <c r="T11" s="904" cm="1">
        <f t="array" ref="T11">INDEX($G$8:$G$224,L11)</f>
        <v>2.2000000000000002</v>
      </c>
      <c r="U11" s="904"/>
    </row>
    <row r="12" spans="2:23" ht="13.8" x14ac:dyDescent="0.3">
      <c r="B12" s="9">
        <v>35</v>
      </c>
      <c r="C12" s="30">
        <v>0.1</v>
      </c>
      <c r="D12" s="29">
        <v>0.3</v>
      </c>
      <c r="E12" s="9">
        <v>70</v>
      </c>
      <c r="F12" s="14">
        <v>-6.1</v>
      </c>
      <c r="G12" s="29">
        <v>3.1</v>
      </c>
      <c r="H12" s="655"/>
      <c r="I12" s="764" t="s">
        <v>787</v>
      </c>
      <c r="J12" s="14">
        <f>ROWS($H$8:I12)</f>
        <v>5</v>
      </c>
      <c r="K12" s="14" t="str">
        <f>IF(ID!$B$83=I12,J12,"")</f>
        <v/>
      </c>
      <c r="L12" s="1088">
        <f t="shared" si="0"/>
        <v>186</v>
      </c>
      <c r="O12" s="919" cm="1">
        <f t="array" ref="O12">INDEX($B$8:$B$224,L12)</f>
        <v>37</v>
      </c>
      <c r="P12" s="906" cm="1">
        <f t="array" ref="P12">INDEX($C$8:$C$224,L12)</f>
        <v>0</v>
      </c>
      <c r="Q12" s="904" cm="1">
        <f t="array" ref="Q12">INDEX($D$8:$D$224,L12)</f>
        <v>0.4</v>
      </c>
      <c r="R12" s="919" cm="1">
        <f t="array" ref="R12">INDEX($E$8:$E$224,L12)</f>
        <v>80</v>
      </c>
      <c r="S12" s="904" cm="1">
        <f t="array" ref="S12">INDEX($F$8:$F$224,L12)</f>
        <v>-2.2999999999999998</v>
      </c>
      <c r="T12" s="904" cm="1">
        <f t="array" ref="T12">INDEX($G$8:$G$224,L12)</f>
        <v>2.2000000000000002</v>
      </c>
      <c r="U12" s="904"/>
    </row>
    <row r="13" spans="2:23" ht="13.8" x14ac:dyDescent="0.3">
      <c r="B13" s="10">
        <v>37</v>
      </c>
      <c r="C13" s="30">
        <v>0.1</v>
      </c>
      <c r="D13" s="29">
        <v>0.3</v>
      </c>
      <c r="E13" s="10">
        <v>80</v>
      </c>
      <c r="F13" s="19">
        <v>-3.8</v>
      </c>
      <c r="G13" s="29">
        <v>3.1</v>
      </c>
      <c r="H13" s="655"/>
      <c r="I13" s="764" t="s">
        <v>787</v>
      </c>
      <c r="J13" s="14">
        <f>ROWS($H$8:I13)</f>
        <v>6</v>
      </c>
      <c r="K13" s="14" t="str">
        <f>IF(ID!$B$83=I13,J13,"")</f>
        <v/>
      </c>
      <c r="L13" s="1088">
        <f t="shared" si="0"/>
        <v>187</v>
      </c>
      <c r="O13" s="919" cm="1">
        <f t="array" ref="O13">INDEX($B$8:$B$224,L13)</f>
        <v>40</v>
      </c>
      <c r="P13" s="906" cm="1">
        <f t="array" ref="P13">INDEX($C$8:$C$224,L13)</f>
        <v>0</v>
      </c>
      <c r="Q13" s="904" cm="1">
        <f t="array" ref="Q13">INDEX($D$8:$D$224,L13)</f>
        <v>0.4</v>
      </c>
      <c r="R13" s="919" cm="1">
        <f t="array" ref="R13">INDEX($E$8:$E$224,L13)</f>
        <v>90</v>
      </c>
      <c r="S13" s="904" cm="1">
        <f t="array" ref="S13">INDEX($F$8:$F$224,L13)</f>
        <v>-3</v>
      </c>
      <c r="T13" s="904" cm="1">
        <f t="array" ref="T13">INDEX($G$8:$G$224,L13)</f>
        <v>2.2000000000000002</v>
      </c>
      <c r="U13" s="904"/>
    </row>
    <row r="14" spans="2:23" ht="13.8" x14ac:dyDescent="0.3">
      <c r="B14" s="10">
        <v>40</v>
      </c>
      <c r="C14" s="30">
        <v>0.2</v>
      </c>
      <c r="D14" s="29">
        <v>0.3</v>
      </c>
      <c r="E14" s="10">
        <v>90</v>
      </c>
      <c r="F14" s="11">
        <v>-0.8</v>
      </c>
      <c r="G14" s="29">
        <v>3.1</v>
      </c>
      <c r="H14" s="655"/>
      <c r="I14" s="764" t="s">
        <v>787</v>
      </c>
      <c r="J14" s="14">
        <f>ROWS($H$8:I14)</f>
        <v>7</v>
      </c>
      <c r="K14" s="14" t="str">
        <f>IF(ID!$B$83=I14,J14,"")</f>
        <v/>
      </c>
      <c r="L14" s="1088">
        <f t="shared" si="0"/>
        <v>188</v>
      </c>
      <c r="O14" s="919" cm="1">
        <f t="array" ref="O14">INDEX($B$8:$B$224,L14)</f>
        <v>0</v>
      </c>
      <c r="P14" s="906" cm="1">
        <f t="array" ref="P14">INDEX($C$8:$C$224,L14)</f>
        <v>0</v>
      </c>
      <c r="Q14" s="904" cm="1">
        <f t="array" ref="Q14">INDEX($D$8:$D$224,L14)</f>
        <v>0</v>
      </c>
      <c r="R14" s="919" cm="1">
        <f t="array" ref="R14">INDEX($E$8:$E$224,L14)</f>
        <v>0</v>
      </c>
      <c r="S14" s="904" cm="1">
        <f t="array" ref="S14">INDEX($F$8:$F$224,L14)</f>
        <v>0</v>
      </c>
      <c r="T14" s="904" cm="1">
        <f t="array" ref="T14">INDEX($G$8:$G$224,L14)</f>
        <v>0</v>
      </c>
      <c r="U14" s="904"/>
    </row>
    <row r="15" spans="2:23" x14ac:dyDescent="0.2">
      <c r="B15" s="303"/>
      <c r="C15" s="303"/>
      <c r="D15" s="303"/>
      <c r="E15" s="303"/>
      <c r="F15" s="303"/>
      <c r="G15" s="303"/>
      <c r="H15" s="303"/>
      <c r="I15" s="1089"/>
      <c r="J15" s="14">
        <f>ROWS($H$8:I15)</f>
        <v>8</v>
      </c>
      <c r="K15" s="14" t="str">
        <f>IF(ID!$B$83=I15,J15,"")</f>
        <v/>
      </c>
      <c r="L15" s="14"/>
      <c r="P15" s="15" t="s">
        <v>349</v>
      </c>
      <c r="Q15" s="11">
        <f>MAX(Q8:Q14)</f>
        <v>0.4</v>
      </c>
      <c r="S15" s="15" t="s">
        <v>349</v>
      </c>
      <c r="T15" s="11">
        <f>MAX(T8:T14)</f>
        <v>2.2000000000000002</v>
      </c>
    </row>
    <row r="16" spans="2:23" s="16" customFormat="1" x14ac:dyDescent="0.2">
      <c r="B16" s="760"/>
      <c r="C16" s="760"/>
      <c r="D16" s="760"/>
      <c r="E16" s="760"/>
      <c r="F16" s="760"/>
      <c r="G16" s="760"/>
      <c r="H16" s="760"/>
      <c r="I16" s="1089"/>
      <c r="J16" s="14">
        <f>ROWS($H$8:I16)</f>
        <v>9</v>
      </c>
      <c r="K16" s="14" t="str">
        <f>IF(ID!$B$83=I16,J16,"")</f>
        <v/>
      </c>
      <c r="L16" s="14"/>
      <c r="W16" s="11"/>
    </row>
    <row r="17" spans="2:23" x14ac:dyDescent="0.2">
      <c r="B17" s="303"/>
      <c r="C17" s="303"/>
      <c r="D17" s="303"/>
      <c r="E17" s="303"/>
      <c r="F17" s="303"/>
      <c r="G17" s="303"/>
      <c r="H17" s="303"/>
      <c r="I17" s="1089"/>
      <c r="J17" s="14">
        <f>ROWS($H$8:I17)</f>
        <v>10</v>
      </c>
      <c r="K17" s="14" t="str">
        <f>IF(ID!$B$83=I17,J17,"")</f>
        <v/>
      </c>
      <c r="L17" s="14"/>
    </row>
    <row r="18" spans="2:23" ht="13.2" x14ac:dyDescent="0.2">
      <c r="B18" s="9">
        <v>15</v>
      </c>
      <c r="C18" s="28">
        <v>0.4</v>
      </c>
      <c r="D18" s="29">
        <v>0.8</v>
      </c>
      <c r="E18" s="9">
        <v>30</v>
      </c>
      <c r="F18" s="28">
        <v>-6.9</v>
      </c>
      <c r="G18" s="29">
        <v>2.2000000000000002</v>
      </c>
      <c r="H18" s="656" t="s">
        <v>448</v>
      </c>
      <c r="I18" s="764" t="s">
        <v>788</v>
      </c>
      <c r="J18" s="14">
        <f>ROWS($H$8:I18)</f>
        <v>11</v>
      </c>
      <c r="K18" s="14" t="str">
        <f>IF(ID!$B$83=I18,J18,"")</f>
        <v/>
      </c>
      <c r="L18" s="14"/>
    </row>
    <row r="19" spans="2:23" ht="13.8" x14ac:dyDescent="0.3">
      <c r="B19" s="9">
        <v>20</v>
      </c>
      <c r="C19" s="30">
        <v>0.7</v>
      </c>
      <c r="D19" s="29">
        <v>0.8</v>
      </c>
      <c r="E19" s="9">
        <v>40</v>
      </c>
      <c r="F19" s="30">
        <v>-6.2</v>
      </c>
      <c r="G19" s="29">
        <v>2.2000000000000002</v>
      </c>
      <c r="H19" s="656"/>
      <c r="I19" s="764" t="s">
        <v>788</v>
      </c>
      <c r="J19" s="14">
        <f>ROWS($H$8:I19)</f>
        <v>12</v>
      </c>
      <c r="K19" s="14" t="str">
        <f>IF(ID!$B$83=I19,J19,"")</f>
        <v/>
      </c>
      <c r="L19" s="14"/>
      <c r="O19" s="904"/>
    </row>
    <row r="20" spans="2:23" ht="13.2" x14ac:dyDescent="0.2">
      <c r="B20" s="9">
        <v>25</v>
      </c>
      <c r="C20" s="30">
        <v>0.5</v>
      </c>
      <c r="D20" s="29">
        <v>0.8</v>
      </c>
      <c r="E20" s="9">
        <v>50</v>
      </c>
      <c r="F20" s="30">
        <v>-5.3</v>
      </c>
      <c r="G20" s="29">
        <v>2.2000000000000002</v>
      </c>
      <c r="H20" s="656"/>
      <c r="I20" s="764" t="s">
        <v>788</v>
      </c>
      <c r="J20" s="14">
        <f>ROWS($H$8:I20)</f>
        <v>13</v>
      </c>
      <c r="K20" s="14" t="str">
        <f>IF(ID!$B$83=I20,J20,"")</f>
        <v/>
      </c>
      <c r="L20" s="14"/>
    </row>
    <row r="21" spans="2:23" ht="13.2" x14ac:dyDescent="0.2">
      <c r="B21" s="9">
        <v>30</v>
      </c>
      <c r="C21" s="30">
        <v>0.2</v>
      </c>
      <c r="D21" s="29">
        <v>0.8</v>
      </c>
      <c r="E21" s="9">
        <v>60</v>
      </c>
      <c r="F21" s="30">
        <v>-4</v>
      </c>
      <c r="G21" s="29">
        <v>2.2000000000000002</v>
      </c>
      <c r="H21" s="656"/>
      <c r="I21" s="764" t="s">
        <v>788</v>
      </c>
      <c r="J21" s="14">
        <f>ROWS($H$8:I21)</f>
        <v>14</v>
      </c>
      <c r="K21" s="14" t="str">
        <f>IF(ID!$B$83=I21,J21,"")</f>
        <v/>
      </c>
      <c r="L21" s="14"/>
    </row>
    <row r="22" spans="2:23" ht="13.2" x14ac:dyDescent="0.2">
      <c r="B22" s="9">
        <v>35</v>
      </c>
      <c r="C22" s="30">
        <v>-0.1</v>
      </c>
      <c r="D22" s="29">
        <v>0.8</v>
      </c>
      <c r="E22" s="9">
        <v>70</v>
      </c>
      <c r="F22" s="30">
        <v>-2.4</v>
      </c>
      <c r="G22" s="29">
        <v>2.2000000000000002</v>
      </c>
      <c r="H22" s="656"/>
      <c r="I22" s="764" t="s">
        <v>788</v>
      </c>
      <c r="J22" s="14">
        <f>ROWS($H$8:I22)</f>
        <v>15</v>
      </c>
      <c r="K22" s="14" t="str">
        <f>IF(ID!$B$83=I22,J22,"")</f>
        <v/>
      </c>
      <c r="L22" s="14"/>
    </row>
    <row r="23" spans="2:23" ht="13.2" x14ac:dyDescent="0.2">
      <c r="B23" s="10">
        <v>37</v>
      </c>
      <c r="C23" s="14">
        <v>-0.2</v>
      </c>
      <c r="D23" s="29">
        <v>0.8</v>
      </c>
      <c r="E23" s="10">
        <v>80</v>
      </c>
      <c r="F23" s="14">
        <v>-0.5</v>
      </c>
      <c r="G23" s="29">
        <v>2.2000000000000002</v>
      </c>
      <c r="H23" s="656"/>
      <c r="I23" s="764" t="s">
        <v>788</v>
      </c>
      <c r="J23" s="14">
        <f>ROWS($H$8:I23)</f>
        <v>16</v>
      </c>
      <c r="K23" s="14" t="str">
        <f>IF(ID!$B$83=I23,J23,"")</f>
        <v/>
      </c>
      <c r="L23" s="14"/>
    </row>
    <row r="24" spans="2:23" ht="13.2" x14ac:dyDescent="0.2">
      <c r="B24" s="10">
        <v>40</v>
      </c>
      <c r="C24" s="14">
        <v>-0.1</v>
      </c>
      <c r="D24" s="29">
        <v>0.8</v>
      </c>
      <c r="E24" s="10">
        <v>90</v>
      </c>
      <c r="F24" s="14">
        <v>1.7</v>
      </c>
      <c r="G24" s="29">
        <v>2.2000000000000002</v>
      </c>
      <c r="H24" s="656"/>
      <c r="I24" s="764" t="s">
        <v>788</v>
      </c>
      <c r="J24" s="14">
        <f>ROWS($H$8:I24)</f>
        <v>17</v>
      </c>
      <c r="K24" s="14" t="str">
        <f>IF(ID!$B$83=I24,J24,"")</f>
        <v/>
      </c>
      <c r="L24" s="14"/>
    </row>
    <row r="25" spans="2:23" x14ac:dyDescent="0.2">
      <c r="B25" s="303"/>
      <c r="C25" s="303"/>
      <c r="D25" s="303"/>
      <c r="E25" s="303"/>
      <c r="F25" s="303"/>
      <c r="G25" s="303"/>
      <c r="H25" s="303"/>
      <c r="I25" s="1089"/>
      <c r="J25" s="14">
        <f>ROWS($H$8:I25)</f>
        <v>18</v>
      </c>
      <c r="K25" s="14" t="str">
        <f>IF(ID!$B$83=I25,J25,"")</f>
        <v/>
      </c>
      <c r="L25" s="14"/>
    </row>
    <row r="26" spans="2:23" s="16" customFormat="1" x14ac:dyDescent="0.2">
      <c r="B26" s="760"/>
      <c r="C26" s="760"/>
      <c r="D26" s="760"/>
      <c r="E26" s="760"/>
      <c r="F26" s="760"/>
      <c r="G26" s="760"/>
      <c r="H26" s="760"/>
      <c r="I26" s="1089"/>
      <c r="J26" s="14">
        <f>ROWS($H$8:I26)</f>
        <v>19</v>
      </c>
      <c r="K26" s="14" t="str">
        <f>IF(ID!$B$83=I26,J26,"")</f>
        <v/>
      </c>
      <c r="L26" s="14"/>
      <c r="W26" s="11"/>
    </row>
    <row r="27" spans="2:23" x14ac:dyDescent="0.2">
      <c r="B27" s="303"/>
      <c r="C27" s="303"/>
      <c r="D27" s="303"/>
      <c r="E27" s="303"/>
      <c r="F27" s="303"/>
      <c r="G27" s="303"/>
      <c r="H27" s="303"/>
      <c r="I27" s="1089"/>
      <c r="J27" s="14">
        <f>ROWS($H$8:I27)</f>
        <v>20</v>
      </c>
      <c r="K27" s="14" t="str">
        <f>IF(ID!$B$83=I27,J27,"")</f>
        <v/>
      </c>
      <c r="L27" s="14"/>
    </row>
    <row r="28" spans="2:23" ht="11.4" x14ac:dyDescent="0.2">
      <c r="B28" s="498">
        <v>15</v>
      </c>
      <c r="C28" s="499">
        <v>0.3</v>
      </c>
      <c r="D28" s="502">
        <v>0.3</v>
      </c>
      <c r="E28" s="498">
        <v>35</v>
      </c>
      <c r="F28" s="499">
        <v>-5.2</v>
      </c>
      <c r="G28" s="502">
        <v>1.8</v>
      </c>
      <c r="H28" s="761" t="s">
        <v>473</v>
      </c>
      <c r="I28" s="1095" t="s">
        <v>846</v>
      </c>
      <c r="J28" s="14">
        <f>ROWS($H$8:I28)</f>
        <v>21</v>
      </c>
      <c r="K28" s="14" t="str">
        <f>IF(ID!$B$83=I28,J28,"")</f>
        <v/>
      </c>
      <c r="L28" s="14"/>
    </row>
    <row r="29" spans="2:23" ht="11.4" x14ac:dyDescent="0.2">
      <c r="B29" s="498">
        <v>20</v>
      </c>
      <c r="C29" s="762">
        <v>0.4</v>
      </c>
      <c r="D29" s="502">
        <v>0.3</v>
      </c>
      <c r="E29" s="498">
        <v>40</v>
      </c>
      <c r="F29" s="762">
        <v>-5.5</v>
      </c>
      <c r="G29" s="502">
        <v>1.8</v>
      </c>
      <c r="H29" s="761"/>
      <c r="I29" s="1095" t="s">
        <v>846</v>
      </c>
      <c r="J29" s="14">
        <f>ROWS($H$8:I29)</f>
        <v>22</v>
      </c>
      <c r="K29" s="14" t="str">
        <f>IF(ID!$B$83=I29,J29,"")</f>
        <v/>
      </c>
      <c r="L29" s="14"/>
    </row>
    <row r="30" spans="2:23" ht="11.4" x14ac:dyDescent="0.2">
      <c r="B30" s="498">
        <v>25</v>
      </c>
      <c r="C30" s="762">
        <v>0.4</v>
      </c>
      <c r="D30" s="502">
        <v>0.3</v>
      </c>
      <c r="E30" s="498">
        <v>50</v>
      </c>
      <c r="F30" s="762">
        <v>-5.5</v>
      </c>
      <c r="G30" s="502">
        <v>1.8</v>
      </c>
      <c r="H30" s="761"/>
      <c r="I30" s="1095" t="s">
        <v>846</v>
      </c>
      <c r="J30" s="14">
        <f>ROWS($H$8:I30)</f>
        <v>23</v>
      </c>
      <c r="K30" s="14" t="str">
        <f>IF(ID!$B$83=I30,J30,"")</f>
        <v/>
      </c>
      <c r="L30" s="14"/>
    </row>
    <row r="31" spans="2:23" ht="11.4" x14ac:dyDescent="0.2">
      <c r="B31" s="498">
        <v>30</v>
      </c>
      <c r="C31" s="762">
        <v>0.5</v>
      </c>
      <c r="D31" s="502">
        <v>0.3</v>
      </c>
      <c r="E31" s="498">
        <v>60</v>
      </c>
      <c r="F31" s="762">
        <v>-4.8</v>
      </c>
      <c r="G31" s="502">
        <v>1.8</v>
      </c>
      <c r="H31" s="761"/>
      <c r="I31" s="1095" t="s">
        <v>846</v>
      </c>
      <c r="J31" s="14">
        <f>ROWS($H$8:I31)</f>
        <v>24</v>
      </c>
      <c r="K31" s="14" t="str">
        <f>IF(ID!$B$83=I31,J31,"")</f>
        <v/>
      </c>
      <c r="L31" s="14"/>
    </row>
    <row r="32" spans="2:23" ht="11.4" x14ac:dyDescent="0.2">
      <c r="B32" s="498">
        <v>35</v>
      </c>
      <c r="C32" s="762">
        <v>0.5</v>
      </c>
      <c r="D32" s="502">
        <v>0.3</v>
      </c>
      <c r="E32" s="498">
        <v>70</v>
      </c>
      <c r="F32" s="762">
        <v>-3.4</v>
      </c>
      <c r="G32" s="502">
        <v>1.8</v>
      </c>
      <c r="H32" s="761"/>
      <c r="I32" s="1095" t="s">
        <v>846</v>
      </c>
      <c r="J32" s="14">
        <f>ROWS($H$8:I32)</f>
        <v>25</v>
      </c>
      <c r="K32" s="14" t="str">
        <f>IF(ID!$B$83=I32,J32,"")</f>
        <v/>
      </c>
      <c r="L32" s="14"/>
    </row>
    <row r="33" spans="2:23" ht="11.4" x14ac:dyDescent="0.2">
      <c r="B33" s="501">
        <v>37</v>
      </c>
      <c r="C33" s="309">
        <v>0.5</v>
      </c>
      <c r="D33" s="502">
        <v>0.3</v>
      </c>
      <c r="E33" s="501">
        <v>80</v>
      </c>
      <c r="F33" s="309">
        <v>-1.4</v>
      </c>
      <c r="G33" s="502">
        <v>1.8</v>
      </c>
      <c r="H33" s="761"/>
      <c r="I33" s="1095" t="s">
        <v>846</v>
      </c>
      <c r="J33" s="14">
        <f>ROWS($H$8:I33)</f>
        <v>26</v>
      </c>
      <c r="K33" s="14" t="str">
        <f>IF(ID!$B$83=I33,J33,"")</f>
        <v/>
      </c>
      <c r="L33" s="14"/>
    </row>
    <row r="34" spans="2:23" ht="11.4" x14ac:dyDescent="0.2">
      <c r="B34" s="501">
        <v>40</v>
      </c>
      <c r="C34" s="309">
        <v>0.5</v>
      </c>
      <c r="D34" s="502">
        <v>0.3</v>
      </c>
      <c r="E34" s="501">
        <v>90</v>
      </c>
      <c r="F34" s="309">
        <v>1.3</v>
      </c>
      <c r="G34" s="502">
        <v>1.8</v>
      </c>
      <c r="H34" s="761"/>
      <c r="I34" s="1095" t="s">
        <v>846</v>
      </c>
      <c r="J34" s="14">
        <f>ROWS($H$8:I34)</f>
        <v>27</v>
      </c>
      <c r="K34" s="14" t="str">
        <f>IF(ID!$B$83=I34,J34,"")</f>
        <v/>
      </c>
      <c r="L34" s="14"/>
    </row>
    <row r="35" spans="2:23" x14ac:dyDescent="0.2">
      <c r="B35" s="303"/>
      <c r="C35" s="303"/>
      <c r="D35" s="303"/>
      <c r="E35" s="303"/>
      <c r="F35" s="303"/>
      <c r="G35" s="303"/>
      <c r="H35" s="303"/>
      <c r="I35" s="1089"/>
      <c r="J35" s="14">
        <f>ROWS($H$8:I35)</f>
        <v>28</v>
      </c>
      <c r="K35" s="14" t="str">
        <f>IF(ID!$B$83=I35,J35,"")</f>
        <v/>
      </c>
      <c r="L35" s="14"/>
    </row>
    <row r="36" spans="2:23" s="16" customFormat="1" x14ac:dyDescent="0.2">
      <c r="B36" s="760"/>
      <c r="C36" s="760"/>
      <c r="D36" s="760"/>
      <c r="E36" s="760"/>
      <c r="F36" s="760"/>
      <c r="G36" s="760"/>
      <c r="H36" s="760"/>
      <c r="I36" s="1089"/>
      <c r="J36" s="14">
        <f>ROWS($H$8:I36)</f>
        <v>29</v>
      </c>
      <c r="K36" s="14" t="str">
        <f>IF(ID!$B$83=I36,J36,"")</f>
        <v/>
      </c>
      <c r="L36" s="14"/>
      <c r="W36" s="11"/>
    </row>
    <row r="37" spans="2:23" x14ac:dyDescent="0.2">
      <c r="B37" s="303"/>
      <c r="C37" s="303"/>
      <c r="D37" s="303"/>
      <c r="E37" s="303"/>
      <c r="F37" s="303"/>
      <c r="G37" s="303"/>
      <c r="H37" s="303"/>
      <c r="I37" s="1089"/>
      <c r="J37" s="14">
        <f>ROWS($H$8:I37)</f>
        <v>30</v>
      </c>
      <c r="K37" s="14" t="str">
        <f>IF(ID!$B$83=I37,J37,"")</f>
        <v/>
      </c>
      <c r="L37" s="14"/>
    </row>
    <row r="38" spans="2:23" x14ac:dyDescent="0.2">
      <c r="B38" s="498">
        <v>15</v>
      </c>
      <c r="C38" s="499">
        <v>0.4</v>
      </c>
      <c r="D38" s="502">
        <v>0.5</v>
      </c>
      <c r="E38" s="498">
        <v>30</v>
      </c>
      <c r="F38" s="499">
        <v>-7.3</v>
      </c>
      <c r="G38" s="502">
        <v>3.1</v>
      </c>
      <c r="H38" s="763" t="s">
        <v>448</v>
      </c>
      <c r="I38" s="764" t="s">
        <v>789</v>
      </c>
      <c r="J38" s="14">
        <f>ROWS($H$8:I38)</f>
        <v>31</v>
      </c>
      <c r="K38" s="14" t="str">
        <f>IF(ID!$B$83=I38,J38,"")</f>
        <v/>
      </c>
      <c r="L38" s="14"/>
    </row>
    <row r="39" spans="2:23" ht="13.2" x14ac:dyDescent="0.2">
      <c r="B39" s="498">
        <v>20</v>
      </c>
      <c r="C39" s="499">
        <v>1</v>
      </c>
      <c r="D39" s="502">
        <v>0.5</v>
      </c>
      <c r="E39" s="498">
        <v>40</v>
      </c>
      <c r="F39" s="762">
        <v>-5.9</v>
      </c>
      <c r="G39" s="502">
        <v>3.1</v>
      </c>
      <c r="H39" s="765"/>
      <c r="I39" s="764" t="s">
        <v>789</v>
      </c>
      <c r="J39" s="14">
        <f>ROWS($H$8:I39)</f>
        <v>32</v>
      </c>
      <c r="K39" s="14" t="str">
        <f>IF(ID!$B$83=I39,J39,"")</f>
        <v/>
      </c>
      <c r="L39" s="14"/>
    </row>
    <row r="40" spans="2:23" ht="13.2" x14ac:dyDescent="0.2">
      <c r="B40" s="498">
        <v>25</v>
      </c>
      <c r="C40" s="762">
        <v>0.7</v>
      </c>
      <c r="D40" s="502">
        <v>0.5</v>
      </c>
      <c r="E40" s="498">
        <v>50</v>
      </c>
      <c r="F40" s="762">
        <v>-4.5</v>
      </c>
      <c r="G40" s="502">
        <v>3.1</v>
      </c>
      <c r="H40" s="765"/>
      <c r="I40" s="764" t="s">
        <v>789</v>
      </c>
      <c r="J40" s="14">
        <f>ROWS($H$8:I40)</f>
        <v>33</v>
      </c>
      <c r="K40" s="14" t="str">
        <f>IF(ID!$B$83=I40,J40,"")</f>
        <v/>
      </c>
      <c r="L40" s="14"/>
    </row>
    <row r="41" spans="2:23" ht="13.2" x14ac:dyDescent="0.2">
      <c r="B41" s="498">
        <v>30</v>
      </c>
      <c r="C41" s="762">
        <v>0</v>
      </c>
      <c r="D41" s="502">
        <v>0.5</v>
      </c>
      <c r="E41" s="498">
        <v>60</v>
      </c>
      <c r="F41" s="762">
        <v>-3.2</v>
      </c>
      <c r="G41" s="502">
        <v>3.1</v>
      </c>
      <c r="H41" s="765"/>
      <c r="I41" s="764" t="s">
        <v>789</v>
      </c>
      <c r="J41" s="14">
        <f>ROWS($H$8:I41)</f>
        <v>34</v>
      </c>
      <c r="K41" s="14" t="str">
        <f>IF(ID!$B$83=I41,J41,"")</f>
        <v/>
      </c>
      <c r="L41" s="14"/>
    </row>
    <row r="42" spans="2:23" ht="13.2" x14ac:dyDescent="0.2">
      <c r="B42" s="498">
        <v>35</v>
      </c>
      <c r="C42" s="762">
        <v>-0.3</v>
      </c>
      <c r="D42" s="502">
        <v>0.5</v>
      </c>
      <c r="E42" s="498">
        <v>70</v>
      </c>
      <c r="F42" s="762">
        <v>-2</v>
      </c>
      <c r="G42" s="502">
        <v>3.1</v>
      </c>
      <c r="H42" s="765"/>
      <c r="I42" s="764" t="s">
        <v>789</v>
      </c>
      <c r="J42" s="14">
        <f>ROWS($H$8:I42)</f>
        <v>35</v>
      </c>
      <c r="K42" s="14" t="str">
        <f>IF(ID!$B$83=I42,J42,"")</f>
        <v/>
      </c>
      <c r="L42" s="14"/>
    </row>
    <row r="43" spans="2:23" ht="13.2" x14ac:dyDescent="0.2">
      <c r="B43" s="501">
        <v>37</v>
      </c>
      <c r="C43" s="762">
        <v>-0.2</v>
      </c>
      <c r="D43" s="502">
        <v>0.5</v>
      </c>
      <c r="E43" s="501">
        <v>80</v>
      </c>
      <c r="F43" s="309">
        <v>-0.8</v>
      </c>
      <c r="G43" s="502">
        <v>3.1</v>
      </c>
      <c r="H43" s="765"/>
      <c r="I43" s="764" t="s">
        <v>789</v>
      </c>
      <c r="J43" s="14">
        <f>ROWS($H$8:I43)</f>
        <v>36</v>
      </c>
      <c r="K43" s="14" t="str">
        <f>IF(ID!$B$83=I43,J43,"")</f>
        <v/>
      </c>
      <c r="L43" s="14"/>
    </row>
    <row r="44" spans="2:23" ht="13.2" x14ac:dyDescent="0.2">
      <c r="B44" s="501">
        <v>40</v>
      </c>
      <c r="C44" s="309">
        <v>0.2</v>
      </c>
      <c r="D44" s="502">
        <v>0.5</v>
      </c>
      <c r="E44" s="501">
        <v>90</v>
      </c>
      <c r="F44" s="766">
        <v>0.3</v>
      </c>
      <c r="G44" s="502">
        <v>3.1</v>
      </c>
      <c r="H44" s="765"/>
      <c r="I44" s="764" t="s">
        <v>789</v>
      </c>
      <c r="J44" s="14">
        <f>ROWS($H$8:I44)</f>
        <v>37</v>
      </c>
      <c r="K44" s="14" t="str">
        <f>IF(ID!$B$83=I44,J44,"")</f>
        <v/>
      </c>
      <c r="L44" s="14"/>
    </row>
    <row r="45" spans="2:23" x14ac:dyDescent="0.2">
      <c r="B45" s="303"/>
      <c r="C45" s="303"/>
      <c r="D45" s="303"/>
      <c r="E45" s="303"/>
      <c r="F45" s="303"/>
      <c r="G45" s="303"/>
      <c r="H45" s="303"/>
      <c r="I45" s="303"/>
      <c r="J45" s="14">
        <f>ROWS($H$8:I45)</f>
        <v>38</v>
      </c>
      <c r="K45" s="14" t="str">
        <f>IF(ID!$B$83=I45,J45,"")</f>
        <v/>
      </c>
      <c r="L45" s="14"/>
    </row>
    <row r="46" spans="2:23" s="16" customFormat="1" x14ac:dyDescent="0.2">
      <c r="B46" s="760"/>
      <c r="C46" s="760"/>
      <c r="D46" s="760"/>
      <c r="E46" s="760"/>
      <c r="F46" s="760"/>
      <c r="G46" s="760"/>
      <c r="H46" s="760"/>
      <c r="I46" s="760"/>
      <c r="J46" s="14">
        <f>ROWS($H$8:I46)</f>
        <v>39</v>
      </c>
      <c r="K46" s="14" t="str">
        <f>IF(ID!$B$83=I46,J46,"")</f>
        <v/>
      </c>
      <c r="L46" s="14"/>
      <c r="W46" s="11"/>
    </row>
    <row r="47" spans="2:23" x14ac:dyDescent="0.2">
      <c r="B47" s="303"/>
      <c r="C47" s="303"/>
      <c r="D47" s="303"/>
      <c r="E47" s="303"/>
      <c r="F47" s="303"/>
      <c r="G47" s="303"/>
      <c r="H47" s="303"/>
      <c r="I47" s="303"/>
      <c r="J47" s="14">
        <f>ROWS($H$8:I47)</f>
        <v>40</v>
      </c>
      <c r="K47" s="14" t="str">
        <f>IF(ID!$B$83=I47,J47,"")</f>
        <v/>
      </c>
      <c r="L47" s="14"/>
    </row>
    <row r="48" spans="2:23" ht="11.4" x14ac:dyDescent="0.2">
      <c r="B48" s="498">
        <v>15</v>
      </c>
      <c r="C48" s="499">
        <v>0.2</v>
      </c>
      <c r="D48" s="499">
        <v>0.3</v>
      </c>
      <c r="E48" s="498">
        <v>30</v>
      </c>
      <c r="F48" s="499">
        <v>-2.9</v>
      </c>
      <c r="G48" s="499">
        <v>1.5</v>
      </c>
      <c r="H48" s="767" t="s">
        <v>474</v>
      </c>
      <c r="I48" s="1095" t="s">
        <v>845</v>
      </c>
      <c r="J48" s="14">
        <f>ROWS($H$8:I48)</f>
        <v>41</v>
      </c>
      <c r="K48" s="14" t="str">
        <f>IF(ID!$B$83=I48,J48,"")</f>
        <v/>
      </c>
      <c r="L48" s="14"/>
    </row>
    <row r="49" spans="1:12" ht="11.4" x14ac:dyDescent="0.2">
      <c r="B49" s="498">
        <v>20</v>
      </c>
      <c r="C49" s="499">
        <v>0.2</v>
      </c>
      <c r="D49" s="499">
        <v>0.3</v>
      </c>
      <c r="E49" s="498">
        <v>40</v>
      </c>
      <c r="F49" s="499">
        <v>-3.3</v>
      </c>
      <c r="G49" s="499">
        <v>1.5</v>
      </c>
      <c r="H49" s="767"/>
      <c r="I49" s="1095" t="s">
        <v>845</v>
      </c>
      <c r="J49" s="14">
        <f>ROWS($H$8:I49)</f>
        <v>42</v>
      </c>
      <c r="K49" s="14" t="str">
        <f>IF(ID!$B$83=I49,J49,"")</f>
        <v/>
      </c>
      <c r="L49" s="14"/>
    </row>
    <row r="50" spans="1:12" ht="11.4" x14ac:dyDescent="0.2">
      <c r="B50" s="498">
        <v>25</v>
      </c>
      <c r="C50" s="499">
        <v>0.1</v>
      </c>
      <c r="D50" s="499">
        <v>0.3</v>
      </c>
      <c r="E50" s="498">
        <v>50</v>
      </c>
      <c r="F50" s="499">
        <v>-3.1</v>
      </c>
      <c r="G50" s="499">
        <v>1.5</v>
      </c>
      <c r="H50" s="767"/>
      <c r="I50" s="1095" t="s">
        <v>845</v>
      </c>
      <c r="J50" s="14">
        <f>ROWS($H$8:I50)</f>
        <v>43</v>
      </c>
      <c r="K50" s="14" t="str">
        <f>IF(ID!$B$83=I50,J50,"")</f>
        <v/>
      </c>
      <c r="L50" s="14"/>
    </row>
    <row r="51" spans="1:12" ht="11.4" x14ac:dyDescent="0.2">
      <c r="B51" s="498">
        <v>30</v>
      </c>
      <c r="C51" s="499">
        <v>0.1</v>
      </c>
      <c r="D51" s="499">
        <v>0.3</v>
      </c>
      <c r="E51" s="498">
        <v>60</v>
      </c>
      <c r="F51" s="499">
        <v>-2.1</v>
      </c>
      <c r="G51" s="499">
        <v>1.5</v>
      </c>
      <c r="H51" s="767"/>
      <c r="I51" s="1095" t="s">
        <v>845</v>
      </c>
      <c r="J51" s="14">
        <f>ROWS($H$8:I51)</f>
        <v>44</v>
      </c>
      <c r="K51" s="14" t="str">
        <f>IF(ID!$B$83=I51,J51,"")</f>
        <v/>
      </c>
      <c r="L51" s="14"/>
    </row>
    <row r="52" spans="1:12" ht="11.4" x14ac:dyDescent="0.2">
      <c r="B52" s="498">
        <v>35</v>
      </c>
      <c r="C52" s="499">
        <v>0.2</v>
      </c>
      <c r="D52" s="499">
        <v>0.3</v>
      </c>
      <c r="E52" s="498">
        <v>70</v>
      </c>
      <c r="F52" s="499">
        <v>-0.3</v>
      </c>
      <c r="G52" s="499">
        <v>1.5</v>
      </c>
      <c r="H52" s="767"/>
      <c r="I52" s="1095" t="s">
        <v>845</v>
      </c>
      <c r="J52" s="14">
        <f>ROWS($H$8:I52)</f>
        <v>45</v>
      </c>
      <c r="K52" s="14" t="str">
        <f>IF(ID!$B$83=I52,J52,"")</f>
        <v/>
      </c>
      <c r="L52" s="14"/>
    </row>
    <row r="53" spans="1:12" ht="11.4" x14ac:dyDescent="0.2">
      <c r="B53" s="501">
        <v>37</v>
      </c>
      <c r="C53" s="499">
        <v>0.2</v>
      </c>
      <c r="D53" s="499">
        <v>0.3</v>
      </c>
      <c r="E53" s="501">
        <v>80</v>
      </c>
      <c r="F53" s="499">
        <v>2.2000000000000002</v>
      </c>
      <c r="G53" s="499">
        <v>1.5</v>
      </c>
      <c r="H53" s="767"/>
      <c r="I53" s="1095" t="s">
        <v>845</v>
      </c>
      <c r="J53" s="14">
        <f>ROWS($H$8:I53)</f>
        <v>46</v>
      </c>
      <c r="K53" s="14" t="str">
        <f>IF(ID!$B$83=I53,J53,"")</f>
        <v/>
      </c>
      <c r="L53" s="14"/>
    </row>
    <row r="54" spans="1:12" ht="13.2" x14ac:dyDescent="0.25">
      <c r="A54" s="17"/>
      <c r="B54" s="501">
        <v>40</v>
      </c>
      <c r="C54" s="502">
        <v>0.2</v>
      </c>
      <c r="D54" s="499">
        <v>0.3</v>
      </c>
      <c r="E54" s="501">
        <v>90</v>
      </c>
      <c r="F54" s="768">
        <v>5.4</v>
      </c>
      <c r="G54" s="499">
        <v>1.5</v>
      </c>
      <c r="H54" s="767"/>
      <c r="I54" s="1095" t="s">
        <v>845</v>
      </c>
      <c r="J54" s="14">
        <f>ROWS($H$8:I54)</f>
        <v>47</v>
      </c>
      <c r="K54" s="14" t="str">
        <f>IF(ID!$B$83=I54,J54,"")</f>
        <v/>
      </c>
      <c r="L54" s="14"/>
    </row>
    <row r="55" spans="1:12" x14ac:dyDescent="0.2">
      <c r="B55" s="303"/>
      <c r="C55" s="303"/>
      <c r="D55" s="303"/>
      <c r="E55" s="303"/>
      <c r="F55" s="303"/>
      <c r="G55" s="303"/>
      <c r="H55" s="303"/>
      <c r="I55" s="303"/>
      <c r="J55" s="14">
        <f>ROWS($H$8:I55)</f>
        <v>48</v>
      </c>
      <c r="K55" s="14" t="str">
        <f>IF(ID!$B$83=I55,J55,"")</f>
        <v/>
      </c>
      <c r="L55" s="14"/>
    </row>
    <row r="56" spans="1:12" s="16" customFormat="1" x14ac:dyDescent="0.2">
      <c r="B56" s="760"/>
      <c r="C56" s="760"/>
      <c r="D56" s="760"/>
      <c r="E56" s="760"/>
      <c r="F56" s="760"/>
      <c r="G56" s="760"/>
      <c r="H56" s="760"/>
      <c r="I56" s="760"/>
      <c r="J56" s="14">
        <f>ROWS($H$8:I56)</f>
        <v>49</v>
      </c>
      <c r="K56" s="14" t="str">
        <f>IF(ID!$B$83=I56,J56,"")</f>
        <v/>
      </c>
      <c r="L56" s="14"/>
    </row>
    <row r="57" spans="1:12" x14ac:dyDescent="0.2">
      <c r="B57" s="303"/>
      <c r="C57" s="303"/>
      <c r="D57" s="303"/>
      <c r="E57" s="303"/>
      <c r="F57" s="303"/>
      <c r="G57" s="303"/>
      <c r="H57" s="303"/>
      <c r="I57" s="303"/>
      <c r="J57" s="14">
        <f>ROWS($H$8:I57)</f>
        <v>50</v>
      </c>
      <c r="K57" s="14" t="str">
        <f>IF(ID!$B$83=I57,J57,"")</f>
        <v/>
      </c>
      <c r="L57" s="14"/>
    </row>
    <row r="58" spans="1:12" x14ac:dyDescent="0.2">
      <c r="B58" s="498">
        <v>15</v>
      </c>
      <c r="C58" s="499">
        <v>-0.2</v>
      </c>
      <c r="D58" s="499">
        <v>0.3</v>
      </c>
      <c r="E58" s="498">
        <v>30</v>
      </c>
      <c r="F58" s="499">
        <v>-4.5</v>
      </c>
      <c r="G58" s="499">
        <v>1.3</v>
      </c>
      <c r="H58" s="769" t="s">
        <v>350</v>
      </c>
      <c r="I58" s="764" t="s">
        <v>790</v>
      </c>
      <c r="J58" s="14">
        <f>ROWS($H$8:I58)</f>
        <v>51</v>
      </c>
      <c r="K58" s="14" t="str">
        <f>IF(ID!$B$83=I58,J58,"")</f>
        <v/>
      </c>
      <c r="L58" s="14"/>
    </row>
    <row r="59" spans="1:12" x14ac:dyDescent="0.2">
      <c r="B59" s="498">
        <v>20</v>
      </c>
      <c r="C59" s="499">
        <v>-0.1</v>
      </c>
      <c r="D59" s="499">
        <v>0.3</v>
      </c>
      <c r="E59" s="498">
        <v>40</v>
      </c>
      <c r="F59" s="499">
        <v>-4.4000000000000004</v>
      </c>
      <c r="G59" s="499">
        <v>1.3</v>
      </c>
      <c r="H59" s="769"/>
      <c r="I59" s="764" t="s">
        <v>790</v>
      </c>
      <c r="J59" s="14">
        <f>ROWS($H$8:I59)</f>
        <v>52</v>
      </c>
      <c r="K59" s="14" t="str">
        <f>IF(ID!$B$83=I59,J59,"")</f>
        <v/>
      </c>
      <c r="L59" s="14"/>
    </row>
    <row r="60" spans="1:12" x14ac:dyDescent="0.2">
      <c r="B60" s="498">
        <v>25</v>
      </c>
      <c r="C60" s="499">
        <v>-0.1</v>
      </c>
      <c r="D60" s="499">
        <v>0.3</v>
      </c>
      <c r="E60" s="498">
        <v>50</v>
      </c>
      <c r="F60" s="499">
        <v>-4.3</v>
      </c>
      <c r="G60" s="499">
        <v>1.3</v>
      </c>
      <c r="H60" s="769"/>
      <c r="I60" s="764" t="s">
        <v>790</v>
      </c>
      <c r="J60" s="14">
        <f>ROWS($H$8:I60)</f>
        <v>53</v>
      </c>
      <c r="K60" s="14" t="str">
        <f>IF(ID!$B$83=I60,J60,"")</f>
        <v/>
      </c>
      <c r="L60" s="14"/>
    </row>
    <row r="61" spans="1:12" x14ac:dyDescent="0.2">
      <c r="B61" s="498">
        <v>30</v>
      </c>
      <c r="C61" s="499">
        <v>-0.1</v>
      </c>
      <c r="D61" s="499">
        <v>0.3</v>
      </c>
      <c r="E61" s="498">
        <v>60</v>
      </c>
      <c r="F61" s="499">
        <v>-4.2</v>
      </c>
      <c r="G61" s="499">
        <v>1.3</v>
      </c>
      <c r="H61" s="769"/>
      <c r="I61" s="764" t="s">
        <v>790</v>
      </c>
      <c r="J61" s="14">
        <f>ROWS($H$8:I61)</f>
        <v>54</v>
      </c>
      <c r="K61" s="14" t="str">
        <f>IF(ID!$B$83=I61,J61,"")</f>
        <v/>
      </c>
      <c r="L61" s="14"/>
    </row>
    <row r="62" spans="1:12" x14ac:dyDescent="0.2">
      <c r="B62" s="498">
        <v>35</v>
      </c>
      <c r="C62" s="499">
        <v>-0.3</v>
      </c>
      <c r="D62" s="499">
        <v>0.3</v>
      </c>
      <c r="E62" s="498">
        <v>70</v>
      </c>
      <c r="F62" s="499">
        <v>-4</v>
      </c>
      <c r="G62" s="499">
        <v>1.3</v>
      </c>
      <c r="H62" s="769"/>
      <c r="I62" s="764" t="s">
        <v>790</v>
      </c>
      <c r="J62" s="14">
        <f>ROWS($H$8:I62)</f>
        <v>55</v>
      </c>
      <c r="K62" s="14" t="str">
        <f>IF(ID!$B$83=I62,J62,"")</f>
        <v/>
      </c>
      <c r="L62" s="14"/>
    </row>
    <row r="63" spans="1:12" x14ac:dyDescent="0.2">
      <c r="B63" s="501">
        <v>37</v>
      </c>
      <c r="C63" s="499">
        <v>-0.4</v>
      </c>
      <c r="D63" s="499">
        <v>0.3</v>
      </c>
      <c r="E63" s="501">
        <v>80</v>
      </c>
      <c r="F63" s="499">
        <v>-3.8</v>
      </c>
      <c r="G63" s="499">
        <v>1.3</v>
      </c>
      <c r="H63" s="769"/>
      <c r="I63" s="764" t="s">
        <v>790</v>
      </c>
      <c r="J63" s="14">
        <f>ROWS($H$8:I63)</f>
        <v>56</v>
      </c>
      <c r="K63" s="14" t="str">
        <f>IF(ID!$B$83=I63,J63,"")</f>
        <v/>
      </c>
      <c r="L63" s="14"/>
    </row>
    <row r="64" spans="1:12" x14ac:dyDescent="0.2">
      <c r="A64" s="18"/>
      <c r="B64" s="501">
        <v>40</v>
      </c>
      <c r="C64" s="502">
        <v>-0.5</v>
      </c>
      <c r="D64" s="499">
        <v>0.3</v>
      </c>
      <c r="E64" s="501">
        <v>90</v>
      </c>
      <c r="F64" s="502">
        <v>-3.5</v>
      </c>
      <c r="G64" s="499">
        <v>1.3</v>
      </c>
      <c r="H64" s="769"/>
      <c r="I64" s="764" t="s">
        <v>790</v>
      </c>
      <c r="J64" s="14">
        <f>ROWS($H$8:I64)</f>
        <v>57</v>
      </c>
      <c r="K64" s="14" t="str">
        <f>IF(ID!$B$83=I64,J64,"")</f>
        <v/>
      </c>
      <c r="L64" s="14"/>
    </row>
    <row r="65" spans="1:12" x14ac:dyDescent="0.2">
      <c r="B65" s="303"/>
      <c r="C65" s="303"/>
      <c r="D65" s="303"/>
      <c r="E65" s="303"/>
      <c r="F65" s="303"/>
      <c r="G65" s="303"/>
      <c r="H65" s="303"/>
      <c r="I65" s="303"/>
      <c r="J65" s="14">
        <f>ROWS($H$8:I65)</f>
        <v>58</v>
      </c>
      <c r="K65" s="14" t="str">
        <f>IF(ID!$B$83=I65,J65,"")</f>
        <v/>
      </c>
      <c r="L65" s="14"/>
    </row>
    <row r="66" spans="1:12" x14ac:dyDescent="0.2">
      <c r="A66" s="16"/>
      <c r="B66" s="760"/>
      <c r="C66" s="760"/>
      <c r="D66" s="760"/>
      <c r="E66" s="760"/>
      <c r="F66" s="760"/>
      <c r="G66" s="760"/>
      <c r="H66" s="760"/>
      <c r="I66" s="760"/>
      <c r="J66" s="14">
        <f>ROWS($H$8:I66)</f>
        <v>59</v>
      </c>
      <c r="K66" s="14" t="str">
        <f>IF(ID!$B$83=I66,J66,"")</f>
        <v/>
      </c>
      <c r="L66" s="14"/>
    </row>
    <row r="67" spans="1:12" x14ac:dyDescent="0.2">
      <c r="B67" s="303"/>
      <c r="C67" s="303"/>
      <c r="D67" s="303"/>
      <c r="E67" s="303"/>
      <c r="F67" s="303"/>
      <c r="G67" s="303"/>
      <c r="H67" s="303"/>
      <c r="I67" s="303"/>
      <c r="J67" s="14">
        <f>ROWS($H$8:I67)</f>
        <v>60</v>
      </c>
      <c r="K67" s="14" t="str">
        <f>IF(ID!$B$83=I67,J67,"")</f>
        <v/>
      </c>
      <c r="L67" s="14"/>
    </row>
    <row r="68" spans="1:12" x14ac:dyDescent="0.2">
      <c r="B68" s="9">
        <v>15</v>
      </c>
      <c r="C68" s="28">
        <v>0.1</v>
      </c>
      <c r="D68" s="28">
        <v>0.8</v>
      </c>
      <c r="E68" s="9">
        <v>30</v>
      </c>
      <c r="F68" s="28">
        <v>-14.4</v>
      </c>
      <c r="G68" s="28">
        <v>2.5</v>
      </c>
      <c r="H68" s="657" t="s">
        <v>471</v>
      </c>
      <c r="I68" s="764" t="s">
        <v>833</v>
      </c>
      <c r="J68" s="14">
        <f>ROWS($H$8:I68)</f>
        <v>61</v>
      </c>
      <c r="K68" s="14" t="str">
        <f>IF(ID!$B$83=I68,J68,"")</f>
        <v/>
      </c>
      <c r="L68" s="14"/>
    </row>
    <row r="69" spans="1:12" x14ac:dyDescent="0.2">
      <c r="B69" s="9">
        <v>20</v>
      </c>
      <c r="C69" s="28">
        <v>0.1</v>
      </c>
      <c r="D69" s="28">
        <v>0.8</v>
      </c>
      <c r="E69" s="9">
        <v>40</v>
      </c>
      <c r="F69" s="28">
        <v>-11.5</v>
      </c>
      <c r="G69" s="28">
        <v>2.5</v>
      </c>
      <c r="H69" s="657"/>
      <c r="I69" s="764" t="s">
        <v>833</v>
      </c>
      <c r="J69" s="14">
        <f>ROWS($H$8:I69)</f>
        <v>62</v>
      </c>
      <c r="K69" s="14" t="str">
        <f>IF(ID!$B$83=I69,J69,"")</f>
        <v/>
      </c>
      <c r="L69" s="14"/>
    </row>
    <row r="70" spans="1:12" x14ac:dyDescent="0.2">
      <c r="B70" s="9">
        <v>25</v>
      </c>
      <c r="C70" s="28">
        <v>0.1</v>
      </c>
      <c r="D70" s="28">
        <v>0.8</v>
      </c>
      <c r="E70" s="9">
        <v>50</v>
      </c>
      <c r="F70" s="28">
        <v>-9.1</v>
      </c>
      <c r="G70" s="28">
        <v>2.5</v>
      </c>
      <c r="H70" s="657"/>
      <c r="I70" s="764" t="s">
        <v>833</v>
      </c>
      <c r="J70" s="14">
        <f>ROWS($H$8:I70)</f>
        <v>63</v>
      </c>
      <c r="K70" s="14" t="str">
        <f>IF(ID!$B$83=I70,J70,"")</f>
        <v/>
      </c>
      <c r="L70" s="14"/>
    </row>
    <row r="71" spans="1:12" x14ac:dyDescent="0.2">
      <c r="B71" s="9">
        <v>30</v>
      </c>
      <c r="C71" s="28">
        <v>0</v>
      </c>
      <c r="D71" s="28">
        <v>0.8</v>
      </c>
      <c r="E71" s="9">
        <v>60</v>
      </c>
      <c r="F71" s="28">
        <v>-6.9</v>
      </c>
      <c r="G71" s="28">
        <v>2.5</v>
      </c>
      <c r="H71" s="657"/>
      <c r="I71" s="764" t="s">
        <v>833</v>
      </c>
      <c r="J71" s="14">
        <f>ROWS($H$8:I71)</f>
        <v>64</v>
      </c>
      <c r="K71" s="14" t="str">
        <f>IF(ID!$B$83=I71,J71,"")</f>
        <v/>
      </c>
      <c r="L71" s="14"/>
    </row>
    <row r="72" spans="1:12" x14ac:dyDescent="0.2">
      <c r="B72" s="9">
        <v>35</v>
      </c>
      <c r="C72" s="28">
        <v>-0.2</v>
      </c>
      <c r="D72" s="28">
        <v>0.8</v>
      </c>
      <c r="E72" s="9">
        <v>70</v>
      </c>
      <c r="F72" s="28">
        <v>-5.0999999999999996</v>
      </c>
      <c r="G72" s="28">
        <v>2.5</v>
      </c>
      <c r="H72" s="657"/>
      <c r="I72" s="764" t="s">
        <v>833</v>
      </c>
      <c r="J72" s="14">
        <f>ROWS($H$8:I72)</f>
        <v>65</v>
      </c>
      <c r="K72" s="14" t="str">
        <f>IF(ID!$B$83=I72,J72,"")</f>
        <v/>
      </c>
      <c r="L72" s="14"/>
    </row>
    <row r="73" spans="1:12" x14ac:dyDescent="0.2">
      <c r="B73" s="10">
        <v>37</v>
      </c>
      <c r="C73" s="28">
        <v>-0.3</v>
      </c>
      <c r="D73" s="28">
        <v>0.8</v>
      </c>
      <c r="E73" s="10">
        <v>80</v>
      </c>
      <c r="F73" s="28">
        <v>-3.7</v>
      </c>
      <c r="G73" s="28">
        <v>2.5</v>
      </c>
      <c r="H73" s="657"/>
      <c r="I73" s="764" t="s">
        <v>833</v>
      </c>
      <c r="J73" s="14">
        <f>ROWS($H$8:I73)</f>
        <v>66</v>
      </c>
      <c r="K73" s="14" t="str">
        <f>IF(ID!$B$83=I73,J73,"")</f>
        <v/>
      </c>
      <c r="L73" s="14"/>
    </row>
    <row r="74" spans="1:12" x14ac:dyDescent="0.2">
      <c r="A74" s="18"/>
      <c r="B74" s="10">
        <v>40</v>
      </c>
      <c r="C74" s="29">
        <v>-0.4</v>
      </c>
      <c r="D74" s="28">
        <v>0.8</v>
      </c>
      <c r="E74" s="10">
        <v>90</v>
      </c>
      <c r="F74" s="29">
        <v>-2.7</v>
      </c>
      <c r="G74" s="28">
        <v>2.5</v>
      </c>
      <c r="H74" s="657"/>
      <c r="I74" s="764" t="s">
        <v>833</v>
      </c>
      <c r="J74" s="14">
        <f>ROWS($H$8:I74)</f>
        <v>67</v>
      </c>
      <c r="K74" s="14" t="str">
        <f>IF(ID!$B$83=I74,J74,"")</f>
        <v/>
      </c>
      <c r="L74" s="14"/>
    </row>
    <row r="75" spans="1:12" x14ac:dyDescent="0.2">
      <c r="B75" s="303"/>
      <c r="C75" s="303"/>
      <c r="D75" s="303"/>
      <c r="E75" s="303"/>
      <c r="F75" s="303"/>
      <c r="G75" s="303"/>
      <c r="H75" s="303"/>
      <c r="I75" s="303"/>
      <c r="J75" s="14">
        <f>ROWS($H$8:I75)</f>
        <v>68</v>
      </c>
      <c r="K75" s="14" t="str">
        <f>IF(ID!$B$83=I75,J75,"")</f>
        <v/>
      </c>
      <c r="L75" s="14"/>
    </row>
    <row r="76" spans="1:12" x14ac:dyDescent="0.2">
      <c r="A76" s="16"/>
      <c r="B76" s="760"/>
      <c r="C76" s="760"/>
      <c r="D76" s="760"/>
      <c r="E76" s="760"/>
      <c r="F76" s="760"/>
      <c r="G76" s="760"/>
      <c r="H76" s="760"/>
      <c r="I76" s="760"/>
      <c r="J76" s="14">
        <f>ROWS($H$8:I76)</f>
        <v>69</v>
      </c>
      <c r="K76" s="14" t="str">
        <f>IF(ID!$B$83=I76,J76,"")</f>
        <v/>
      </c>
      <c r="L76" s="14"/>
    </row>
    <row r="77" spans="1:12" x14ac:dyDescent="0.2">
      <c r="B77" s="303"/>
      <c r="C77" s="303"/>
      <c r="D77" s="303"/>
      <c r="E77" s="303"/>
      <c r="F77" s="303"/>
      <c r="G77" s="303"/>
      <c r="H77" s="303"/>
      <c r="I77" s="303"/>
      <c r="J77" s="14">
        <f>ROWS($H$8:I77)</f>
        <v>70</v>
      </c>
      <c r="K77" s="14" t="str">
        <f>IF(ID!$B$83=I77,J77,"")</f>
        <v/>
      </c>
      <c r="L77" s="14"/>
    </row>
    <row r="78" spans="1:12" ht="13.2" x14ac:dyDescent="0.2">
      <c r="B78" s="498">
        <v>15</v>
      </c>
      <c r="C78" s="499">
        <v>0.4</v>
      </c>
      <c r="D78" s="499">
        <v>0.8</v>
      </c>
      <c r="E78" s="498">
        <v>30</v>
      </c>
      <c r="F78" s="499">
        <v>-1.5</v>
      </c>
      <c r="G78" s="499">
        <v>2.6</v>
      </c>
      <c r="H78" s="770" t="s">
        <v>350</v>
      </c>
      <c r="I78" s="771" t="s">
        <v>836</v>
      </c>
      <c r="J78" s="14">
        <f>ROWS($H$8:I78)</f>
        <v>71</v>
      </c>
      <c r="K78" s="14" t="str">
        <f>IF(ID!$B$83=I78,J78,"")</f>
        <v/>
      </c>
      <c r="L78" s="14"/>
    </row>
    <row r="79" spans="1:12" ht="13.2" x14ac:dyDescent="0.2">
      <c r="B79" s="498">
        <v>20</v>
      </c>
      <c r="C79" s="499">
        <v>0.3</v>
      </c>
      <c r="D79" s="499">
        <v>0.8</v>
      </c>
      <c r="E79" s="498">
        <v>40</v>
      </c>
      <c r="F79" s="499">
        <v>-3.8</v>
      </c>
      <c r="G79" s="499">
        <v>2.6</v>
      </c>
      <c r="H79" s="770"/>
      <c r="I79" s="771" t="s">
        <v>836</v>
      </c>
      <c r="J79" s="14">
        <f>ROWS($H$8:I79)</f>
        <v>72</v>
      </c>
      <c r="K79" s="14" t="str">
        <f>IF(ID!$B$83=I79,J79,"")</f>
        <v/>
      </c>
      <c r="L79" s="14"/>
    </row>
    <row r="80" spans="1:12" ht="13.2" x14ac:dyDescent="0.2">
      <c r="B80" s="498">
        <v>25</v>
      </c>
      <c r="C80" s="499">
        <v>0.2</v>
      </c>
      <c r="D80" s="499">
        <v>0.8</v>
      </c>
      <c r="E80" s="498">
        <v>50</v>
      </c>
      <c r="F80" s="499">
        <v>-5.4</v>
      </c>
      <c r="G80" s="499">
        <v>2.6</v>
      </c>
      <c r="H80" s="770"/>
      <c r="I80" s="771" t="s">
        <v>836</v>
      </c>
      <c r="J80" s="14">
        <f>ROWS($H$8:I80)</f>
        <v>73</v>
      </c>
      <c r="K80" s="14" t="str">
        <f>IF(ID!$B$83=I80,J80,"")</f>
        <v/>
      </c>
      <c r="L80" s="14"/>
    </row>
    <row r="81" spans="1:12" ht="13.2" x14ac:dyDescent="0.2">
      <c r="B81" s="498">
        <v>30</v>
      </c>
      <c r="C81" s="499">
        <v>0.1</v>
      </c>
      <c r="D81" s="499">
        <v>0.8</v>
      </c>
      <c r="E81" s="498">
        <v>60</v>
      </c>
      <c r="F81" s="499">
        <v>-6.4</v>
      </c>
      <c r="G81" s="499">
        <v>2.6</v>
      </c>
      <c r="H81" s="770"/>
      <c r="I81" s="771" t="s">
        <v>836</v>
      </c>
      <c r="J81" s="14">
        <f>ROWS($H$8:I81)</f>
        <v>74</v>
      </c>
      <c r="K81" s="14" t="str">
        <f>IF(ID!$B$83=I81,J81,"")</f>
        <v/>
      </c>
      <c r="L81" s="14"/>
    </row>
    <row r="82" spans="1:12" ht="13.2" x14ac:dyDescent="0.2">
      <c r="B82" s="498">
        <v>35</v>
      </c>
      <c r="C82" s="499">
        <v>0.1</v>
      </c>
      <c r="D82" s="499">
        <v>0.8</v>
      </c>
      <c r="E82" s="498">
        <v>70</v>
      </c>
      <c r="F82" s="499">
        <v>-6.7</v>
      </c>
      <c r="G82" s="499">
        <v>2.6</v>
      </c>
      <c r="H82" s="770"/>
      <c r="I82" s="771" t="s">
        <v>836</v>
      </c>
      <c r="J82" s="14">
        <f>ROWS($H$8:I82)</f>
        <v>75</v>
      </c>
      <c r="K82" s="14" t="str">
        <f>IF(ID!$B$83=I82,J82,"")</f>
        <v/>
      </c>
      <c r="L82" s="14"/>
    </row>
    <row r="83" spans="1:12" ht="13.2" x14ac:dyDescent="0.2">
      <c r="B83" s="501">
        <v>37</v>
      </c>
      <c r="C83" s="499">
        <v>0.1</v>
      </c>
      <c r="D83" s="499">
        <v>0.8</v>
      </c>
      <c r="E83" s="501">
        <v>80</v>
      </c>
      <c r="F83" s="499">
        <v>-6.3</v>
      </c>
      <c r="G83" s="499">
        <v>2.6</v>
      </c>
      <c r="H83" s="770"/>
      <c r="I83" s="771" t="s">
        <v>836</v>
      </c>
      <c r="J83" s="14">
        <f>ROWS($H$8:I83)</f>
        <v>76</v>
      </c>
      <c r="K83" s="14" t="str">
        <f>IF(ID!$B$83=I83,J83,"")</f>
        <v/>
      </c>
      <c r="L83" s="14"/>
    </row>
    <row r="84" spans="1:12" ht="13.2" x14ac:dyDescent="0.2">
      <c r="A84" s="18"/>
      <c r="B84" s="501">
        <v>40</v>
      </c>
      <c r="C84" s="502">
        <v>0.1</v>
      </c>
      <c r="D84" s="499">
        <v>0.8</v>
      </c>
      <c r="E84" s="501">
        <v>90</v>
      </c>
      <c r="F84" s="502">
        <v>-5.2</v>
      </c>
      <c r="G84" s="499">
        <v>2.6</v>
      </c>
      <c r="H84" s="770"/>
      <c r="I84" s="771" t="s">
        <v>836</v>
      </c>
      <c r="J84" s="14">
        <f>ROWS($H$8:I84)</f>
        <v>77</v>
      </c>
      <c r="K84" s="14" t="str">
        <f>IF(ID!$B$83=I84,J84,"")</f>
        <v/>
      </c>
      <c r="L84" s="14"/>
    </row>
    <row r="85" spans="1:12" x14ac:dyDescent="0.2">
      <c r="B85" s="303"/>
      <c r="C85" s="303"/>
      <c r="D85" s="303"/>
      <c r="E85" s="303"/>
      <c r="F85" s="303"/>
      <c r="G85" s="303"/>
      <c r="H85" s="303"/>
      <c r="I85" s="303"/>
      <c r="J85" s="14">
        <f>ROWS($H$8:I85)</f>
        <v>78</v>
      </c>
      <c r="K85" s="14" t="str">
        <f>IF(ID!$B$83=I85,J85,"")</f>
        <v/>
      </c>
      <c r="L85" s="14"/>
    </row>
    <row r="86" spans="1:12" x14ac:dyDescent="0.2">
      <c r="A86" s="16"/>
      <c r="B86" s="760"/>
      <c r="C86" s="760"/>
      <c r="D86" s="760"/>
      <c r="E86" s="760"/>
      <c r="F86" s="760"/>
      <c r="G86" s="760"/>
      <c r="H86" s="760"/>
      <c r="I86" s="760"/>
      <c r="J86" s="14">
        <f>ROWS($H$8:I86)</f>
        <v>79</v>
      </c>
      <c r="K86" s="14" t="str">
        <f>IF(ID!$B$83=I86,J86,"")</f>
        <v/>
      </c>
      <c r="L86" s="14"/>
    </row>
    <row r="87" spans="1:12" x14ac:dyDescent="0.2">
      <c r="B87" s="303"/>
      <c r="C87" s="303"/>
      <c r="D87" s="303"/>
      <c r="E87" s="303"/>
      <c r="F87" s="303"/>
      <c r="G87" s="303"/>
      <c r="H87" s="303"/>
      <c r="I87" s="303"/>
      <c r="J87" s="14">
        <f>ROWS($H$8:I87)</f>
        <v>80</v>
      </c>
      <c r="K87" s="14" t="str">
        <f>IF(ID!$B$83=I87,J87,"")</f>
        <v/>
      </c>
      <c r="L87" s="14"/>
    </row>
    <row r="88" spans="1:12" x14ac:dyDescent="0.2">
      <c r="B88" s="498">
        <v>15</v>
      </c>
      <c r="C88" s="499">
        <v>0.1</v>
      </c>
      <c r="D88" s="499">
        <v>0.3</v>
      </c>
      <c r="E88" s="498">
        <v>30</v>
      </c>
      <c r="F88" s="499">
        <v>-4</v>
      </c>
      <c r="G88" s="499">
        <v>2.5</v>
      </c>
      <c r="H88" s="657" t="s">
        <v>415</v>
      </c>
      <c r="I88" s="771" t="s">
        <v>791</v>
      </c>
      <c r="J88" s="14">
        <f>ROWS($H$8:I88)</f>
        <v>81</v>
      </c>
      <c r="K88" s="14" t="str">
        <f>IF(ID!$B$83=I88,J88,"")</f>
        <v/>
      </c>
      <c r="L88" s="14"/>
    </row>
    <row r="89" spans="1:12" x14ac:dyDescent="0.2">
      <c r="B89" s="498">
        <v>20</v>
      </c>
      <c r="C89" s="499">
        <v>0</v>
      </c>
      <c r="D89" s="499">
        <v>0.3</v>
      </c>
      <c r="E89" s="498">
        <v>40</v>
      </c>
      <c r="F89" s="499">
        <v>-3.8</v>
      </c>
      <c r="G89" s="499">
        <v>2.5</v>
      </c>
      <c r="H89" s="657"/>
      <c r="I89" s="771" t="s">
        <v>791</v>
      </c>
      <c r="J89" s="14">
        <f>ROWS($H$8:I89)</f>
        <v>82</v>
      </c>
      <c r="K89" s="14" t="str">
        <f>IF(ID!$B$83=I89,J89,"")</f>
        <v/>
      </c>
      <c r="L89" s="14"/>
    </row>
    <row r="90" spans="1:12" x14ac:dyDescent="0.2">
      <c r="B90" s="498">
        <v>25</v>
      </c>
      <c r="C90" s="499">
        <v>-0.1</v>
      </c>
      <c r="D90" s="499">
        <v>0.3</v>
      </c>
      <c r="E90" s="498">
        <v>50</v>
      </c>
      <c r="F90" s="499">
        <v>-3.8</v>
      </c>
      <c r="G90" s="499">
        <v>2.5</v>
      </c>
      <c r="H90" s="657"/>
      <c r="I90" s="771" t="s">
        <v>791</v>
      </c>
      <c r="J90" s="14">
        <f>ROWS($H$8:I90)</f>
        <v>83</v>
      </c>
      <c r="K90" s="14" t="str">
        <f>IF(ID!$B$83=I90,J90,"")</f>
        <v/>
      </c>
      <c r="L90" s="14"/>
    </row>
    <row r="91" spans="1:12" x14ac:dyDescent="0.2">
      <c r="B91" s="498">
        <v>30</v>
      </c>
      <c r="C91" s="499">
        <v>-0.2</v>
      </c>
      <c r="D91" s="499">
        <v>0.3</v>
      </c>
      <c r="E91" s="498">
        <v>60</v>
      </c>
      <c r="F91" s="499">
        <v>-3.9</v>
      </c>
      <c r="G91" s="499">
        <v>2.5</v>
      </c>
      <c r="H91" s="657"/>
      <c r="I91" s="771" t="s">
        <v>791</v>
      </c>
      <c r="J91" s="14">
        <f>ROWS($H$8:I91)</f>
        <v>84</v>
      </c>
      <c r="K91" s="14" t="str">
        <f>IF(ID!$B$83=I91,J91,"")</f>
        <v/>
      </c>
      <c r="L91" s="14"/>
    </row>
    <row r="92" spans="1:12" x14ac:dyDescent="0.2">
      <c r="B92" s="498">
        <v>35</v>
      </c>
      <c r="C92" s="499">
        <v>-0.1</v>
      </c>
      <c r="D92" s="499">
        <v>0.3</v>
      </c>
      <c r="E92" s="498">
        <v>70</v>
      </c>
      <c r="F92" s="499">
        <v>-4.0999999999999996</v>
      </c>
      <c r="G92" s="499">
        <v>2.5</v>
      </c>
      <c r="H92" s="657"/>
      <c r="I92" s="771" t="s">
        <v>791</v>
      </c>
      <c r="J92" s="14">
        <f>ROWS($H$8:I92)</f>
        <v>85</v>
      </c>
      <c r="K92" s="14" t="str">
        <f>IF(ID!$B$83=I92,J92,"")</f>
        <v/>
      </c>
      <c r="L92" s="14"/>
    </row>
    <row r="93" spans="1:12" x14ac:dyDescent="0.2">
      <c r="B93" s="501">
        <v>37</v>
      </c>
      <c r="C93" s="499">
        <v>-0.1</v>
      </c>
      <c r="D93" s="499">
        <v>0.3</v>
      </c>
      <c r="E93" s="501">
        <v>80</v>
      </c>
      <c r="F93" s="499">
        <v>-4.5</v>
      </c>
      <c r="G93" s="499">
        <v>2.5</v>
      </c>
      <c r="H93" s="657"/>
      <c r="I93" s="771" t="s">
        <v>791</v>
      </c>
      <c r="J93" s="14">
        <f>ROWS($H$8:I93)</f>
        <v>86</v>
      </c>
      <c r="K93" s="14" t="str">
        <f>IF(ID!$B$83=I93,J93,"")</f>
        <v/>
      </c>
      <c r="L93" s="14"/>
    </row>
    <row r="94" spans="1:12" x14ac:dyDescent="0.2">
      <c r="A94" s="18"/>
      <c r="B94" s="501">
        <v>40</v>
      </c>
      <c r="C94" s="502">
        <v>0</v>
      </c>
      <c r="D94" s="499">
        <v>0.3</v>
      </c>
      <c r="E94" s="501">
        <v>90</v>
      </c>
      <c r="F94" s="502">
        <v>-4.9000000000000004</v>
      </c>
      <c r="G94" s="499">
        <v>2.5</v>
      </c>
      <c r="H94" s="657"/>
      <c r="I94" s="771" t="s">
        <v>791</v>
      </c>
      <c r="J94" s="14">
        <f>ROWS($H$8:I94)</f>
        <v>87</v>
      </c>
      <c r="K94" s="14" t="str">
        <f>IF(ID!$B$83=I94,J94,"")</f>
        <v/>
      </c>
      <c r="L94" s="14"/>
    </row>
    <row r="95" spans="1:12" x14ac:dyDescent="0.2">
      <c r="B95" s="303"/>
      <c r="C95" s="303"/>
      <c r="D95" s="303"/>
      <c r="E95" s="303"/>
      <c r="F95" s="303"/>
      <c r="G95" s="303"/>
      <c r="H95" s="303"/>
      <c r="I95" s="303"/>
      <c r="J95" s="14">
        <f>ROWS($H$8:I95)</f>
        <v>88</v>
      </c>
      <c r="K95" s="14" t="str">
        <f>IF(ID!$B$83=I95,J95,"")</f>
        <v/>
      </c>
      <c r="L95" s="14"/>
    </row>
    <row r="96" spans="1:12" x14ac:dyDescent="0.2">
      <c r="A96" s="16"/>
      <c r="B96" s="760"/>
      <c r="C96" s="760"/>
      <c r="D96" s="760"/>
      <c r="E96" s="760"/>
      <c r="F96" s="760"/>
      <c r="G96" s="760"/>
      <c r="H96" s="760"/>
      <c r="I96" s="760"/>
      <c r="J96" s="14">
        <f>ROWS($H$8:I96)</f>
        <v>89</v>
      </c>
      <c r="K96" s="14" t="str">
        <f>IF(ID!$B$83=I96,J96,"")</f>
        <v/>
      </c>
      <c r="L96" s="14"/>
    </row>
    <row r="97" spans="1:12" x14ac:dyDescent="0.2">
      <c r="B97" s="303"/>
      <c r="C97" s="303"/>
      <c r="D97" s="303"/>
      <c r="E97" s="303"/>
      <c r="F97" s="303"/>
      <c r="G97" s="303"/>
      <c r="H97" s="303"/>
      <c r="I97" s="303"/>
      <c r="J97" s="14">
        <f>ROWS($H$8:I97)</f>
        <v>90</v>
      </c>
      <c r="K97" s="14" t="str">
        <f>IF(ID!$B$83=I97,J97,"")</f>
        <v/>
      </c>
      <c r="L97" s="14"/>
    </row>
    <row r="98" spans="1:12" ht="11.4" x14ac:dyDescent="0.2">
      <c r="B98" s="498">
        <v>15</v>
      </c>
      <c r="C98" s="499">
        <v>0.1</v>
      </c>
      <c r="D98" s="499">
        <v>0.2</v>
      </c>
      <c r="E98" s="498">
        <v>30</v>
      </c>
      <c r="F98" s="499">
        <v>-1.9</v>
      </c>
      <c r="G98" s="499">
        <v>2.4</v>
      </c>
      <c r="H98" s="772" t="s">
        <v>415</v>
      </c>
      <c r="I98" s="1095" t="s">
        <v>835</v>
      </c>
      <c r="J98" s="14">
        <f>ROWS($H$8:I98)</f>
        <v>91</v>
      </c>
      <c r="K98" s="14" t="str">
        <f>IF(ID!$B$83=I98,J98,"")</f>
        <v/>
      </c>
      <c r="L98" s="14"/>
    </row>
    <row r="99" spans="1:12" ht="13.2" x14ac:dyDescent="0.2">
      <c r="B99" s="498">
        <v>20</v>
      </c>
      <c r="C99" s="499">
        <v>0</v>
      </c>
      <c r="D99" s="499">
        <v>0.2</v>
      </c>
      <c r="E99" s="498">
        <v>40</v>
      </c>
      <c r="F99" s="499">
        <v>-1.9</v>
      </c>
      <c r="G99" s="499">
        <v>2.4</v>
      </c>
      <c r="H99" s="765"/>
      <c r="I99" s="1095" t="s">
        <v>835</v>
      </c>
      <c r="J99" s="14">
        <f>ROWS($H$8:I99)</f>
        <v>92</v>
      </c>
      <c r="K99" s="14" t="str">
        <f>IF(ID!$B$83=I99,J99,"")</f>
        <v/>
      </c>
      <c r="L99" s="14"/>
    </row>
    <row r="100" spans="1:12" ht="13.2" x14ac:dyDescent="0.2">
      <c r="B100" s="498">
        <v>25</v>
      </c>
      <c r="C100" s="499">
        <v>0</v>
      </c>
      <c r="D100" s="499">
        <v>0.2</v>
      </c>
      <c r="E100" s="498">
        <v>50</v>
      </c>
      <c r="F100" s="499">
        <v>-1.9</v>
      </c>
      <c r="G100" s="499">
        <v>2.4</v>
      </c>
      <c r="H100" s="765"/>
      <c r="I100" s="1095" t="s">
        <v>835</v>
      </c>
      <c r="J100" s="14">
        <f>ROWS($H$8:I100)</f>
        <v>93</v>
      </c>
      <c r="K100" s="14" t="str">
        <f>IF(ID!$B$83=I100,J100,"")</f>
        <v/>
      </c>
      <c r="L100" s="14"/>
    </row>
    <row r="101" spans="1:12" ht="13.2" x14ac:dyDescent="0.2">
      <c r="B101" s="498">
        <v>30</v>
      </c>
      <c r="C101" s="499">
        <v>0</v>
      </c>
      <c r="D101" s="499">
        <v>0.2</v>
      </c>
      <c r="E101" s="498">
        <v>60</v>
      </c>
      <c r="F101" s="499">
        <v>-2.1</v>
      </c>
      <c r="G101" s="499">
        <v>2.4</v>
      </c>
      <c r="H101" s="765"/>
      <c r="I101" s="1095" t="s">
        <v>835</v>
      </c>
      <c r="J101" s="14">
        <f>ROWS($H$8:I101)</f>
        <v>94</v>
      </c>
      <c r="K101" s="14" t="str">
        <f>IF(ID!$B$83=I101,J101,"")</f>
        <v/>
      </c>
      <c r="L101" s="14"/>
    </row>
    <row r="102" spans="1:12" ht="13.2" x14ac:dyDescent="0.2">
      <c r="B102" s="498">
        <v>35</v>
      </c>
      <c r="C102" s="499">
        <v>0</v>
      </c>
      <c r="D102" s="499">
        <v>0.2</v>
      </c>
      <c r="E102" s="498">
        <v>70</v>
      </c>
      <c r="F102" s="499">
        <v>-2.2999999999999998</v>
      </c>
      <c r="G102" s="499">
        <v>2.4</v>
      </c>
      <c r="H102" s="765"/>
      <c r="I102" s="1095" t="s">
        <v>835</v>
      </c>
      <c r="J102" s="14">
        <f>ROWS($H$8:I102)</f>
        <v>95</v>
      </c>
      <c r="K102" s="14" t="str">
        <f>IF(ID!$B$83=I102,J102,"")</f>
        <v/>
      </c>
      <c r="L102" s="14"/>
    </row>
    <row r="103" spans="1:12" ht="13.2" x14ac:dyDescent="0.2">
      <c r="B103" s="501">
        <v>37</v>
      </c>
      <c r="C103" s="499">
        <v>0</v>
      </c>
      <c r="D103" s="499">
        <v>0.2</v>
      </c>
      <c r="E103" s="501">
        <v>80</v>
      </c>
      <c r="F103" s="499">
        <v>-2.6</v>
      </c>
      <c r="G103" s="499">
        <v>2.4</v>
      </c>
      <c r="H103" s="765"/>
      <c r="I103" s="1095" t="s">
        <v>835</v>
      </c>
      <c r="J103" s="14">
        <f>ROWS($H$8:I103)</f>
        <v>96</v>
      </c>
      <c r="K103" s="14" t="str">
        <f>IF(ID!$B$83=I103,J103,"")</f>
        <v/>
      </c>
      <c r="L103" s="14"/>
    </row>
    <row r="104" spans="1:12" ht="13.2" x14ac:dyDescent="0.2">
      <c r="A104" s="18"/>
      <c r="B104" s="501">
        <v>40</v>
      </c>
      <c r="C104" s="499">
        <v>0.1</v>
      </c>
      <c r="D104" s="499">
        <v>0.2</v>
      </c>
      <c r="E104" s="501">
        <v>90</v>
      </c>
      <c r="F104" s="503">
        <v>-3</v>
      </c>
      <c r="G104" s="499">
        <v>2.4</v>
      </c>
      <c r="H104" s="765"/>
      <c r="I104" s="1095" t="s">
        <v>835</v>
      </c>
      <c r="J104" s="14">
        <f>ROWS($H$8:I104)</f>
        <v>97</v>
      </c>
      <c r="K104" s="14" t="str">
        <f>IF(ID!$B$83=I104,J104,"")</f>
        <v/>
      </c>
      <c r="L104" s="14"/>
    </row>
    <row r="105" spans="1:12" x14ac:dyDescent="0.2">
      <c r="B105" s="303"/>
      <c r="C105" s="303"/>
      <c r="D105" s="303"/>
      <c r="E105" s="303"/>
      <c r="F105" s="303"/>
      <c r="G105" s="303"/>
      <c r="H105" s="303"/>
      <c r="I105" s="303"/>
      <c r="J105" s="14">
        <f>ROWS($H$8:I105)</f>
        <v>98</v>
      </c>
      <c r="K105" s="14" t="str">
        <f>IF(ID!$B$83=I105,J105,"")</f>
        <v/>
      </c>
      <c r="L105" s="14"/>
    </row>
    <row r="106" spans="1:12" x14ac:dyDescent="0.2">
      <c r="A106" s="16"/>
      <c r="B106" s="760"/>
      <c r="C106" s="760"/>
      <c r="D106" s="760"/>
      <c r="E106" s="760"/>
      <c r="F106" s="760"/>
      <c r="G106" s="760"/>
      <c r="H106" s="760"/>
      <c r="I106" s="760"/>
      <c r="J106" s="14">
        <f>ROWS($H$8:I106)</f>
        <v>99</v>
      </c>
      <c r="K106" s="14" t="str">
        <f>IF(ID!$B$83=I106,J106,"")</f>
        <v/>
      </c>
      <c r="L106" s="14"/>
    </row>
    <row r="107" spans="1:12" x14ac:dyDescent="0.2">
      <c r="B107" s="303"/>
      <c r="C107" s="303"/>
      <c r="D107" s="303"/>
      <c r="E107" s="303"/>
      <c r="F107" s="303"/>
      <c r="G107" s="303"/>
      <c r="H107" s="303"/>
      <c r="I107" s="303"/>
      <c r="J107" s="14">
        <f>ROWS($H$8:I107)</f>
        <v>100</v>
      </c>
      <c r="K107" s="14" t="str">
        <f>IF(ID!$B$83=I107,J107,"")</f>
        <v/>
      </c>
      <c r="L107" s="14"/>
    </row>
    <row r="108" spans="1:12" x14ac:dyDescent="0.2">
      <c r="B108" s="498">
        <v>15</v>
      </c>
      <c r="C108" s="499">
        <v>0</v>
      </c>
      <c r="D108" s="499">
        <v>0.3</v>
      </c>
      <c r="E108" s="498">
        <v>30</v>
      </c>
      <c r="F108" s="499">
        <v>-1.2</v>
      </c>
      <c r="G108" s="499">
        <v>2.4</v>
      </c>
      <c r="H108" s="769" t="s">
        <v>351</v>
      </c>
      <c r="I108" s="771" t="s">
        <v>834</v>
      </c>
      <c r="J108" s="14">
        <f>ROWS($H$8:I108)</f>
        <v>101</v>
      </c>
      <c r="K108" s="14" t="str">
        <f>IF(ID!$B$83=I108,J108,"")</f>
        <v/>
      </c>
      <c r="L108" s="14"/>
    </row>
    <row r="109" spans="1:12" x14ac:dyDescent="0.2">
      <c r="B109" s="498">
        <v>20</v>
      </c>
      <c r="C109" s="499">
        <v>-0.2</v>
      </c>
      <c r="D109" s="499">
        <v>0.3</v>
      </c>
      <c r="E109" s="498">
        <v>40</v>
      </c>
      <c r="F109" s="499">
        <v>-1</v>
      </c>
      <c r="G109" s="499">
        <v>2.4</v>
      </c>
      <c r="H109" s="769"/>
      <c r="I109" s="771" t="s">
        <v>834</v>
      </c>
      <c r="J109" s="14">
        <f>ROWS($H$8:I109)</f>
        <v>102</v>
      </c>
      <c r="K109" s="14" t="str">
        <f>IF(ID!$B$83=I109,J109,"")</f>
        <v/>
      </c>
      <c r="L109" s="14"/>
    </row>
    <row r="110" spans="1:12" x14ac:dyDescent="0.2">
      <c r="B110" s="498">
        <v>25</v>
      </c>
      <c r="C110" s="499">
        <v>-0.4</v>
      </c>
      <c r="D110" s="499">
        <v>0.3</v>
      </c>
      <c r="E110" s="498">
        <v>50</v>
      </c>
      <c r="F110" s="499">
        <v>-0.9</v>
      </c>
      <c r="G110" s="499">
        <v>2.4</v>
      </c>
      <c r="H110" s="769"/>
      <c r="I110" s="771" t="s">
        <v>834</v>
      </c>
      <c r="J110" s="14">
        <f>ROWS($H$8:I110)</f>
        <v>103</v>
      </c>
      <c r="K110" s="14" t="str">
        <f>IF(ID!$B$83=I110,J110,"")</f>
        <v/>
      </c>
      <c r="L110" s="14"/>
    </row>
    <row r="111" spans="1:12" x14ac:dyDescent="0.2">
      <c r="B111" s="498">
        <v>30</v>
      </c>
      <c r="C111" s="499">
        <v>-0.5</v>
      </c>
      <c r="D111" s="499">
        <v>0.3</v>
      </c>
      <c r="E111" s="498">
        <v>60</v>
      </c>
      <c r="F111" s="499">
        <v>-0.8</v>
      </c>
      <c r="G111" s="499">
        <v>2.4</v>
      </c>
      <c r="H111" s="769"/>
      <c r="I111" s="771" t="s">
        <v>834</v>
      </c>
      <c r="J111" s="14">
        <f>ROWS($H$8:I111)</f>
        <v>104</v>
      </c>
      <c r="K111" s="14" t="str">
        <f>IF(ID!$B$83=I111,J111,"")</f>
        <v/>
      </c>
      <c r="L111" s="14"/>
    </row>
    <row r="112" spans="1:12" x14ac:dyDescent="0.2">
      <c r="B112" s="498">
        <v>35</v>
      </c>
      <c r="C112" s="499">
        <v>-0.5</v>
      </c>
      <c r="D112" s="499">
        <v>0.3</v>
      </c>
      <c r="E112" s="498">
        <v>70</v>
      </c>
      <c r="F112" s="499">
        <v>-0.6</v>
      </c>
      <c r="G112" s="499">
        <v>2.4</v>
      </c>
      <c r="H112" s="769"/>
      <c r="I112" s="771" t="s">
        <v>834</v>
      </c>
      <c r="J112" s="14">
        <f>ROWS($H$8:I112)</f>
        <v>105</v>
      </c>
      <c r="K112" s="14" t="str">
        <f>IF(ID!$B$83=I112,J112,"")</f>
        <v/>
      </c>
      <c r="L112" s="14"/>
    </row>
    <row r="113" spans="2:12" x14ac:dyDescent="0.2">
      <c r="B113" s="501">
        <v>37</v>
      </c>
      <c r="C113" s="499">
        <v>-0.5</v>
      </c>
      <c r="D113" s="499">
        <v>0.3</v>
      </c>
      <c r="E113" s="501">
        <v>80</v>
      </c>
      <c r="F113" s="499">
        <v>-0.5</v>
      </c>
      <c r="G113" s="499">
        <v>2.4</v>
      </c>
      <c r="H113" s="769"/>
      <c r="I113" s="771" t="s">
        <v>834</v>
      </c>
      <c r="J113" s="14">
        <f>ROWS($H$8:I113)</f>
        <v>106</v>
      </c>
      <c r="K113" s="14" t="str">
        <f>IF(ID!$B$83=I113,J113,"")</f>
        <v/>
      </c>
      <c r="L113" s="14"/>
    </row>
    <row r="114" spans="2:12" x14ac:dyDescent="0.2">
      <c r="B114" s="501">
        <v>40</v>
      </c>
      <c r="C114" s="502">
        <v>-0.4</v>
      </c>
      <c r="D114" s="499">
        <v>0.3</v>
      </c>
      <c r="E114" s="501">
        <v>90</v>
      </c>
      <c r="F114" s="502">
        <v>-0.2</v>
      </c>
      <c r="G114" s="499">
        <v>2.4</v>
      </c>
      <c r="H114" s="769"/>
      <c r="I114" s="771" t="s">
        <v>834</v>
      </c>
      <c r="J114" s="14">
        <f>ROWS($H$8:I114)</f>
        <v>107</v>
      </c>
      <c r="K114" s="14" t="str">
        <f>IF(ID!$B$83=I114,J114,"")</f>
        <v/>
      </c>
      <c r="L114" s="14"/>
    </row>
    <row r="115" spans="2:12" x14ac:dyDescent="0.2">
      <c r="B115" s="303"/>
      <c r="C115" s="303"/>
      <c r="D115" s="303"/>
      <c r="E115" s="303"/>
      <c r="F115" s="303"/>
      <c r="G115" s="303"/>
      <c r="H115" s="303"/>
      <c r="I115" s="303"/>
      <c r="J115" s="14">
        <f>ROWS($H$8:I115)</f>
        <v>108</v>
      </c>
      <c r="K115" s="14" t="str">
        <f>IF(ID!$B$83=I115,J115,"")</f>
        <v/>
      </c>
      <c r="L115" s="14"/>
    </row>
    <row r="116" spans="2:12" s="16" customFormat="1" x14ac:dyDescent="0.2">
      <c r="B116" s="760"/>
      <c r="C116" s="760"/>
      <c r="D116" s="760"/>
      <c r="E116" s="760"/>
      <c r="F116" s="760"/>
      <c r="G116" s="760"/>
      <c r="H116" s="760"/>
      <c r="I116" s="760"/>
      <c r="J116" s="14">
        <f>ROWS($H$8:I116)</f>
        <v>109</v>
      </c>
      <c r="K116" s="14" t="str">
        <f>IF(ID!$B$83=I116,J116,"")</f>
        <v/>
      </c>
      <c r="L116" s="14"/>
    </row>
    <row r="117" spans="2:12" x14ac:dyDescent="0.2">
      <c r="B117" s="303"/>
      <c r="C117" s="303"/>
      <c r="D117" s="303"/>
      <c r="E117" s="303"/>
      <c r="F117" s="303"/>
      <c r="G117" s="303"/>
      <c r="H117" s="303"/>
      <c r="I117" s="303"/>
      <c r="J117" s="14">
        <f>ROWS($H$8:I117)</f>
        <v>110</v>
      </c>
      <c r="K117" s="14" t="str">
        <f>IF(ID!$B$83=I117,J117,"")</f>
        <v/>
      </c>
      <c r="L117" s="14"/>
    </row>
    <row r="118" spans="2:12" x14ac:dyDescent="0.2">
      <c r="B118" s="498">
        <v>15</v>
      </c>
      <c r="C118" s="499">
        <v>0.5</v>
      </c>
      <c r="D118" s="499">
        <v>0.5</v>
      </c>
      <c r="E118" s="498">
        <v>30</v>
      </c>
      <c r="F118" s="499">
        <v>-0.8</v>
      </c>
      <c r="G118" s="499">
        <v>2.7</v>
      </c>
      <c r="H118" s="773" t="s">
        <v>725</v>
      </c>
      <c r="I118" s="771" t="s">
        <v>263</v>
      </c>
      <c r="J118" s="14">
        <f>ROWS($H$8:I118)</f>
        <v>111</v>
      </c>
      <c r="K118" s="14" t="str">
        <f>IF(ID!$B$83=I118,J118,"")</f>
        <v/>
      </c>
      <c r="L118" s="14"/>
    </row>
    <row r="119" spans="2:12" x14ac:dyDescent="0.2">
      <c r="B119" s="498">
        <v>20</v>
      </c>
      <c r="C119" s="499">
        <v>0.2</v>
      </c>
      <c r="D119" s="499">
        <v>0.5</v>
      </c>
      <c r="E119" s="498">
        <v>40</v>
      </c>
      <c r="F119" s="499">
        <v>-0.4</v>
      </c>
      <c r="G119" s="499">
        <v>2.7</v>
      </c>
      <c r="H119" s="773"/>
      <c r="I119" s="771" t="s">
        <v>263</v>
      </c>
      <c r="J119" s="14">
        <f>ROWS($H$8:I119)</f>
        <v>112</v>
      </c>
      <c r="K119" s="14" t="str">
        <f>IF(ID!$B$83=I119,J119,"")</f>
        <v/>
      </c>
      <c r="L119" s="14"/>
    </row>
    <row r="120" spans="2:12" x14ac:dyDescent="0.2">
      <c r="B120" s="498">
        <v>25</v>
      </c>
      <c r="C120" s="499">
        <v>-0.1</v>
      </c>
      <c r="D120" s="499">
        <v>0.5</v>
      </c>
      <c r="E120" s="498">
        <v>50</v>
      </c>
      <c r="F120" s="499">
        <v>0</v>
      </c>
      <c r="G120" s="499">
        <v>2.7</v>
      </c>
      <c r="H120" s="773"/>
      <c r="I120" s="771" t="s">
        <v>263</v>
      </c>
      <c r="J120" s="14">
        <f>ROWS($H$8:I120)</f>
        <v>113</v>
      </c>
      <c r="K120" s="14" t="str">
        <f>IF(ID!$B$83=I120,J120,"")</f>
        <v/>
      </c>
      <c r="L120" s="14"/>
    </row>
    <row r="121" spans="2:12" x14ac:dyDescent="0.2">
      <c r="B121" s="498">
        <v>30</v>
      </c>
      <c r="C121" s="499">
        <v>-0.4</v>
      </c>
      <c r="D121" s="499">
        <v>0.5</v>
      </c>
      <c r="E121" s="498">
        <v>60</v>
      </c>
      <c r="F121" s="499">
        <v>0.3</v>
      </c>
      <c r="G121" s="499">
        <v>2.7</v>
      </c>
      <c r="H121" s="773"/>
      <c r="I121" s="771" t="s">
        <v>263</v>
      </c>
      <c r="J121" s="14">
        <f>ROWS($H$8:I121)</f>
        <v>114</v>
      </c>
      <c r="K121" s="14" t="str">
        <f>IF(ID!$B$83=I121,J121,"")</f>
        <v/>
      </c>
      <c r="L121" s="14"/>
    </row>
    <row r="122" spans="2:12" x14ac:dyDescent="0.2">
      <c r="B122" s="498">
        <v>35</v>
      </c>
      <c r="C122" s="499">
        <v>-0.6</v>
      </c>
      <c r="D122" s="499">
        <v>0.5</v>
      </c>
      <c r="E122" s="498">
        <v>70</v>
      </c>
      <c r="F122" s="499">
        <v>0.7</v>
      </c>
      <c r="G122" s="499">
        <v>2.7</v>
      </c>
      <c r="H122" s="773"/>
      <c r="I122" s="771" t="s">
        <v>263</v>
      </c>
      <c r="J122" s="14">
        <f>ROWS($H$8:I122)</f>
        <v>115</v>
      </c>
      <c r="K122" s="14" t="str">
        <f>IF(ID!$B$83=I122,J122,"")</f>
        <v/>
      </c>
      <c r="L122" s="14"/>
    </row>
    <row r="123" spans="2:12" x14ac:dyDescent="0.2">
      <c r="B123" s="501">
        <v>37</v>
      </c>
      <c r="C123" s="499">
        <v>-0.7</v>
      </c>
      <c r="D123" s="499">
        <v>0.5</v>
      </c>
      <c r="E123" s="501">
        <v>80</v>
      </c>
      <c r="F123" s="499">
        <v>1.1000000000000001</v>
      </c>
      <c r="G123" s="499">
        <v>2.7</v>
      </c>
      <c r="H123" s="773"/>
      <c r="I123" s="771" t="s">
        <v>263</v>
      </c>
      <c r="J123" s="14">
        <f>ROWS($H$8:I123)</f>
        <v>116</v>
      </c>
      <c r="K123" s="14" t="str">
        <f>IF(ID!$B$83=I123,J123,"")</f>
        <v/>
      </c>
      <c r="L123" s="14"/>
    </row>
    <row r="124" spans="2:12" x14ac:dyDescent="0.2">
      <c r="B124" s="501">
        <v>40</v>
      </c>
      <c r="C124" s="502">
        <v>-0.8</v>
      </c>
      <c r="D124" s="499">
        <v>0.5</v>
      </c>
      <c r="E124" s="501">
        <v>90</v>
      </c>
      <c r="F124" s="502">
        <v>1.5</v>
      </c>
      <c r="G124" s="499">
        <v>2.7</v>
      </c>
      <c r="H124" s="773"/>
      <c r="I124" s="771" t="s">
        <v>263</v>
      </c>
      <c r="J124" s="14">
        <f>ROWS($H$8:I124)</f>
        <v>117</v>
      </c>
      <c r="K124" s="14" t="str">
        <f>IF(ID!$B$83=I124,J124,"")</f>
        <v/>
      </c>
      <c r="L124" s="14"/>
    </row>
    <row r="125" spans="2:12" x14ac:dyDescent="0.2">
      <c r="B125" s="303"/>
      <c r="C125" s="303"/>
      <c r="D125" s="303"/>
      <c r="E125" s="303"/>
      <c r="F125" s="303"/>
      <c r="G125" s="303"/>
      <c r="H125" s="303"/>
      <c r="I125" s="303"/>
      <c r="J125" s="14">
        <f>ROWS($H$8:I125)</f>
        <v>118</v>
      </c>
      <c r="K125" s="14" t="str">
        <f>IF(ID!$B$83=I125,J125,"")</f>
        <v/>
      </c>
      <c r="L125" s="14"/>
    </row>
    <row r="126" spans="2:12" x14ac:dyDescent="0.2">
      <c r="B126" s="303"/>
      <c r="C126" s="303"/>
      <c r="D126" s="303"/>
      <c r="E126" s="303"/>
      <c r="F126" s="303"/>
      <c r="G126" s="303"/>
      <c r="H126" s="303"/>
      <c r="I126" s="303"/>
      <c r="J126" s="14">
        <f>ROWS($H$8:I126)</f>
        <v>119</v>
      </c>
      <c r="K126" s="14" t="str">
        <f>IF(ID!$B$83=I126,J126,"")</f>
        <v/>
      </c>
      <c r="L126" s="14"/>
    </row>
    <row r="127" spans="2:12" x14ac:dyDescent="0.2">
      <c r="B127" s="303"/>
      <c r="C127" s="303"/>
      <c r="D127" s="303"/>
      <c r="E127" s="303"/>
      <c r="F127" s="303"/>
      <c r="G127" s="303"/>
      <c r="H127" s="303"/>
      <c r="I127" s="303"/>
      <c r="J127" s="14">
        <f>ROWS($H$8:I127)</f>
        <v>120</v>
      </c>
      <c r="K127" s="14" t="str">
        <f>IF(ID!$B$83=I127,J127,"")</f>
        <v/>
      </c>
      <c r="L127" s="14"/>
    </row>
    <row r="128" spans="2:12" x14ac:dyDescent="0.2">
      <c r="B128" s="498">
        <v>15</v>
      </c>
      <c r="C128" s="499">
        <v>0.6</v>
      </c>
      <c r="D128" s="499">
        <v>0.5</v>
      </c>
      <c r="E128" s="498">
        <v>30</v>
      </c>
      <c r="F128" s="499">
        <v>-2</v>
      </c>
      <c r="G128" s="499">
        <v>2.6</v>
      </c>
      <c r="H128" s="773" t="s">
        <v>725</v>
      </c>
      <c r="I128" s="771" t="s">
        <v>264</v>
      </c>
      <c r="J128" s="14">
        <f>ROWS($H$8:I128)</f>
        <v>121</v>
      </c>
      <c r="K128" s="14" t="str">
        <f>IF(ID!$B$83=I128,J128,"")</f>
        <v/>
      </c>
      <c r="L128" s="14"/>
    </row>
    <row r="129" spans="2:12" x14ac:dyDescent="0.2">
      <c r="B129" s="498">
        <v>20</v>
      </c>
      <c r="C129" s="499">
        <v>0.3</v>
      </c>
      <c r="D129" s="499">
        <v>0.5</v>
      </c>
      <c r="E129" s="498">
        <v>40</v>
      </c>
      <c r="F129" s="499">
        <v>-1.7</v>
      </c>
      <c r="G129" s="499">
        <v>2.6</v>
      </c>
      <c r="H129" s="773"/>
      <c r="I129" s="771" t="s">
        <v>264</v>
      </c>
      <c r="J129" s="14">
        <f>ROWS($H$8:I129)</f>
        <v>122</v>
      </c>
      <c r="K129" s="14" t="str">
        <f>IF(ID!$B$83=I129,J129,"")</f>
        <v/>
      </c>
      <c r="L129" s="14"/>
    </row>
    <row r="130" spans="2:12" x14ac:dyDescent="0.2">
      <c r="B130" s="498">
        <v>25</v>
      </c>
      <c r="C130" s="499">
        <v>0.2</v>
      </c>
      <c r="D130" s="499">
        <v>0.5</v>
      </c>
      <c r="E130" s="498">
        <v>50</v>
      </c>
      <c r="F130" s="499">
        <v>-1.4</v>
      </c>
      <c r="G130" s="499">
        <v>2.6</v>
      </c>
      <c r="H130" s="773"/>
      <c r="I130" s="771" t="s">
        <v>264</v>
      </c>
      <c r="J130" s="14">
        <f>ROWS($H$8:I130)</f>
        <v>123</v>
      </c>
      <c r="K130" s="14" t="str">
        <f>IF(ID!$B$83=I130,J130,"")</f>
        <v/>
      </c>
      <c r="L130" s="14"/>
    </row>
    <row r="131" spans="2:12" x14ac:dyDescent="0.2">
      <c r="B131" s="498">
        <v>30</v>
      </c>
      <c r="C131" s="499">
        <v>0.4</v>
      </c>
      <c r="D131" s="499">
        <v>0.5</v>
      </c>
      <c r="E131" s="498">
        <v>60</v>
      </c>
      <c r="F131" s="499">
        <v>-1.1000000000000001</v>
      </c>
      <c r="G131" s="499">
        <v>2.6</v>
      </c>
      <c r="H131" s="773"/>
      <c r="I131" s="771" t="s">
        <v>264</v>
      </c>
      <c r="J131" s="14">
        <f>ROWS($H$8:I131)</f>
        <v>124</v>
      </c>
      <c r="K131" s="14" t="str">
        <f>IF(ID!$B$83=I131,J131,"")</f>
        <v/>
      </c>
      <c r="L131" s="14"/>
    </row>
    <row r="132" spans="2:12" x14ac:dyDescent="0.2">
      <c r="B132" s="498">
        <v>35</v>
      </c>
      <c r="C132" s="499">
        <v>0.8</v>
      </c>
      <c r="D132" s="499">
        <v>0.5</v>
      </c>
      <c r="E132" s="498">
        <v>70</v>
      </c>
      <c r="F132" s="499">
        <v>-0.7</v>
      </c>
      <c r="G132" s="499">
        <v>2.6</v>
      </c>
      <c r="H132" s="773"/>
      <c r="I132" s="771" t="s">
        <v>264</v>
      </c>
      <c r="J132" s="14">
        <f>ROWS($H$8:I132)</f>
        <v>125</v>
      </c>
      <c r="K132" s="14" t="str">
        <f>IF(ID!$B$83=I132,J132,"")</f>
        <v/>
      </c>
      <c r="L132" s="14"/>
    </row>
    <row r="133" spans="2:12" x14ac:dyDescent="0.2">
      <c r="B133" s="501">
        <v>37</v>
      </c>
      <c r="C133" s="499">
        <v>1</v>
      </c>
      <c r="D133" s="499">
        <v>0.5</v>
      </c>
      <c r="E133" s="501">
        <v>80</v>
      </c>
      <c r="F133" s="499">
        <v>-0.4</v>
      </c>
      <c r="G133" s="499">
        <v>2.6</v>
      </c>
      <c r="H133" s="773"/>
      <c r="I133" s="771" t="s">
        <v>264</v>
      </c>
      <c r="J133" s="14">
        <f>ROWS($H$8:I133)</f>
        <v>126</v>
      </c>
      <c r="K133" s="14" t="str">
        <f>IF(ID!$B$83=I133,J133,"")</f>
        <v/>
      </c>
      <c r="L133" s="14"/>
    </row>
    <row r="134" spans="2:12" x14ac:dyDescent="0.2">
      <c r="B134" s="501">
        <v>40</v>
      </c>
      <c r="C134" s="503">
        <v>1.4</v>
      </c>
      <c r="D134" s="499">
        <v>0.5</v>
      </c>
      <c r="E134" s="501">
        <v>90</v>
      </c>
      <c r="F134" s="502">
        <v>-0.1</v>
      </c>
      <c r="G134" s="499">
        <v>2.6</v>
      </c>
      <c r="H134" s="773"/>
      <c r="I134" s="771" t="s">
        <v>264</v>
      </c>
      <c r="J134" s="14">
        <f>ROWS($H$8:I134)</f>
        <v>127</v>
      </c>
      <c r="K134" s="14" t="str">
        <f>IF(ID!$B$83=I134,J134,"")</f>
        <v/>
      </c>
      <c r="L134" s="14"/>
    </row>
    <row r="135" spans="2:12" x14ac:dyDescent="0.2">
      <c r="B135" s="303"/>
      <c r="C135" s="303"/>
      <c r="D135" s="303"/>
      <c r="E135" s="303"/>
      <c r="F135" s="303"/>
      <c r="G135" s="303"/>
      <c r="H135" s="303"/>
      <c r="I135" s="303"/>
      <c r="J135" s="14">
        <f>ROWS($H$8:I135)</f>
        <v>128</v>
      </c>
      <c r="K135" s="14" t="str">
        <f>IF(ID!$B$83=I135,J135,"")</f>
        <v/>
      </c>
      <c r="L135" s="14"/>
    </row>
    <row r="136" spans="2:12" x14ac:dyDescent="0.2">
      <c r="B136" s="303"/>
      <c r="C136" s="303"/>
      <c r="D136" s="303"/>
      <c r="E136" s="303"/>
      <c r="F136" s="303"/>
      <c r="G136" s="303"/>
      <c r="H136" s="303"/>
      <c r="I136" s="303"/>
      <c r="J136" s="14">
        <f>ROWS($H$8:I136)</f>
        <v>129</v>
      </c>
      <c r="K136" s="14" t="str">
        <f>IF(ID!$B$83=I136,J136,"")</f>
        <v/>
      </c>
      <c r="L136" s="14"/>
    </row>
    <row r="137" spans="2:12" x14ac:dyDescent="0.2">
      <c r="B137" s="303"/>
      <c r="C137" s="303"/>
      <c r="D137" s="303"/>
      <c r="E137" s="303"/>
      <c r="F137" s="303"/>
      <c r="G137" s="303"/>
      <c r="H137" s="303"/>
      <c r="I137" s="303"/>
      <c r="J137" s="14">
        <f>ROWS($H$8:I137)</f>
        <v>130</v>
      </c>
      <c r="K137" s="14" t="str">
        <f>IF(ID!$B$83=I137,J137,"")</f>
        <v/>
      </c>
      <c r="L137" s="14"/>
    </row>
    <row r="138" spans="2:12" x14ac:dyDescent="0.2">
      <c r="B138" s="498">
        <v>15</v>
      </c>
      <c r="C138" s="499">
        <v>0.5</v>
      </c>
      <c r="D138" s="499">
        <v>0.5</v>
      </c>
      <c r="E138" s="498">
        <v>30</v>
      </c>
      <c r="F138" s="499">
        <v>-2.2000000000000002</v>
      </c>
      <c r="G138" s="499">
        <v>2.2999999999999998</v>
      </c>
      <c r="H138" s="773" t="s">
        <v>718</v>
      </c>
      <c r="I138" s="771" t="s">
        <v>265</v>
      </c>
      <c r="J138" s="14">
        <f>ROWS($H$8:I138)</f>
        <v>131</v>
      </c>
      <c r="K138" s="14" t="str">
        <f>IF(ID!$B$83=I138,J138,"")</f>
        <v/>
      </c>
      <c r="L138" s="14"/>
    </row>
    <row r="139" spans="2:12" x14ac:dyDescent="0.2">
      <c r="B139" s="498">
        <v>20</v>
      </c>
      <c r="C139" s="499">
        <v>0.2</v>
      </c>
      <c r="D139" s="499">
        <v>0.5</v>
      </c>
      <c r="E139" s="498">
        <v>40</v>
      </c>
      <c r="F139" s="499">
        <v>-2</v>
      </c>
      <c r="G139" s="499">
        <v>2.2999999999999998</v>
      </c>
      <c r="H139" s="773"/>
      <c r="I139" s="771" t="s">
        <v>265</v>
      </c>
      <c r="J139" s="14">
        <f>ROWS($H$8:I139)</f>
        <v>132</v>
      </c>
      <c r="K139" s="14" t="str">
        <f>IF(ID!$B$83=I139,J139,"")</f>
        <v/>
      </c>
      <c r="L139" s="14"/>
    </row>
    <row r="140" spans="2:12" x14ac:dyDescent="0.2">
      <c r="B140" s="498">
        <v>25</v>
      </c>
      <c r="C140" s="499">
        <v>0.1</v>
      </c>
      <c r="D140" s="499">
        <v>0.5</v>
      </c>
      <c r="E140" s="498">
        <v>50</v>
      </c>
      <c r="F140" s="499">
        <v>-1.8</v>
      </c>
      <c r="G140" s="499">
        <v>2.2999999999999998</v>
      </c>
      <c r="H140" s="773"/>
      <c r="I140" s="771" t="s">
        <v>265</v>
      </c>
      <c r="J140" s="14">
        <f>ROWS($H$8:I140)</f>
        <v>133</v>
      </c>
      <c r="K140" s="14" t="str">
        <f>IF(ID!$B$83=I140,J140,"")</f>
        <v/>
      </c>
      <c r="L140" s="14"/>
    </row>
    <row r="141" spans="2:12" x14ac:dyDescent="0.2">
      <c r="B141" s="498">
        <v>30</v>
      </c>
      <c r="C141" s="499">
        <v>-0.1</v>
      </c>
      <c r="D141" s="499">
        <v>0.5</v>
      </c>
      <c r="E141" s="498">
        <v>60</v>
      </c>
      <c r="F141" s="499">
        <v>-1.6</v>
      </c>
      <c r="G141" s="499">
        <v>2.2999999999999998</v>
      </c>
      <c r="H141" s="773"/>
      <c r="I141" s="771" t="s">
        <v>265</v>
      </c>
      <c r="J141" s="14">
        <f>ROWS($H$8:I141)</f>
        <v>134</v>
      </c>
      <c r="K141" s="14" t="str">
        <f>IF(ID!$B$83=I141,J141,"")</f>
        <v/>
      </c>
      <c r="L141" s="14"/>
    </row>
    <row r="142" spans="2:12" x14ac:dyDescent="0.2">
      <c r="B142" s="498">
        <v>35</v>
      </c>
      <c r="C142" s="499">
        <v>-0.2</v>
      </c>
      <c r="D142" s="499">
        <v>0.5</v>
      </c>
      <c r="E142" s="498">
        <v>70</v>
      </c>
      <c r="F142" s="499">
        <v>-1.4</v>
      </c>
      <c r="G142" s="499">
        <v>2.2999999999999998</v>
      </c>
      <c r="H142" s="773"/>
      <c r="I142" s="771" t="s">
        <v>265</v>
      </c>
      <c r="J142" s="14">
        <f>ROWS($H$8:I142)</f>
        <v>135</v>
      </c>
      <c r="K142" s="14" t="str">
        <f>IF(ID!$B$83=I142,J142,"")</f>
        <v/>
      </c>
      <c r="L142" s="14"/>
    </row>
    <row r="143" spans="2:12" x14ac:dyDescent="0.2">
      <c r="B143" s="501">
        <v>37</v>
      </c>
      <c r="C143" s="499">
        <v>-0.2</v>
      </c>
      <c r="D143" s="499">
        <v>0.5</v>
      </c>
      <c r="E143" s="501">
        <v>80</v>
      </c>
      <c r="F143" s="499">
        <v>-1.2</v>
      </c>
      <c r="G143" s="499">
        <v>2.2999999999999998</v>
      </c>
      <c r="H143" s="773"/>
      <c r="I143" s="771" t="s">
        <v>265</v>
      </c>
      <c r="J143" s="14">
        <f>ROWS($H$8:I143)</f>
        <v>136</v>
      </c>
      <c r="K143" s="14" t="str">
        <f>IF(ID!$B$83=I143,J143,"")</f>
        <v/>
      </c>
      <c r="L143" s="14"/>
    </row>
    <row r="144" spans="2:12" x14ac:dyDescent="0.2">
      <c r="B144" s="501">
        <v>40</v>
      </c>
      <c r="C144" s="503">
        <v>-0.2</v>
      </c>
      <c r="D144" s="499">
        <v>0.5</v>
      </c>
      <c r="E144" s="501">
        <v>90</v>
      </c>
      <c r="F144" s="503">
        <v>-1</v>
      </c>
      <c r="G144" s="499">
        <v>2.2999999999999998</v>
      </c>
      <c r="H144" s="773"/>
      <c r="I144" s="771" t="s">
        <v>265</v>
      </c>
      <c r="J144" s="14">
        <f>ROWS($H$8:I144)</f>
        <v>137</v>
      </c>
      <c r="K144" s="14" t="str">
        <f>IF(ID!$B$83=I144,J144,"")</f>
        <v/>
      </c>
      <c r="L144" s="14"/>
    </row>
    <row r="145" spans="2:12" x14ac:dyDescent="0.2">
      <c r="B145" s="303"/>
      <c r="C145" s="303"/>
      <c r="D145" s="303"/>
      <c r="E145" s="303"/>
      <c r="F145" s="303"/>
      <c r="G145" s="303"/>
      <c r="H145" s="303"/>
      <c r="I145" s="303"/>
      <c r="J145" s="14">
        <f>ROWS($H$8:I145)</f>
        <v>138</v>
      </c>
      <c r="K145" s="14" t="str">
        <f>IF(ID!$B$83=I145,J145,"")</f>
        <v/>
      </c>
      <c r="L145" s="14"/>
    </row>
    <row r="146" spans="2:12" x14ac:dyDescent="0.2">
      <c r="B146" s="303"/>
      <c r="C146" s="303"/>
      <c r="D146" s="303"/>
      <c r="E146" s="303"/>
      <c r="F146" s="303"/>
      <c r="G146" s="303"/>
      <c r="H146" s="303"/>
      <c r="I146" s="303"/>
      <c r="J146" s="14">
        <f>ROWS($H$8:I146)</f>
        <v>139</v>
      </c>
      <c r="K146" s="14" t="str">
        <f>IF(ID!$B$83=I146,J146,"")</f>
        <v/>
      </c>
      <c r="L146" s="14"/>
    </row>
    <row r="147" spans="2:12" x14ac:dyDescent="0.2">
      <c r="B147" s="303"/>
      <c r="C147" s="303"/>
      <c r="D147" s="303"/>
      <c r="E147" s="303"/>
      <c r="F147" s="303"/>
      <c r="G147" s="303"/>
      <c r="H147" s="303"/>
      <c r="I147" s="303"/>
      <c r="J147" s="14">
        <f>ROWS($H$8:I147)</f>
        <v>140</v>
      </c>
      <c r="K147" s="14" t="str">
        <f>IF(ID!$B$83=I147,J147,"")</f>
        <v/>
      </c>
      <c r="L147" s="14"/>
    </row>
    <row r="148" spans="2:12" x14ac:dyDescent="0.2">
      <c r="B148" s="498">
        <v>15</v>
      </c>
      <c r="C148" s="499">
        <v>0.4</v>
      </c>
      <c r="D148" s="499">
        <v>0.5</v>
      </c>
      <c r="E148" s="498">
        <v>30</v>
      </c>
      <c r="F148" s="499">
        <v>-6.6</v>
      </c>
      <c r="G148" s="499">
        <v>2.9</v>
      </c>
      <c r="H148" s="773" t="s">
        <v>352</v>
      </c>
      <c r="I148" s="764" t="s">
        <v>792</v>
      </c>
      <c r="J148" s="14">
        <f>ROWS($H$8:I148)</f>
        <v>141</v>
      </c>
      <c r="K148" s="14" t="str">
        <f>IF(ID!$B$83=I148,J148,"")</f>
        <v/>
      </c>
      <c r="L148" s="14"/>
    </row>
    <row r="149" spans="2:12" x14ac:dyDescent="0.2">
      <c r="B149" s="498">
        <v>20</v>
      </c>
      <c r="C149" s="499">
        <v>0.4</v>
      </c>
      <c r="D149" s="499">
        <v>0.5</v>
      </c>
      <c r="E149" s="498">
        <v>40</v>
      </c>
      <c r="F149" s="499">
        <v>-5.8</v>
      </c>
      <c r="G149" s="499">
        <v>2.9</v>
      </c>
      <c r="H149" s="773"/>
      <c r="I149" s="764" t="s">
        <v>792</v>
      </c>
      <c r="J149" s="14">
        <f>ROWS($H$8:I149)</f>
        <v>142</v>
      </c>
      <c r="K149" s="14" t="str">
        <f>IF(ID!$B$83=I149,J149,"")</f>
        <v/>
      </c>
      <c r="L149" s="14"/>
    </row>
    <row r="150" spans="2:12" x14ac:dyDescent="0.2">
      <c r="B150" s="498">
        <v>25</v>
      </c>
      <c r="C150" s="499">
        <v>0.4</v>
      </c>
      <c r="D150" s="499">
        <v>0.5</v>
      </c>
      <c r="E150" s="498">
        <v>50</v>
      </c>
      <c r="F150" s="499">
        <v>-5.0999999999999996</v>
      </c>
      <c r="G150" s="499">
        <v>2.9</v>
      </c>
      <c r="H150" s="773"/>
      <c r="I150" s="764" t="s">
        <v>792</v>
      </c>
      <c r="J150" s="14">
        <f>ROWS($H$8:I150)</f>
        <v>143</v>
      </c>
      <c r="K150" s="14" t="str">
        <f>IF(ID!$B$83=I150,J150,"")</f>
        <v/>
      </c>
      <c r="L150" s="14"/>
    </row>
    <row r="151" spans="2:12" x14ac:dyDescent="0.2">
      <c r="B151" s="498">
        <v>30</v>
      </c>
      <c r="C151" s="499">
        <v>0.3</v>
      </c>
      <c r="D151" s="499">
        <v>0.5</v>
      </c>
      <c r="E151" s="498">
        <v>60</v>
      </c>
      <c r="F151" s="499">
        <v>-4.4000000000000004</v>
      </c>
      <c r="G151" s="499">
        <v>2.9</v>
      </c>
      <c r="H151" s="773"/>
      <c r="I151" s="764" t="s">
        <v>792</v>
      </c>
      <c r="J151" s="14">
        <f>ROWS($H$8:I151)</f>
        <v>144</v>
      </c>
      <c r="K151" s="14" t="str">
        <f>IF(ID!$B$83=I151,J151,"")</f>
        <v/>
      </c>
      <c r="L151" s="14"/>
    </row>
    <row r="152" spans="2:12" x14ac:dyDescent="0.2">
      <c r="B152" s="498">
        <v>35</v>
      </c>
      <c r="C152" s="499">
        <v>0.2</v>
      </c>
      <c r="D152" s="499">
        <v>0.5</v>
      </c>
      <c r="E152" s="498">
        <v>70</v>
      </c>
      <c r="F152" s="499">
        <v>-3.6</v>
      </c>
      <c r="G152" s="499">
        <v>2.9</v>
      </c>
      <c r="H152" s="773"/>
      <c r="I152" s="764" t="s">
        <v>792</v>
      </c>
      <c r="J152" s="14">
        <f>ROWS($H$8:I152)</f>
        <v>145</v>
      </c>
      <c r="K152" s="14" t="str">
        <f>IF(ID!$B$83=I152,J152,"")</f>
        <v/>
      </c>
      <c r="L152" s="14"/>
    </row>
    <row r="153" spans="2:12" x14ac:dyDescent="0.2">
      <c r="B153" s="501">
        <v>37</v>
      </c>
      <c r="C153" s="499">
        <v>0.2</v>
      </c>
      <c r="D153" s="499">
        <v>0.5</v>
      </c>
      <c r="E153" s="501">
        <v>80</v>
      </c>
      <c r="F153" s="499">
        <v>-2.9</v>
      </c>
      <c r="G153" s="499">
        <v>2.9</v>
      </c>
      <c r="H153" s="773"/>
      <c r="I153" s="764" t="s">
        <v>792</v>
      </c>
      <c r="J153" s="14">
        <f>ROWS($H$8:I153)</f>
        <v>146</v>
      </c>
      <c r="K153" s="14" t="str">
        <f>IF(ID!$B$83=I153,J153,"")</f>
        <v/>
      </c>
      <c r="L153" s="14"/>
    </row>
    <row r="154" spans="2:12" x14ac:dyDescent="0.2">
      <c r="B154" s="501">
        <v>40</v>
      </c>
      <c r="C154" s="503">
        <v>0.1</v>
      </c>
      <c r="D154" s="499">
        <v>0.5</v>
      </c>
      <c r="E154" s="501">
        <v>90</v>
      </c>
      <c r="F154" s="502">
        <v>-2.2999999999999998</v>
      </c>
      <c r="G154" s="499">
        <v>2.9</v>
      </c>
      <c r="H154" s="774"/>
      <c r="I154" s="764" t="s">
        <v>792</v>
      </c>
      <c r="J154" s="14">
        <f>ROWS($H$8:I154)</f>
        <v>147</v>
      </c>
      <c r="K154" s="14" t="str">
        <f>IF(ID!$B$83=I154,J154,"")</f>
        <v/>
      </c>
      <c r="L154" s="14"/>
    </row>
    <row r="155" spans="2:12" x14ac:dyDescent="0.2">
      <c r="B155" s="303"/>
      <c r="C155" s="303"/>
      <c r="D155" s="303"/>
      <c r="E155" s="303"/>
      <c r="F155" s="303"/>
      <c r="G155" s="303"/>
      <c r="H155" s="303"/>
      <c r="I155" s="303"/>
      <c r="J155" s="14">
        <f>ROWS($H$8:I155)</f>
        <v>148</v>
      </c>
      <c r="K155" s="14" t="str">
        <f>IF(ID!$B$83=I155,J155,"")</f>
        <v/>
      </c>
      <c r="L155" s="14"/>
    </row>
    <row r="156" spans="2:12" x14ac:dyDescent="0.2">
      <c r="B156" s="303"/>
      <c r="C156" s="303"/>
      <c r="D156" s="303"/>
      <c r="E156" s="303"/>
      <c r="F156" s="303"/>
      <c r="G156" s="303"/>
      <c r="H156" s="303"/>
      <c r="I156" s="303"/>
      <c r="J156" s="14">
        <f>ROWS($H$8:I156)</f>
        <v>149</v>
      </c>
      <c r="K156" s="14" t="str">
        <f>IF(ID!$B$83=I156,J156,"")</f>
        <v/>
      </c>
      <c r="L156" s="14"/>
    </row>
    <row r="157" spans="2:12" x14ac:dyDescent="0.2">
      <c r="B157" s="303"/>
      <c r="C157" s="303"/>
      <c r="D157" s="303"/>
      <c r="E157" s="303"/>
      <c r="F157" s="303"/>
      <c r="G157" s="303"/>
      <c r="H157" s="303"/>
      <c r="I157" s="303"/>
      <c r="J157" s="14">
        <f>ROWS($H$8:I157)</f>
        <v>150</v>
      </c>
      <c r="K157" s="14" t="str">
        <f>IF(ID!$B$83=I157,J157,"")</f>
        <v/>
      </c>
      <c r="L157" s="14"/>
    </row>
    <row r="158" spans="2:12" x14ac:dyDescent="0.2">
      <c r="B158" s="498">
        <v>15</v>
      </c>
      <c r="C158" s="499">
        <v>0.2</v>
      </c>
      <c r="D158" s="499">
        <v>0.7</v>
      </c>
      <c r="E158" s="498">
        <v>30</v>
      </c>
      <c r="F158" s="499">
        <v>-6.2</v>
      </c>
      <c r="G158" s="499">
        <v>2.7</v>
      </c>
      <c r="H158" s="773" t="s">
        <v>352</v>
      </c>
      <c r="I158" s="764" t="s">
        <v>353</v>
      </c>
      <c r="J158" s="14">
        <f>ROWS($H$8:I158)</f>
        <v>151</v>
      </c>
      <c r="K158" s="14" t="str">
        <f>IF(ID!$B$83=I158,J158,"")</f>
        <v/>
      </c>
      <c r="L158" s="14"/>
    </row>
    <row r="159" spans="2:12" x14ac:dyDescent="0.2">
      <c r="B159" s="498">
        <v>20</v>
      </c>
      <c r="C159" s="499">
        <v>0.2</v>
      </c>
      <c r="D159" s="499">
        <v>0.7</v>
      </c>
      <c r="E159" s="498">
        <v>40</v>
      </c>
      <c r="F159" s="499">
        <v>-5.7</v>
      </c>
      <c r="G159" s="499">
        <v>2.7</v>
      </c>
      <c r="H159" s="773"/>
      <c r="I159" s="764" t="s">
        <v>353</v>
      </c>
      <c r="J159" s="14">
        <f>ROWS($H$8:I159)</f>
        <v>152</v>
      </c>
      <c r="K159" s="14" t="str">
        <f>IF(ID!$B$83=I159,J159,"")</f>
        <v/>
      </c>
      <c r="L159" s="14"/>
    </row>
    <row r="160" spans="2:12" x14ac:dyDescent="0.2">
      <c r="B160" s="498">
        <v>25</v>
      </c>
      <c r="C160" s="499">
        <v>0.1</v>
      </c>
      <c r="D160" s="499">
        <v>0.7</v>
      </c>
      <c r="E160" s="498">
        <v>50</v>
      </c>
      <c r="F160" s="499">
        <v>-5.2</v>
      </c>
      <c r="G160" s="499">
        <v>2.7</v>
      </c>
      <c r="H160" s="773"/>
      <c r="I160" s="764" t="s">
        <v>353</v>
      </c>
      <c r="J160" s="14">
        <f>ROWS($H$8:I160)</f>
        <v>153</v>
      </c>
      <c r="K160" s="14" t="str">
        <f>IF(ID!$B$83=I160,J160,"")</f>
        <v/>
      </c>
      <c r="L160" s="14"/>
    </row>
    <row r="161" spans="2:12" x14ac:dyDescent="0.2">
      <c r="B161" s="498">
        <v>30</v>
      </c>
      <c r="C161" s="499">
        <v>0.2</v>
      </c>
      <c r="D161" s="499">
        <v>0.7</v>
      </c>
      <c r="E161" s="498">
        <v>60</v>
      </c>
      <c r="F161" s="499">
        <v>-4.5999999999999996</v>
      </c>
      <c r="G161" s="499">
        <v>2.7</v>
      </c>
      <c r="H161" s="773"/>
      <c r="I161" s="764" t="s">
        <v>353</v>
      </c>
      <c r="J161" s="14">
        <f>ROWS($H$8:I161)</f>
        <v>154</v>
      </c>
      <c r="K161" s="14" t="str">
        <f>IF(ID!$B$83=I161,J161,"")</f>
        <v/>
      </c>
      <c r="L161" s="14"/>
    </row>
    <row r="162" spans="2:12" x14ac:dyDescent="0.2">
      <c r="B162" s="498">
        <v>35</v>
      </c>
      <c r="C162" s="499">
        <v>0.3</v>
      </c>
      <c r="D162" s="499">
        <v>0.7</v>
      </c>
      <c r="E162" s="498">
        <v>70</v>
      </c>
      <c r="F162" s="499">
        <v>-3.9</v>
      </c>
      <c r="G162" s="499">
        <v>2.7</v>
      </c>
      <c r="H162" s="773"/>
      <c r="I162" s="764" t="s">
        <v>353</v>
      </c>
      <c r="J162" s="14">
        <f>ROWS($H$8:I162)</f>
        <v>155</v>
      </c>
      <c r="K162" s="14" t="str">
        <f>IF(ID!$B$83=I162,J162,"")</f>
        <v/>
      </c>
      <c r="L162" s="14"/>
    </row>
    <row r="163" spans="2:12" x14ac:dyDescent="0.2">
      <c r="B163" s="501">
        <v>37</v>
      </c>
      <c r="C163" s="499">
        <v>0.4</v>
      </c>
      <c r="D163" s="499">
        <v>0.7</v>
      </c>
      <c r="E163" s="501">
        <v>80</v>
      </c>
      <c r="F163" s="499">
        <v>-3.2</v>
      </c>
      <c r="G163" s="499">
        <v>2.7</v>
      </c>
      <c r="H163" s="773"/>
      <c r="I163" s="764" t="s">
        <v>353</v>
      </c>
      <c r="J163" s="14">
        <f>ROWS($H$8:I163)</f>
        <v>156</v>
      </c>
      <c r="K163" s="14" t="str">
        <f>IF(ID!$B$83=I163,J163,"")</f>
        <v/>
      </c>
      <c r="L163" s="14"/>
    </row>
    <row r="164" spans="2:12" x14ac:dyDescent="0.2">
      <c r="B164" s="501">
        <v>40</v>
      </c>
      <c r="C164" s="502">
        <v>0.5</v>
      </c>
      <c r="D164" s="499">
        <v>0.7</v>
      </c>
      <c r="E164" s="501">
        <v>90</v>
      </c>
      <c r="F164" s="502">
        <v>-2.4</v>
      </c>
      <c r="G164" s="499">
        <v>2.7</v>
      </c>
      <c r="H164" s="773"/>
      <c r="I164" s="764" t="s">
        <v>353</v>
      </c>
      <c r="J164" s="14">
        <f>ROWS($H$8:I164)</f>
        <v>157</v>
      </c>
      <c r="K164" s="14" t="str">
        <f>IF(ID!$B$83=I164,J164,"")</f>
        <v/>
      </c>
      <c r="L164" s="14"/>
    </row>
    <row r="165" spans="2:12" x14ac:dyDescent="0.2">
      <c r="B165" s="303"/>
      <c r="C165" s="303"/>
      <c r="D165" s="303"/>
      <c r="E165" s="303"/>
      <c r="F165" s="303"/>
      <c r="G165" s="303"/>
      <c r="H165" s="303"/>
      <c r="I165" s="303"/>
      <c r="J165" s="14">
        <f>ROWS($H$8:I165)</f>
        <v>158</v>
      </c>
      <c r="K165" s="14" t="str">
        <f>IF(ID!$B$83=I165,J165,"")</f>
        <v/>
      </c>
      <c r="L165" s="14"/>
    </row>
    <row r="166" spans="2:12" x14ac:dyDescent="0.2">
      <c r="B166" s="303"/>
      <c r="C166" s="303"/>
      <c r="D166" s="303"/>
      <c r="E166" s="303"/>
      <c r="F166" s="303"/>
      <c r="G166" s="303"/>
      <c r="H166" s="303"/>
      <c r="I166" s="303"/>
      <c r="J166" s="14">
        <f>ROWS($H$8:I166)</f>
        <v>159</v>
      </c>
      <c r="K166" s="14" t="str">
        <f>IF(ID!$B$83=I166,J166,"")</f>
        <v/>
      </c>
      <c r="L166" s="14"/>
    </row>
    <row r="167" spans="2:12" x14ac:dyDescent="0.2">
      <c r="B167" s="303"/>
      <c r="C167" s="303"/>
      <c r="D167" s="303"/>
      <c r="E167" s="303"/>
      <c r="F167" s="303"/>
      <c r="G167" s="303"/>
      <c r="H167" s="303"/>
      <c r="I167" s="303"/>
      <c r="J167" s="14">
        <f>ROWS($H$8:I167)</f>
        <v>160</v>
      </c>
      <c r="K167" s="14" t="str">
        <f>IF(ID!$B$83=I167,J167,"")</f>
        <v/>
      </c>
      <c r="L167" s="14"/>
    </row>
    <row r="168" spans="2:12" x14ac:dyDescent="0.2">
      <c r="B168" s="498">
        <v>15</v>
      </c>
      <c r="C168" s="499">
        <v>0.2</v>
      </c>
      <c r="D168" s="499">
        <v>0.5</v>
      </c>
      <c r="E168" s="498">
        <v>30</v>
      </c>
      <c r="F168" s="499">
        <v>-3.8</v>
      </c>
      <c r="G168" s="499">
        <v>2.2000000000000002</v>
      </c>
      <c r="H168" s="773" t="s">
        <v>352</v>
      </c>
      <c r="I168" s="764" t="s">
        <v>262</v>
      </c>
      <c r="J168" s="14">
        <f>ROWS($H$8:I168)</f>
        <v>161</v>
      </c>
      <c r="K168" s="14" t="str">
        <f>IF(ID!$B$83=I168,J168,"")</f>
        <v/>
      </c>
      <c r="L168" s="14"/>
    </row>
    <row r="169" spans="2:12" x14ac:dyDescent="0.2">
      <c r="B169" s="498">
        <v>20</v>
      </c>
      <c r="C169" s="499">
        <v>0.2</v>
      </c>
      <c r="D169" s="499">
        <v>0.5</v>
      </c>
      <c r="E169" s="498">
        <v>40</v>
      </c>
      <c r="F169" s="499">
        <v>-4</v>
      </c>
      <c r="G169" s="499">
        <v>2.2000000000000002</v>
      </c>
      <c r="H169" s="773"/>
      <c r="I169" s="764" t="s">
        <v>262</v>
      </c>
      <c r="J169" s="14">
        <f>ROWS($H$8:I169)</f>
        <v>162</v>
      </c>
      <c r="K169" s="14" t="str">
        <f>IF(ID!$B$83=I169,J169,"")</f>
        <v/>
      </c>
      <c r="L169" s="14"/>
    </row>
    <row r="170" spans="2:12" x14ac:dyDescent="0.2">
      <c r="B170" s="498">
        <v>25</v>
      </c>
      <c r="C170" s="499">
        <v>0.1</v>
      </c>
      <c r="D170" s="499">
        <v>0.5</v>
      </c>
      <c r="E170" s="498">
        <v>50</v>
      </c>
      <c r="F170" s="499">
        <v>-4.0999999999999996</v>
      </c>
      <c r="G170" s="499">
        <v>2.2000000000000002</v>
      </c>
      <c r="H170" s="773"/>
      <c r="I170" s="764" t="s">
        <v>262</v>
      </c>
      <c r="J170" s="14">
        <f>ROWS($H$8:I170)</f>
        <v>163</v>
      </c>
      <c r="K170" s="14" t="str">
        <f>IF(ID!$B$83=I170,J170,"")</f>
        <v/>
      </c>
      <c r="L170" s="14"/>
    </row>
    <row r="171" spans="2:12" x14ac:dyDescent="0.2">
      <c r="B171" s="498">
        <v>30</v>
      </c>
      <c r="C171" s="499">
        <v>-0.1</v>
      </c>
      <c r="D171" s="499">
        <v>0.5</v>
      </c>
      <c r="E171" s="498">
        <v>60</v>
      </c>
      <c r="F171" s="499">
        <v>-4.0999999999999996</v>
      </c>
      <c r="G171" s="499">
        <v>2.2000000000000002</v>
      </c>
      <c r="H171" s="773"/>
      <c r="I171" s="764" t="s">
        <v>262</v>
      </c>
      <c r="J171" s="14">
        <f>ROWS($H$8:I171)</f>
        <v>164</v>
      </c>
      <c r="K171" s="14" t="str">
        <f>IF(ID!$B$83=I171,J171,"")</f>
        <v/>
      </c>
      <c r="L171" s="14"/>
    </row>
    <row r="172" spans="2:12" x14ac:dyDescent="0.2">
      <c r="B172" s="498">
        <v>35</v>
      </c>
      <c r="C172" s="499">
        <v>-0.3</v>
      </c>
      <c r="D172" s="499">
        <v>0.5</v>
      </c>
      <c r="E172" s="498">
        <v>70</v>
      </c>
      <c r="F172" s="499">
        <v>-4</v>
      </c>
      <c r="G172" s="499">
        <v>2.2000000000000002</v>
      </c>
      <c r="H172" s="773"/>
      <c r="I172" s="764" t="s">
        <v>262</v>
      </c>
      <c r="J172" s="14">
        <f>ROWS($H$8:I172)</f>
        <v>165</v>
      </c>
      <c r="K172" s="14" t="str">
        <f>IF(ID!$B$83=I172,J172,"")</f>
        <v/>
      </c>
      <c r="L172" s="14"/>
    </row>
    <row r="173" spans="2:12" x14ac:dyDescent="0.2">
      <c r="B173" s="501">
        <v>37</v>
      </c>
      <c r="C173" s="499">
        <v>-0.4</v>
      </c>
      <c r="D173" s="499">
        <v>0.5</v>
      </c>
      <c r="E173" s="501">
        <v>80</v>
      </c>
      <c r="F173" s="499">
        <v>-3.9</v>
      </c>
      <c r="G173" s="499">
        <v>2.2000000000000002</v>
      </c>
      <c r="H173" s="773"/>
      <c r="I173" s="764" t="s">
        <v>262</v>
      </c>
      <c r="J173" s="14">
        <f>ROWS($H$8:I173)</f>
        <v>166</v>
      </c>
      <c r="K173" s="14" t="str">
        <f>IF(ID!$B$83=I173,J173,"")</f>
        <v/>
      </c>
      <c r="L173" s="14"/>
    </row>
    <row r="174" spans="2:12" x14ac:dyDescent="0.2">
      <c r="B174" s="501">
        <v>40</v>
      </c>
      <c r="C174" s="502">
        <v>-0.5</v>
      </c>
      <c r="D174" s="499">
        <v>0.5</v>
      </c>
      <c r="E174" s="501">
        <v>90</v>
      </c>
      <c r="F174" s="502">
        <v>-3.7</v>
      </c>
      <c r="G174" s="499">
        <v>2.2000000000000002</v>
      </c>
      <c r="H174" s="773"/>
      <c r="I174" s="764" t="s">
        <v>262</v>
      </c>
      <c r="J174" s="14">
        <f>ROWS($H$8:I174)</f>
        <v>167</v>
      </c>
      <c r="K174" s="14" t="str">
        <f>IF(ID!$B$83=I174,J174,"")</f>
        <v/>
      </c>
      <c r="L174" s="14"/>
    </row>
    <row r="175" spans="2:12" x14ac:dyDescent="0.2">
      <c r="B175" s="303"/>
      <c r="C175" s="303"/>
      <c r="D175" s="303"/>
      <c r="E175" s="303"/>
      <c r="F175" s="303"/>
      <c r="G175" s="303"/>
      <c r="H175" s="303"/>
      <c r="I175" s="303"/>
      <c r="J175" s="14">
        <f>ROWS($H$8:I175)</f>
        <v>168</v>
      </c>
      <c r="K175" s="14" t="str">
        <f>IF(ID!$B$83=I175,J175,"")</f>
        <v/>
      </c>
      <c r="L175" s="14"/>
    </row>
    <row r="176" spans="2:12" x14ac:dyDescent="0.2">
      <c r="B176" s="303"/>
      <c r="C176" s="303"/>
      <c r="D176" s="303"/>
      <c r="E176" s="303"/>
      <c r="F176" s="303"/>
      <c r="G176" s="303"/>
      <c r="H176" s="303"/>
      <c r="I176" s="303"/>
      <c r="J176" s="14">
        <f>ROWS($H$8:I176)</f>
        <v>169</v>
      </c>
      <c r="K176" s="14" t="str">
        <f>IF(ID!$B$83=I176,J176,"")</f>
        <v/>
      </c>
      <c r="L176" s="14"/>
    </row>
    <row r="177" spans="2:12" x14ac:dyDescent="0.2">
      <c r="B177" s="303"/>
      <c r="C177" s="303"/>
      <c r="D177" s="303"/>
      <c r="E177" s="303"/>
      <c r="F177" s="303"/>
      <c r="G177" s="303"/>
      <c r="H177" s="303"/>
      <c r="I177" s="303"/>
      <c r="J177" s="14">
        <f>ROWS($H$8:I177)</f>
        <v>170</v>
      </c>
      <c r="K177" s="14" t="str">
        <f>IF(ID!$B$83=I177,J177,"")</f>
        <v/>
      </c>
      <c r="L177" s="14"/>
    </row>
    <row r="178" spans="2:12" x14ac:dyDescent="0.2">
      <c r="B178" s="498">
        <v>15</v>
      </c>
      <c r="C178" s="499">
        <v>0</v>
      </c>
      <c r="D178" s="499">
        <v>0.3</v>
      </c>
      <c r="E178" s="498">
        <v>30</v>
      </c>
      <c r="F178" s="499">
        <v>-0.4</v>
      </c>
      <c r="G178" s="499">
        <v>2</v>
      </c>
      <c r="H178" s="500" t="s">
        <v>388</v>
      </c>
      <c r="I178" s="771" t="s">
        <v>389</v>
      </c>
      <c r="J178" s="14">
        <f>ROWS($H$8:I178)</f>
        <v>171</v>
      </c>
      <c r="K178" s="14" t="str">
        <f>IF(ID!$B$83=I178,J178,"")</f>
        <v/>
      </c>
      <c r="L178" s="14"/>
    </row>
    <row r="179" spans="2:12" x14ac:dyDescent="0.2">
      <c r="B179" s="498">
        <v>20</v>
      </c>
      <c r="C179" s="499">
        <v>0</v>
      </c>
      <c r="D179" s="499">
        <v>0.3</v>
      </c>
      <c r="E179" s="498">
        <v>40</v>
      </c>
      <c r="F179" s="499">
        <v>-0.1</v>
      </c>
      <c r="G179" s="499">
        <v>2</v>
      </c>
      <c r="H179" s="658"/>
      <c r="I179" s="771" t="s">
        <v>389</v>
      </c>
      <c r="J179" s="14">
        <f>ROWS($H$8:I179)</f>
        <v>172</v>
      </c>
      <c r="K179" s="14" t="str">
        <f>IF(ID!$B$83=I179,J179,"")</f>
        <v/>
      </c>
      <c r="L179" s="14"/>
    </row>
    <row r="180" spans="2:12" x14ac:dyDescent="0.2">
      <c r="B180" s="498">
        <v>25</v>
      </c>
      <c r="C180" s="499">
        <v>0</v>
      </c>
      <c r="D180" s="499">
        <v>0.3</v>
      </c>
      <c r="E180" s="498">
        <v>50</v>
      </c>
      <c r="F180" s="499">
        <v>0</v>
      </c>
      <c r="G180" s="499">
        <v>2</v>
      </c>
      <c r="H180" s="658"/>
      <c r="I180" s="771" t="s">
        <v>389</v>
      </c>
      <c r="J180" s="14">
        <f>ROWS($H$8:I180)</f>
        <v>173</v>
      </c>
      <c r="K180" s="14" t="str">
        <f>IF(ID!$B$83=I180,J180,"")</f>
        <v/>
      </c>
      <c r="L180" s="14"/>
    </row>
    <row r="181" spans="2:12" x14ac:dyDescent="0.2">
      <c r="B181" s="498">
        <v>30</v>
      </c>
      <c r="C181" s="499">
        <v>-0.1</v>
      </c>
      <c r="D181" s="499">
        <v>0.3</v>
      </c>
      <c r="E181" s="498">
        <v>60</v>
      </c>
      <c r="F181" s="499">
        <v>0</v>
      </c>
      <c r="G181" s="499">
        <v>2</v>
      </c>
      <c r="H181" s="658"/>
      <c r="I181" s="771" t="s">
        <v>389</v>
      </c>
      <c r="J181" s="14">
        <f>ROWS($H$8:I181)</f>
        <v>174</v>
      </c>
      <c r="K181" s="14" t="str">
        <f>IF(ID!$B$83=I181,J181,"")</f>
        <v/>
      </c>
      <c r="L181" s="14"/>
    </row>
    <row r="182" spans="2:12" x14ac:dyDescent="0.2">
      <c r="B182" s="498">
        <v>35</v>
      </c>
      <c r="C182" s="499">
        <v>-0.2</v>
      </c>
      <c r="D182" s="499">
        <v>0.3</v>
      </c>
      <c r="E182" s="498">
        <v>70</v>
      </c>
      <c r="F182" s="499">
        <v>-0.1</v>
      </c>
      <c r="G182" s="499">
        <v>2</v>
      </c>
      <c r="H182" s="658"/>
      <c r="I182" s="771" t="s">
        <v>389</v>
      </c>
      <c r="J182" s="14">
        <f>ROWS($H$8:I182)</f>
        <v>175</v>
      </c>
      <c r="K182" s="14" t="str">
        <f>IF(ID!$B$83=I182,J182,"")</f>
        <v/>
      </c>
      <c r="L182" s="14"/>
    </row>
    <row r="183" spans="2:12" x14ac:dyDescent="0.2">
      <c r="B183" s="501">
        <v>37</v>
      </c>
      <c r="C183" s="499">
        <v>-0.3</v>
      </c>
      <c r="D183" s="499">
        <v>0.3</v>
      </c>
      <c r="E183" s="501">
        <v>80</v>
      </c>
      <c r="F183" s="499">
        <v>-0.5</v>
      </c>
      <c r="G183" s="499">
        <v>2</v>
      </c>
      <c r="H183" s="658"/>
      <c r="I183" s="771" t="s">
        <v>389</v>
      </c>
      <c r="J183" s="14">
        <f>ROWS($H$8:I183)</f>
        <v>176</v>
      </c>
      <c r="K183" s="14" t="str">
        <f>IF(ID!$B$83=I183,J183,"")</f>
        <v/>
      </c>
      <c r="L183" s="14"/>
    </row>
    <row r="184" spans="2:12" x14ac:dyDescent="0.2">
      <c r="B184" s="501">
        <v>40</v>
      </c>
      <c r="C184" s="502">
        <v>-0.4</v>
      </c>
      <c r="D184" s="499">
        <v>0.3</v>
      </c>
      <c r="E184" s="501">
        <v>90</v>
      </c>
      <c r="F184" s="502">
        <v>-0.9</v>
      </c>
      <c r="G184" s="499">
        <v>2</v>
      </c>
      <c r="H184" s="658"/>
      <c r="I184" s="771" t="s">
        <v>389</v>
      </c>
      <c r="J184" s="14">
        <f>ROWS($H$8:I184)</f>
        <v>177</v>
      </c>
      <c r="K184" s="14" t="str">
        <f>IF(ID!$B$83=I184,J184,"")</f>
        <v/>
      </c>
      <c r="L184" s="14"/>
    </row>
    <row r="185" spans="2:12" x14ac:dyDescent="0.2">
      <c r="B185" s="303"/>
      <c r="C185" s="303"/>
      <c r="D185" s="303"/>
      <c r="E185" s="303"/>
      <c r="F185" s="303"/>
      <c r="G185" s="303"/>
      <c r="H185" s="303"/>
      <c r="I185" s="303"/>
      <c r="J185" s="14">
        <f>ROWS($H$8:I185)</f>
        <v>178</v>
      </c>
      <c r="K185" s="14" t="str">
        <f>IF(ID!$B$83=I185,J185,"")</f>
        <v/>
      </c>
      <c r="L185" s="14"/>
    </row>
    <row r="186" spans="2:12" x14ac:dyDescent="0.2">
      <c r="B186" s="303"/>
      <c r="C186" s="303"/>
      <c r="D186" s="303"/>
      <c r="E186" s="303"/>
      <c r="F186" s="303"/>
      <c r="G186" s="303"/>
      <c r="H186" s="303"/>
      <c r="I186" s="303"/>
      <c r="J186" s="14">
        <f>ROWS($H$8:I186)</f>
        <v>179</v>
      </c>
      <c r="K186" s="14" t="str">
        <f>IF(ID!$B$83=I186,J186,"")</f>
        <v/>
      </c>
      <c r="L186" s="14"/>
    </row>
    <row r="187" spans="2:12" x14ac:dyDescent="0.2">
      <c r="B187" s="303"/>
      <c r="C187" s="303"/>
      <c r="D187" s="303"/>
      <c r="E187" s="303"/>
      <c r="F187" s="303"/>
      <c r="G187" s="303"/>
      <c r="H187" s="303"/>
      <c r="I187" s="303"/>
      <c r="J187" s="14">
        <f>ROWS($H$8:I187)</f>
        <v>180</v>
      </c>
      <c r="K187" s="14" t="str">
        <f>IF(ID!$B$83=I187,J187,"")</f>
        <v/>
      </c>
      <c r="L187" s="14"/>
    </row>
    <row r="188" spans="2:12" x14ac:dyDescent="0.2">
      <c r="B188" s="498">
        <v>15</v>
      </c>
      <c r="C188" s="499">
        <v>0.1</v>
      </c>
      <c r="D188" s="499">
        <v>0.4</v>
      </c>
      <c r="E188" s="498">
        <v>30</v>
      </c>
      <c r="F188" s="499">
        <v>-1.6</v>
      </c>
      <c r="G188" s="499">
        <v>2.2000000000000002</v>
      </c>
      <c r="H188" s="500" t="s">
        <v>388</v>
      </c>
      <c r="I188" s="771" t="s">
        <v>390</v>
      </c>
      <c r="J188" s="14">
        <f>ROWS($H$8:I188)</f>
        <v>181</v>
      </c>
      <c r="K188" s="14">
        <f>IF(ID!$B$83=I188,J188,"")</f>
        <v>181</v>
      </c>
      <c r="L188" s="14"/>
    </row>
    <row r="189" spans="2:12" x14ac:dyDescent="0.2">
      <c r="B189" s="498">
        <v>20</v>
      </c>
      <c r="C189" s="499">
        <v>0.2</v>
      </c>
      <c r="D189" s="499">
        <v>0.4</v>
      </c>
      <c r="E189" s="498">
        <v>40</v>
      </c>
      <c r="F189" s="499">
        <v>-1.4</v>
      </c>
      <c r="G189" s="499">
        <v>2.2000000000000002</v>
      </c>
      <c r="H189" s="658"/>
      <c r="I189" s="771" t="s">
        <v>390</v>
      </c>
      <c r="J189" s="14">
        <f>ROWS($H$8:I189)</f>
        <v>182</v>
      </c>
      <c r="K189" s="14">
        <f>IF(ID!$B$83=I189,J189,"")</f>
        <v>182</v>
      </c>
      <c r="L189" s="14"/>
    </row>
    <row r="190" spans="2:12" x14ac:dyDescent="0.2">
      <c r="B190" s="498">
        <v>25</v>
      </c>
      <c r="C190" s="499">
        <v>0.2</v>
      </c>
      <c r="D190" s="499">
        <v>0.4</v>
      </c>
      <c r="E190" s="498">
        <v>50</v>
      </c>
      <c r="F190" s="499">
        <v>-1.4</v>
      </c>
      <c r="G190" s="499">
        <v>2.2000000000000002</v>
      </c>
      <c r="H190" s="658"/>
      <c r="I190" s="771" t="s">
        <v>390</v>
      </c>
      <c r="J190" s="14">
        <f>ROWS($H$8:I190)</f>
        <v>183</v>
      </c>
      <c r="K190" s="14">
        <f>IF(ID!$B$83=I190,J190,"")</f>
        <v>183</v>
      </c>
      <c r="L190" s="14"/>
    </row>
    <row r="191" spans="2:12" x14ac:dyDescent="0.2">
      <c r="B191" s="498">
        <v>30</v>
      </c>
      <c r="C191" s="499">
        <v>0.2</v>
      </c>
      <c r="D191" s="499">
        <v>0.4</v>
      </c>
      <c r="E191" s="498">
        <v>60</v>
      </c>
      <c r="F191" s="499">
        <v>-1.5</v>
      </c>
      <c r="G191" s="499">
        <v>2.2000000000000002</v>
      </c>
      <c r="H191" s="658"/>
      <c r="I191" s="771" t="s">
        <v>390</v>
      </c>
      <c r="J191" s="14">
        <f>ROWS($H$8:I191)</f>
        <v>184</v>
      </c>
      <c r="K191" s="14">
        <f>IF(ID!$B$83=I191,J191,"")</f>
        <v>184</v>
      </c>
      <c r="L191" s="14"/>
    </row>
    <row r="192" spans="2:12" x14ac:dyDescent="0.2">
      <c r="B192" s="498">
        <v>35</v>
      </c>
      <c r="C192" s="499">
        <v>0.1</v>
      </c>
      <c r="D192" s="499">
        <v>0.4</v>
      </c>
      <c r="E192" s="498">
        <v>70</v>
      </c>
      <c r="F192" s="499">
        <v>-1.8</v>
      </c>
      <c r="G192" s="499">
        <v>2.2000000000000002</v>
      </c>
      <c r="H192" s="658"/>
      <c r="I192" s="771" t="s">
        <v>390</v>
      </c>
      <c r="J192" s="14">
        <f>ROWS($H$8:I192)</f>
        <v>185</v>
      </c>
      <c r="K192" s="14">
        <f>IF(ID!$B$83=I192,J192,"")</f>
        <v>185</v>
      </c>
      <c r="L192" s="14"/>
    </row>
    <row r="193" spans="2:12" x14ac:dyDescent="0.2">
      <c r="B193" s="501">
        <v>37</v>
      </c>
      <c r="C193" s="499">
        <v>0</v>
      </c>
      <c r="D193" s="499">
        <v>0.4</v>
      </c>
      <c r="E193" s="501">
        <v>80</v>
      </c>
      <c r="F193" s="499">
        <v>-2.2999999999999998</v>
      </c>
      <c r="G193" s="499">
        <v>2.2000000000000002</v>
      </c>
      <c r="H193" s="658"/>
      <c r="I193" s="771" t="s">
        <v>390</v>
      </c>
      <c r="J193" s="14">
        <f>ROWS($H$8:I193)</f>
        <v>186</v>
      </c>
      <c r="K193" s="14">
        <f>IF(ID!$B$83=I193,J193,"")</f>
        <v>186</v>
      </c>
      <c r="L193" s="14"/>
    </row>
    <row r="194" spans="2:12" x14ac:dyDescent="0.2">
      <c r="B194" s="501">
        <v>40</v>
      </c>
      <c r="C194" s="503">
        <v>0</v>
      </c>
      <c r="D194" s="499">
        <v>0.4</v>
      </c>
      <c r="E194" s="501">
        <v>90</v>
      </c>
      <c r="F194" s="503">
        <v>-3</v>
      </c>
      <c r="G194" s="499">
        <v>2.2000000000000002</v>
      </c>
      <c r="H194" s="658"/>
      <c r="I194" s="771" t="s">
        <v>390</v>
      </c>
      <c r="J194" s="14">
        <f>ROWS($H$8:I194)</f>
        <v>187</v>
      </c>
      <c r="K194" s="14">
        <f>IF(ID!$B$83=I194,J194,"")</f>
        <v>187</v>
      </c>
      <c r="L194" s="14"/>
    </row>
    <row r="195" spans="2:12" x14ac:dyDescent="0.2">
      <c r="J195" s="14">
        <f>ROWS($H$8:I195)</f>
        <v>188</v>
      </c>
      <c r="K195" s="14" t="str">
        <f>IF(ID!$B$83=I195,J195,"")</f>
        <v/>
      </c>
      <c r="L195" s="14"/>
    </row>
    <row r="196" spans="2:12" x14ac:dyDescent="0.2">
      <c r="J196" s="14">
        <f>ROWS($H$8:I196)</f>
        <v>189</v>
      </c>
      <c r="K196" s="14" t="str">
        <f>IF(ID!$B$83=I196,J196,"")</f>
        <v/>
      </c>
      <c r="L196" s="14"/>
    </row>
    <row r="197" spans="2:12" x14ac:dyDescent="0.2">
      <c r="J197" s="14">
        <f>ROWS($H$8:I197)</f>
        <v>190</v>
      </c>
      <c r="K197" s="14" t="str">
        <f>IF(ID!$B$83=I197,J197,"")</f>
        <v/>
      </c>
      <c r="L197" s="14"/>
    </row>
    <row r="198" spans="2:12" x14ac:dyDescent="0.2">
      <c r="B198" s="498">
        <v>15</v>
      </c>
      <c r="C198" s="499">
        <v>0</v>
      </c>
      <c r="D198" s="499">
        <v>0.3</v>
      </c>
      <c r="E198" s="498">
        <v>30</v>
      </c>
      <c r="F198" s="499">
        <v>-0.4</v>
      </c>
      <c r="G198" s="499">
        <v>1.6</v>
      </c>
      <c r="H198" s="500" t="s">
        <v>388</v>
      </c>
      <c r="I198" s="771" t="s">
        <v>391</v>
      </c>
      <c r="J198" s="14">
        <f>ROWS($H$8:I198)</f>
        <v>191</v>
      </c>
      <c r="K198" s="14" t="str">
        <f>IF(ID!$B$83=I198,J198,"")</f>
        <v/>
      </c>
      <c r="L198" s="14"/>
    </row>
    <row r="199" spans="2:12" x14ac:dyDescent="0.2">
      <c r="B199" s="498">
        <v>20</v>
      </c>
      <c r="C199" s="499">
        <v>-0.1</v>
      </c>
      <c r="D199" s="499">
        <v>0.3</v>
      </c>
      <c r="E199" s="498">
        <v>40</v>
      </c>
      <c r="F199" s="499">
        <v>-0.2</v>
      </c>
      <c r="G199" s="499">
        <v>1.6</v>
      </c>
      <c r="H199" s="658"/>
      <c r="I199" s="771" t="s">
        <v>391</v>
      </c>
      <c r="J199" s="14">
        <f>ROWS($H$8:I199)</f>
        <v>192</v>
      </c>
      <c r="K199" s="14" t="str">
        <f>IF(ID!$B$83=I199,J199,"")</f>
        <v/>
      </c>
      <c r="L199" s="14"/>
    </row>
    <row r="200" spans="2:12" x14ac:dyDescent="0.2">
      <c r="B200" s="498">
        <v>25</v>
      </c>
      <c r="C200" s="499">
        <v>-0.2</v>
      </c>
      <c r="D200" s="499">
        <v>0.3</v>
      </c>
      <c r="E200" s="498">
        <v>50</v>
      </c>
      <c r="F200" s="499">
        <v>-0.2</v>
      </c>
      <c r="G200" s="499">
        <v>1.6</v>
      </c>
      <c r="H200" s="658"/>
      <c r="I200" s="771" t="s">
        <v>391</v>
      </c>
      <c r="J200" s="14">
        <f>ROWS($H$8:I200)</f>
        <v>193</v>
      </c>
      <c r="K200" s="14" t="str">
        <f>IF(ID!$B$83=I200,J200,"")</f>
        <v/>
      </c>
      <c r="L200" s="14"/>
    </row>
    <row r="201" spans="2:12" x14ac:dyDescent="0.2">
      <c r="B201" s="498">
        <v>30</v>
      </c>
      <c r="C201" s="499">
        <v>-0.2</v>
      </c>
      <c r="D201" s="499">
        <v>0.3</v>
      </c>
      <c r="E201" s="498">
        <v>60</v>
      </c>
      <c r="F201" s="499">
        <v>-0.2</v>
      </c>
      <c r="G201" s="499">
        <v>1.6</v>
      </c>
      <c r="H201" s="658"/>
      <c r="I201" s="771" t="s">
        <v>391</v>
      </c>
      <c r="J201" s="14">
        <f>ROWS($H$8:I201)</f>
        <v>194</v>
      </c>
      <c r="K201" s="14" t="str">
        <f>IF(ID!$B$83=I201,J201,"")</f>
        <v/>
      </c>
      <c r="L201" s="14"/>
    </row>
    <row r="202" spans="2:12" x14ac:dyDescent="0.2">
      <c r="B202" s="498">
        <v>35</v>
      </c>
      <c r="C202" s="499">
        <v>-0.3</v>
      </c>
      <c r="D202" s="499">
        <v>0.3</v>
      </c>
      <c r="E202" s="498">
        <v>70</v>
      </c>
      <c r="F202" s="499">
        <v>-0.3</v>
      </c>
      <c r="G202" s="499">
        <v>1.6</v>
      </c>
      <c r="H202" s="658"/>
      <c r="I202" s="771" t="s">
        <v>391</v>
      </c>
      <c r="J202" s="14">
        <f>ROWS($H$8:I202)</f>
        <v>195</v>
      </c>
      <c r="K202" s="14" t="str">
        <f>IF(ID!$B$83=I202,J202,"")</f>
        <v/>
      </c>
      <c r="L202" s="14"/>
    </row>
    <row r="203" spans="2:12" x14ac:dyDescent="0.2">
      <c r="B203" s="501">
        <v>37</v>
      </c>
      <c r="C203" s="499">
        <v>-0.3</v>
      </c>
      <c r="D203" s="499">
        <v>0.3</v>
      </c>
      <c r="E203" s="501">
        <v>80</v>
      </c>
      <c r="F203" s="499">
        <v>-0.5</v>
      </c>
      <c r="G203" s="499">
        <v>1.6</v>
      </c>
      <c r="H203" s="658"/>
      <c r="I203" s="771" t="s">
        <v>391</v>
      </c>
      <c r="J203" s="14">
        <f>ROWS($H$8:I203)</f>
        <v>196</v>
      </c>
      <c r="K203" s="14" t="str">
        <f>IF(ID!$B$83=I203,J203,"")</f>
        <v/>
      </c>
      <c r="L203" s="14"/>
    </row>
    <row r="204" spans="2:12" x14ac:dyDescent="0.2">
      <c r="B204" s="501">
        <v>40</v>
      </c>
      <c r="C204" s="503">
        <v>-0.4</v>
      </c>
      <c r="D204" s="499">
        <v>0.3</v>
      </c>
      <c r="E204" s="501">
        <v>90</v>
      </c>
      <c r="F204" s="503">
        <v>-0.8</v>
      </c>
      <c r="G204" s="499">
        <v>1.6</v>
      </c>
      <c r="H204" s="658"/>
      <c r="I204" s="771" t="s">
        <v>391</v>
      </c>
      <c r="J204" s="14">
        <f>ROWS($H$8:I204)</f>
        <v>197</v>
      </c>
      <c r="K204" s="14" t="str">
        <f>IF(ID!$B$83=I204,J204,"")</f>
        <v/>
      </c>
      <c r="L204" s="14"/>
    </row>
    <row r="205" spans="2:12" x14ac:dyDescent="0.2">
      <c r="J205" s="14">
        <f>ROWS($H$8:I205)</f>
        <v>198</v>
      </c>
      <c r="K205" s="14" t="str">
        <f>IF(ID!$B$83=I205,J205,"")</f>
        <v/>
      </c>
      <c r="L205" s="14"/>
    </row>
    <row r="206" spans="2:12" x14ac:dyDescent="0.2">
      <c r="J206" s="14">
        <f>ROWS($H$8:I206)</f>
        <v>199</v>
      </c>
      <c r="K206" s="14" t="str">
        <f>IF(ID!$B$83=I206,J206,"")</f>
        <v/>
      </c>
      <c r="L206" s="14"/>
    </row>
    <row r="207" spans="2:12" x14ac:dyDescent="0.2">
      <c r="J207" s="14">
        <f>ROWS($H$8:I207)</f>
        <v>200</v>
      </c>
      <c r="K207" s="14" t="str">
        <f>IF(ID!$B$83=I207,J207,"")</f>
        <v/>
      </c>
      <c r="L207" s="14"/>
    </row>
    <row r="208" spans="2:12" x14ac:dyDescent="0.2">
      <c r="B208" s="498">
        <v>15</v>
      </c>
      <c r="C208" s="499">
        <v>0.1</v>
      </c>
      <c r="D208" s="499">
        <v>0.3</v>
      </c>
      <c r="E208" s="498">
        <v>30</v>
      </c>
      <c r="F208" s="499">
        <v>0.1</v>
      </c>
      <c r="G208" s="499">
        <v>2.8</v>
      </c>
      <c r="H208" s="658" t="s">
        <v>392</v>
      </c>
      <c r="I208" s="771" t="s">
        <v>393</v>
      </c>
      <c r="J208" s="14">
        <f>ROWS($H$8:I208)</f>
        <v>201</v>
      </c>
      <c r="K208" s="14" t="str">
        <f>IF(ID!$B$83=I208,J208,"")</f>
        <v/>
      </c>
      <c r="L208" s="14"/>
    </row>
    <row r="209" spans="2:12" x14ac:dyDescent="0.2">
      <c r="B209" s="498">
        <v>20</v>
      </c>
      <c r="C209" s="499">
        <v>0.1</v>
      </c>
      <c r="D209" s="499">
        <v>0.3</v>
      </c>
      <c r="E209" s="498">
        <v>40</v>
      </c>
      <c r="F209" s="499">
        <v>0.2</v>
      </c>
      <c r="G209" s="499">
        <v>2.8</v>
      </c>
      <c r="H209" s="658"/>
      <c r="I209" s="771" t="s">
        <v>393</v>
      </c>
      <c r="J209" s="14">
        <f>ROWS($H$8:I209)</f>
        <v>202</v>
      </c>
      <c r="K209" s="14" t="str">
        <f>IF(ID!$B$83=I209,J209,"")</f>
        <v/>
      </c>
      <c r="L209" s="14"/>
    </row>
    <row r="210" spans="2:12" x14ac:dyDescent="0.2">
      <c r="B210" s="498">
        <v>25</v>
      </c>
      <c r="C210" s="499">
        <v>0</v>
      </c>
      <c r="D210" s="499">
        <v>0.3</v>
      </c>
      <c r="E210" s="498">
        <v>50</v>
      </c>
      <c r="F210" s="499">
        <v>0.2</v>
      </c>
      <c r="G210" s="499">
        <v>2.8</v>
      </c>
      <c r="H210" s="658"/>
      <c r="I210" s="771" t="s">
        <v>393</v>
      </c>
      <c r="J210" s="14">
        <f>ROWS($H$8:I210)</f>
        <v>203</v>
      </c>
      <c r="K210" s="14" t="str">
        <f>IF(ID!$B$83=I210,J210,"")</f>
        <v/>
      </c>
      <c r="L210" s="14"/>
    </row>
    <row r="211" spans="2:12" x14ac:dyDescent="0.2">
      <c r="B211" s="498">
        <v>30</v>
      </c>
      <c r="C211" s="499">
        <v>-0.2</v>
      </c>
      <c r="D211" s="499">
        <v>0.3</v>
      </c>
      <c r="E211" s="498">
        <v>60</v>
      </c>
      <c r="F211" s="499">
        <v>0</v>
      </c>
      <c r="G211" s="499">
        <v>2.8</v>
      </c>
      <c r="H211" s="658"/>
      <c r="I211" s="771" t="s">
        <v>393</v>
      </c>
      <c r="J211" s="14">
        <f>ROWS($H$8:I211)</f>
        <v>204</v>
      </c>
      <c r="K211" s="14" t="str">
        <f>IF(ID!$B$83=I211,J211,"")</f>
        <v/>
      </c>
      <c r="L211" s="14"/>
    </row>
    <row r="212" spans="2:12" x14ac:dyDescent="0.2">
      <c r="B212" s="498">
        <v>35</v>
      </c>
      <c r="C212" s="499">
        <v>-0.5</v>
      </c>
      <c r="D212" s="499">
        <v>0.3</v>
      </c>
      <c r="E212" s="498">
        <v>70</v>
      </c>
      <c r="F212" s="499">
        <v>-0.3</v>
      </c>
      <c r="G212" s="499">
        <v>2.8</v>
      </c>
      <c r="H212" s="658"/>
      <c r="I212" s="771" t="s">
        <v>393</v>
      </c>
      <c r="J212" s="14">
        <f>ROWS($H$8:I212)</f>
        <v>205</v>
      </c>
      <c r="K212" s="14" t="str">
        <f>IF(ID!$B$83=I212,J212,"")</f>
        <v/>
      </c>
      <c r="L212" s="14"/>
    </row>
    <row r="213" spans="2:12" x14ac:dyDescent="0.2">
      <c r="B213" s="501">
        <v>37</v>
      </c>
      <c r="C213" s="499">
        <v>-0.6</v>
      </c>
      <c r="D213" s="499">
        <v>0.3</v>
      </c>
      <c r="E213" s="501">
        <v>80</v>
      </c>
      <c r="F213" s="499">
        <v>-0.8</v>
      </c>
      <c r="G213" s="499">
        <v>2.8</v>
      </c>
      <c r="H213" s="658"/>
      <c r="I213" s="771" t="s">
        <v>393</v>
      </c>
      <c r="J213" s="14">
        <f>ROWS($H$8:I213)</f>
        <v>206</v>
      </c>
      <c r="K213" s="14" t="str">
        <f>IF(ID!$B$83=I213,J213,"")</f>
        <v/>
      </c>
      <c r="L213" s="14"/>
    </row>
    <row r="214" spans="2:12" x14ac:dyDescent="0.2">
      <c r="B214" s="501">
        <v>40</v>
      </c>
      <c r="C214" s="503">
        <v>-0.8</v>
      </c>
      <c r="D214" s="499">
        <v>0.3</v>
      </c>
      <c r="E214" s="501">
        <v>90</v>
      </c>
      <c r="F214" s="503">
        <v>-1.4</v>
      </c>
      <c r="G214" s="499">
        <v>2.8</v>
      </c>
      <c r="H214" s="658"/>
      <c r="I214" s="771" t="s">
        <v>393</v>
      </c>
      <c r="J214" s="14">
        <f>ROWS($H$8:I214)</f>
        <v>207</v>
      </c>
      <c r="K214" s="14" t="str">
        <f>IF(ID!$B$83=I214,J214,"")</f>
        <v/>
      </c>
      <c r="L214" s="14"/>
    </row>
    <row r="215" spans="2:12" x14ac:dyDescent="0.2">
      <c r="J215" s="14">
        <f>ROWS($H$8:I215)</f>
        <v>208</v>
      </c>
      <c r="K215" s="14" t="str">
        <f>IF(ID!$B$83=I215,J215,"")</f>
        <v/>
      </c>
      <c r="L215" s="14"/>
    </row>
    <row r="216" spans="2:12" x14ac:dyDescent="0.2">
      <c r="J216" s="14">
        <f>ROWS($H$8:I216)</f>
        <v>209</v>
      </c>
      <c r="K216" s="14" t="str">
        <f>IF(ID!$B$83=I216,J216,"")</f>
        <v/>
      </c>
      <c r="L216" s="14"/>
    </row>
    <row r="217" spans="2:12" x14ac:dyDescent="0.2">
      <c r="J217" s="14">
        <f>ROWS($H$8:I217)</f>
        <v>210</v>
      </c>
      <c r="K217" s="14" t="str">
        <f>IF(ID!$B$83=I217,J217,"")</f>
        <v/>
      </c>
      <c r="L217" s="14"/>
    </row>
    <row r="218" spans="2:12" x14ac:dyDescent="0.2">
      <c r="B218" s="498">
        <v>15.1</v>
      </c>
      <c r="C218" s="499">
        <v>0</v>
      </c>
      <c r="D218" s="499">
        <v>0.1</v>
      </c>
      <c r="E218" s="498">
        <v>36.299999999999997</v>
      </c>
      <c r="F218" s="499">
        <v>-1.5</v>
      </c>
      <c r="G218" s="775">
        <v>1.5</v>
      </c>
      <c r="H218" s="657" t="s">
        <v>394</v>
      </c>
      <c r="I218" s="771" t="s">
        <v>395</v>
      </c>
      <c r="J218" s="14">
        <f>ROWS($H$8:I218)</f>
        <v>211</v>
      </c>
      <c r="K218" s="14" t="str">
        <f>IF(ID!$B$83=I218,J218,"")</f>
        <v/>
      </c>
      <c r="L218" s="14"/>
    </row>
    <row r="219" spans="2:12" x14ac:dyDescent="0.2">
      <c r="B219" s="498">
        <v>20.2</v>
      </c>
      <c r="C219" s="499">
        <v>0.1</v>
      </c>
      <c r="D219" s="499">
        <v>0.1</v>
      </c>
      <c r="E219" s="498">
        <v>40.5</v>
      </c>
      <c r="F219" s="499">
        <v>-0.8</v>
      </c>
      <c r="G219" s="775">
        <v>1.5</v>
      </c>
      <c r="H219" s="657"/>
      <c r="I219" s="771" t="s">
        <v>395</v>
      </c>
      <c r="J219" s="14">
        <f>ROWS($H$8:I219)</f>
        <v>212</v>
      </c>
      <c r="K219" s="14" t="str">
        <f>IF(ID!$B$83=I219,J219,"")</f>
        <v/>
      </c>
      <c r="L219" s="14"/>
    </row>
    <row r="220" spans="2:12" x14ac:dyDescent="0.2">
      <c r="B220" s="498">
        <v>25</v>
      </c>
      <c r="C220" s="499">
        <v>0</v>
      </c>
      <c r="D220" s="499">
        <v>0.1</v>
      </c>
      <c r="E220" s="498">
        <v>49.8</v>
      </c>
      <c r="F220" s="499">
        <v>-0.2</v>
      </c>
      <c r="G220" s="775">
        <v>1.5</v>
      </c>
      <c r="H220" s="657"/>
      <c r="I220" s="771" t="s">
        <v>395</v>
      </c>
      <c r="J220" s="14">
        <f>ROWS($H$8:I220)</f>
        <v>213</v>
      </c>
      <c r="K220" s="14" t="str">
        <f>IF(ID!$B$83=I220,J220,"")</f>
        <v/>
      </c>
      <c r="L220" s="14"/>
    </row>
    <row r="221" spans="2:12" x14ac:dyDescent="0.2">
      <c r="B221" s="498">
        <v>30.5</v>
      </c>
      <c r="C221" s="499">
        <v>-0.1</v>
      </c>
      <c r="D221" s="499">
        <v>0.1</v>
      </c>
      <c r="E221" s="498">
        <v>59.2</v>
      </c>
      <c r="F221" s="499">
        <v>0.4</v>
      </c>
      <c r="G221" s="775">
        <v>1.5</v>
      </c>
      <c r="H221" s="657"/>
      <c r="I221" s="771" t="s">
        <v>395</v>
      </c>
      <c r="J221" s="14">
        <f>ROWS($H$8:I221)</f>
        <v>214</v>
      </c>
      <c r="K221" s="14" t="str">
        <f>IF(ID!$B$83=I221,J221,"")</f>
        <v/>
      </c>
      <c r="L221" s="14"/>
    </row>
    <row r="222" spans="2:12" x14ac:dyDescent="0.2">
      <c r="B222" s="498">
        <v>35.5</v>
      </c>
      <c r="C222" s="499">
        <v>-0.1</v>
      </c>
      <c r="D222" s="499">
        <v>0.1</v>
      </c>
      <c r="E222" s="498">
        <v>70.599999999999994</v>
      </c>
      <c r="F222" s="499">
        <v>-0.7</v>
      </c>
      <c r="G222" s="775">
        <v>1.5</v>
      </c>
      <c r="H222" s="657"/>
      <c r="I222" s="771" t="s">
        <v>395</v>
      </c>
      <c r="J222" s="14">
        <f>ROWS($H$8:I222)</f>
        <v>215</v>
      </c>
      <c r="K222" s="14" t="str">
        <f>IF(ID!$B$83=I222,J222,"")</f>
        <v/>
      </c>
      <c r="L222" s="14"/>
    </row>
    <row r="223" spans="2:12" x14ac:dyDescent="0.2">
      <c r="B223" s="501">
        <v>37.200000000000003</v>
      </c>
      <c r="C223" s="499">
        <v>0</v>
      </c>
      <c r="D223" s="499">
        <v>0.1</v>
      </c>
      <c r="E223" s="501">
        <v>80.900000000000006</v>
      </c>
      <c r="F223" s="499">
        <v>-0.9</v>
      </c>
      <c r="G223" s="775">
        <v>1.5</v>
      </c>
      <c r="H223" s="657"/>
      <c r="I223" s="771" t="s">
        <v>395</v>
      </c>
      <c r="J223" s="14">
        <f>ROWS($H$8:I223)</f>
        <v>216</v>
      </c>
      <c r="K223" s="14" t="str">
        <f>IF(ID!$B$83=I223,J223,"")</f>
        <v/>
      </c>
      <c r="L223" s="14"/>
    </row>
    <row r="224" spans="2:12" x14ac:dyDescent="0.2">
      <c r="B224" s="501">
        <v>39.700000000000003</v>
      </c>
      <c r="C224" s="503">
        <v>0.2</v>
      </c>
      <c r="D224" s="499">
        <v>0.1</v>
      </c>
      <c r="E224" s="501">
        <v>90.4</v>
      </c>
      <c r="F224" s="502">
        <v>-0.6</v>
      </c>
      <c r="G224" s="775">
        <v>1.5</v>
      </c>
      <c r="H224" s="657"/>
      <c r="I224" s="771" t="s">
        <v>395</v>
      </c>
      <c r="J224" s="14">
        <f>ROWS($H$8:I224)</f>
        <v>217</v>
      </c>
      <c r="K224" s="14" t="str">
        <f>IF(ID!$B$83=I224,J224,"")</f>
        <v/>
      </c>
      <c r="L224" s="14"/>
    </row>
  </sheetData>
  <sheetProtection algorithmName="SHA-512" hashValue="6RIfioCW4iRXaHeU73VVT+FUG5bfsAsHhbUcanw5M0Gv7t6cYS0BxZoMFdBZeYcAWj2UUEDEehHL8ax3RlPJuA==" saltValue="V6qUC9znGgUt2PoqFJtnQg==" spinCount="100000" sheet="1" objects="1" scenarios="1"/>
  <mergeCells count="1">
    <mergeCell ref="B1:H2"/>
  </mergeCells>
  <phoneticPr fontId="139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8"/>
  <dimension ref="E6:R29"/>
  <sheetViews>
    <sheetView topLeftCell="F10" zoomScale="90" zoomScaleNormal="90" workbookViewId="0">
      <selection activeCell="O30" sqref="O30"/>
    </sheetView>
  </sheetViews>
  <sheetFormatPr defaultColWidth="9.21875" defaultRowHeight="13.2" x14ac:dyDescent="0.25"/>
  <cols>
    <col min="5" max="5" width="58.44140625" customWidth="1"/>
    <col min="6" max="8" width="2.21875" customWidth="1"/>
  </cols>
  <sheetData>
    <row r="6" spans="5:18" x14ac:dyDescent="0.25">
      <c r="R6" t="s">
        <v>789</v>
      </c>
    </row>
    <row r="7" spans="5:18" x14ac:dyDescent="0.25">
      <c r="R7" t="s">
        <v>790</v>
      </c>
    </row>
    <row r="8" spans="5:18" x14ac:dyDescent="0.25">
      <c r="E8" t="s">
        <v>847</v>
      </c>
      <c r="R8" t="s">
        <v>833</v>
      </c>
    </row>
    <row r="9" spans="5:18" x14ac:dyDescent="0.25">
      <c r="E9" t="s">
        <v>848</v>
      </c>
      <c r="I9" s="1086"/>
      <c r="R9" t="s">
        <v>788</v>
      </c>
    </row>
    <row r="10" spans="5:18" x14ac:dyDescent="0.25">
      <c r="E10" t="s">
        <v>849</v>
      </c>
      <c r="I10" t="s">
        <v>830</v>
      </c>
      <c r="R10" t="s">
        <v>787</v>
      </c>
    </row>
    <row r="11" spans="5:18" x14ac:dyDescent="0.25">
      <c r="E11" t="s">
        <v>850</v>
      </c>
      <c r="I11" t="s">
        <v>837</v>
      </c>
      <c r="O11" s="298"/>
      <c r="R11" t="s">
        <v>845</v>
      </c>
    </row>
    <row r="12" spans="5:18" x14ac:dyDescent="0.25">
      <c r="E12" t="s">
        <v>851</v>
      </c>
      <c r="I12" t="s">
        <v>838</v>
      </c>
      <c r="O12" s="298"/>
      <c r="R12" t="s">
        <v>846</v>
      </c>
    </row>
    <row r="13" spans="5:18" x14ac:dyDescent="0.25">
      <c r="E13" t="s">
        <v>852</v>
      </c>
      <c r="I13" t="s">
        <v>839</v>
      </c>
      <c r="R13" t="s">
        <v>389</v>
      </c>
    </row>
    <row r="14" spans="5:18" x14ac:dyDescent="0.25">
      <c r="E14" t="s">
        <v>853</v>
      </c>
      <c r="I14" t="s">
        <v>840</v>
      </c>
      <c r="R14" t="s">
        <v>265</v>
      </c>
    </row>
    <row r="15" spans="5:18" x14ac:dyDescent="0.25">
      <c r="E15" t="s">
        <v>854</v>
      </c>
      <c r="I15" t="s">
        <v>841</v>
      </c>
      <c r="R15" t="s">
        <v>263</v>
      </c>
    </row>
    <row r="16" spans="5:18" x14ac:dyDescent="0.25">
      <c r="E16" t="s">
        <v>855</v>
      </c>
      <c r="I16" t="s">
        <v>842</v>
      </c>
      <c r="L16" s="299"/>
      <c r="R16" t="s">
        <v>264</v>
      </c>
    </row>
    <row r="17" spans="5:18" x14ac:dyDescent="0.25">
      <c r="E17" s="539"/>
      <c r="I17" t="s">
        <v>843</v>
      </c>
      <c r="R17" t="s">
        <v>395</v>
      </c>
    </row>
    <row r="18" spans="5:18" x14ac:dyDescent="0.25">
      <c r="I18" t="s">
        <v>844</v>
      </c>
      <c r="R18" t="s">
        <v>390</v>
      </c>
    </row>
    <row r="19" spans="5:18" x14ac:dyDescent="0.25">
      <c r="I19" s="1087"/>
      <c r="R19" t="s">
        <v>393</v>
      </c>
    </row>
    <row r="20" spans="5:18" x14ac:dyDescent="0.25">
      <c r="R20" t="s">
        <v>391</v>
      </c>
    </row>
    <row r="21" spans="5:18" x14ac:dyDescent="0.25">
      <c r="R21" t="s">
        <v>836</v>
      </c>
    </row>
    <row r="22" spans="5:18" x14ac:dyDescent="0.25">
      <c r="E22" s="301"/>
      <c r="I22" s="300"/>
      <c r="R22" t="s">
        <v>262</v>
      </c>
    </row>
    <row r="23" spans="5:18" x14ac:dyDescent="0.25">
      <c r="E23" s="301"/>
      <c r="I23" s="302"/>
      <c r="R23" t="s">
        <v>791</v>
      </c>
    </row>
    <row r="24" spans="5:18" x14ac:dyDescent="0.25">
      <c r="E24" s="301"/>
      <c r="I24" s="302"/>
      <c r="R24" t="s">
        <v>835</v>
      </c>
    </row>
    <row r="25" spans="5:18" x14ac:dyDescent="0.25">
      <c r="E25" s="301"/>
      <c r="R25" t="s">
        <v>353</v>
      </c>
    </row>
    <row r="26" spans="5:18" x14ac:dyDescent="0.25">
      <c r="I26" s="300"/>
      <c r="R26" t="s">
        <v>834</v>
      </c>
    </row>
    <row r="27" spans="5:18" x14ac:dyDescent="0.25">
      <c r="I27" s="300"/>
    </row>
    <row r="28" spans="5:18" x14ac:dyDescent="0.25">
      <c r="I28" s="297"/>
    </row>
    <row r="29" spans="5:18" x14ac:dyDescent="0.25">
      <c r="I29" s="29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FF0000"/>
  </sheetPr>
  <dimension ref="A1:CP86"/>
  <sheetViews>
    <sheetView showGridLines="0" tabSelected="1" view="pageBreakPreview" topLeftCell="A53" zoomScale="85" zoomScaleNormal="100" zoomScaleSheetLayoutView="85" workbookViewId="0">
      <selection activeCell="L79" sqref="L79"/>
    </sheetView>
  </sheetViews>
  <sheetFormatPr defaultColWidth="9.21875" defaultRowHeight="15.6" x14ac:dyDescent="0.25"/>
  <cols>
    <col min="1" max="1" width="3.77734375" style="977" customWidth="1"/>
    <col min="2" max="2" width="19" style="977" customWidth="1"/>
    <col min="3" max="3" width="6.21875" style="977" customWidth="1"/>
    <col min="4" max="4" width="11.77734375" style="977" customWidth="1"/>
    <col min="5" max="5" width="14.77734375" style="977" customWidth="1"/>
    <col min="6" max="6" width="10.21875" style="977" customWidth="1"/>
    <col min="7" max="8" width="10" style="977" customWidth="1"/>
    <col min="9" max="9" width="10.5546875" style="977" customWidth="1"/>
    <col min="10" max="10" width="9.77734375" style="977" customWidth="1"/>
    <col min="11" max="11" width="10.5546875" style="977" customWidth="1"/>
    <col min="12" max="12" width="13.21875" style="977" customWidth="1"/>
    <col min="13" max="13" width="6.77734375" style="977" customWidth="1"/>
    <col min="14" max="14" width="5.5546875" style="977" customWidth="1"/>
    <col min="15" max="15" width="15.77734375" style="977" customWidth="1"/>
    <col min="16" max="16" width="14.77734375" style="977" customWidth="1"/>
    <col min="17" max="17" width="16.77734375" style="977" customWidth="1"/>
    <col min="18" max="18" width="16.21875" style="977" customWidth="1"/>
    <col min="19" max="19" width="23.44140625" style="977" customWidth="1"/>
    <col min="20" max="20" width="11.21875" style="977" customWidth="1"/>
    <col min="21" max="30" width="9.21875" style="977" customWidth="1"/>
    <col min="31" max="31" width="13.44140625" style="977" customWidth="1"/>
    <col min="32" max="32" width="18.21875" style="977" customWidth="1"/>
    <col min="33" max="33" width="15.21875" style="977" customWidth="1"/>
    <col min="34" max="34" width="3.5546875" style="977" customWidth="1"/>
    <col min="35" max="35" width="6" style="977" customWidth="1"/>
    <col min="36" max="36" width="15.21875" style="977" customWidth="1"/>
    <col min="37" max="37" width="4.44140625" style="977" customWidth="1"/>
    <col min="38" max="38" width="9.21875" style="977" customWidth="1"/>
    <col min="39" max="39" width="4.21875" style="977" customWidth="1"/>
    <col min="40" max="40" width="9.21875" style="977" customWidth="1"/>
    <col min="41" max="41" width="12.77734375" style="977" customWidth="1"/>
    <col min="42" max="42" width="4.21875" style="977" customWidth="1"/>
    <col min="43" max="43" width="12.77734375" style="977" customWidth="1"/>
    <col min="44" max="47" width="9.21875" style="977" customWidth="1"/>
    <col min="48" max="48" width="13.21875" style="977" customWidth="1"/>
    <col min="49" max="58" width="9.21875" style="977" customWidth="1"/>
    <col min="59" max="59" width="20.77734375" style="977" customWidth="1"/>
    <col min="60" max="60" width="13.21875" style="977" customWidth="1"/>
    <col min="61" max="61" width="14" style="977" customWidth="1"/>
    <col min="62" max="63" width="9.21875" style="977" customWidth="1"/>
    <col min="64" max="64" width="12.77734375" style="977" customWidth="1"/>
    <col min="65" max="66" width="9.21875" style="977" customWidth="1"/>
    <col min="67" max="67" width="10.5546875" style="977" customWidth="1"/>
    <col min="68" max="68" width="9.21875" style="977" customWidth="1"/>
    <col min="69" max="69" width="14" style="977" customWidth="1"/>
    <col min="70" max="70" width="9.21875" style="977" customWidth="1"/>
    <col min="71" max="71" width="15" style="977" customWidth="1"/>
    <col min="72" max="73" width="9.21875" style="977" customWidth="1"/>
    <col min="74" max="74" width="11.77734375" style="977" customWidth="1"/>
    <col min="75" max="76" width="9.21875" style="977" customWidth="1"/>
    <col min="77" max="77" width="13.21875" style="977" customWidth="1"/>
    <col min="78" max="83" width="9.21875" style="977" customWidth="1"/>
    <col min="84" max="84" width="14.77734375" style="977" customWidth="1"/>
    <col min="85" max="243" width="9.21875" style="977" customWidth="1"/>
    <col min="244" max="244" width="7.77734375" style="977" customWidth="1"/>
    <col min="245" max="248" width="8.77734375" style="977" customWidth="1"/>
    <col min="249" max="249" width="0.21875" style="977" customWidth="1"/>
    <col min="250" max="250" width="8.5546875" style="977" customWidth="1"/>
    <col min="251" max="256" width="8.77734375" style="977" customWidth="1"/>
    <col min="257" max="16384" width="9.21875" style="977"/>
  </cols>
  <sheetData>
    <row r="1" spans="1:27" ht="18" x14ac:dyDescent="0.25">
      <c r="A1" s="1257" t="s">
        <v>96</v>
      </c>
      <c r="B1" s="1257"/>
      <c r="C1" s="1257"/>
      <c r="D1" s="1257"/>
      <c r="E1" s="1257"/>
      <c r="F1" s="1257"/>
      <c r="G1" s="1257"/>
      <c r="H1" s="1257"/>
      <c r="I1" s="1257"/>
      <c r="J1" s="1257"/>
      <c r="K1" s="1257"/>
      <c r="L1" s="1257"/>
      <c r="M1" s="1257"/>
      <c r="N1" s="1257"/>
      <c r="X1" s="978" t="s">
        <v>2</v>
      </c>
    </row>
    <row r="2" spans="1:27" ht="18" customHeight="1" x14ac:dyDescent="0.25">
      <c r="A2" s="1262" t="str">
        <f>IF(PENYELIA!K69&gt;=70,KESIMPULAN!F8,KESIMPULAN!F9)</f>
        <v>Nomor surat keterangan : 9 / M -</v>
      </c>
      <c r="B2" s="1262"/>
      <c r="C2" s="1262"/>
      <c r="D2" s="1262"/>
      <c r="E2" s="1262"/>
      <c r="F2" s="1262"/>
      <c r="G2" s="1262"/>
      <c r="I2" s="920" t="s">
        <v>832</v>
      </c>
      <c r="J2" s="980"/>
      <c r="K2" s="980"/>
      <c r="W2" s="981"/>
      <c r="Y2" s="981"/>
      <c r="Z2" s="981"/>
      <c r="AA2" s="981"/>
    </row>
    <row r="3" spans="1:27" ht="17.399999999999999" x14ac:dyDescent="0.25">
      <c r="D3" s="982"/>
      <c r="E3" s="982"/>
      <c r="F3" s="982"/>
      <c r="G3" s="982"/>
      <c r="H3" s="982"/>
      <c r="I3" s="982"/>
      <c r="J3" s="982"/>
      <c r="K3" s="982"/>
      <c r="L3" s="982"/>
      <c r="M3" s="982"/>
      <c r="N3" s="982"/>
      <c r="Q3" s="983"/>
      <c r="R3" s="983"/>
      <c r="W3" s="981"/>
      <c r="Y3" s="981"/>
      <c r="Z3" s="981"/>
      <c r="AA3" s="981"/>
    </row>
    <row r="4" spans="1:27" x14ac:dyDescent="0.3">
      <c r="B4" s="921" t="s">
        <v>6</v>
      </c>
      <c r="C4" s="921"/>
      <c r="D4" s="922" t="s">
        <v>7</v>
      </c>
      <c r="E4" s="984" t="s">
        <v>97</v>
      </c>
      <c r="M4" s="1263"/>
      <c r="N4" s="1261"/>
      <c r="U4" s="981"/>
      <c r="V4" s="981"/>
      <c r="W4" s="981"/>
      <c r="X4" s="981"/>
      <c r="Z4" s="981"/>
      <c r="AA4" s="981"/>
    </row>
    <row r="5" spans="1:27" ht="15.75" customHeight="1" x14ac:dyDescent="0.3">
      <c r="B5" s="921" t="s">
        <v>8</v>
      </c>
      <c r="C5" s="921"/>
      <c r="D5" s="922" t="s">
        <v>7</v>
      </c>
      <c r="E5" s="984" t="s">
        <v>98</v>
      </c>
      <c r="M5" s="1263"/>
      <c r="N5" s="1261"/>
    </row>
    <row r="6" spans="1:27" x14ac:dyDescent="0.3">
      <c r="B6" s="921" t="s">
        <v>9</v>
      </c>
      <c r="C6" s="921"/>
      <c r="D6" s="922" t="s">
        <v>7</v>
      </c>
      <c r="E6" s="985" t="s">
        <v>99</v>
      </c>
    </row>
    <row r="7" spans="1:27" x14ac:dyDescent="0.3">
      <c r="B7" s="921" t="s">
        <v>400</v>
      </c>
      <c r="C7" s="921"/>
      <c r="D7" s="922" t="s">
        <v>7</v>
      </c>
      <c r="E7" s="267" t="s">
        <v>827</v>
      </c>
    </row>
    <row r="8" spans="1:27" x14ac:dyDescent="0.3">
      <c r="B8" s="921" t="str">
        <f>'LEMBAR KERJA'!B13</f>
        <v>Tanggal kalibrasi</v>
      </c>
      <c r="C8" s="921"/>
      <c r="D8" s="922" t="s">
        <v>7</v>
      </c>
      <c r="E8" s="267" t="str">
        <f>E7</f>
        <v>3 Januari 2023</v>
      </c>
    </row>
    <row r="9" spans="1:27" x14ac:dyDescent="0.3">
      <c r="B9" s="921" t="str">
        <f>'LEMBAR KERJA'!B14</f>
        <v>Tempat kalibrasi</v>
      </c>
      <c r="C9" s="921"/>
      <c r="D9" s="922" t="s">
        <v>7</v>
      </c>
      <c r="E9" s="984" t="s">
        <v>99</v>
      </c>
    </row>
    <row r="10" spans="1:27" x14ac:dyDescent="0.3">
      <c r="B10" s="921" t="s">
        <v>15</v>
      </c>
      <c r="C10" s="921"/>
      <c r="D10" s="922" t="s">
        <v>7</v>
      </c>
      <c r="E10" s="984" t="s">
        <v>99</v>
      </c>
    </row>
    <row r="11" spans="1:27" hidden="1" x14ac:dyDescent="0.3">
      <c r="D11" s="922" t="s">
        <v>7</v>
      </c>
      <c r="E11" s="986"/>
      <c r="F11" s="952"/>
    </row>
    <row r="12" spans="1:27" hidden="1" x14ac:dyDescent="0.25">
      <c r="E12" s="980"/>
      <c r="I12" s="952"/>
      <c r="J12" s="952"/>
      <c r="K12" s="987"/>
    </row>
    <row r="13" spans="1:27" ht="17.25" hidden="1" customHeight="1" x14ac:dyDescent="0.25">
      <c r="E13" s="980"/>
      <c r="I13" s="952"/>
      <c r="J13" s="952"/>
      <c r="K13" s="987"/>
    </row>
    <row r="14" spans="1:27" x14ac:dyDescent="0.3">
      <c r="B14" s="952" t="s">
        <v>10</v>
      </c>
      <c r="C14" s="952"/>
      <c r="D14" s="922" t="s">
        <v>7</v>
      </c>
      <c r="E14" s="988">
        <v>1</v>
      </c>
      <c r="F14" s="977" t="s">
        <v>100</v>
      </c>
      <c r="G14" s="989"/>
      <c r="I14" s="952"/>
      <c r="J14" s="1092">
        <v>1</v>
      </c>
      <c r="K14" s="952" t="s">
        <v>12</v>
      </c>
    </row>
    <row r="15" spans="1:27" x14ac:dyDescent="0.3">
      <c r="B15" s="952" t="str">
        <f>'LEMBAR KERJA'!B16</f>
        <v>Petugas kalibrasi</v>
      </c>
      <c r="C15" s="952"/>
      <c r="D15" s="922" t="s">
        <v>7</v>
      </c>
      <c r="E15" s="1259" t="s">
        <v>757</v>
      </c>
      <c r="F15" s="1259"/>
      <c r="G15" s="1259"/>
      <c r="I15" s="952"/>
      <c r="J15" s="952"/>
      <c r="K15" s="987"/>
    </row>
    <row r="16" spans="1:27" x14ac:dyDescent="0.3">
      <c r="B16" s="977" t="s">
        <v>20</v>
      </c>
      <c r="D16" s="922" t="s">
        <v>7</v>
      </c>
      <c r="E16" s="1064" t="s">
        <v>77</v>
      </c>
      <c r="G16" s="989"/>
      <c r="I16" s="952"/>
      <c r="J16" s="952"/>
      <c r="K16" s="987"/>
    </row>
    <row r="17" spans="1:77" x14ac:dyDescent="0.3">
      <c r="B17" s="921" t="s">
        <v>102</v>
      </c>
      <c r="C17" s="921"/>
      <c r="D17" s="922" t="s">
        <v>7</v>
      </c>
      <c r="E17" s="923" t="s">
        <v>103</v>
      </c>
      <c r="H17" s="952"/>
      <c r="U17" s="949"/>
      <c r="V17" s="949"/>
      <c r="W17" s="949"/>
      <c r="X17" s="949"/>
    </row>
    <row r="18" spans="1:77" hidden="1" x14ac:dyDescent="0.25">
      <c r="B18" s="1258"/>
      <c r="C18" s="1258"/>
      <c r="D18" s="1258"/>
      <c r="E18" s="1258"/>
      <c r="G18" s="1258"/>
      <c r="H18" s="1258"/>
      <c r="I18" s="1258"/>
      <c r="J18" s="1258"/>
      <c r="K18" s="1258"/>
      <c r="L18" s="1258"/>
    </row>
    <row r="19" spans="1:77" hidden="1" x14ac:dyDescent="0.25">
      <c r="B19" s="990"/>
      <c r="C19" s="990"/>
      <c r="D19" s="991"/>
      <c r="E19" s="990"/>
      <c r="G19" s="991"/>
      <c r="H19" s="991"/>
      <c r="I19" s="991"/>
      <c r="J19" s="991"/>
      <c r="K19" s="991"/>
      <c r="L19" s="991"/>
    </row>
    <row r="20" spans="1:77" hidden="1" x14ac:dyDescent="0.25">
      <c r="B20" s="992"/>
      <c r="C20" s="992"/>
      <c r="D20" s="992"/>
      <c r="E20" s="992"/>
      <c r="G20" s="992"/>
      <c r="H20" s="992"/>
      <c r="I20" s="992"/>
      <c r="J20" s="992"/>
      <c r="K20" s="992"/>
      <c r="L20" s="992"/>
      <c r="U20" s="949"/>
      <c r="V20" s="949"/>
    </row>
    <row r="21" spans="1:77" hidden="1" x14ac:dyDescent="0.25">
      <c r="B21" s="992"/>
      <c r="C21" s="992"/>
      <c r="D21" s="992"/>
      <c r="E21" s="992"/>
      <c r="G21" s="992"/>
      <c r="H21" s="992"/>
      <c r="I21" s="992"/>
      <c r="J21" s="992"/>
      <c r="K21" s="992"/>
      <c r="L21" s="992"/>
    </row>
    <row r="22" spans="1:77" hidden="1" x14ac:dyDescent="0.25">
      <c r="B22" s="992"/>
      <c r="C22" s="992"/>
      <c r="D22" s="992"/>
      <c r="E22" s="992"/>
      <c r="G22" s="992"/>
      <c r="H22" s="992"/>
      <c r="I22" s="992"/>
      <c r="J22" s="992"/>
      <c r="K22" s="992"/>
      <c r="L22" s="992"/>
    </row>
    <row r="23" spans="1:77" hidden="1" x14ac:dyDescent="0.25">
      <c r="B23" s="992"/>
      <c r="C23" s="992"/>
      <c r="D23" s="992"/>
      <c r="E23" s="992"/>
      <c r="G23" s="992"/>
      <c r="H23" s="992"/>
      <c r="I23" s="992"/>
      <c r="J23" s="992"/>
      <c r="K23" s="992"/>
      <c r="L23" s="992"/>
    </row>
    <row r="24" spans="1:77" hidden="1" x14ac:dyDescent="0.25">
      <c r="B24" s="992"/>
      <c r="C24" s="992"/>
      <c r="D24" s="992"/>
      <c r="E24" s="992"/>
      <c r="G24" s="992"/>
      <c r="H24" s="992"/>
      <c r="I24" s="992"/>
      <c r="J24" s="992"/>
      <c r="K24" s="992"/>
      <c r="L24" s="992"/>
    </row>
    <row r="25" spans="1:77" hidden="1" x14ac:dyDescent="0.25">
      <c r="B25" s="992"/>
      <c r="C25" s="992"/>
      <c r="D25" s="992"/>
      <c r="E25" s="992"/>
      <c r="G25" s="992"/>
      <c r="H25" s="992"/>
      <c r="I25" s="992"/>
      <c r="J25" s="992"/>
      <c r="K25" s="992"/>
      <c r="L25" s="992"/>
    </row>
    <row r="26" spans="1:77" hidden="1" x14ac:dyDescent="0.25">
      <c r="B26" s="992"/>
      <c r="C26" s="992"/>
      <c r="D26" s="992"/>
      <c r="E26" s="992"/>
      <c r="G26" s="992"/>
      <c r="H26" s="992"/>
      <c r="I26" s="992"/>
      <c r="J26" s="992"/>
      <c r="K26" s="992"/>
      <c r="L26" s="992"/>
    </row>
    <row r="27" spans="1:77" hidden="1" x14ac:dyDescent="0.25">
      <c r="B27" s="993"/>
      <c r="C27" s="993"/>
      <c r="D27" s="993"/>
      <c r="E27" s="993"/>
      <c r="I27" s="994"/>
      <c r="J27" s="995"/>
      <c r="K27" s="996"/>
      <c r="L27" s="997"/>
      <c r="M27" s="995"/>
      <c r="N27" s="996"/>
      <c r="O27" s="997"/>
    </row>
    <row r="28" spans="1:77" hidden="1" x14ac:dyDescent="0.25">
      <c r="B28" s="993"/>
      <c r="C28" s="993"/>
      <c r="D28" s="993"/>
      <c r="E28" s="993"/>
      <c r="H28" s="997"/>
      <c r="I28" s="997"/>
      <c r="J28" s="995"/>
      <c r="K28" s="996"/>
      <c r="L28" s="997"/>
      <c r="M28" s="995"/>
      <c r="N28" s="996"/>
      <c r="O28" s="997"/>
    </row>
    <row r="29" spans="1:77" ht="17.25" customHeight="1" x14ac:dyDescent="0.25">
      <c r="A29" s="1266" t="s">
        <v>22</v>
      </c>
      <c r="B29" s="1266"/>
      <c r="C29" s="1266"/>
      <c r="D29" s="1266"/>
      <c r="E29" s="1266"/>
      <c r="F29" s="1266"/>
      <c r="G29" s="1266"/>
      <c r="H29" s="1266"/>
      <c r="I29" s="1266"/>
      <c r="P29" s="996"/>
      <c r="Q29" s="979"/>
      <c r="R29" s="979"/>
      <c r="BL29" s="1241" t="s">
        <v>439</v>
      </c>
      <c r="BM29" s="1241"/>
      <c r="BN29" s="1241"/>
      <c r="BO29" s="1241"/>
      <c r="BP29" s="1241"/>
      <c r="BQ29" s="1241"/>
      <c r="BR29" s="998"/>
      <c r="BS29" s="999"/>
      <c r="BT29" s="1260" t="s">
        <v>440</v>
      </c>
      <c r="BU29" s="1269"/>
      <c r="BV29" s="1269"/>
      <c r="BW29" s="1269"/>
      <c r="BX29" s="1269"/>
      <c r="BY29" s="1270"/>
    </row>
    <row r="30" spans="1:77" ht="16.5" customHeight="1" x14ac:dyDescent="0.25">
      <c r="A30" s="1241" t="s">
        <v>23</v>
      </c>
      <c r="B30" s="1260"/>
      <c r="C30" s="1002"/>
      <c r="D30" s="1264" t="s">
        <v>104</v>
      </c>
      <c r="E30" s="1264"/>
      <c r="F30" s="1264" t="s">
        <v>104</v>
      </c>
      <c r="G30" s="1264"/>
      <c r="H30" s="1264" t="s">
        <v>105</v>
      </c>
      <c r="I30" s="1264"/>
      <c r="J30" s="1264" t="s">
        <v>106</v>
      </c>
      <c r="K30" s="1264"/>
      <c r="L30" s="1264" t="s">
        <v>107</v>
      </c>
      <c r="M30" s="1264"/>
      <c r="P30" s="37" t="s">
        <v>77</v>
      </c>
      <c r="Q30" s="979"/>
      <c r="R30" s="979"/>
      <c r="BH30" s="1210" t="s">
        <v>436</v>
      </c>
      <c r="BI30" s="1210" t="s">
        <v>106</v>
      </c>
      <c r="BJ30" s="1003"/>
      <c r="BK30" s="1004"/>
      <c r="BL30" s="1210" t="s">
        <v>438</v>
      </c>
      <c r="BM30" s="958"/>
      <c r="BN30" s="1242" t="s">
        <v>437</v>
      </c>
      <c r="BO30" s="1243"/>
      <c r="BP30" s="1244"/>
      <c r="BQ30" s="1210" t="s">
        <v>447</v>
      </c>
      <c r="BR30" s="1003"/>
      <c r="BS30" s="1004"/>
      <c r="BT30" s="1210" t="s">
        <v>438</v>
      </c>
      <c r="BU30" s="958"/>
      <c r="BV30" s="1242" t="s">
        <v>437</v>
      </c>
      <c r="BW30" s="1243"/>
      <c r="BX30" s="1244"/>
      <c r="BY30" s="1210" t="s">
        <v>447</v>
      </c>
    </row>
    <row r="31" spans="1:77" ht="16.5" customHeight="1" x14ac:dyDescent="0.25">
      <c r="A31" s="1241"/>
      <c r="B31" s="1260"/>
      <c r="C31" s="999"/>
      <c r="D31" s="1265"/>
      <c r="E31" s="1265"/>
      <c r="F31" s="1265"/>
      <c r="G31" s="1265"/>
      <c r="H31" s="1265"/>
      <c r="I31" s="1265"/>
      <c r="J31" s="1265"/>
      <c r="K31" s="1265"/>
      <c r="L31" s="1265"/>
      <c r="M31" s="1265"/>
      <c r="P31" s="37" t="s">
        <v>78</v>
      </c>
      <c r="Q31" s="979"/>
      <c r="R31" s="979"/>
      <c r="BH31" s="1210"/>
      <c r="BI31" s="1210"/>
      <c r="BJ31" s="1003"/>
      <c r="BK31" s="1004"/>
      <c r="BL31" s="1210"/>
      <c r="BM31" s="961" t="s">
        <v>441</v>
      </c>
      <c r="BN31" s="1005">
        <v>20</v>
      </c>
      <c r="BO31" s="1005" t="s">
        <v>443</v>
      </c>
      <c r="BP31" s="1006">
        <v>25</v>
      </c>
      <c r="BQ31" s="1210"/>
      <c r="BR31" s="1003"/>
      <c r="BS31" s="1004"/>
      <c r="BT31" s="1210"/>
      <c r="BU31" s="961" t="s">
        <v>441</v>
      </c>
      <c r="BV31" s="1005">
        <v>50</v>
      </c>
      <c r="BW31" s="1005" t="s">
        <v>443</v>
      </c>
      <c r="BX31" s="1006">
        <v>60</v>
      </c>
      <c r="BY31" s="1210"/>
    </row>
    <row r="32" spans="1:77" ht="17.25" customHeight="1" x14ac:dyDescent="0.25">
      <c r="A32" s="1241"/>
      <c r="B32" s="1260"/>
      <c r="C32" s="1007"/>
      <c r="D32" s="1213" t="s">
        <v>25</v>
      </c>
      <c r="E32" s="1213"/>
      <c r="F32" s="1213" t="s">
        <v>26</v>
      </c>
      <c r="G32" s="1213"/>
      <c r="H32" s="1213" t="s">
        <v>108</v>
      </c>
      <c r="I32" s="1213"/>
      <c r="J32" s="1213" t="s">
        <v>109</v>
      </c>
      <c r="K32" s="1213"/>
      <c r="L32" s="1213" t="s">
        <v>109</v>
      </c>
      <c r="M32" s="1213"/>
      <c r="P32" s="37" t="s">
        <v>79</v>
      </c>
      <c r="Q32" s="37" t="s">
        <v>110</v>
      </c>
      <c r="R32" s="979"/>
      <c r="BH32" s="1210"/>
      <c r="BI32" s="1210"/>
      <c r="BJ32" s="1003"/>
      <c r="BK32" s="1004"/>
      <c r="BL32" s="1210"/>
      <c r="BM32" s="961" t="s">
        <v>442</v>
      </c>
      <c r="BN32" s="1005">
        <v>0.7</v>
      </c>
      <c r="BO32" s="1005" t="s">
        <v>444</v>
      </c>
      <c r="BP32" s="1006">
        <v>0.5</v>
      </c>
      <c r="BQ32" s="1210"/>
      <c r="BR32" s="1003"/>
      <c r="BS32" s="1004"/>
      <c r="BT32" s="1210"/>
      <c r="BU32" s="961" t="s">
        <v>442</v>
      </c>
      <c r="BV32" s="1005">
        <v>-5.3</v>
      </c>
      <c r="BW32" s="1005" t="s">
        <v>444</v>
      </c>
      <c r="BX32" s="1008">
        <v>-4</v>
      </c>
      <c r="BY32" s="1210"/>
    </row>
    <row r="33" spans="1:94" ht="17.25" customHeight="1" x14ac:dyDescent="0.25">
      <c r="A33" s="1233" t="s">
        <v>27</v>
      </c>
      <c r="B33" s="1234"/>
      <c r="C33" s="1001"/>
      <c r="D33" s="1238">
        <v>22.7</v>
      </c>
      <c r="E33" s="1239"/>
      <c r="F33" s="1238">
        <v>22.7</v>
      </c>
      <c r="G33" s="1239"/>
      <c r="H33" s="1240">
        <f>D33+INTERPOLASI!CH18</f>
        <v>22.9</v>
      </c>
      <c r="I33" s="1240"/>
      <c r="J33" s="1240">
        <f>F33+INTERPOLASI!CH24</f>
        <v>22.9</v>
      </c>
      <c r="K33" s="1240"/>
      <c r="L33" s="1093">
        <f>AVERAGE(H33:K33)</f>
        <v>22.9</v>
      </c>
      <c r="M33" s="1067"/>
      <c r="N33" s="977" t="s">
        <v>731</v>
      </c>
      <c r="P33" s="37"/>
      <c r="Q33" s="37"/>
      <c r="R33" s="979"/>
      <c r="BG33" s="1006" t="s">
        <v>439</v>
      </c>
      <c r="BH33" s="1006">
        <v>22.2</v>
      </c>
      <c r="BI33" s="1006">
        <v>22.3</v>
      </c>
      <c r="BJ33" s="1010"/>
      <c r="BK33" s="959" t="s">
        <v>445</v>
      </c>
      <c r="BL33" s="1006">
        <f>AVERAGE(BH33:BI33)</f>
        <v>22.25</v>
      </c>
      <c r="BM33" s="959" t="s">
        <v>446</v>
      </c>
      <c r="BN33" s="1241">
        <f>((((BP32-BN32)*(BL33-BN31)))/(BP31-BN31))+BN32</f>
        <v>0.61</v>
      </c>
      <c r="BO33" s="1241"/>
      <c r="BP33" s="1241"/>
      <c r="BQ33" s="1240">
        <f>BL33+BN33</f>
        <v>22.86</v>
      </c>
      <c r="BR33" s="1011"/>
      <c r="BS33" s="1012"/>
      <c r="BT33" s="1013"/>
      <c r="BU33" s="959" t="s">
        <v>446</v>
      </c>
      <c r="BV33" s="1241">
        <f>((((BX32-BV32)*(BT34-BV31)))/(BX31-BV31))+BV32</f>
        <v>-4.0845000000000002</v>
      </c>
      <c r="BW33" s="1241"/>
      <c r="BX33" s="1241"/>
      <c r="BY33" s="1240">
        <f>BT34+BV33</f>
        <v>55.265500000000003</v>
      </c>
    </row>
    <row r="34" spans="1:94" ht="17.25" customHeight="1" x14ac:dyDescent="0.25">
      <c r="A34" s="1233" t="s">
        <v>111</v>
      </c>
      <c r="B34" s="1234"/>
      <c r="C34" s="1001"/>
      <c r="D34" s="1238">
        <v>55.7</v>
      </c>
      <c r="E34" s="1239"/>
      <c r="F34" s="1238">
        <v>57.9</v>
      </c>
      <c r="G34" s="1239"/>
      <c r="H34" s="1240">
        <f>D34+INTERPOLASI!CS18</f>
        <v>54.243000000000002</v>
      </c>
      <c r="I34" s="1240"/>
      <c r="J34" s="1240">
        <f>F34+INTERPOLASI!CS24</f>
        <v>56.420999999999999</v>
      </c>
      <c r="K34" s="1240"/>
      <c r="L34" s="1093">
        <f>AVERAGE(H34:K34)</f>
        <v>55.332000000000001</v>
      </c>
      <c r="M34" s="1067"/>
      <c r="N34" s="977" t="s">
        <v>732</v>
      </c>
      <c r="Q34" s="979"/>
      <c r="R34" s="979"/>
      <c r="U34" s="1006">
        <f>PENYELIA!N23</f>
        <v>2.5</v>
      </c>
      <c r="V34" s="1241">
        <f>PENYELIA!M23</f>
        <v>40</v>
      </c>
      <c r="W34" s="1241" t="str">
        <f>PENYELIA!J69</f>
        <v>MERAH</v>
      </c>
      <c r="BG34" s="1006" t="s">
        <v>440</v>
      </c>
      <c r="BH34" s="1006">
        <v>59.6</v>
      </c>
      <c r="BI34" s="1006">
        <v>59.1</v>
      </c>
      <c r="BJ34" s="1014"/>
      <c r="BK34" s="1015"/>
      <c r="BL34" s="1016"/>
      <c r="BM34" s="959" t="s">
        <v>446</v>
      </c>
      <c r="BN34" s="1241"/>
      <c r="BO34" s="1241"/>
      <c r="BP34" s="1241"/>
      <c r="BQ34" s="1240"/>
      <c r="BR34" s="1011"/>
      <c r="BS34" s="959" t="s">
        <v>445</v>
      </c>
      <c r="BT34" s="1009">
        <f>AVERAGE(BH34:BI34)</f>
        <v>59.35</v>
      </c>
      <c r="BU34" s="959" t="s">
        <v>446</v>
      </c>
      <c r="BV34" s="1241"/>
      <c r="BW34" s="1241"/>
      <c r="BX34" s="1241"/>
      <c r="BY34" s="1240"/>
    </row>
    <row r="35" spans="1:94" ht="18.75" customHeight="1" x14ac:dyDescent="0.25">
      <c r="A35" s="1017" t="s">
        <v>112</v>
      </c>
      <c r="B35" s="1018"/>
      <c r="C35" s="1018"/>
      <c r="D35" s="955" t="s">
        <v>99</v>
      </c>
      <c r="E35" s="1237" t="s">
        <v>113</v>
      </c>
      <c r="F35" s="1237"/>
      <c r="G35" s="1237"/>
      <c r="H35" s="1245" t="str">
        <f>IF(D35="-","-",P35)</f>
        <v>-</v>
      </c>
      <c r="I35" s="1246"/>
      <c r="J35" s="1020" t="s">
        <v>733</v>
      </c>
      <c r="L35" s="1021"/>
      <c r="M35" s="1021"/>
      <c r="N35" s="1021"/>
      <c r="O35" s="1021" t="str">
        <f>IF(B79="Catu daya menggunakan baterai","-",IF(B79=" ","D35+'INTERPOLASI  '!CH37"))</f>
        <v>-</v>
      </c>
      <c r="P35" s="1240" t="str">
        <f>IF(B79="Catu daya menggunakan baterai","-",IF(B79=" ",O35))</f>
        <v>-</v>
      </c>
      <c r="Q35" s="1240"/>
      <c r="R35" s="979"/>
      <c r="U35" s="1006">
        <f>PENYELIA!N24</f>
        <v>2.5</v>
      </c>
      <c r="V35" s="1241"/>
      <c r="W35" s="1241"/>
    </row>
    <row r="36" spans="1:94" ht="20.25" customHeight="1" x14ac:dyDescent="0.3">
      <c r="A36" s="924" t="s">
        <v>114</v>
      </c>
      <c r="E36" s="1021"/>
      <c r="F36" s="1021"/>
      <c r="G36" s="1021"/>
      <c r="H36" s="1021"/>
      <c r="I36" s="1021"/>
      <c r="J36" s="949"/>
      <c r="K36" s="1022"/>
      <c r="L36" s="1021"/>
      <c r="M36" s="1021"/>
      <c r="N36" s="1021"/>
      <c r="O36" s="1021"/>
      <c r="P36" s="1080"/>
      <c r="Q36" s="979"/>
      <c r="R36" s="979"/>
      <c r="U36" s="1006">
        <f>PENYELIA!N25</f>
        <v>0</v>
      </c>
      <c r="V36" s="1241"/>
      <c r="W36" s="1241"/>
      <c r="BG36" s="1006" t="s">
        <v>449</v>
      </c>
      <c r="BH36" s="1006">
        <v>218</v>
      </c>
      <c r="BL36" s="1241" t="s">
        <v>449</v>
      </c>
      <c r="BM36" s="1241"/>
      <c r="BN36" s="1241"/>
      <c r="BO36" s="1241"/>
      <c r="BP36" s="1241"/>
      <c r="BQ36" s="1241"/>
    </row>
    <row r="37" spans="1:94" ht="20.25" customHeight="1" x14ac:dyDescent="0.3">
      <c r="A37" s="977" t="s">
        <v>115</v>
      </c>
      <c r="C37" s="922" t="s">
        <v>7</v>
      </c>
      <c r="D37" s="267" t="s">
        <v>1</v>
      </c>
      <c r="E37" s="1021"/>
      <c r="F37" s="1021"/>
      <c r="G37" s="1021"/>
      <c r="H37" s="1021"/>
      <c r="I37" s="1021"/>
      <c r="J37" s="949"/>
      <c r="K37" s="1022"/>
      <c r="L37" s="1021"/>
      <c r="M37" s="1021"/>
      <c r="N37" s="1021"/>
      <c r="O37" s="1021"/>
      <c r="P37" s="1024"/>
      <c r="Q37" s="1024"/>
      <c r="R37" s="1024"/>
      <c r="BK37" s="1004"/>
      <c r="BL37" s="1210" t="s">
        <v>449</v>
      </c>
      <c r="BM37" s="958"/>
      <c r="BN37" s="1242" t="s">
        <v>450</v>
      </c>
      <c r="BO37" s="1243"/>
      <c r="BP37" s="1244"/>
      <c r="BQ37" s="1210" t="s">
        <v>451</v>
      </c>
    </row>
    <row r="38" spans="1:94" ht="20.25" customHeight="1" x14ac:dyDescent="0.3">
      <c r="A38" s="977" t="s">
        <v>116</v>
      </c>
      <c r="C38" s="922" t="s">
        <v>7</v>
      </c>
      <c r="D38" s="267" t="s">
        <v>1</v>
      </c>
      <c r="E38" s="1021"/>
      <c r="F38" s="1021"/>
      <c r="G38" s="1021"/>
      <c r="H38" s="1021"/>
      <c r="I38" s="1021"/>
      <c r="J38" s="949"/>
      <c r="K38" s="1022"/>
      <c r="L38" s="1021"/>
      <c r="M38" s="1021"/>
      <c r="N38" s="1021"/>
      <c r="O38" s="1021"/>
      <c r="P38" s="1025"/>
      <c r="Q38" s="1025"/>
      <c r="R38" s="1025"/>
      <c r="S38" s="1024"/>
      <c r="BK38" s="1004"/>
      <c r="BL38" s="1210"/>
      <c r="BM38" s="961" t="s">
        <v>441</v>
      </c>
      <c r="BN38" s="1005">
        <v>200</v>
      </c>
      <c r="BO38" s="1005" t="s">
        <v>443</v>
      </c>
      <c r="BP38" s="1006">
        <v>220</v>
      </c>
      <c r="BQ38" s="1210"/>
    </row>
    <row r="39" spans="1:94" ht="17.25" customHeight="1" x14ac:dyDescent="0.25">
      <c r="A39" s="987" t="s">
        <v>117</v>
      </c>
      <c r="B39" s="949"/>
      <c r="C39" s="949"/>
      <c r="D39" s="949"/>
      <c r="E39" s="949"/>
      <c r="F39" s="949"/>
      <c r="G39" s="949"/>
      <c r="H39" s="949"/>
      <c r="J39" s="949"/>
      <c r="K39" s="1022"/>
      <c r="L39" s="1021"/>
      <c r="M39" s="1021"/>
      <c r="N39" s="1021"/>
      <c r="O39" s="1021"/>
      <c r="P39" s="925"/>
      <c r="Q39" s="926"/>
      <c r="R39" s="1026"/>
      <c r="S39" s="1027"/>
      <c r="T39" s="1028"/>
      <c r="U39" s="1028"/>
      <c r="V39" s="1028"/>
      <c r="W39" s="1028"/>
      <c r="X39" s="1028"/>
      <c r="Y39" s="1028"/>
      <c r="Z39" s="1028"/>
      <c r="AA39" s="1028"/>
      <c r="AB39" s="1028"/>
      <c r="AC39" s="1028"/>
      <c r="AD39" s="1028"/>
      <c r="AE39" s="1028"/>
      <c r="AF39" s="1028"/>
      <c r="AG39" s="1028"/>
      <c r="AH39" s="1028"/>
      <c r="AI39" s="1028"/>
      <c r="AJ39" s="1016"/>
      <c r="BK39" s="1004"/>
      <c r="BL39" s="1210"/>
      <c r="BM39" s="961" t="s">
        <v>442</v>
      </c>
      <c r="BN39" s="1005">
        <v>-0.67</v>
      </c>
      <c r="BO39" s="1005" t="s">
        <v>444</v>
      </c>
      <c r="BP39" s="1008">
        <v>0</v>
      </c>
      <c r="BQ39" s="1210"/>
    </row>
    <row r="40" spans="1:94" ht="15" customHeight="1" x14ac:dyDescent="0.3">
      <c r="B40" s="1029"/>
      <c r="C40" s="1029"/>
      <c r="D40" s="1029"/>
      <c r="E40" s="1030"/>
      <c r="F40" s="1030"/>
      <c r="G40" s="1031"/>
      <c r="H40" s="1031"/>
      <c r="I40" s="1031"/>
      <c r="J40" s="949"/>
      <c r="K40" s="1022"/>
      <c r="L40" s="1021"/>
      <c r="M40" s="1021"/>
      <c r="N40" s="1021"/>
      <c r="O40" s="1021"/>
      <c r="P40" s="1032"/>
      <c r="Q40" s="1033"/>
      <c r="R40" s="927"/>
      <c r="S40" s="927"/>
      <c r="T40" s="927"/>
      <c r="U40" s="927"/>
      <c r="V40" s="927"/>
      <c r="W40" s="927"/>
      <c r="X40" s="927"/>
      <c r="Y40" s="923"/>
      <c r="Z40" s="923"/>
      <c r="AA40" s="1034" t="s">
        <v>135</v>
      </c>
      <c r="AB40" s="923"/>
      <c r="AC40" s="923"/>
      <c r="AD40" s="923"/>
      <c r="AE40" s="923"/>
      <c r="AF40" s="923"/>
      <c r="AG40" s="923"/>
      <c r="AH40" s="923"/>
      <c r="AI40" s="923"/>
      <c r="AJ40" s="1035"/>
      <c r="BK40" s="959" t="s">
        <v>445</v>
      </c>
      <c r="BL40" s="1006">
        <f>BH36</f>
        <v>218</v>
      </c>
      <c r="BM40" s="959" t="s">
        <v>446</v>
      </c>
      <c r="BN40" s="1241">
        <f>((((BP39-BN39)*(BL40-BN38)))/(BP38-BN38))+BN39</f>
        <v>-6.700000000000006E-2</v>
      </c>
      <c r="BO40" s="1241"/>
      <c r="BP40" s="1241"/>
      <c r="BQ40" s="1240">
        <f>BL40+BN40</f>
        <v>217.93299999999999</v>
      </c>
    </row>
    <row r="41" spans="1:94" s="927" customFormat="1" ht="30" customHeight="1" thickBot="1" x14ac:dyDescent="0.35">
      <c r="A41" s="1242" t="s">
        <v>23</v>
      </c>
      <c r="B41" s="1243"/>
      <c r="C41" s="1243"/>
      <c r="D41" s="1243"/>
      <c r="E41" s="928"/>
      <c r="F41" s="929"/>
      <c r="G41" s="1242" t="s">
        <v>120</v>
      </c>
      <c r="H41" s="1244"/>
      <c r="I41" s="930" t="s">
        <v>121</v>
      </c>
      <c r="J41" s="1210" t="s">
        <v>122</v>
      </c>
      <c r="K41" s="1210"/>
      <c r="L41" s="931"/>
      <c r="O41" s="931"/>
      <c r="Q41" s="932"/>
      <c r="R41" s="923"/>
      <c r="S41" s="1036" t="s">
        <v>706</v>
      </c>
      <c r="T41" s="1037" t="str">
        <f>G44</f>
        <v>-</v>
      </c>
      <c r="U41" s="923"/>
      <c r="V41" s="923"/>
      <c r="Y41" s="923"/>
      <c r="Z41" s="923"/>
      <c r="AA41" s="933">
        <f>IF(U43&lt;=100,20,0)</f>
        <v>0</v>
      </c>
      <c r="AB41" s="923"/>
      <c r="AC41" s="923"/>
      <c r="AD41" s="923"/>
      <c r="AE41" s="923"/>
      <c r="AF41" s="923"/>
      <c r="AG41" s="923"/>
      <c r="AH41" s="923"/>
      <c r="AI41" s="923"/>
      <c r="AJ41" s="934"/>
      <c r="BK41" s="1015"/>
      <c r="BL41" s="1016"/>
      <c r="BM41" s="959" t="s">
        <v>446</v>
      </c>
      <c r="BN41" s="1241"/>
      <c r="BO41" s="1241"/>
      <c r="BP41" s="1241"/>
      <c r="BQ41" s="1240"/>
    </row>
    <row r="42" spans="1:94" s="927" customFormat="1" ht="18" customHeight="1" x14ac:dyDescent="0.3">
      <c r="A42" s="1234" t="s">
        <v>42</v>
      </c>
      <c r="B42" s="1235"/>
      <c r="C42" s="1235"/>
      <c r="D42" s="1235"/>
      <c r="E42" s="1235"/>
      <c r="F42" s="1236"/>
      <c r="G42" s="1253" t="s">
        <v>99</v>
      </c>
      <c r="H42" s="1254"/>
      <c r="I42" s="1019" t="str">
        <f>IF(G42="-","-",IF(G42="NC","NC",IF(G42="OL","OL",IF(J33=J33,P42))))</f>
        <v>-</v>
      </c>
      <c r="J42" s="1241" t="s">
        <v>44</v>
      </c>
      <c r="K42" s="1241"/>
      <c r="L42" s="935"/>
      <c r="O42" s="1081" t="str">
        <f>IF(B79="Catu daya menggunakan baterai","-",IF(B79=" ","G42+'INTERPOLASI  '!CH43"))</f>
        <v>-</v>
      </c>
      <c r="P42" s="1038" t="str">
        <f>IF(B79="Catu daya menggunakan baterai","-",IF(B79=" ",O42))</f>
        <v>-</v>
      </c>
      <c r="Q42" s="1039"/>
      <c r="R42" s="923"/>
      <c r="S42" s="923"/>
      <c r="T42" s="923"/>
      <c r="U42" s="1040" t="s">
        <v>707</v>
      </c>
      <c r="V42" s="923"/>
      <c r="Y42" s="923"/>
      <c r="Z42" s="923"/>
      <c r="AA42" s="1272" t="str">
        <f>IF(AND(PENYELIA!I25&lt;=PENYELIA!R25,PENYELIA!N25=35),"",IF(AND(PENYELIA!I25="-",PENYELIA!N25=0),"Tidak terdapat grounding di ruangan",IF(AND(PENYELIA!I25&gt;PENYELIA!R25,AA41=20),"Alat tidak boleh digunakan pada instalasi tanpa dilengkapi grounding","")))</f>
        <v>Tidak terdapat grounding di ruangan</v>
      </c>
      <c r="AB42" s="1272"/>
      <c r="AC42" s="1272"/>
      <c r="AD42" s="1272"/>
      <c r="AE42" s="1272"/>
      <c r="AF42" s="1272"/>
      <c r="AG42" s="1272"/>
      <c r="AH42" s="1272"/>
      <c r="AI42" s="1272"/>
      <c r="AJ42" s="934"/>
    </row>
    <row r="43" spans="1:94" s="927" customFormat="1" x14ac:dyDescent="0.3">
      <c r="A43" s="1249" t="s">
        <v>711</v>
      </c>
      <c r="B43" s="1250"/>
      <c r="C43" s="1250"/>
      <c r="D43" s="1250"/>
      <c r="E43" s="1250"/>
      <c r="F43" s="1251"/>
      <c r="G43" s="1247" t="s">
        <v>99</v>
      </c>
      <c r="H43" s="1248"/>
      <c r="I43" s="1009" t="str">
        <f>IF(G43="-","-",IF(G43="NC","NC",IF(G43="OL","OL",IF(J34=J34,P43))))</f>
        <v>-</v>
      </c>
      <c r="J43" s="1241" t="str">
        <f>LOOKUP(A43,KETERANGAN!F129:F130,KETERANGAN!G129:G130)</f>
        <v>≤ 0.2 Ω</v>
      </c>
      <c r="K43" s="1241"/>
      <c r="L43" s="936"/>
      <c r="O43" s="1082" t="str">
        <f>IF(B79="Catu daya menggunakan baterai","-",IF(B79=" ","G43+'INTERPOLASI  '!CS37"))</f>
        <v>-</v>
      </c>
      <c r="P43" s="1041" t="str">
        <f>IF(B79="Catu daya menggunakan baterai","-",IF(B79=" ",O43))</f>
        <v>-</v>
      </c>
      <c r="Q43" s="1042"/>
      <c r="R43" s="937" t="s">
        <v>708</v>
      </c>
      <c r="S43" s="938" t="s">
        <v>709</v>
      </c>
      <c r="T43" s="1091">
        <v>10</v>
      </c>
      <c r="U43" s="1043" t="str">
        <f>IF(B79="Catu daya menggunakan baterai","-",IF(B79=" ","T43+'INTERPOLASI  '!DF37"))</f>
        <v>-</v>
      </c>
      <c r="V43" s="939">
        <v>100</v>
      </c>
      <c r="Y43" s="1044" t="s">
        <v>118</v>
      </c>
      <c r="Z43" s="940">
        <v>100</v>
      </c>
      <c r="AA43" s="1273" t="s">
        <v>161</v>
      </c>
      <c r="AB43" s="1274"/>
      <c r="AC43" s="1274"/>
      <c r="AD43" s="1274"/>
      <c r="AE43" s="1274"/>
      <c r="AF43" s="1274"/>
      <c r="AG43" s="1274"/>
      <c r="AH43" s="1274"/>
      <c r="AI43" s="1275"/>
      <c r="AJ43" s="934"/>
      <c r="BG43" s="941" t="s">
        <v>42</v>
      </c>
      <c r="BH43" s="941">
        <v>3</v>
      </c>
      <c r="BS43" s="941" t="s">
        <v>452</v>
      </c>
      <c r="BT43" s="941">
        <v>0.02</v>
      </c>
      <c r="CF43" s="941" t="s">
        <v>453</v>
      </c>
      <c r="CG43" s="941">
        <v>100</v>
      </c>
    </row>
    <row r="44" spans="1:94" s="927" customFormat="1" ht="15.75" customHeight="1" thickBot="1" x14ac:dyDescent="0.35">
      <c r="A44" s="1252" t="s">
        <v>47</v>
      </c>
      <c r="B44" s="1252"/>
      <c r="C44" s="1252"/>
      <c r="D44" s="1252"/>
      <c r="E44" s="1252"/>
      <c r="F44" s="1252"/>
      <c r="G44" s="1253" t="s">
        <v>99</v>
      </c>
      <c r="H44" s="1254"/>
      <c r="I44" s="959" t="str">
        <f>IF(G44="-","-",IF(G44="NC","NC",IF(G44="OL","OL",IF(B79="Catu daya menggunakan baterai","-",IF(B79=" ",P44)))))</f>
        <v>-</v>
      </c>
      <c r="J44" s="1241" t="str">
        <f>LOOKUP(A44,KETERANGAN!F12:F13,KETERANGAN!G12:G13)</f>
        <v>≤ 500 μA</v>
      </c>
      <c r="K44" s="1241"/>
      <c r="L44" s="942"/>
      <c r="O44" s="1081" t="str">
        <f>IF(B79="Catu daya menggunakan baterai","-",IF(B79=" ","G44+'INTERPOLASI  '!CS43"))</f>
        <v>-</v>
      </c>
      <c r="P44" s="1045" t="str">
        <f>IF(B79="Catu daya menggunakan baterai","-",IF(B79=" ",O44))</f>
        <v>-</v>
      </c>
      <c r="Q44" s="943"/>
      <c r="R44" s="944" t="s">
        <v>710</v>
      </c>
      <c r="S44" s="1280" t="str">
        <f>AA42</f>
        <v>Tidak terdapat grounding di ruangan</v>
      </c>
      <c r="T44" s="1281"/>
      <c r="U44" s="1281"/>
      <c r="V44" s="1281"/>
      <c r="W44" s="1282"/>
      <c r="Y44" s="923"/>
      <c r="Z44" s="923"/>
      <c r="AA44" s="1276" t="s">
        <v>165</v>
      </c>
      <c r="AB44" s="1277"/>
      <c r="AC44" s="1277"/>
      <c r="AD44" s="1277"/>
      <c r="AE44" s="1277"/>
      <c r="AF44" s="1277"/>
      <c r="AG44" s="1277"/>
      <c r="AH44" s="1277"/>
      <c r="AI44" s="1278"/>
      <c r="AJ44" s="934"/>
      <c r="BK44" s="977"/>
      <c r="BL44" s="1241" t="s">
        <v>42</v>
      </c>
      <c r="BM44" s="1241"/>
      <c r="BN44" s="1241"/>
      <c r="BO44" s="1241"/>
      <c r="BP44" s="1241"/>
      <c r="BQ44" s="1241"/>
      <c r="BW44" s="977"/>
      <c r="BX44" s="1241" t="s">
        <v>42</v>
      </c>
      <c r="BY44" s="1241"/>
      <c r="BZ44" s="1241"/>
      <c r="CA44" s="1241"/>
      <c r="CB44" s="1241"/>
      <c r="CC44" s="1241"/>
      <c r="CJ44" s="977"/>
      <c r="CK44" s="1241" t="s">
        <v>42</v>
      </c>
      <c r="CL44" s="1241"/>
      <c r="CM44" s="1241"/>
      <c r="CN44" s="1241"/>
      <c r="CO44" s="1241"/>
      <c r="CP44" s="1241"/>
    </row>
    <row r="45" spans="1:94" ht="27" customHeight="1" x14ac:dyDescent="0.3">
      <c r="A45" s="949"/>
      <c r="B45" s="945"/>
      <c r="C45" s="945"/>
      <c r="D45" s="945"/>
      <c r="E45" s="945"/>
      <c r="F45" s="945"/>
      <c r="G45" s="1046"/>
      <c r="H45" s="1046"/>
      <c r="I45" s="1046"/>
      <c r="J45" s="1046"/>
      <c r="K45" s="946"/>
      <c r="L45" s="946"/>
      <c r="M45" s="1021"/>
      <c r="N45" s="1021"/>
      <c r="O45" s="1021"/>
      <c r="P45" s="1032"/>
      <c r="Q45" s="1033"/>
      <c r="S45" s="1017" t="s">
        <v>144</v>
      </c>
      <c r="T45" s="1018"/>
      <c r="U45" s="1018"/>
      <c r="V45" s="1018"/>
      <c r="W45" s="1047"/>
      <c r="AA45" s="1279"/>
      <c r="AB45" s="1279"/>
      <c r="AC45" s="1279"/>
      <c r="AD45" s="1279"/>
      <c r="AE45" s="1279"/>
      <c r="AF45" s="1279"/>
      <c r="AG45" s="1279"/>
      <c r="AH45" s="1279"/>
      <c r="AI45" s="1279"/>
      <c r="AJ45" s="1035"/>
      <c r="BK45" s="1004"/>
      <c r="BL45" s="1210" t="s">
        <v>42</v>
      </c>
      <c r="BM45" s="958"/>
      <c r="BN45" s="1242" t="s">
        <v>450</v>
      </c>
      <c r="BO45" s="1243"/>
      <c r="BP45" s="1244"/>
      <c r="BQ45" s="1210" t="s">
        <v>42</v>
      </c>
      <c r="BW45" s="1004"/>
      <c r="BX45" s="1210" t="s">
        <v>42</v>
      </c>
      <c r="BY45" s="958"/>
      <c r="BZ45" s="1242" t="s">
        <v>450</v>
      </c>
      <c r="CA45" s="1243"/>
      <c r="CB45" s="1244"/>
      <c r="CC45" s="1210" t="s">
        <v>42</v>
      </c>
      <c r="CJ45" s="1004"/>
      <c r="CK45" s="1210" t="s">
        <v>42</v>
      </c>
      <c r="CL45" s="958"/>
      <c r="CM45" s="1242" t="s">
        <v>450</v>
      </c>
      <c r="CN45" s="1243"/>
      <c r="CO45" s="1244"/>
      <c r="CP45" s="1210" t="s">
        <v>42</v>
      </c>
    </row>
    <row r="46" spans="1:94" ht="17.25" customHeight="1" x14ac:dyDescent="0.25">
      <c r="A46" s="1048" t="s">
        <v>124</v>
      </c>
      <c r="B46" s="1048"/>
      <c r="E46" s="1021"/>
      <c r="F46" s="1021"/>
      <c r="G46" s="1021"/>
      <c r="H46" s="1021"/>
      <c r="I46" s="1021"/>
      <c r="J46" s="949"/>
      <c r="K46" s="1022"/>
      <c r="L46" s="1021"/>
      <c r="M46" s="1021"/>
      <c r="N46" s="1021"/>
      <c r="O46" s="1021"/>
      <c r="P46" s="1023"/>
      <c r="Q46" s="1049"/>
      <c r="R46" s="1050"/>
      <c r="S46" s="1029"/>
      <c r="T46" s="1029"/>
      <c r="U46" s="1029"/>
      <c r="V46" s="1029"/>
      <c r="W46" s="1029"/>
      <c r="X46" s="1029"/>
      <c r="Y46" s="1029"/>
      <c r="Z46" s="1029"/>
      <c r="AA46" s="1029"/>
      <c r="AB46" s="1029"/>
      <c r="AC46" s="1029"/>
      <c r="AD46" s="1029"/>
      <c r="AE46" s="1029"/>
      <c r="AF46" s="1029"/>
      <c r="AG46" s="1029"/>
      <c r="AH46" s="1029"/>
      <c r="AI46" s="1029"/>
      <c r="AJ46" s="1051"/>
      <c r="BK46" s="1004"/>
      <c r="BL46" s="1210"/>
      <c r="BM46" s="961" t="s">
        <v>441</v>
      </c>
      <c r="BN46" s="1005">
        <v>2</v>
      </c>
      <c r="BO46" s="1005" t="s">
        <v>443</v>
      </c>
      <c r="BP46" s="1006">
        <v>5</v>
      </c>
      <c r="BQ46" s="1210"/>
      <c r="BW46" s="1004"/>
      <c r="BX46" s="1210"/>
      <c r="BY46" s="961" t="s">
        <v>441</v>
      </c>
      <c r="BZ46" s="1005">
        <v>0</v>
      </c>
      <c r="CA46" s="1005" t="s">
        <v>443</v>
      </c>
      <c r="CB46" s="1006">
        <v>0.1</v>
      </c>
      <c r="CC46" s="1210"/>
      <c r="CJ46" s="1004"/>
      <c r="CK46" s="1210"/>
      <c r="CL46" s="961" t="s">
        <v>441</v>
      </c>
      <c r="CM46" s="1005">
        <v>100</v>
      </c>
      <c r="CN46" s="1005" t="s">
        <v>443</v>
      </c>
      <c r="CO46" s="1006">
        <v>500</v>
      </c>
      <c r="CP46" s="1210"/>
    </row>
    <row r="47" spans="1:94" ht="21" customHeight="1" x14ac:dyDescent="0.25">
      <c r="B47" s="1048" t="s">
        <v>125</v>
      </c>
      <c r="C47" s="1052"/>
      <c r="D47" s="1052"/>
      <c r="E47" s="1052"/>
      <c r="F47" s="1052"/>
      <c r="G47" s="1052"/>
      <c r="H47" s="1052"/>
      <c r="I47" s="1052"/>
      <c r="P47" s="996"/>
      <c r="Q47" s="979"/>
      <c r="R47" s="979"/>
      <c r="AA47" s="977">
        <f>PENYELIA!N25</f>
        <v>0</v>
      </c>
      <c r="BK47" s="1004"/>
      <c r="BL47" s="1210"/>
      <c r="BM47" s="961" t="s">
        <v>442</v>
      </c>
      <c r="BN47" s="1005">
        <v>0</v>
      </c>
      <c r="BO47" s="1005" t="s">
        <v>444</v>
      </c>
      <c r="BP47" s="1008">
        <v>0</v>
      </c>
      <c r="BQ47" s="1210"/>
      <c r="BW47" s="1004"/>
      <c r="BX47" s="1210"/>
      <c r="BY47" s="961" t="s">
        <v>442</v>
      </c>
      <c r="BZ47" s="1005">
        <v>0</v>
      </c>
      <c r="CA47" s="1005" t="s">
        <v>444</v>
      </c>
      <c r="CB47" s="1053">
        <v>-2E-3</v>
      </c>
      <c r="CC47" s="1210"/>
      <c r="CJ47" s="1004"/>
      <c r="CK47" s="1210"/>
      <c r="CL47" s="961" t="s">
        <v>442</v>
      </c>
      <c r="CM47" s="1005">
        <v>0.4</v>
      </c>
      <c r="CN47" s="1005" t="s">
        <v>444</v>
      </c>
      <c r="CO47" s="1053">
        <v>1.5</v>
      </c>
      <c r="CP47" s="1210"/>
    </row>
    <row r="48" spans="1:94" ht="16.5" customHeight="1" x14ac:dyDescent="0.25">
      <c r="A48" s="1211" t="s">
        <v>39</v>
      </c>
      <c r="B48" s="1226" t="s">
        <v>126</v>
      </c>
      <c r="C48" s="1227"/>
      <c r="D48" s="1207" t="s">
        <v>127</v>
      </c>
      <c r="E48" s="1255" t="s">
        <v>128</v>
      </c>
      <c r="F48" s="1242" t="s">
        <v>129</v>
      </c>
      <c r="G48" s="1243"/>
      <c r="H48" s="1243"/>
      <c r="I48" s="1243"/>
      <c r="J48" s="1244"/>
      <c r="K48" s="1207" t="s">
        <v>130</v>
      </c>
      <c r="L48" s="1207" t="s">
        <v>131</v>
      </c>
      <c r="O48" s="1207" t="s">
        <v>132</v>
      </c>
      <c r="P48" s="1207" t="s">
        <v>826</v>
      </c>
      <c r="Q48" s="1207" t="s">
        <v>133</v>
      </c>
      <c r="BK48" s="959" t="s">
        <v>445</v>
      </c>
      <c r="BL48" s="1006">
        <f>BH43</f>
        <v>3</v>
      </c>
      <c r="BM48" s="959" t="s">
        <v>446</v>
      </c>
      <c r="BN48" s="1241">
        <f>((((BP47-BN47)*(BL48-BN46)))/(BP46-BN46))+BN47</f>
        <v>0</v>
      </c>
      <c r="BO48" s="1241"/>
      <c r="BP48" s="1241"/>
      <c r="BQ48" s="1246">
        <f>BL48+BN48</f>
        <v>3</v>
      </c>
      <c r="BW48" s="959" t="s">
        <v>445</v>
      </c>
      <c r="BX48" s="1006">
        <f>BT43</f>
        <v>0.02</v>
      </c>
      <c r="BY48" s="959" t="s">
        <v>446</v>
      </c>
      <c r="BZ48" s="1241">
        <f>((((CB47-BZ47)*(BX48-BZ46)))/(CB46-BZ46))+BZ47</f>
        <v>-4.0000000000000002E-4</v>
      </c>
      <c r="CA48" s="1241"/>
      <c r="CB48" s="1241"/>
      <c r="CC48" s="1240">
        <f>BX48+BZ48</f>
        <v>1.9599999999999999E-2</v>
      </c>
      <c r="CJ48" s="959" t="s">
        <v>445</v>
      </c>
      <c r="CK48" s="1006">
        <f>CG43</f>
        <v>100</v>
      </c>
      <c r="CL48" s="959" t="s">
        <v>446</v>
      </c>
      <c r="CM48" s="1241">
        <f>((((CO47-CM47)*(CK48-CM46)))/(CO46-CM46))+CM47</f>
        <v>0.4</v>
      </c>
      <c r="CN48" s="1241"/>
      <c r="CO48" s="1241"/>
      <c r="CP48" s="1246">
        <f>CK48+CM48</f>
        <v>100.4</v>
      </c>
    </row>
    <row r="49" spans="1:94" x14ac:dyDescent="0.25">
      <c r="A49" s="1212"/>
      <c r="B49" s="1228"/>
      <c r="C49" s="1229"/>
      <c r="D49" s="1208"/>
      <c r="E49" s="1256"/>
      <c r="F49" s="959" t="s">
        <v>134</v>
      </c>
      <c r="G49" s="1002" t="s">
        <v>134</v>
      </c>
      <c r="H49" s="962" t="s">
        <v>134</v>
      </c>
      <c r="I49" s="1002" t="s">
        <v>134</v>
      </c>
      <c r="J49" s="962" t="s">
        <v>134</v>
      </c>
      <c r="K49" s="1208"/>
      <c r="L49" s="1208"/>
      <c r="O49" s="1208"/>
      <c r="P49" s="1208"/>
      <c r="Q49" s="1208"/>
      <c r="R49" s="1054"/>
      <c r="S49" s="977">
        <v>80</v>
      </c>
      <c r="BK49" s="1015"/>
      <c r="BL49" s="1016"/>
      <c r="BM49" s="959" t="s">
        <v>446</v>
      </c>
      <c r="BN49" s="1241"/>
      <c r="BO49" s="1241"/>
      <c r="BP49" s="1241"/>
      <c r="BQ49" s="1246"/>
      <c r="BW49" s="1015"/>
      <c r="BX49" s="1016"/>
      <c r="BY49" s="959" t="s">
        <v>446</v>
      </c>
      <c r="BZ49" s="1241"/>
      <c r="CA49" s="1241"/>
      <c r="CB49" s="1241"/>
      <c r="CC49" s="1240"/>
      <c r="CJ49" s="1015"/>
      <c r="CK49" s="1016"/>
      <c r="CL49" s="959" t="s">
        <v>446</v>
      </c>
      <c r="CM49" s="1241"/>
      <c r="CN49" s="1241"/>
      <c r="CO49" s="1241"/>
      <c r="CP49" s="1246"/>
    </row>
    <row r="50" spans="1:94" x14ac:dyDescent="0.25">
      <c r="A50" s="1213"/>
      <c r="B50" s="1230"/>
      <c r="C50" s="1231"/>
      <c r="D50" s="1209"/>
      <c r="E50" s="1256"/>
      <c r="F50" s="1055">
        <v>1</v>
      </c>
      <c r="G50" s="1055">
        <v>2</v>
      </c>
      <c r="H50" s="1055">
        <v>3</v>
      </c>
      <c r="I50" s="1055">
        <v>4</v>
      </c>
      <c r="J50" s="1055">
        <v>5</v>
      </c>
      <c r="K50" s="1209"/>
      <c r="L50" s="1209"/>
      <c r="O50" s="1209"/>
      <c r="P50" s="1209"/>
      <c r="Q50" s="1209"/>
      <c r="S50" s="977">
        <v>70</v>
      </c>
      <c r="X50" s="977" t="s">
        <v>135</v>
      </c>
    </row>
    <row r="51" spans="1:94" x14ac:dyDescent="0.3">
      <c r="A51" s="1241">
        <v>1</v>
      </c>
      <c r="B51" s="947" t="s">
        <v>136</v>
      </c>
      <c r="C51" s="948"/>
      <c r="D51" s="956">
        <f>KLASIFIKASI!O19</f>
        <v>35</v>
      </c>
      <c r="E51" s="1232">
        <v>80</v>
      </c>
      <c r="F51" s="954">
        <v>76</v>
      </c>
      <c r="G51" s="954">
        <v>77</v>
      </c>
      <c r="H51" s="954">
        <v>77</v>
      </c>
      <c r="I51" s="954">
        <v>77</v>
      </c>
      <c r="J51" s="954">
        <v>77</v>
      </c>
      <c r="K51" s="1009">
        <f t="shared" ref="K51:K60" si="0">AVERAGE(F51:J51)</f>
        <v>76.8</v>
      </c>
      <c r="L51" s="1009">
        <f>INTERPOLASI!K18+ID!K51</f>
        <v>76.992800000000003</v>
      </c>
      <c r="M51" s="996"/>
      <c r="N51" s="996"/>
      <c r="O51" s="1009">
        <f t="shared" ref="O51:O60" si="1">D51-L51</f>
        <v>-41.992800000000003</v>
      </c>
      <c r="P51" s="1009">
        <f>'BUDGET KTP'!J17</f>
        <v>0.72657111540404895</v>
      </c>
      <c r="Q51" s="1009">
        <f>STDEV(F51:J51)</f>
        <v>0.44721359549995793</v>
      </c>
      <c r="S51" s="977">
        <v>60</v>
      </c>
      <c r="X51" s="1056" t="s">
        <v>137</v>
      </c>
      <c r="Y51" s="1016"/>
      <c r="BG51" s="1006" t="s">
        <v>462</v>
      </c>
      <c r="BH51" s="1053">
        <v>84</v>
      </c>
      <c r="BK51" s="1000" t="s">
        <v>445</v>
      </c>
      <c r="BL51" s="1053">
        <f>BH51</f>
        <v>84</v>
      </c>
      <c r="BM51" s="1271" t="s">
        <v>461</v>
      </c>
      <c r="BN51" s="1053">
        <f>((((CD52-BZ52)*(BL51-BX52)))/(CB52-BX52))+BZ52</f>
        <v>-0.33600000000000002</v>
      </c>
      <c r="BO51" s="1017" t="s">
        <v>463</v>
      </c>
      <c r="BP51" s="1018"/>
      <c r="BQ51" s="1053">
        <f t="shared" ref="BQ51:BQ60" si="2">BL51+BN51</f>
        <v>83.664000000000001</v>
      </c>
      <c r="BV51" s="1006" t="s">
        <v>460</v>
      </c>
      <c r="BW51" s="1269" t="s">
        <v>456</v>
      </c>
      <c r="BX51" s="1269"/>
      <c r="BY51" s="1269"/>
      <c r="BZ51" s="1269"/>
      <c r="CA51" s="1269"/>
      <c r="CB51" s="1269"/>
      <c r="CC51" s="1269"/>
      <c r="CD51" s="1270"/>
    </row>
    <row r="52" spans="1:94" x14ac:dyDescent="0.3">
      <c r="A52" s="1241"/>
      <c r="B52" s="947" t="s">
        <v>138</v>
      </c>
      <c r="C52" s="948"/>
      <c r="D52" s="956">
        <f>KLASIFIKASI!O20</f>
        <v>15</v>
      </c>
      <c r="E52" s="1232"/>
      <c r="F52" s="954">
        <v>49</v>
      </c>
      <c r="G52" s="954">
        <v>49</v>
      </c>
      <c r="H52" s="954">
        <v>49</v>
      </c>
      <c r="I52" s="954">
        <v>49</v>
      </c>
      <c r="J52" s="954">
        <v>49</v>
      </c>
      <c r="K52" s="1009">
        <f t="shared" si="0"/>
        <v>49</v>
      </c>
      <c r="L52" s="1009">
        <f>K52+INTERPOLASI!V18</f>
        <v>49.294000019880002</v>
      </c>
      <c r="M52" s="996"/>
      <c r="N52" s="996"/>
      <c r="O52" s="1009">
        <f t="shared" si="1"/>
        <v>-34.294000019880002</v>
      </c>
      <c r="P52" s="1009">
        <f>'BUDGET KTP'!J31</f>
        <v>0.58889639603889332</v>
      </c>
      <c r="Q52" s="1009">
        <f t="shared" ref="Q52:Q60" si="3">STDEV(F52:J52)</f>
        <v>0</v>
      </c>
      <c r="S52" s="977">
        <v>120</v>
      </c>
      <c r="X52" s="1014"/>
      <c r="Y52" s="1035"/>
      <c r="BH52" s="1053">
        <v>54</v>
      </c>
      <c r="BL52" s="1053">
        <f t="shared" ref="BL52:BL60" si="4">BH52</f>
        <v>54</v>
      </c>
      <c r="BM52" s="1271"/>
      <c r="BN52" s="1006">
        <f>((((CD52-BZ52)*(BL52-BX52)))/(CB52-BX52))+BZ52</f>
        <v>-0.21600000000000003</v>
      </c>
      <c r="BQ52" s="1053">
        <f t="shared" si="2"/>
        <v>53.783999999999999</v>
      </c>
      <c r="BV52" s="1006" t="s">
        <v>457</v>
      </c>
      <c r="BW52" s="1057" t="s">
        <v>441</v>
      </c>
      <c r="BX52" s="960">
        <v>50</v>
      </c>
      <c r="BY52" s="1058" t="s">
        <v>442</v>
      </c>
      <c r="BZ52" s="960">
        <v>-0.2</v>
      </c>
      <c r="CA52" s="1058" t="s">
        <v>454</v>
      </c>
      <c r="CB52" s="960">
        <v>100</v>
      </c>
      <c r="CC52" s="1058" t="s">
        <v>455</v>
      </c>
      <c r="CD52" s="960">
        <v>-0.4</v>
      </c>
    </row>
    <row r="53" spans="1:94" ht="15.75" customHeight="1" x14ac:dyDescent="0.3">
      <c r="A53" s="1241">
        <v>2</v>
      </c>
      <c r="B53" s="947" t="s">
        <v>136</v>
      </c>
      <c r="C53" s="948"/>
      <c r="D53" s="956">
        <f>KLASIFIKASI!O22</f>
        <v>60</v>
      </c>
      <c r="E53" s="1232">
        <v>80</v>
      </c>
      <c r="F53" s="954">
        <v>98</v>
      </c>
      <c r="G53" s="954">
        <v>99</v>
      </c>
      <c r="H53" s="954">
        <v>99</v>
      </c>
      <c r="I53" s="954">
        <v>99</v>
      </c>
      <c r="J53" s="954">
        <v>99</v>
      </c>
      <c r="K53" s="1009">
        <f t="shared" si="0"/>
        <v>98.8</v>
      </c>
      <c r="L53" s="1009">
        <f>K53+INTERPOLASI!K19</f>
        <v>98.904799999999994</v>
      </c>
      <c r="M53" s="996"/>
      <c r="N53" s="996"/>
      <c r="O53" s="1009">
        <f t="shared" si="1"/>
        <v>-38.904799999999994</v>
      </c>
      <c r="P53" s="1009">
        <f>'BUDGET KTP'!J45</f>
        <v>0.72657111540404895</v>
      </c>
      <c r="Q53" s="1009">
        <f t="shared" si="3"/>
        <v>0.44721359549995793</v>
      </c>
      <c r="X53" s="1014"/>
      <c r="Y53" s="1035"/>
      <c r="BH53" s="1053">
        <v>104</v>
      </c>
      <c r="BL53" s="1053">
        <f t="shared" si="4"/>
        <v>104</v>
      </c>
      <c r="BM53" s="1271"/>
      <c r="BN53" s="1006">
        <f>((((CD53-BZ53)*(BL53-BX53)))/(CB53-BX53))+BZ53</f>
        <v>-0.42400000000000004</v>
      </c>
      <c r="BQ53" s="1053">
        <f t="shared" si="2"/>
        <v>103.57599999999999</v>
      </c>
      <c r="BV53" s="1006" t="s">
        <v>458</v>
      </c>
      <c r="BW53" s="1057" t="s">
        <v>441</v>
      </c>
      <c r="BX53" s="960">
        <v>100</v>
      </c>
      <c r="BY53" s="1058" t="s">
        <v>442</v>
      </c>
      <c r="BZ53" s="960">
        <v>-0.4</v>
      </c>
      <c r="CA53" s="1058" t="s">
        <v>454</v>
      </c>
      <c r="CB53" s="960">
        <v>150</v>
      </c>
      <c r="CC53" s="1058" t="s">
        <v>455</v>
      </c>
      <c r="CD53" s="960">
        <v>-0.7</v>
      </c>
    </row>
    <row r="54" spans="1:94" ht="15.75" customHeight="1" x14ac:dyDescent="0.3">
      <c r="A54" s="1241"/>
      <c r="B54" s="947" t="s">
        <v>138</v>
      </c>
      <c r="C54" s="948"/>
      <c r="D54" s="956">
        <f>KLASIFIKASI!O23</f>
        <v>30</v>
      </c>
      <c r="E54" s="1232"/>
      <c r="F54" s="954">
        <v>64</v>
      </c>
      <c r="G54" s="954">
        <v>63</v>
      </c>
      <c r="H54" s="954">
        <v>63</v>
      </c>
      <c r="I54" s="954">
        <v>63</v>
      </c>
      <c r="J54" s="954">
        <v>63</v>
      </c>
      <c r="K54" s="1009">
        <f t="shared" si="0"/>
        <v>63.2</v>
      </c>
      <c r="L54" s="1009">
        <f>K54+INTERPOLASI!V19</f>
        <v>63.447200000000002</v>
      </c>
      <c r="M54" s="996"/>
      <c r="N54" s="996"/>
      <c r="O54" s="1009">
        <f t="shared" si="1"/>
        <v>-33.447200000000002</v>
      </c>
      <c r="P54" s="1009">
        <f>'BUDGET KTP'!J68</f>
        <v>0.72657111540404895</v>
      </c>
      <c r="Q54" s="1009">
        <f t="shared" si="3"/>
        <v>0.44721359549995793</v>
      </c>
      <c r="X54" s="1014"/>
      <c r="Y54" s="1035"/>
      <c r="BH54" s="1053">
        <v>69</v>
      </c>
      <c r="BL54" s="1053">
        <f t="shared" si="4"/>
        <v>69</v>
      </c>
      <c r="BM54" s="1271"/>
      <c r="BN54" s="1006">
        <f>((((CD52-BZ52)*(BL54-BX52)))/(CB52-BX52))+BZ52</f>
        <v>-0.27600000000000002</v>
      </c>
      <c r="BQ54" s="1053">
        <f t="shared" si="2"/>
        <v>68.724000000000004</v>
      </c>
      <c r="BV54" s="1006" t="s">
        <v>459</v>
      </c>
      <c r="BW54" s="1057" t="s">
        <v>441</v>
      </c>
      <c r="BX54" s="960">
        <v>150</v>
      </c>
      <c r="BY54" s="1058" t="s">
        <v>442</v>
      </c>
      <c r="BZ54" s="960">
        <v>-0.7</v>
      </c>
      <c r="CA54" s="1058" t="s">
        <v>454</v>
      </c>
      <c r="CB54" s="960">
        <v>200</v>
      </c>
      <c r="CC54" s="1058" t="s">
        <v>455</v>
      </c>
      <c r="CD54" s="960">
        <v>-0.9</v>
      </c>
    </row>
    <row r="55" spans="1:94" ht="19.5" customHeight="1" x14ac:dyDescent="0.3">
      <c r="A55" s="1241">
        <v>3</v>
      </c>
      <c r="B55" s="947" t="s">
        <v>136</v>
      </c>
      <c r="C55" s="948"/>
      <c r="D55" s="956">
        <f>KLASIFIKASI!O25</f>
        <v>80</v>
      </c>
      <c r="E55" s="1232">
        <v>80</v>
      </c>
      <c r="F55" s="954">
        <v>117</v>
      </c>
      <c r="G55" s="954">
        <v>118</v>
      </c>
      <c r="H55" s="954">
        <v>118</v>
      </c>
      <c r="I55" s="954">
        <v>118</v>
      </c>
      <c r="J55" s="954">
        <v>118</v>
      </c>
      <c r="K55" s="1009">
        <f t="shared" si="0"/>
        <v>117.8</v>
      </c>
      <c r="L55" s="1009">
        <f>K55+INTERPOLASI!K20</f>
        <v>117.86440035599999</v>
      </c>
      <c r="M55" s="996"/>
      <c r="N55" s="996"/>
      <c r="O55" s="1009">
        <f t="shared" si="1"/>
        <v>-37.86440035599999</v>
      </c>
      <c r="P55" s="1009">
        <f>'BUDGET KTP'!J82</f>
        <v>0.72657111540404895</v>
      </c>
      <c r="Q55" s="1009">
        <f t="shared" si="3"/>
        <v>0.44721359549995793</v>
      </c>
      <c r="X55" s="1014"/>
      <c r="Y55" s="1035"/>
      <c r="BH55" s="1053">
        <v>116</v>
      </c>
      <c r="BL55" s="1053">
        <f t="shared" si="4"/>
        <v>116</v>
      </c>
      <c r="BM55" s="1271"/>
      <c r="BN55" s="1006">
        <f>((((CD53-BZ53)*(BL55-BX53)))/(CB53-BX53))+BZ53</f>
        <v>-0.496</v>
      </c>
      <c r="BQ55" s="1053">
        <f t="shared" si="2"/>
        <v>115.504</v>
      </c>
    </row>
    <row r="56" spans="1:94" ht="18.75" customHeight="1" x14ac:dyDescent="0.3">
      <c r="A56" s="1241"/>
      <c r="B56" s="947" t="s">
        <v>138</v>
      </c>
      <c r="C56" s="948"/>
      <c r="D56" s="956">
        <f>KLASIFIKASI!O26</f>
        <v>50</v>
      </c>
      <c r="E56" s="1232"/>
      <c r="F56" s="954">
        <v>78</v>
      </c>
      <c r="G56" s="954">
        <v>78</v>
      </c>
      <c r="H56" s="954">
        <v>78</v>
      </c>
      <c r="I56" s="954">
        <v>78</v>
      </c>
      <c r="J56" s="954">
        <v>78</v>
      </c>
      <c r="K56" s="1009">
        <f t="shared" si="0"/>
        <v>78</v>
      </c>
      <c r="L56" s="1009">
        <f>K56+INTERPOLASI!V20</f>
        <v>78.188000000000002</v>
      </c>
      <c r="M56" s="996"/>
      <c r="N56" s="1059"/>
      <c r="O56" s="1009">
        <f t="shared" si="1"/>
        <v>-28.188000000000002</v>
      </c>
      <c r="P56" s="1009">
        <f>'BUDGET KTP'!J96</f>
        <v>0.58889639603889332</v>
      </c>
      <c r="Q56" s="1009">
        <f t="shared" si="3"/>
        <v>0</v>
      </c>
      <c r="X56" s="1014"/>
      <c r="Y56" s="1035"/>
      <c r="BH56" s="1053">
        <v>76</v>
      </c>
      <c r="BL56" s="1053">
        <f t="shared" si="4"/>
        <v>76</v>
      </c>
      <c r="BM56" s="1271"/>
      <c r="BN56" s="1006">
        <f>((((CD52-BZ52)*(BL56-BX52)))/(CB52-BX52))+BZ52</f>
        <v>-0.30400000000000005</v>
      </c>
      <c r="BQ56" s="1053">
        <f t="shared" si="2"/>
        <v>75.695999999999998</v>
      </c>
    </row>
    <row r="57" spans="1:94" x14ac:dyDescent="0.3">
      <c r="A57" s="1211">
        <v>4</v>
      </c>
      <c r="B57" s="947" t="s">
        <v>136</v>
      </c>
      <c r="C57" s="948"/>
      <c r="D57" s="956">
        <f>KLASIFIKASI!O28</f>
        <v>100</v>
      </c>
      <c r="E57" s="1232">
        <v>80</v>
      </c>
      <c r="F57" s="954">
        <v>146</v>
      </c>
      <c r="G57" s="954">
        <v>146</v>
      </c>
      <c r="H57" s="954">
        <v>146</v>
      </c>
      <c r="I57" s="954">
        <v>146</v>
      </c>
      <c r="J57" s="954">
        <v>146</v>
      </c>
      <c r="K57" s="1009">
        <f t="shared" si="0"/>
        <v>146</v>
      </c>
      <c r="L57" s="1009">
        <f>K57+INTERPOLASI!K21</f>
        <v>146.00800092</v>
      </c>
      <c r="M57" s="996"/>
      <c r="N57" s="996"/>
      <c r="O57" s="1009">
        <f t="shared" si="1"/>
        <v>-46.008000920000001</v>
      </c>
      <c r="P57" s="1009">
        <f>'BUDGET KTP'!J110</f>
        <v>0.58889639603889332</v>
      </c>
      <c r="Q57" s="1009">
        <f t="shared" si="3"/>
        <v>0</v>
      </c>
      <c r="X57" s="1060"/>
      <c r="Y57" s="1051"/>
      <c r="BH57" s="1053">
        <v>147</v>
      </c>
      <c r="BL57" s="1053">
        <f t="shared" si="4"/>
        <v>147</v>
      </c>
      <c r="BM57" s="1271"/>
      <c r="BN57" s="1006">
        <f>((((CD53-BZ53)*(BL57-BX53)))/(CB53-BX53))+BZ53</f>
        <v>-0.68199999999999994</v>
      </c>
      <c r="BQ57" s="1053">
        <f t="shared" si="2"/>
        <v>146.31800000000001</v>
      </c>
    </row>
    <row r="58" spans="1:94" x14ac:dyDescent="0.3">
      <c r="A58" s="1213"/>
      <c r="B58" s="947" t="s">
        <v>138</v>
      </c>
      <c r="C58" s="948"/>
      <c r="D58" s="956">
        <f>KLASIFIKASI!O29</f>
        <v>70</v>
      </c>
      <c r="E58" s="1232"/>
      <c r="F58" s="954">
        <v>98</v>
      </c>
      <c r="G58" s="954">
        <v>97</v>
      </c>
      <c r="H58" s="954">
        <v>98</v>
      </c>
      <c r="I58" s="954">
        <v>98</v>
      </c>
      <c r="J58" s="954">
        <v>98</v>
      </c>
      <c r="K58" s="1009">
        <f t="shared" si="0"/>
        <v>97.8</v>
      </c>
      <c r="L58" s="1009">
        <f>K58+INTERPOLASI!V21</f>
        <v>97.908799999999999</v>
      </c>
      <c r="M58" s="996"/>
      <c r="N58" s="996"/>
      <c r="O58" s="1009">
        <f t="shared" si="1"/>
        <v>-27.908799999999999</v>
      </c>
      <c r="P58" s="1009">
        <f>'BUDGET KTP'!J123</f>
        <v>0.72657111540404895</v>
      </c>
      <c r="Q58" s="1009">
        <f t="shared" si="3"/>
        <v>0.44721359549995793</v>
      </c>
      <c r="BH58" s="1053">
        <v>96</v>
      </c>
      <c r="BL58" s="1053">
        <f t="shared" si="4"/>
        <v>96</v>
      </c>
      <c r="BM58" s="1271"/>
      <c r="BN58" s="1006">
        <f>((((CD52-BZ52)*(BL58-BX52)))/(CB52-BX52))+BZ52</f>
        <v>-0.38400000000000001</v>
      </c>
      <c r="BQ58" s="1053">
        <f t="shared" si="2"/>
        <v>95.616</v>
      </c>
    </row>
    <row r="59" spans="1:94" x14ac:dyDescent="0.3">
      <c r="A59" s="1241">
        <v>5</v>
      </c>
      <c r="B59" s="947" t="s">
        <v>136</v>
      </c>
      <c r="C59" s="957">
        <v>170</v>
      </c>
      <c r="D59" s="1083">
        <f>C59</f>
        <v>170</v>
      </c>
      <c r="E59" s="1232">
        <v>80</v>
      </c>
      <c r="F59" s="954">
        <v>168</v>
      </c>
      <c r="G59" s="954">
        <v>166</v>
      </c>
      <c r="H59" s="954">
        <v>166</v>
      </c>
      <c r="I59" s="954">
        <v>166</v>
      </c>
      <c r="J59" s="954">
        <v>167</v>
      </c>
      <c r="K59" s="1009">
        <f t="shared" si="0"/>
        <v>166.6</v>
      </c>
      <c r="L59" s="1009">
        <f>K59+INTERPOLASI!K22</f>
        <v>166.56680066799998</v>
      </c>
      <c r="M59" s="996"/>
      <c r="N59" s="996"/>
      <c r="O59" s="1009">
        <f t="shared" si="1"/>
        <v>3.4331993320000151</v>
      </c>
      <c r="P59" s="1009">
        <f>'BUDGET KTP'!J137</f>
        <v>1.122457910727892</v>
      </c>
      <c r="Q59" s="1009">
        <f t="shared" si="3"/>
        <v>0.89442719099991586</v>
      </c>
      <c r="BH59" s="1053">
        <v>195</v>
      </c>
      <c r="BL59" s="1053">
        <f t="shared" si="4"/>
        <v>195</v>
      </c>
      <c r="BM59" s="1271"/>
      <c r="BN59" s="1006">
        <f>((((CD54-BZ54)*(BL59-BX54)))/(CB54-BX54))+BZ54</f>
        <v>-0.88</v>
      </c>
      <c r="BQ59" s="1053">
        <f t="shared" si="2"/>
        <v>194.12</v>
      </c>
    </row>
    <row r="60" spans="1:94" x14ac:dyDescent="0.3">
      <c r="A60" s="1241"/>
      <c r="B60" s="947" t="s">
        <v>138</v>
      </c>
      <c r="C60" s="1047"/>
      <c r="D60" s="956">
        <f>KLASIFIKASI!K3</f>
        <v>100</v>
      </c>
      <c r="E60" s="1232"/>
      <c r="F60" s="954">
        <v>97</v>
      </c>
      <c r="G60" s="954">
        <v>98</v>
      </c>
      <c r="H60" s="954">
        <v>98</v>
      </c>
      <c r="I60" s="954">
        <v>98</v>
      </c>
      <c r="J60" s="954">
        <v>98</v>
      </c>
      <c r="K60" s="1009">
        <f t="shared" si="0"/>
        <v>97.8</v>
      </c>
      <c r="L60" s="1009">
        <f>K60+INTERPOLASI!V22</f>
        <v>97.908799999999999</v>
      </c>
      <c r="M60" s="996"/>
      <c r="N60" s="996"/>
      <c r="O60" s="1009">
        <f t="shared" si="1"/>
        <v>2.0912000000000006</v>
      </c>
      <c r="P60" s="1009">
        <f>'BUDGET KTP'!J151</f>
        <v>0.72657111540404895</v>
      </c>
      <c r="Q60" s="1009">
        <f t="shared" si="3"/>
        <v>0.44721359549995793</v>
      </c>
      <c r="BH60" s="1053">
        <v>145</v>
      </c>
      <c r="BI60" s="291"/>
      <c r="BJ60" s="291"/>
      <c r="BK60" s="291"/>
      <c r="BL60" s="1053">
        <f t="shared" si="4"/>
        <v>145</v>
      </c>
      <c r="BM60" s="1271"/>
      <c r="BN60" s="1006">
        <f>((((CD53-BZ53)*(BL60-BX53)))/(CB53-BX53))+BZ53</f>
        <v>-0.66999999999999993</v>
      </c>
      <c r="BQ60" s="1053">
        <f t="shared" si="2"/>
        <v>144.33000000000001</v>
      </c>
    </row>
    <row r="61" spans="1:94" s="291" customFormat="1" ht="9" customHeight="1" x14ac:dyDescent="0.25">
      <c r="A61" s="1061"/>
      <c r="S61" s="977"/>
    </row>
    <row r="62" spans="1:94" s="291" customFormat="1" x14ac:dyDescent="0.25">
      <c r="A62" s="977"/>
      <c r="B62" s="977" t="s">
        <v>139</v>
      </c>
      <c r="C62" s="977"/>
      <c r="D62" s="977"/>
      <c r="E62" s="977"/>
      <c r="F62" s="977"/>
      <c r="G62" s="977"/>
      <c r="H62" s="977"/>
      <c r="I62" s="977"/>
      <c r="J62" s="977"/>
      <c r="S62" s="977"/>
    </row>
    <row r="63" spans="1:94" s="291" customFormat="1" ht="9.75" customHeight="1" x14ac:dyDescent="0.25">
      <c r="A63" s="977"/>
      <c r="B63" s="977"/>
      <c r="C63" s="977"/>
      <c r="D63" s="977"/>
      <c r="E63" s="977"/>
      <c r="F63" s="977"/>
      <c r="G63" s="977"/>
      <c r="H63" s="977"/>
      <c r="I63" s="977"/>
      <c r="J63" s="977"/>
      <c r="S63" s="977"/>
    </row>
    <row r="64" spans="1:94" s="291" customFormat="1" ht="15" customHeight="1" x14ac:dyDescent="0.25">
      <c r="A64" s="1211" t="s">
        <v>39</v>
      </c>
      <c r="B64" s="1220" t="s">
        <v>23</v>
      </c>
      <c r="C64" s="1221"/>
      <c r="D64" s="1207" t="s">
        <v>72</v>
      </c>
      <c r="E64" s="1210" t="s">
        <v>140</v>
      </c>
      <c r="F64" s="1210" t="s">
        <v>141</v>
      </c>
      <c r="G64" s="1242" t="s">
        <v>142</v>
      </c>
      <c r="H64" s="1243"/>
      <c r="I64" s="1244"/>
      <c r="J64" s="1226" t="s">
        <v>130</v>
      </c>
      <c r="K64" s="1210" t="s">
        <v>143</v>
      </c>
      <c r="O64" s="1207" t="s">
        <v>133</v>
      </c>
      <c r="P64" s="1207" t="s">
        <v>826</v>
      </c>
      <c r="S64" s="977"/>
    </row>
    <row r="65" spans="1:19" s="291" customFormat="1" ht="15" customHeight="1" x14ac:dyDescent="0.25">
      <c r="A65" s="1212"/>
      <c r="B65" s="1222"/>
      <c r="C65" s="1223"/>
      <c r="D65" s="1208"/>
      <c r="E65" s="1210"/>
      <c r="F65" s="1210"/>
      <c r="G65" s="959" t="s">
        <v>134</v>
      </c>
      <c r="H65" s="959" t="s">
        <v>134</v>
      </c>
      <c r="I65" s="959" t="s">
        <v>134</v>
      </c>
      <c r="J65" s="1228"/>
      <c r="K65" s="1210"/>
      <c r="O65" s="1208"/>
      <c r="P65" s="1208"/>
      <c r="S65" s="977"/>
    </row>
    <row r="66" spans="1:19" s="291" customFormat="1" x14ac:dyDescent="0.25">
      <c r="A66" s="1213"/>
      <c r="B66" s="1224"/>
      <c r="C66" s="1225"/>
      <c r="D66" s="1209"/>
      <c r="E66" s="1210"/>
      <c r="F66" s="1210"/>
      <c r="G66" s="959">
        <v>1</v>
      </c>
      <c r="H66" s="959">
        <v>2</v>
      </c>
      <c r="I66" s="959">
        <v>3</v>
      </c>
      <c r="J66" s="1230"/>
      <c r="K66" s="1210"/>
      <c r="O66" s="1209"/>
      <c r="P66" s="1209"/>
      <c r="S66" s="977"/>
    </row>
    <row r="67" spans="1:19" s="291" customFormat="1" x14ac:dyDescent="0.25">
      <c r="A67" s="1211">
        <v>1</v>
      </c>
      <c r="B67" s="1214" t="s">
        <v>80</v>
      </c>
      <c r="C67" s="1215"/>
      <c r="D67" s="954">
        <v>60</v>
      </c>
      <c r="E67" s="1211">
        <v>120</v>
      </c>
      <c r="F67" s="1211">
        <v>80</v>
      </c>
      <c r="G67" s="954">
        <v>60</v>
      </c>
      <c r="H67" s="954">
        <v>60</v>
      </c>
      <c r="I67" s="954">
        <v>60</v>
      </c>
      <c r="J67" s="1062">
        <f>AVERAGE(G67:I67)</f>
        <v>60</v>
      </c>
      <c r="K67" s="1009">
        <f>((D67-J67)/D67)*100</f>
        <v>0</v>
      </c>
      <c r="N67" s="977"/>
      <c r="O67" s="1009">
        <f>STDEV(G67:I67)</f>
        <v>0</v>
      </c>
      <c r="P67" s="1009">
        <f>'BUDGET KTP'!J169</f>
        <v>0.96636845337887511</v>
      </c>
      <c r="Q67" s="977"/>
      <c r="R67" s="977"/>
      <c r="S67" s="977"/>
    </row>
    <row r="68" spans="1:19" s="291" customFormat="1" x14ac:dyDescent="0.25">
      <c r="A68" s="1212"/>
      <c r="B68" s="1216"/>
      <c r="C68" s="1217"/>
      <c r="D68" s="954">
        <v>120</v>
      </c>
      <c r="E68" s="1212"/>
      <c r="F68" s="1212"/>
      <c r="G68" s="954">
        <v>120</v>
      </c>
      <c r="H68" s="954">
        <v>120</v>
      </c>
      <c r="I68" s="954">
        <v>120</v>
      </c>
      <c r="J68" s="1062">
        <f>AVERAGE(G68:I68)</f>
        <v>120</v>
      </c>
      <c r="K68" s="1009">
        <f t="shared" ref="K68:K69" si="5">((D68-J68)/D68)*100</f>
        <v>0</v>
      </c>
      <c r="N68" s="949"/>
      <c r="O68" s="1009">
        <f t="shared" ref="O68:O69" si="6">STDEV(G68:I68)</f>
        <v>0</v>
      </c>
      <c r="P68" s="1009">
        <f>'BUDGET KTP'!J182</f>
        <v>0.48318422668943756</v>
      </c>
      <c r="Q68" s="977"/>
      <c r="R68" s="977"/>
      <c r="S68" s="977"/>
    </row>
    <row r="69" spans="1:19" s="291" customFormat="1" x14ac:dyDescent="0.25">
      <c r="A69" s="1213"/>
      <c r="B69" s="1218"/>
      <c r="C69" s="1219"/>
      <c r="D69" s="954">
        <v>180</v>
      </c>
      <c r="E69" s="1213"/>
      <c r="F69" s="1213"/>
      <c r="G69" s="954">
        <v>179</v>
      </c>
      <c r="H69" s="954">
        <v>179</v>
      </c>
      <c r="I69" s="954">
        <v>179</v>
      </c>
      <c r="J69" s="1062">
        <f>AVERAGE(G69:I69)</f>
        <v>179</v>
      </c>
      <c r="K69" s="1009">
        <f t="shared" si="5"/>
        <v>0.55555555555555558</v>
      </c>
      <c r="O69" s="1009">
        <f t="shared" si="6"/>
        <v>0</v>
      </c>
      <c r="P69" s="1009">
        <f>'BUDGET KTP'!J195</f>
        <v>0.32392238660744421</v>
      </c>
      <c r="S69" s="977"/>
    </row>
    <row r="70" spans="1:19" s="291" customFormat="1" hidden="1" x14ac:dyDescent="0.3">
      <c r="A70" s="1028"/>
      <c r="B70" s="950"/>
      <c r="C70" s="1061"/>
      <c r="D70" s="1061"/>
      <c r="L70" s="979"/>
      <c r="M70" s="979"/>
      <c r="N70" s="979"/>
      <c r="O70" s="1009"/>
      <c r="P70" s="994"/>
      <c r="Q70" s="977"/>
      <c r="R70" s="977"/>
      <c r="S70" s="977"/>
    </row>
    <row r="71" spans="1:19" s="291" customFormat="1" hidden="1" x14ac:dyDescent="0.3">
      <c r="A71" s="977"/>
      <c r="B71" s="951"/>
      <c r="L71" s="979"/>
      <c r="M71" s="979"/>
      <c r="N71" s="979"/>
      <c r="O71" s="1009"/>
      <c r="P71" s="994"/>
      <c r="Q71" s="977"/>
      <c r="R71" s="977"/>
      <c r="S71" s="977"/>
    </row>
    <row r="72" spans="1:19" s="291" customFormat="1" hidden="1" x14ac:dyDescent="0.25">
      <c r="A72" s="977"/>
      <c r="B72" s="952"/>
      <c r="O72" s="1009"/>
      <c r="S72" s="977"/>
    </row>
    <row r="73" spans="1:19" s="291" customFormat="1" hidden="1" x14ac:dyDescent="0.3">
      <c r="A73" s="977"/>
      <c r="B73" s="951"/>
      <c r="D73" s="953"/>
      <c r="L73" s="979"/>
      <c r="M73" s="979"/>
      <c r="N73" s="979"/>
      <c r="O73" s="1009"/>
      <c r="P73" s="994"/>
      <c r="Q73" s="977"/>
      <c r="R73" s="977"/>
      <c r="S73" s="977"/>
    </row>
    <row r="74" spans="1:19" s="291" customFormat="1" hidden="1" x14ac:dyDescent="0.3">
      <c r="A74" s="977"/>
      <c r="B74" s="951"/>
      <c r="D74" s="953"/>
      <c r="L74" s="977"/>
      <c r="M74" s="977"/>
      <c r="N74" s="977"/>
      <c r="O74" s="1009"/>
      <c r="P74" s="994"/>
      <c r="Q74" s="977"/>
      <c r="R74" s="977"/>
      <c r="S74" s="977"/>
    </row>
    <row r="75" spans="1:19" s="291" customFormat="1" hidden="1" x14ac:dyDescent="0.25">
      <c r="A75" s="977"/>
      <c r="B75" s="952"/>
      <c r="O75" s="1009"/>
      <c r="S75" s="977"/>
    </row>
    <row r="76" spans="1:19" s="291" customFormat="1" hidden="1" x14ac:dyDescent="0.25">
      <c r="O76" s="1009"/>
    </row>
    <row r="77" spans="1:19" x14ac:dyDescent="0.25">
      <c r="A77" s="1048" t="str">
        <f>PENYELIA!A52</f>
        <v>V.</v>
      </c>
      <c r="B77" s="1048" t="str">
        <f>PENYELIA!B52</f>
        <v>Keterangan</v>
      </c>
      <c r="C77" s="1048"/>
    </row>
    <row r="78" spans="1:19" x14ac:dyDescent="0.25">
      <c r="B78" s="980" t="str">
        <f>S44</f>
        <v>Tidak terdapat grounding di ruangan</v>
      </c>
    </row>
    <row r="79" spans="1:19" x14ac:dyDescent="0.25">
      <c r="B79" s="1268" t="s">
        <v>144</v>
      </c>
      <c r="C79" s="1268"/>
      <c r="D79" s="1268"/>
      <c r="E79" s="1268"/>
    </row>
    <row r="80" spans="1:19" x14ac:dyDescent="0.25">
      <c r="B80" s="1206"/>
      <c r="C80" s="1206"/>
      <c r="D80" s="1206"/>
      <c r="E80" s="1206"/>
    </row>
    <row r="81" spans="1:14" x14ac:dyDescent="0.25">
      <c r="A81" s="1048" t="s">
        <v>145</v>
      </c>
      <c r="B81" s="987" t="s">
        <v>146</v>
      </c>
      <c r="C81" s="987"/>
    </row>
    <row r="82" spans="1:14" ht="23.25" customHeight="1" x14ac:dyDescent="0.3">
      <c r="B82" s="1267" t="s">
        <v>842</v>
      </c>
      <c r="C82" s="1267"/>
      <c r="D82" s="1267"/>
      <c r="E82" s="1267"/>
      <c r="F82" s="1267"/>
      <c r="G82" s="1267"/>
      <c r="H82" s="1267"/>
      <c r="I82" s="1267"/>
    </row>
    <row r="83" spans="1:14" x14ac:dyDescent="0.25">
      <c r="B83" s="1205" t="s">
        <v>390</v>
      </c>
      <c r="C83" s="1205"/>
      <c r="D83" s="1205"/>
      <c r="E83" s="1205"/>
      <c r="F83" s="1205"/>
      <c r="G83" s="1205"/>
      <c r="H83" s="1205"/>
      <c r="I83" s="920"/>
      <c r="J83" s="980"/>
      <c r="K83" s="980"/>
      <c r="L83" s="980"/>
      <c r="M83" s="980"/>
      <c r="N83" s="980"/>
    </row>
    <row r="84" spans="1:14" x14ac:dyDescent="0.25">
      <c r="B84" s="1205" t="s">
        <v>855</v>
      </c>
      <c r="C84" s="1205"/>
      <c r="D84" s="1205"/>
      <c r="E84" s="1205"/>
      <c r="F84" s="1205"/>
      <c r="G84" s="1205"/>
      <c r="H84" s="1205"/>
      <c r="I84" s="1205"/>
    </row>
    <row r="86" spans="1:14" x14ac:dyDescent="0.25">
      <c r="B86" s="952"/>
      <c r="C86" s="952"/>
      <c r="D86" s="1063"/>
    </row>
  </sheetData>
  <sheetProtection formatCells="0" formatColumns="0" formatRows="0" insertColumns="0" insertRows="0" deleteColumns="0" deleteRows="0"/>
  <dataConsolidate/>
  <mergeCells count="130">
    <mergeCell ref="W34:W36"/>
    <mergeCell ref="BW51:CD51"/>
    <mergeCell ref="BM51:BM60"/>
    <mergeCell ref="CK44:CP44"/>
    <mergeCell ref="CK45:CK47"/>
    <mergeCell ref="CM45:CO45"/>
    <mergeCell ref="CP45:CP47"/>
    <mergeCell ref="CM48:CO49"/>
    <mergeCell ref="CP48:CP49"/>
    <mergeCell ref="BN48:BP49"/>
    <mergeCell ref="BQ48:BQ49"/>
    <mergeCell ref="BX44:CC44"/>
    <mergeCell ref="BX45:BX47"/>
    <mergeCell ref="BZ45:CB45"/>
    <mergeCell ref="CC45:CC47"/>
    <mergeCell ref="BZ48:CB49"/>
    <mergeCell ref="CC48:CC49"/>
    <mergeCell ref="AA42:AI42"/>
    <mergeCell ref="AA43:AI43"/>
    <mergeCell ref="AA44:AI44"/>
    <mergeCell ref="AA45:AI45"/>
    <mergeCell ref="S44:W44"/>
    <mergeCell ref="BT29:BY29"/>
    <mergeCell ref="BT30:BT32"/>
    <mergeCell ref="BL44:BQ44"/>
    <mergeCell ref="BL45:BL47"/>
    <mergeCell ref="BN45:BP45"/>
    <mergeCell ref="BQ45:BQ47"/>
    <mergeCell ref="BQ30:BQ32"/>
    <mergeCell ref="BQ33:BQ34"/>
    <mergeCell ref="BN33:BP34"/>
    <mergeCell ref="BL29:BQ29"/>
    <mergeCell ref="BL36:BQ36"/>
    <mergeCell ref="BL37:BL39"/>
    <mergeCell ref="BN37:BP37"/>
    <mergeCell ref="BQ37:BQ39"/>
    <mergeCell ref="BN40:BP41"/>
    <mergeCell ref="BQ40:BQ41"/>
    <mergeCell ref="BV30:BX30"/>
    <mergeCell ref="BY30:BY32"/>
    <mergeCell ref="BV33:BX34"/>
    <mergeCell ref="BY33:BY34"/>
    <mergeCell ref="BH30:BH32"/>
    <mergeCell ref="BI30:BI32"/>
    <mergeCell ref="BL30:BL32"/>
    <mergeCell ref="BN30:BP30"/>
    <mergeCell ref="B84:I84"/>
    <mergeCell ref="A29:I29"/>
    <mergeCell ref="A59:A60"/>
    <mergeCell ref="G41:H41"/>
    <mergeCell ref="A53:A54"/>
    <mergeCell ref="A55:A56"/>
    <mergeCell ref="A51:A52"/>
    <mergeCell ref="A48:A50"/>
    <mergeCell ref="D48:D50"/>
    <mergeCell ref="B82:I82"/>
    <mergeCell ref="B79:E79"/>
    <mergeCell ref="A33:B33"/>
    <mergeCell ref="G42:H42"/>
    <mergeCell ref="A41:D41"/>
    <mergeCell ref="H30:I31"/>
    <mergeCell ref="J30:K31"/>
    <mergeCell ref="L30:M31"/>
    <mergeCell ref="F34:G34"/>
    <mergeCell ref="P35:Q35"/>
    <mergeCell ref="V34:V36"/>
    <mergeCell ref="A1:N1"/>
    <mergeCell ref="B18:E18"/>
    <mergeCell ref="G18:L18"/>
    <mergeCell ref="E15:G15"/>
    <mergeCell ref="A30:B32"/>
    <mergeCell ref="N4:N5"/>
    <mergeCell ref="A2:G2"/>
    <mergeCell ref="F32:G32"/>
    <mergeCell ref="H32:I32"/>
    <mergeCell ref="J32:K32"/>
    <mergeCell ref="L32:M32"/>
    <mergeCell ref="M4:M5"/>
    <mergeCell ref="D30:E31"/>
    <mergeCell ref="F30:G31"/>
    <mergeCell ref="A67:A69"/>
    <mergeCell ref="G43:H43"/>
    <mergeCell ref="A43:F43"/>
    <mergeCell ref="A44:F44"/>
    <mergeCell ref="G44:H44"/>
    <mergeCell ref="A64:A66"/>
    <mergeCell ref="F48:J48"/>
    <mergeCell ref="E48:E50"/>
    <mergeCell ref="E51:E52"/>
    <mergeCell ref="E53:E54"/>
    <mergeCell ref="E55:E56"/>
    <mergeCell ref="E57:E58"/>
    <mergeCell ref="P64:P66"/>
    <mergeCell ref="Q48:Q50"/>
    <mergeCell ref="P48:P50"/>
    <mergeCell ref="A34:B34"/>
    <mergeCell ref="D32:E32"/>
    <mergeCell ref="A42:F42"/>
    <mergeCell ref="J41:K41"/>
    <mergeCell ref="E35:G35"/>
    <mergeCell ref="D34:E34"/>
    <mergeCell ref="D33:E33"/>
    <mergeCell ref="L48:L50"/>
    <mergeCell ref="K64:K66"/>
    <mergeCell ref="J64:J66"/>
    <mergeCell ref="F33:G33"/>
    <mergeCell ref="J34:K34"/>
    <mergeCell ref="J33:K33"/>
    <mergeCell ref="H34:I34"/>
    <mergeCell ref="H33:I33"/>
    <mergeCell ref="J43:K43"/>
    <mergeCell ref="G64:I64"/>
    <mergeCell ref="A57:A58"/>
    <mergeCell ref="J42:K42"/>
    <mergeCell ref="H35:I35"/>
    <mergeCell ref="J44:K44"/>
    <mergeCell ref="B83:H83"/>
    <mergeCell ref="B80:E80"/>
    <mergeCell ref="O48:O50"/>
    <mergeCell ref="E64:E66"/>
    <mergeCell ref="E67:E69"/>
    <mergeCell ref="F67:F69"/>
    <mergeCell ref="B67:C69"/>
    <mergeCell ref="D64:D66"/>
    <mergeCell ref="F64:F66"/>
    <mergeCell ref="B64:C66"/>
    <mergeCell ref="K48:K50"/>
    <mergeCell ref="B48:C50"/>
    <mergeCell ref="E59:E60"/>
    <mergeCell ref="O64:O66"/>
  </mergeCells>
  <phoneticPr fontId="4" type="noConversion"/>
  <dataValidations count="5">
    <dataValidation type="list" allowBlank="1" showInputMessage="1" showErrorMessage="1" sqref="O9" xr:uid="{00000000-0002-0000-0200-000000000000}">
      <formula1>#REF!</formula1>
    </dataValidation>
    <dataValidation type="list" allowBlank="1" showInputMessage="1" showErrorMessage="1" sqref="L16 L13" xr:uid="{00000000-0002-0000-0200-000001000000}">
      <formula1>$II$1:$II$11</formula1>
    </dataValidation>
    <dataValidation type="list" allowBlank="1" showInputMessage="1" showErrorMessage="1" prompt="DIISI MANUAL" sqref="E51:E60" xr:uid="{00000000-0002-0000-0200-000003000000}">
      <formula1>$S$49:$S$52</formula1>
    </dataValidation>
    <dataValidation type="list" allowBlank="1" showInputMessage="1" showErrorMessage="1" sqref="E16" xr:uid="{9DC3F268-B1AB-4014-BC78-6C5ADB3A024E}">
      <formula1>$P$30:$P$32</formula1>
    </dataValidation>
    <dataValidation type="list" allowBlank="1" showInputMessage="1" showErrorMessage="1" sqref="P38:R38" xr:uid="{00000000-0002-0000-0200-00000E000000}">
      <formula1>#REF!</formula1>
    </dataValidation>
  </dataValidations>
  <printOptions horizontalCentered="1"/>
  <pageMargins left="0.39370078740157499" right="0.23622047244094499" top="0.511811023622047" bottom="0.23622047244094499" header="0.23622047244094499" footer="0.23622047244094499"/>
  <pageSetup paperSize="9" scale="67" orientation="portrait" horizontalDpi="4294967293" r:id="rId1"/>
  <headerFooter>
    <oddHeader>&amp;R&amp;"-,Regular"&amp;8T.ID 014-18/REV:1</oddHeader>
    <oddFooter>&amp;R&amp;8&amp;K00-014Software BPM 2018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 promptTitle="PILIH 200/170/160" prompt="DIISI MANUAL_x000a_" xr:uid="{00000000-0002-0000-0200-000005000000}">
          <x14:formula1>
            <xm:f>KLASIFIKASI!$H$2:$J$2</xm:f>
          </x14:formula1>
          <xm:sqref>C59</xm:sqref>
        </x14:dataValidation>
        <x14:dataValidation type="list" allowBlank="1" showInputMessage="1" xr:uid="{00000000-0002-0000-0200-000006000000}">
          <x14:formula1>
            <xm:f>KESIMPULAN!$F$8:$F$9</xm:f>
          </x14:formula1>
          <xm:sqref>Q3</xm:sqref>
        </x14:dataValidation>
        <x14:dataValidation type="list" allowBlank="1" showInputMessage="1" showErrorMessage="1" xr:uid="{00000000-0002-0000-0200-000007000000}">
          <x14:formula1>
            <xm:f>KESIMPULAN!$F$42:$F$60</xm:f>
          </x14:formula1>
          <xm:sqref>E15:G15</xm:sqref>
        </x14:dataValidation>
        <x14:dataValidation type="list" allowBlank="1" showInputMessage="1" showErrorMessage="1" xr:uid="{00000000-0002-0000-0200-000008000000}">
          <x14:formula1>
            <xm:f>KESIMPULAN!$F$63:$F$64</xm:f>
          </x14:formula1>
          <xm:sqref>D37:D38</xm:sqref>
        </x14:dataValidation>
        <x14:dataValidation type="list" allowBlank="1" showInputMessage="1" showErrorMessage="1" xr:uid="{00000000-0002-0000-0200-000009000000}">
          <x14:formula1>
            <xm:f>KETERANGAN!$F$12:$F$13</xm:f>
          </x14:formula1>
          <xm:sqref>A44:F44</xm:sqref>
        </x14:dataValidation>
        <x14:dataValidation type="list" allowBlank="1" showInputMessage="1" showErrorMessage="1" xr:uid="{00000000-0002-0000-0200-00000A000000}">
          <x14:formula1>
            <xm:f>'JENIS KALIBRATOR'!$E$8:$E$16</xm:f>
          </x14:formula1>
          <xm:sqref>B84:I84</xm:sqref>
        </x14:dataValidation>
        <x14:dataValidation type="list" allowBlank="1" showInputMessage="1" showErrorMessage="1" xr:uid="{00000000-0002-0000-0200-00000D000000}">
          <x14:formula1>
            <xm:f>'KELAS 1 NA'!$L$26:$L$32</xm:f>
          </x14:formula1>
          <xm:sqref>Q43</xm:sqref>
        </x14:dataValidation>
        <x14:dataValidation type="list" allowBlank="1" showInputMessage="1" showErrorMessage="1" xr:uid="{787C382F-4F23-40B4-9F56-6E8F21219FC1}">
          <x14:formula1>
            <xm:f>KETERANGAN!$F$129:$F$130</xm:f>
          </x14:formula1>
          <xm:sqref>A43:F43</xm:sqref>
        </x14:dataValidation>
        <x14:dataValidation type="list" allowBlank="1" showInputMessage="1" xr:uid="{6A9D54FF-A1A1-424E-AC76-DC37493C51D8}">
          <x14:formula1>
            <xm:f>KETERANGAN!$F$28:$F$32</xm:f>
          </x14:formula1>
          <xm:sqref>B80:E80</xm:sqref>
        </x14:dataValidation>
        <x14:dataValidation type="list" allowBlank="1" showInputMessage="1" showErrorMessage="1" xr:uid="{CBE19A72-06BE-4A62-9985-A41C7EAD113F}">
          <x14:formula1>
            <xm:f>KETERANGAN!$F$26:$F$27</xm:f>
          </x14:formula1>
          <xm:sqref>B79:E79</xm:sqref>
        </x14:dataValidation>
        <x14:dataValidation type="list" allowBlank="1" showInputMessage="1" showErrorMessage="1" xr:uid="{00000000-0002-0000-0200-00000B000000}">
          <x14:formula1>
            <xm:f>'JENIS KALIBRATOR'!$I$10:$I$18</xm:f>
          </x14:formula1>
          <xm:sqref>B82:I82</xm:sqref>
        </x14:dataValidation>
        <x14:dataValidation type="list" allowBlank="1" showInputMessage="1" showErrorMessage="1" xr:uid="{00000000-0002-0000-0200-00000C000000}">
          <x14:formula1>
            <xm:f>'JENIS KALIBRATOR'!$R$6:$R$26</xm:f>
          </x14:formula1>
          <xm:sqref>B83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>
    <tabColor rgb="FF00B0F0"/>
  </sheetPr>
  <dimension ref="A1:AN290"/>
  <sheetViews>
    <sheetView showGridLines="0" view="pageBreakPreview" zoomScale="60" zoomScaleNormal="100" workbookViewId="0">
      <selection activeCell="A6" sqref="A6"/>
    </sheetView>
  </sheetViews>
  <sheetFormatPr defaultColWidth="9.21875" defaultRowHeight="15.6" x14ac:dyDescent="0.3"/>
  <cols>
    <col min="1" max="1" width="25.77734375" style="114" customWidth="1"/>
    <col min="2" max="2" width="9.77734375" style="114" customWidth="1"/>
    <col min="3" max="3" width="13.77734375" style="114" customWidth="1"/>
    <col min="4" max="4" width="9.77734375" style="114" customWidth="1"/>
    <col min="5" max="5" width="10.44140625" style="114" customWidth="1"/>
    <col min="6" max="6" width="10.21875" style="114" customWidth="1"/>
    <col min="7" max="7" width="4.77734375" style="114" customWidth="1"/>
    <col min="8" max="8" width="6.5546875" style="114" customWidth="1"/>
    <col min="9" max="9" width="15.21875" style="114" customWidth="1"/>
    <col min="10" max="10" width="18" style="114" customWidth="1"/>
    <col min="11" max="11" width="18.5546875" style="114" customWidth="1"/>
    <col min="12" max="12" width="4.5546875" style="114" customWidth="1"/>
    <col min="13" max="16" width="13.21875" style="114" customWidth="1"/>
    <col min="17" max="17" width="14.44140625" style="114" customWidth="1"/>
    <col min="18" max="18" width="20.5546875" style="114" customWidth="1"/>
    <col min="19" max="19" width="9.21875" style="114"/>
    <col min="20" max="20" width="19.5546875" style="114" customWidth="1"/>
    <col min="21" max="21" width="13.21875" style="650" customWidth="1"/>
    <col min="22" max="22" width="13.21875" style="644" customWidth="1"/>
    <col min="23" max="16384" width="9.21875" style="114"/>
  </cols>
  <sheetData>
    <row r="1" spans="1:40" ht="18" x14ac:dyDescent="0.35">
      <c r="A1" s="1287" t="s">
        <v>174</v>
      </c>
      <c r="B1" s="1287"/>
      <c r="C1" s="1287"/>
      <c r="D1" s="1287"/>
      <c r="E1" s="1287"/>
      <c r="F1" s="1287"/>
      <c r="G1" s="1287"/>
      <c r="H1" s="1287"/>
      <c r="I1" s="1287"/>
      <c r="J1" s="1287"/>
      <c r="K1" s="1287"/>
      <c r="L1" s="1287"/>
      <c r="M1" s="1287"/>
      <c r="N1" s="1287"/>
      <c r="O1" s="1287"/>
      <c r="P1" s="1287"/>
      <c r="U1" s="646"/>
      <c r="V1" s="1290" t="s">
        <v>456</v>
      </c>
      <c r="W1" s="1290"/>
      <c r="X1" s="1290"/>
      <c r="Y1" s="1290"/>
      <c r="Z1" s="1290"/>
      <c r="AA1" s="1290"/>
      <c r="AB1" s="1290"/>
      <c r="AC1" s="1290"/>
      <c r="AD1" s="1290"/>
      <c r="AF1" s="1290" t="s">
        <v>464</v>
      </c>
      <c r="AG1" s="1290"/>
      <c r="AH1" s="1290"/>
      <c r="AI1" s="1290"/>
      <c r="AJ1" s="1290"/>
      <c r="AK1" s="1290"/>
      <c r="AL1" s="1290"/>
      <c r="AM1" s="1290"/>
      <c r="AN1" s="1290"/>
    </row>
    <row r="2" spans="1:40" ht="17.399999999999999" x14ac:dyDescent="0.35">
      <c r="A2" s="1288" t="str">
        <f>CONCATENATE(ID!A2," ",ID!I2)</f>
        <v>Nomor surat keterangan : 9 / M - 2 / II - 20 / E - 015.38 DL</v>
      </c>
      <c r="B2" s="1288"/>
      <c r="C2" s="1288"/>
      <c r="D2" s="1288"/>
      <c r="E2" s="1288"/>
      <c r="F2" s="1288"/>
      <c r="G2" s="1288"/>
      <c r="H2" s="1288"/>
      <c r="I2" s="1288"/>
      <c r="J2" s="1288"/>
      <c r="K2" s="1288"/>
      <c r="L2" s="1288"/>
      <c r="M2" s="1288"/>
      <c r="N2" s="1288"/>
      <c r="O2" s="1288"/>
      <c r="P2" s="1288"/>
      <c r="V2" s="101" t="s">
        <v>457</v>
      </c>
      <c r="W2" s="641" t="s">
        <v>441</v>
      </c>
      <c r="X2" s="639">
        <v>50</v>
      </c>
      <c r="Y2" s="638" t="s">
        <v>442</v>
      </c>
      <c r="Z2" s="639">
        <v>-0.2</v>
      </c>
      <c r="AA2" s="638" t="s">
        <v>454</v>
      </c>
      <c r="AB2" s="640">
        <v>100</v>
      </c>
      <c r="AC2" s="638" t="s">
        <v>455</v>
      </c>
      <c r="AD2" s="639">
        <v>-0.4</v>
      </c>
      <c r="AF2" s="101" t="s">
        <v>457</v>
      </c>
      <c r="AG2" s="641" t="s">
        <v>441</v>
      </c>
      <c r="AH2" s="639">
        <v>50</v>
      </c>
      <c r="AI2" s="638" t="s">
        <v>442</v>
      </c>
      <c r="AJ2" s="652">
        <f>NIBP!AP11</f>
        <v>3.3333333333333333E-2</v>
      </c>
      <c r="AK2" s="638" t="s">
        <v>454</v>
      </c>
      <c r="AL2" s="640">
        <v>100</v>
      </c>
      <c r="AM2" s="638" t="s">
        <v>455</v>
      </c>
      <c r="AN2" s="652">
        <f>NIBP!AP12</f>
        <v>3.3333333333333333E-2</v>
      </c>
    </row>
    <row r="3" spans="1:40" ht="13.5" customHeight="1" x14ac:dyDescent="0.3">
      <c r="V3" s="101" t="s">
        <v>458</v>
      </c>
      <c r="W3" s="641" t="s">
        <v>441</v>
      </c>
      <c r="X3" s="639">
        <v>100</v>
      </c>
      <c r="Y3" s="638" t="s">
        <v>442</v>
      </c>
      <c r="Z3" s="639">
        <v>-0.4</v>
      </c>
      <c r="AA3" s="638" t="s">
        <v>454</v>
      </c>
      <c r="AB3" s="640">
        <v>150</v>
      </c>
      <c r="AC3" s="638" t="s">
        <v>455</v>
      </c>
      <c r="AD3" s="639">
        <v>-0.7</v>
      </c>
      <c r="AF3" s="101" t="s">
        <v>458</v>
      </c>
      <c r="AG3" s="641" t="s">
        <v>441</v>
      </c>
      <c r="AH3" s="639">
        <v>100</v>
      </c>
      <c r="AI3" s="638" t="s">
        <v>442</v>
      </c>
      <c r="AJ3" s="652">
        <f>NIBP!AP12</f>
        <v>3.3333333333333333E-2</v>
      </c>
      <c r="AK3" s="638" t="s">
        <v>454</v>
      </c>
      <c r="AL3" s="640">
        <v>150</v>
      </c>
      <c r="AM3" s="638" t="s">
        <v>455</v>
      </c>
      <c r="AN3" s="652">
        <f>NIBP!AP13</f>
        <v>3.3333333333333333E-2</v>
      </c>
    </row>
    <row r="4" spans="1:40" ht="13.5" customHeight="1" x14ac:dyDescent="0.3">
      <c r="V4" s="101" t="s">
        <v>459</v>
      </c>
      <c r="W4" s="641" t="s">
        <v>441</v>
      </c>
      <c r="X4" s="639">
        <v>150</v>
      </c>
      <c r="Y4" s="638" t="s">
        <v>442</v>
      </c>
      <c r="Z4" s="639">
        <v>-0.7</v>
      </c>
      <c r="AA4" s="638" t="s">
        <v>454</v>
      </c>
      <c r="AB4" s="640">
        <v>200</v>
      </c>
      <c r="AC4" s="638" t="s">
        <v>455</v>
      </c>
      <c r="AD4" s="639">
        <v>-0.9</v>
      </c>
      <c r="AF4" s="101" t="s">
        <v>459</v>
      </c>
      <c r="AG4" s="641" t="s">
        <v>441</v>
      </c>
      <c r="AH4" s="639">
        <v>150</v>
      </c>
      <c r="AI4" s="638" t="s">
        <v>442</v>
      </c>
      <c r="AJ4" s="652">
        <f>NIBP!AP13</f>
        <v>3.3333333333333333E-2</v>
      </c>
      <c r="AK4" s="638" t="s">
        <v>454</v>
      </c>
      <c r="AL4" s="640">
        <v>200</v>
      </c>
      <c r="AM4" s="638" t="s">
        <v>455</v>
      </c>
      <c r="AN4" s="652">
        <f>NIBP!AP14</f>
        <v>3.3333333333333333E-2</v>
      </c>
    </row>
    <row r="5" spans="1:40" ht="13.5" customHeight="1" x14ac:dyDescent="0.3">
      <c r="A5" s="1283" t="s">
        <v>175</v>
      </c>
      <c r="B5" s="1283"/>
      <c r="C5" s="1283"/>
      <c r="D5" s="1283"/>
      <c r="E5" s="1283"/>
      <c r="F5" s="1283"/>
      <c r="G5" s="1283"/>
      <c r="H5" s="1283"/>
      <c r="I5" s="1283"/>
      <c r="J5" s="1283"/>
      <c r="K5" s="1283"/>
      <c r="L5" s="1283"/>
      <c r="M5" s="1283"/>
      <c r="N5" s="1283"/>
      <c r="O5" s="1283"/>
      <c r="P5" s="1283"/>
    </row>
    <row r="6" spans="1:40" ht="18.75" customHeight="1" x14ac:dyDescent="0.3">
      <c r="A6" s="200">
        <f>ID!D51</f>
        <v>35</v>
      </c>
      <c r="B6" s="201" t="str">
        <f>B7</f>
        <v>mmHg</v>
      </c>
      <c r="C6" s="202">
        <v>1</v>
      </c>
    </row>
    <row r="7" spans="1:40" ht="16.5" customHeight="1" x14ac:dyDescent="0.3">
      <c r="A7" s="1066"/>
      <c r="B7" s="204" t="s">
        <v>176</v>
      </c>
    </row>
    <row r="8" spans="1:40" s="207" customFormat="1" ht="18" x14ac:dyDescent="0.4">
      <c r="A8" s="205" t="s">
        <v>177</v>
      </c>
      <c r="B8" s="205" t="s">
        <v>178</v>
      </c>
      <c r="C8" s="205" t="s">
        <v>179</v>
      </c>
      <c r="D8" s="205" t="s">
        <v>180</v>
      </c>
      <c r="E8" s="205" t="s">
        <v>181</v>
      </c>
      <c r="F8" s="205" t="s">
        <v>182</v>
      </c>
      <c r="G8" s="205" t="s">
        <v>183</v>
      </c>
      <c r="H8" s="205" t="s">
        <v>184</v>
      </c>
      <c r="I8" s="205" t="s">
        <v>185</v>
      </c>
      <c r="J8" s="205" t="s">
        <v>186</v>
      </c>
      <c r="K8" s="206" t="s">
        <v>187</v>
      </c>
      <c r="M8" s="114"/>
      <c r="N8" s="1289"/>
      <c r="O8" s="1289"/>
      <c r="P8" s="1289"/>
      <c r="U8" s="643"/>
      <c r="AD8" s="643"/>
    </row>
    <row r="9" spans="1:40" x14ac:dyDescent="0.3">
      <c r="A9" s="208" t="s">
        <v>188</v>
      </c>
      <c r="B9" s="209" t="s">
        <v>176</v>
      </c>
      <c r="C9" s="210" t="s">
        <v>189</v>
      </c>
      <c r="D9" s="211">
        <f>ID!Q51</f>
        <v>0.44721359549995793</v>
      </c>
      <c r="E9" s="211">
        <f>SQRT(5)</f>
        <v>2.2360679774997898</v>
      </c>
      <c r="F9" s="211">
        <f>(D9/E9)</f>
        <v>0.19999999999999998</v>
      </c>
      <c r="G9" s="212">
        <v>1</v>
      </c>
      <c r="H9" s="212">
        <f>5-1</f>
        <v>4</v>
      </c>
      <c r="I9" s="213">
        <f>F9*G9</f>
        <v>0.19999999999999998</v>
      </c>
      <c r="J9" s="213">
        <f>I9^2</f>
        <v>3.9999999999999994E-2</v>
      </c>
      <c r="K9" s="213">
        <f>((I9)^4)/H9</f>
        <v>3.9999999999999986E-4</v>
      </c>
      <c r="M9" s="214"/>
    </row>
    <row r="10" spans="1:40" x14ac:dyDescent="0.3">
      <c r="A10" s="208" t="s">
        <v>190</v>
      </c>
      <c r="B10" s="209" t="s">
        <v>176</v>
      </c>
      <c r="C10" s="210" t="s">
        <v>189</v>
      </c>
      <c r="D10" s="756">
        <f>INTERPOLASI!AJ18</f>
        <v>0.1</v>
      </c>
      <c r="E10" s="212">
        <v>2</v>
      </c>
      <c r="F10" s="211">
        <f>D10/E10</f>
        <v>0.05</v>
      </c>
      <c r="G10" s="212">
        <v>1</v>
      </c>
      <c r="H10" s="212">
        <v>50</v>
      </c>
      <c r="I10" s="213">
        <f>F10*G10</f>
        <v>0.05</v>
      </c>
      <c r="J10" s="213">
        <f>I10^2</f>
        <v>2.5000000000000005E-3</v>
      </c>
      <c r="K10" s="213">
        <f>((I10)^4)/H10</f>
        <v>1.2500000000000005E-7</v>
      </c>
      <c r="M10" s="214"/>
      <c r="Q10" s="648">
        <f>A7</f>
        <v>0</v>
      </c>
      <c r="R10" s="642" t="s">
        <v>462</v>
      </c>
      <c r="S10" s="647">
        <v>83.664000000000001</v>
      </c>
      <c r="T10" s="207" t="s">
        <v>190</v>
      </c>
      <c r="U10" s="651">
        <f>((((AD2-Z2)*(S10-X2)))/(AB2-X2))+Z2</f>
        <v>-0.33465600000000006</v>
      </c>
    </row>
    <row r="11" spans="1:40" ht="16.5" customHeight="1" x14ac:dyDescent="0.3">
      <c r="A11" s="215" t="s">
        <v>191</v>
      </c>
      <c r="B11" s="209" t="s">
        <v>176</v>
      </c>
      <c r="C11" s="210" t="s">
        <v>192</v>
      </c>
      <c r="D11" s="211">
        <f>ID!$E$14*0.5</f>
        <v>0.5</v>
      </c>
      <c r="E11" s="211">
        <f>SQRT(3)</f>
        <v>1.7320508075688772</v>
      </c>
      <c r="F11" s="211">
        <f>D11/E11</f>
        <v>0.28867513459481292</v>
      </c>
      <c r="G11" s="212">
        <v>1</v>
      </c>
      <c r="H11" s="212">
        <v>50</v>
      </c>
      <c r="I11" s="213">
        <f>F11*G11</f>
        <v>0.28867513459481292</v>
      </c>
      <c r="J11" s="213">
        <f>I11^2</f>
        <v>8.3333333333333356E-2</v>
      </c>
      <c r="K11" s="213">
        <f>((I11)^4)/H11</f>
        <v>1.3888888888888897E-4</v>
      </c>
      <c r="M11" s="216"/>
    </row>
    <row r="12" spans="1:40" x14ac:dyDescent="0.3">
      <c r="A12" s="208" t="s">
        <v>193</v>
      </c>
      <c r="B12" s="209" t="s">
        <v>176</v>
      </c>
      <c r="C12" s="210" t="s">
        <v>192</v>
      </c>
      <c r="D12" s="756">
        <f>INTERPOLASI!BI18</f>
        <v>3.3333333333333333E-2</v>
      </c>
      <c r="E12" s="211">
        <f>SQRT(3)</f>
        <v>1.7320508075688772</v>
      </c>
      <c r="F12" s="211">
        <f>D12/E12</f>
        <v>1.9245008972987525E-2</v>
      </c>
      <c r="G12" s="212">
        <v>1</v>
      </c>
      <c r="H12" s="212">
        <v>50</v>
      </c>
      <c r="I12" s="213">
        <f>F12*G12</f>
        <v>1.9245008972987525E-2</v>
      </c>
      <c r="J12" s="213">
        <f>I12^2</f>
        <v>3.7037037037037035E-4</v>
      </c>
      <c r="K12" s="213">
        <f>((I12)^4)/H12</f>
        <v>2.7434842249657066E-9</v>
      </c>
      <c r="M12" s="216"/>
      <c r="T12" s="114" t="s">
        <v>193</v>
      </c>
      <c r="U12" s="651">
        <f>((((AN2-AJ2)*(S10-AH2)))/(AL2-AH2))+AJ2</f>
        <v>3.3333333333333333E-2</v>
      </c>
    </row>
    <row r="13" spans="1:40" x14ac:dyDescent="0.3">
      <c r="A13" s="217"/>
      <c r="B13" s="217"/>
      <c r="C13" s="217"/>
      <c r="D13" s="217"/>
      <c r="E13" s="459" t="s">
        <v>194</v>
      </c>
      <c r="F13" s="460"/>
      <c r="G13" s="460"/>
      <c r="H13" s="460"/>
      <c r="I13" s="461"/>
      <c r="J13" s="218">
        <f>SUM(J9:J12)</f>
        <v>0.12620370370370373</v>
      </c>
      <c r="K13" s="218">
        <f>SUM(K9:K12)</f>
        <v>5.3901663237311374E-4</v>
      </c>
      <c r="M13" s="216"/>
    </row>
    <row r="14" spans="1:40" ht="15.75" customHeight="1" x14ac:dyDescent="0.4">
      <c r="A14" s="219"/>
      <c r="B14" s="219"/>
      <c r="C14" s="219"/>
      <c r="D14" s="219"/>
      <c r="E14" s="1284" t="s">
        <v>195</v>
      </c>
      <c r="F14" s="1285"/>
      <c r="G14" s="1285"/>
      <c r="H14" s="1285"/>
      <c r="I14" s="1286"/>
      <c r="J14" s="218">
        <f>SQRT(J13)</f>
        <v>0.35525160619440377</v>
      </c>
      <c r="K14" s="213"/>
      <c r="M14" s="216"/>
    </row>
    <row r="15" spans="1:40" ht="15.75" customHeight="1" x14ac:dyDescent="0.3">
      <c r="A15" s="219"/>
      <c r="B15" s="219"/>
      <c r="C15" s="219"/>
      <c r="D15" s="219"/>
      <c r="E15" s="1284" t="s">
        <v>196</v>
      </c>
      <c r="F15" s="1285"/>
      <c r="G15" s="1285"/>
      <c r="H15" s="1285"/>
      <c r="I15" s="1286"/>
      <c r="J15" s="218">
        <f>((J14)^4)/K13</f>
        <v>29.548948718723626</v>
      </c>
      <c r="K15" s="213"/>
      <c r="M15" s="216"/>
    </row>
    <row r="16" spans="1:40" ht="15.75" customHeight="1" x14ac:dyDescent="0.3">
      <c r="A16" s="219"/>
      <c r="B16" s="219"/>
      <c r="C16" s="219"/>
      <c r="D16" s="219"/>
      <c r="E16" s="1284" t="s">
        <v>197</v>
      </c>
      <c r="F16" s="1285"/>
      <c r="G16" s="1285"/>
      <c r="H16" s="1285"/>
      <c r="I16" s="1286"/>
      <c r="J16" s="213">
        <f>TINV(0.05,J15)</f>
        <v>2.0452296421327048</v>
      </c>
      <c r="K16" s="213"/>
      <c r="M16" s="216"/>
    </row>
    <row r="17" spans="1:22" ht="15.75" customHeight="1" x14ac:dyDescent="0.3">
      <c r="A17" s="219"/>
      <c r="B17" s="219"/>
      <c r="C17" s="219"/>
      <c r="D17" s="219"/>
      <c r="E17" s="1284" t="s">
        <v>198</v>
      </c>
      <c r="F17" s="1285"/>
      <c r="G17" s="1285"/>
      <c r="H17" s="1285"/>
      <c r="I17" s="1286"/>
      <c r="J17" s="220">
        <f>J16*J14</f>
        <v>0.72657111540404895</v>
      </c>
      <c r="K17" s="213"/>
      <c r="M17" s="216"/>
    </row>
    <row r="18" spans="1:22" ht="15.75" hidden="1" customHeight="1" x14ac:dyDescent="0.3">
      <c r="A18" s="219"/>
      <c r="B18" s="219"/>
      <c r="C18" s="219"/>
      <c r="D18" s="219"/>
      <c r="E18" s="221"/>
      <c r="F18" s="221"/>
      <c r="G18" s="221"/>
      <c r="H18" s="221"/>
      <c r="I18" s="221"/>
      <c r="J18" s="222"/>
      <c r="K18" s="223"/>
      <c r="M18" s="216"/>
      <c r="S18" s="114">
        <f>ID!BH59</f>
        <v>195</v>
      </c>
    </row>
    <row r="19" spans="1:22" ht="15.75" hidden="1" customHeight="1" x14ac:dyDescent="0.3">
      <c r="A19" s="219"/>
      <c r="B19" s="219"/>
      <c r="C19" s="219"/>
      <c r="D19" s="219"/>
      <c r="E19" s="221"/>
      <c r="F19" s="221"/>
      <c r="G19" s="221"/>
      <c r="H19" s="221"/>
      <c r="I19" s="221"/>
      <c r="J19" s="224"/>
      <c r="K19" s="223"/>
      <c r="M19" s="216"/>
      <c r="S19" s="114">
        <f>ID!BH60</f>
        <v>145</v>
      </c>
    </row>
    <row r="20" spans="1:22" ht="15.75" customHeight="1" x14ac:dyDescent="0.3">
      <c r="A20" s="225">
        <f>ID!D52</f>
        <v>15</v>
      </c>
      <c r="B20" s="226" t="str">
        <f>B21</f>
        <v>mmHg</v>
      </c>
      <c r="C20" s="227">
        <v>1</v>
      </c>
      <c r="D20" s="219"/>
      <c r="E20" s="221"/>
      <c r="F20" s="221"/>
      <c r="G20" s="221"/>
      <c r="H20" s="221"/>
      <c r="I20" s="221"/>
      <c r="J20" s="224"/>
      <c r="K20" s="223"/>
      <c r="M20" s="216"/>
    </row>
    <row r="21" spans="1:22" ht="9.75" customHeight="1" x14ac:dyDescent="0.3">
      <c r="A21" s="203">
        <f>ID!L52</f>
        <v>49.294000019880002</v>
      </c>
      <c r="B21" s="204" t="s">
        <v>176</v>
      </c>
      <c r="M21" s="216"/>
      <c r="N21" s="216"/>
      <c r="O21" s="216"/>
      <c r="P21" s="216"/>
    </row>
    <row r="22" spans="1:22" s="207" customFormat="1" ht="18" x14ac:dyDescent="0.4">
      <c r="A22" s="205" t="s">
        <v>177</v>
      </c>
      <c r="B22" s="205" t="s">
        <v>178</v>
      </c>
      <c r="C22" s="205" t="s">
        <v>179</v>
      </c>
      <c r="D22" s="205" t="s">
        <v>180</v>
      </c>
      <c r="E22" s="205" t="s">
        <v>181</v>
      </c>
      <c r="F22" s="205" t="s">
        <v>182</v>
      </c>
      <c r="G22" s="205" t="s">
        <v>183</v>
      </c>
      <c r="H22" s="205" t="s">
        <v>184</v>
      </c>
      <c r="I22" s="205" t="s">
        <v>185</v>
      </c>
      <c r="J22" s="205" t="s">
        <v>186</v>
      </c>
      <c r="K22" s="206" t="s">
        <v>187</v>
      </c>
      <c r="M22" s="114"/>
      <c r="N22" s="228"/>
      <c r="O22" s="228"/>
      <c r="P22" s="229"/>
      <c r="U22" s="643"/>
      <c r="V22" s="645"/>
    </row>
    <row r="23" spans="1:22" x14ac:dyDescent="0.3">
      <c r="A23" s="208" t="s">
        <v>188</v>
      </c>
      <c r="B23" s="209" t="s">
        <v>176</v>
      </c>
      <c r="C23" s="210" t="s">
        <v>189</v>
      </c>
      <c r="D23" s="211">
        <f>ID!Q52</f>
        <v>0</v>
      </c>
      <c r="E23" s="211">
        <f>SQRT(5)</f>
        <v>2.2360679774997898</v>
      </c>
      <c r="F23" s="211">
        <f>(D23/E23)</f>
        <v>0</v>
      </c>
      <c r="G23" s="212">
        <v>1</v>
      </c>
      <c r="H23" s="212">
        <f>5-1</f>
        <v>4</v>
      </c>
      <c r="I23" s="213">
        <f>F23*G23</f>
        <v>0</v>
      </c>
      <c r="J23" s="213">
        <f>I23^2</f>
        <v>0</v>
      </c>
      <c r="K23" s="213">
        <f>((I23)^4)/H23</f>
        <v>0</v>
      </c>
      <c r="N23" s="228"/>
      <c r="O23" s="228"/>
      <c r="P23" s="229"/>
    </row>
    <row r="24" spans="1:22" x14ac:dyDescent="0.3">
      <c r="A24" s="208" t="s">
        <v>190</v>
      </c>
      <c r="B24" s="209" t="s">
        <v>176</v>
      </c>
      <c r="C24" s="210" t="s">
        <v>189</v>
      </c>
      <c r="D24" s="756">
        <f>INTERPOLASI!AU18</f>
        <v>0.1</v>
      </c>
      <c r="E24" s="212">
        <v>2</v>
      </c>
      <c r="F24" s="211">
        <f>D24/E24</f>
        <v>0.05</v>
      </c>
      <c r="G24" s="212">
        <v>1</v>
      </c>
      <c r="H24" s="212">
        <v>50</v>
      </c>
      <c r="I24" s="213">
        <f>F24*G24</f>
        <v>0.05</v>
      </c>
      <c r="J24" s="213">
        <f>I24^2</f>
        <v>2.5000000000000005E-3</v>
      </c>
      <c r="K24" s="213">
        <f>((I24)^4)/H24</f>
        <v>1.2500000000000005E-7</v>
      </c>
      <c r="Q24" s="648">
        <f>A21</f>
        <v>49.294000019880002</v>
      </c>
      <c r="R24" s="642" t="s">
        <v>462</v>
      </c>
      <c r="S24" s="647">
        <v>53.783999999999999</v>
      </c>
      <c r="T24" s="207" t="s">
        <v>190</v>
      </c>
      <c r="U24" s="651">
        <f>((((AD2-Z2)*(S24-X2)))/(AB2-X2))+Z2</f>
        <v>-0.21513599999999999</v>
      </c>
    </row>
    <row r="25" spans="1:22" ht="16.5" customHeight="1" x14ac:dyDescent="0.3">
      <c r="A25" s="215" t="s">
        <v>191</v>
      </c>
      <c r="B25" s="209" t="s">
        <v>176</v>
      </c>
      <c r="C25" s="210" t="s">
        <v>192</v>
      </c>
      <c r="D25" s="211">
        <f>D11</f>
        <v>0.5</v>
      </c>
      <c r="E25" s="211">
        <f>SQRT(3)</f>
        <v>1.7320508075688772</v>
      </c>
      <c r="F25" s="211">
        <f>D25/E25</f>
        <v>0.28867513459481292</v>
      </c>
      <c r="G25" s="212">
        <v>1</v>
      </c>
      <c r="H25" s="212">
        <v>50</v>
      </c>
      <c r="I25" s="213">
        <f>F25*G25</f>
        <v>0.28867513459481292</v>
      </c>
      <c r="J25" s="213">
        <f>I25^2</f>
        <v>8.3333333333333356E-2</v>
      </c>
      <c r="K25" s="213">
        <f>((I25)^4)/H25</f>
        <v>1.3888888888888897E-4</v>
      </c>
    </row>
    <row r="26" spans="1:22" x14ac:dyDescent="0.3">
      <c r="A26" s="208" t="s">
        <v>193</v>
      </c>
      <c r="B26" s="209" t="s">
        <v>176</v>
      </c>
      <c r="C26" s="210" t="s">
        <v>192</v>
      </c>
      <c r="D26" s="756">
        <f>INTERPOLASI!BT18</f>
        <v>3.3333333333333333E-2</v>
      </c>
      <c r="E26" s="211">
        <f>SQRT(3)</f>
        <v>1.7320508075688772</v>
      </c>
      <c r="F26" s="211">
        <f>D26/E26</f>
        <v>1.9245008972987525E-2</v>
      </c>
      <c r="G26" s="212">
        <v>1</v>
      </c>
      <c r="H26" s="212">
        <v>50</v>
      </c>
      <c r="I26" s="213">
        <f>F26*G26</f>
        <v>1.9245008972987525E-2</v>
      </c>
      <c r="J26" s="213">
        <f>I26^2</f>
        <v>3.7037037037037035E-4</v>
      </c>
      <c r="K26" s="213">
        <f>((I26)^4)/H26</f>
        <v>2.7434842249657066E-9</v>
      </c>
      <c r="T26" s="114" t="s">
        <v>193</v>
      </c>
      <c r="U26" s="651">
        <f>((((AN2-AJ2)*(S24-AH2)))/(AL2-AH2))+AJ2</f>
        <v>3.3333333333333333E-2</v>
      </c>
    </row>
    <row r="27" spans="1:22" x14ac:dyDescent="0.3">
      <c r="A27" s="217"/>
      <c r="B27" s="217"/>
      <c r="C27" s="217"/>
      <c r="D27" s="217"/>
      <c r="E27" s="459" t="s">
        <v>194</v>
      </c>
      <c r="F27" s="460"/>
      <c r="G27" s="460"/>
      <c r="H27" s="460"/>
      <c r="I27" s="461"/>
      <c r="J27" s="218">
        <f>SUM(J23:J26)</f>
        <v>8.6203703703703727E-2</v>
      </c>
      <c r="K27" s="218">
        <f>SUM(K23:K26)</f>
        <v>1.3901663237311391E-4</v>
      </c>
    </row>
    <row r="28" spans="1:22" ht="15.75" customHeight="1" x14ac:dyDescent="0.4">
      <c r="A28" s="219"/>
      <c r="B28" s="219"/>
      <c r="C28" s="219"/>
      <c r="D28" s="219"/>
      <c r="E28" s="1284" t="s">
        <v>195</v>
      </c>
      <c r="F28" s="1285"/>
      <c r="G28" s="1285"/>
      <c r="H28" s="1285"/>
      <c r="I28" s="1286"/>
      <c r="J28" s="218">
        <f>SQRT(J27)</f>
        <v>0.29360467248275141</v>
      </c>
      <c r="K28" s="213"/>
    </row>
    <row r="29" spans="1:22" ht="15.75" customHeight="1" x14ac:dyDescent="0.3">
      <c r="A29" s="219"/>
      <c r="B29" s="219"/>
      <c r="C29" s="219"/>
      <c r="D29" s="219"/>
      <c r="E29" s="1284" t="s">
        <v>196</v>
      </c>
      <c r="F29" s="1285"/>
      <c r="G29" s="1285"/>
      <c r="H29" s="1285"/>
      <c r="I29" s="1286"/>
      <c r="J29" s="218">
        <f>((J28)^4)/K27</f>
        <v>53.454600398399009</v>
      </c>
      <c r="K29" s="230"/>
    </row>
    <row r="30" spans="1:22" ht="15.75" customHeight="1" x14ac:dyDescent="0.3">
      <c r="A30" s="219"/>
      <c r="B30" s="219"/>
      <c r="C30" s="219"/>
      <c r="D30" s="219"/>
      <c r="E30" s="1284" t="s">
        <v>197</v>
      </c>
      <c r="F30" s="1285"/>
      <c r="G30" s="1285"/>
      <c r="H30" s="1285"/>
      <c r="I30" s="1286"/>
      <c r="J30" s="213">
        <f>TINV(0.05,J29)</f>
        <v>2.0057459953178696</v>
      </c>
      <c r="K30" s="213">
        <f>1.95996+(2.37356/J29)+(2.818745/J29^2)+(2.546662/J29^3)+(1.7861829/J29^4)+(0.245458/J29^5)+(1.000764/J29^6)</f>
        <v>2.0053666540893276</v>
      </c>
    </row>
    <row r="31" spans="1:22" ht="15.75" customHeight="1" x14ac:dyDescent="0.3">
      <c r="A31" s="219"/>
      <c r="B31" s="219"/>
      <c r="C31" s="219"/>
      <c r="D31" s="219"/>
      <c r="E31" s="1284" t="s">
        <v>198</v>
      </c>
      <c r="F31" s="1285"/>
      <c r="G31" s="1285"/>
      <c r="H31" s="1285"/>
      <c r="I31" s="1286"/>
      <c r="J31" s="220">
        <f>J30*J28</f>
        <v>0.58889639603889332</v>
      </c>
      <c r="K31" s="213"/>
    </row>
    <row r="32" spans="1:22" ht="15.75" hidden="1" customHeight="1" x14ac:dyDescent="0.3">
      <c r="A32" s="219"/>
      <c r="B32" s="219"/>
      <c r="C32" s="219"/>
      <c r="D32" s="219"/>
      <c r="E32" s="221"/>
      <c r="F32" s="221"/>
      <c r="G32" s="221"/>
      <c r="H32" s="221"/>
      <c r="I32" s="221"/>
      <c r="J32" s="222"/>
      <c r="K32" s="223"/>
    </row>
    <row r="33" spans="1:22" ht="15.75" hidden="1" customHeight="1" x14ac:dyDescent="0.3">
      <c r="A33" s="219"/>
      <c r="B33" s="219"/>
      <c r="C33" s="219"/>
      <c r="D33" s="219"/>
      <c r="E33" s="221"/>
      <c r="F33" s="221"/>
      <c r="G33" s="221"/>
      <c r="H33" s="221"/>
      <c r="I33" s="221"/>
      <c r="J33" s="224"/>
      <c r="K33" s="223"/>
    </row>
    <row r="34" spans="1:22" ht="15.75" customHeight="1" x14ac:dyDescent="0.3">
      <c r="A34" s="225">
        <f>ID!D53</f>
        <v>60</v>
      </c>
      <c r="B34" s="226" t="str">
        <f>B35</f>
        <v>mmHg</v>
      </c>
      <c r="C34" s="227">
        <v>2</v>
      </c>
      <c r="D34" s="219"/>
      <c r="E34" s="221"/>
      <c r="F34" s="221"/>
      <c r="G34" s="221"/>
      <c r="H34" s="221"/>
      <c r="I34" s="221"/>
      <c r="J34" s="224"/>
      <c r="K34" s="223"/>
    </row>
    <row r="35" spans="1:22" ht="9.75" customHeight="1" x14ac:dyDescent="0.3">
      <c r="A35" s="203">
        <f>ID!L53</f>
        <v>98.904799999999994</v>
      </c>
      <c r="B35" s="204" t="s">
        <v>176</v>
      </c>
    </row>
    <row r="36" spans="1:22" s="207" customFormat="1" ht="18" x14ac:dyDescent="0.4">
      <c r="A36" s="205" t="s">
        <v>177</v>
      </c>
      <c r="B36" s="205" t="s">
        <v>178</v>
      </c>
      <c r="C36" s="205" t="s">
        <v>179</v>
      </c>
      <c r="D36" s="205" t="s">
        <v>180</v>
      </c>
      <c r="E36" s="205" t="s">
        <v>181</v>
      </c>
      <c r="F36" s="205" t="s">
        <v>182</v>
      </c>
      <c r="G36" s="205" t="s">
        <v>183</v>
      </c>
      <c r="H36" s="205" t="s">
        <v>184</v>
      </c>
      <c r="I36" s="205" t="s">
        <v>185</v>
      </c>
      <c r="J36" s="205" t="s">
        <v>186</v>
      </c>
      <c r="K36" s="206" t="s">
        <v>187</v>
      </c>
      <c r="U36" s="643"/>
      <c r="V36" s="645"/>
    </row>
    <row r="37" spans="1:22" x14ac:dyDescent="0.3">
      <c r="A37" s="208" t="s">
        <v>188</v>
      </c>
      <c r="B37" s="209" t="s">
        <v>176</v>
      </c>
      <c r="C37" s="210" t="s">
        <v>189</v>
      </c>
      <c r="D37" s="211">
        <f>ID!Q53</f>
        <v>0.44721359549995793</v>
      </c>
      <c r="E37" s="211">
        <f>SQRT(5)</f>
        <v>2.2360679774997898</v>
      </c>
      <c r="F37" s="211">
        <f>(D37/E37)</f>
        <v>0.19999999999999998</v>
      </c>
      <c r="G37" s="212">
        <v>1</v>
      </c>
      <c r="H37" s="212">
        <f>5-1</f>
        <v>4</v>
      </c>
      <c r="I37" s="213">
        <f>F37*G37</f>
        <v>0.19999999999999998</v>
      </c>
      <c r="J37" s="213">
        <f>I37^2</f>
        <v>3.9999999999999994E-2</v>
      </c>
      <c r="K37" s="213">
        <f>((I37)^4)/H37</f>
        <v>3.9999999999999986E-4</v>
      </c>
    </row>
    <row r="38" spans="1:22" x14ac:dyDescent="0.3">
      <c r="A38" s="208" t="s">
        <v>190</v>
      </c>
      <c r="B38" s="209" t="s">
        <v>176</v>
      </c>
      <c r="C38" s="210" t="s">
        <v>189</v>
      </c>
      <c r="D38" s="756">
        <f>INTERPOLASI!AJ19</f>
        <v>0.1</v>
      </c>
      <c r="E38" s="212">
        <v>2</v>
      </c>
      <c r="F38" s="211">
        <f>D38/E38</f>
        <v>0.05</v>
      </c>
      <c r="G38" s="212">
        <v>1</v>
      </c>
      <c r="H38" s="212">
        <v>50</v>
      </c>
      <c r="I38" s="213">
        <f>F38*G38</f>
        <v>0.05</v>
      </c>
      <c r="J38" s="213">
        <f>I38^2</f>
        <v>2.5000000000000005E-3</v>
      </c>
      <c r="K38" s="213">
        <f>((I38)^4)/H38</f>
        <v>1.2500000000000005E-7</v>
      </c>
      <c r="Q38" s="648">
        <f>A35</f>
        <v>98.904799999999994</v>
      </c>
      <c r="R38" s="642" t="s">
        <v>462</v>
      </c>
      <c r="S38" s="649">
        <v>103.57599999999999</v>
      </c>
      <c r="T38" s="207" t="s">
        <v>190</v>
      </c>
      <c r="U38" s="651">
        <f>((((AD3-Z3)*(S38-X3)))/(AB3-X3))+Z3</f>
        <v>-0.421456</v>
      </c>
    </row>
    <row r="39" spans="1:22" ht="16.5" customHeight="1" x14ac:dyDescent="0.3">
      <c r="A39" s="208" t="s">
        <v>191</v>
      </c>
      <c r="B39" s="209" t="s">
        <v>176</v>
      </c>
      <c r="C39" s="210" t="s">
        <v>192</v>
      </c>
      <c r="D39" s="211">
        <f>D11</f>
        <v>0.5</v>
      </c>
      <c r="E39" s="211">
        <f>SQRT(3)</f>
        <v>1.7320508075688772</v>
      </c>
      <c r="F39" s="211">
        <f>D39/E39</f>
        <v>0.28867513459481292</v>
      </c>
      <c r="G39" s="212">
        <v>1</v>
      </c>
      <c r="H39" s="212">
        <v>50</v>
      </c>
      <c r="I39" s="213">
        <f>F39*G39</f>
        <v>0.28867513459481292</v>
      </c>
      <c r="J39" s="213">
        <f>I39^2</f>
        <v>8.3333333333333356E-2</v>
      </c>
      <c r="K39" s="213">
        <f>((I39)^4)/H39</f>
        <v>1.3888888888888897E-4</v>
      </c>
    </row>
    <row r="40" spans="1:22" x14ac:dyDescent="0.3">
      <c r="A40" s="208" t="s">
        <v>193</v>
      </c>
      <c r="B40" s="209" t="s">
        <v>176</v>
      </c>
      <c r="C40" s="210" t="s">
        <v>192</v>
      </c>
      <c r="D40" s="756">
        <f>INTERPOLASI!BI19</f>
        <v>3.3333333333333333E-2</v>
      </c>
      <c r="E40" s="211">
        <f>SQRT(3)</f>
        <v>1.7320508075688772</v>
      </c>
      <c r="F40" s="211">
        <f>D40/E40</f>
        <v>1.9245008972987525E-2</v>
      </c>
      <c r="G40" s="212">
        <v>1</v>
      </c>
      <c r="H40" s="212">
        <v>50</v>
      </c>
      <c r="I40" s="213">
        <f>F40*G40</f>
        <v>1.9245008972987525E-2</v>
      </c>
      <c r="J40" s="213">
        <f>I40^2</f>
        <v>3.7037037037037035E-4</v>
      </c>
      <c r="K40" s="213">
        <f>((I40)^4)/H40</f>
        <v>2.7434842249657066E-9</v>
      </c>
      <c r="T40" s="114" t="s">
        <v>193</v>
      </c>
      <c r="U40" s="651">
        <f>((((AN3-AJ3)*(S38-AH3)))/(AL3-AH3))+AJ3</f>
        <v>3.3333333333333333E-2</v>
      </c>
    </row>
    <row r="41" spans="1:22" x14ac:dyDescent="0.3">
      <c r="A41" s="217"/>
      <c r="B41" s="217"/>
      <c r="C41" s="217"/>
      <c r="D41" s="217"/>
      <c r="E41" s="459" t="s">
        <v>194</v>
      </c>
      <c r="F41" s="460"/>
      <c r="G41" s="460"/>
      <c r="H41" s="460"/>
      <c r="I41" s="461"/>
      <c r="J41" s="218">
        <f>SUM(J37:J40)</f>
        <v>0.12620370370370373</v>
      </c>
      <c r="K41" s="218">
        <f>SUM(K37:K40)</f>
        <v>5.3901663237311374E-4</v>
      </c>
    </row>
    <row r="42" spans="1:22" ht="15.75" customHeight="1" x14ac:dyDescent="0.4">
      <c r="A42" s="219"/>
      <c r="B42" s="219"/>
      <c r="C42" s="219"/>
      <c r="D42" s="219"/>
      <c r="E42" s="1284" t="s">
        <v>195</v>
      </c>
      <c r="F42" s="1285"/>
      <c r="G42" s="1285"/>
      <c r="H42" s="1285"/>
      <c r="I42" s="1286"/>
      <c r="J42" s="218">
        <f>SQRT(J41)</f>
        <v>0.35525160619440377</v>
      </c>
      <c r="K42" s="213"/>
    </row>
    <row r="43" spans="1:22" ht="15.75" customHeight="1" x14ac:dyDescent="0.3">
      <c r="A43" s="219"/>
      <c r="B43" s="219"/>
      <c r="C43" s="219"/>
      <c r="D43" s="219"/>
      <c r="E43" s="1284" t="s">
        <v>196</v>
      </c>
      <c r="F43" s="1285"/>
      <c r="G43" s="1285"/>
      <c r="H43" s="1285"/>
      <c r="I43" s="1286"/>
      <c r="J43" s="218">
        <f>((J42)^4)/K41</f>
        <v>29.548948718723626</v>
      </c>
      <c r="K43" s="213"/>
    </row>
    <row r="44" spans="1:22" ht="15.75" customHeight="1" x14ac:dyDescent="0.3">
      <c r="A44" s="219"/>
      <c r="B44" s="219"/>
      <c r="C44" s="219"/>
      <c r="D44" s="219"/>
      <c r="E44" s="1284" t="s">
        <v>197</v>
      </c>
      <c r="F44" s="1285"/>
      <c r="G44" s="1285"/>
      <c r="H44" s="1285"/>
      <c r="I44" s="1286"/>
      <c r="J44" s="213">
        <f>TINV(0.05,J43)</f>
        <v>2.0452296421327048</v>
      </c>
      <c r="K44" s="213"/>
    </row>
    <row r="45" spans="1:22" ht="15.75" customHeight="1" x14ac:dyDescent="0.3">
      <c r="A45" s="219"/>
      <c r="B45" s="219"/>
      <c r="C45" s="219"/>
      <c r="D45" s="219"/>
      <c r="E45" s="1284" t="s">
        <v>198</v>
      </c>
      <c r="F45" s="1285"/>
      <c r="G45" s="1285"/>
      <c r="H45" s="1285"/>
      <c r="I45" s="1286"/>
      <c r="J45" s="220">
        <f>J44*J42</f>
        <v>0.72657111540404895</v>
      </c>
      <c r="K45" s="213"/>
    </row>
    <row r="46" spans="1:22" hidden="1" x14ac:dyDescent="0.3">
      <c r="J46" s="222"/>
    </row>
    <row r="47" spans="1:22" hidden="1" x14ac:dyDescent="0.3"/>
    <row r="48" spans="1:22" hidden="1" x14ac:dyDescent="0.3"/>
    <row r="49" spans="1:21" hidden="1" x14ac:dyDescent="0.3"/>
    <row r="50" spans="1:21" hidden="1" x14ac:dyDescent="0.3"/>
    <row r="51" spans="1:21" hidden="1" x14ac:dyDescent="0.3"/>
    <row r="52" spans="1:21" hidden="1" x14ac:dyDescent="0.3"/>
    <row r="53" spans="1:21" hidden="1" x14ac:dyDescent="0.3"/>
    <row r="54" spans="1:21" hidden="1" x14ac:dyDescent="0.3"/>
    <row r="55" spans="1:21" hidden="1" x14ac:dyDescent="0.3"/>
    <row r="56" spans="1:21" hidden="1" x14ac:dyDescent="0.3"/>
    <row r="57" spans="1:21" x14ac:dyDescent="0.3">
      <c r="A57" s="225">
        <f>ID!D54</f>
        <v>30</v>
      </c>
      <c r="B57" s="226" t="str">
        <f>B58</f>
        <v>mmHg</v>
      </c>
      <c r="C57" s="227">
        <v>2</v>
      </c>
      <c r="D57" s="219"/>
      <c r="E57" s="221"/>
      <c r="F57" s="221"/>
      <c r="G57" s="221"/>
      <c r="H57" s="221"/>
      <c r="I57" s="221"/>
      <c r="J57" s="224"/>
      <c r="K57" s="223"/>
    </row>
    <row r="58" spans="1:21" x14ac:dyDescent="0.3">
      <c r="A58" s="203">
        <f>ID!L54</f>
        <v>63.447200000000002</v>
      </c>
      <c r="B58" s="204" t="s">
        <v>176</v>
      </c>
    </row>
    <row r="59" spans="1:21" ht="18" x14ac:dyDescent="0.4">
      <c r="A59" s="205" t="s">
        <v>177</v>
      </c>
      <c r="B59" s="205" t="s">
        <v>178</v>
      </c>
      <c r="C59" s="205" t="s">
        <v>179</v>
      </c>
      <c r="D59" s="205" t="s">
        <v>180</v>
      </c>
      <c r="E59" s="205" t="s">
        <v>181</v>
      </c>
      <c r="F59" s="205" t="s">
        <v>182</v>
      </c>
      <c r="G59" s="205" t="s">
        <v>183</v>
      </c>
      <c r="H59" s="205" t="s">
        <v>184</v>
      </c>
      <c r="I59" s="205" t="s">
        <v>185</v>
      </c>
      <c r="J59" s="205" t="s">
        <v>186</v>
      </c>
      <c r="K59" s="206" t="s">
        <v>187</v>
      </c>
    </row>
    <row r="60" spans="1:21" x14ac:dyDescent="0.3">
      <c r="A60" s="208" t="s">
        <v>188</v>
      </c>
      <c r="B60" s="209" t="s">
        <v>176</v>
      </c>
      <c r="C60" s="210" t="s">
        <v>189</v>
      </c>
      <c r="D60" s="211">
        <f>ID!Q54</f>
        <v>0.44721359549995793</v>
      </c>
      <c r="E60" s="211">
        <f>SQRT(5)</f>
        <v>2.2360679774997898</v>
      </c>
      <c r="F60" s="211">
        <f>(D60/E60)</f>
        <v>0.19999999999999998</v>
      </c>
      <c r="G60" s="212">
        <v>1</v>
      </c>
      <c r="H60" s="212">
        <f>5-1</f>
        <v>4</v>
      </c>
      <c r="I60" s="213">
        <f>F60*G60</f>
        <v>0.19999999999999998</v>
      </c>
      <c r="J60" s="213">
        <f>I60^2</f>
        <v>3.9999999999999994E-2</v>
      </c>
      <c r="K60" s="213">
        <f>((I60)^4)/H60</f>
        <v>3.9999999999999986E-4</v>
      </c>
    </row>
    <row r="61" spans="1:21" x14ac:dyDescent="0.3">
      <c r="A61" s="208" t="s">
        <v>190</v>
      </c>
      <c r="B61" s="209" t="s">
        <v>176</v>
      </c>
      <c r="C61" s="210" t="s">
        <v>189</v>
      </c>
      <c r="D61" s="756">
        <f>INTERPOLASI!AU19</f>
        <v>0.1</v>
      </c>
      <c r="E61" s="212">
        <v>2</v>
      </c>
      <c r="F61" s="211">
        <f>D61/E61</f>
        <v>0.05</v>
      </c>
      <c r="G61" s="212">
        <v>1</v>
      </c>
      <c r="H61" s="212">
        <v>50</v>
      </c>
      <c r="I61" s="213">
        <f>F61*G61</f>
        <v>0.05</v>
      </c>
      <c r="J61" s="213">
        <f>I61^2</f>
        <v>2.5000000000000005E-3</v>
      </c>
      <c r="K61" s="213">
        <f>((I61)^4)/H61</f>
        <v>1.2500000000000005E-7</v>
      </c>
      <c r="Q61" s="648">
        <f>A58</f>
        <v>63.447200000000002</v>
      </c>
      <c r="R61" s="642" t="s">
        <v>462</v>
      </c>
      <c r="S61" s="649">
        <v>68.724000000000004</v>
      </c>
      <c r="T61" s="207" t="s">
        <v>190</v>
      </c>
      <c r="U61" s="651">
        <f>((((AD2-Z2)*(S61-X2)))/(AB2-X2))+Z2</f>
        <v>-0.27489600000000003</v>
      </c>
    </row>
    <row r="62" spans="1:21" x14ac:dyDescent="0.3">
      <c r="A62" s="208" t="s">
        <v>191</v>
      </c>
      <c r="B62" s="209" t="s">
        <v>176</v>
      </c>
      <c r="C62" s="210" t="s">
        <v>192</v>
      </c>
      <c r="D62" s="211">
        <f>D11</f>
        <v>0.5</v>
      </c>
      <c r="E62" s="211">
        <f>SQRT(3)</f>
        <v>1.7320508075688772</v>
      </c>
      <c r="F62" s="211">
        <f>D62/E62</f>
        <v>0.28867513459481292</v>
      </c>
      <c r="G62" s="212">
        <v>1</v>
      </c>
      <c r="H62" s="212">
        <v>50</v>
      </c>
      <c r="I62" s="213">
        <f>F62*G62</f>
        <v>0.28867513459481292</v>
      </c>
      <c r="J62" s="213">
        <f>I62^2</f>
        <v>8.3333333333333356E-2</v>
      </c>
      <c r="K62" s="213">
        <f>((I62)^4)/H62</f>
        <v>1.3888888888888897E-4</v>
      </c>
    </row>
    <row r="63" spans="1:21" x14ac:dyDescent="0.3">
      <c r="A63" s="208" t="s">
        <v>193</v>
      </c>
      <c r="B63" s="209" t="s">
        <v>176</v>
      </c>
      <c r="C63" s="210" t="s">
        <v>192</v>
      </c>
      <c r="D63" s="756">
        <f>INTERPOLASI!BT19</f>
        <v>3.3333333333333333E-2</v>
      </c>
      <c r="E63" s="211">
        <f>SQRT(3)</f>
        <v>1.7320508075688772</v>
      </c>
      <c r="F63" s="211">
        <f>D63/E63</f>
        <v>1.9245008972987525E-2</v>
      </c>
      <c r="G63" s="212">
        <v>1</v>
      </c>
      <c r="H63" s="212">
        <v>50</v>
      </c>
      <c r="I63" s="213">
        <f>F63*G63</f>
        <v>1.9245008972987525E-2</v>
      </c>
      <c r="J63" s="213">
        <f>I63^2</f>
        <v>3.7037037037037035E-4</v>
      </c>
      <c r="K63" s="213">
        <f>((I63)^4)/H63</f>
        <v>2.7434842249657066E-9</v>
      </c>
      <c r="T63" s="114" t="s">
        <v>193</v>
      </c>
      <c r="U63" s="651">
        <f>((((AN2-AJ2)*(S61-AH2)))/(AL2-AH2))+AJ2</f>
        <v>3.3333333333333333E-2</v>
      </c>
    </row>
    <row r="64" spans="1:21" x14ac:dyDescent="0.3">
      <c r="A64" s="217"/>
      <c r="B64" s="217"/>
      <c r="C64" s="217"/>
      <c r="D64" s="217"/>
      <c r="E64" s="459" t="s">
        <v>194</v>
      </c>
      <c r="F64" s="460"/>
      <c r="G64" s="460"/>
      <c r="H64" s="460"/>
      <c r="I64" s="461"/>
      <c r="J64" s="218">
        <f>SUM(J60:J63)</f>
        <v>0.12620370370370373</v>
      </c>
      <c r="K64" s="218">
        <f>SUM(K60:K63)</f>
        <v>5.3901663237311374E-4</v>
      </c>
    </row>
    <row r="65" spans="1:21" ht="16.8" x14ac:dyDescent="0.4">
      <c r="A65" s="219"/>
      <c r="B65" s="219"/>
      <c r="C65" s="219"/>
      <c r="D65" s="219"/>
      <c r="E65" s="1284" t="s">
        <v>195</v>
      </c>
      <c r="F65" s="1285"/>
      <c r="G65" s="1285"/>
      <c r="H65" s="1285"/>
      <c r="I65" s="1286"/>
      <c r="J65" s="218">
        <f>SQRT(J64)</f>
        <v>0.35525160619440377</v>
      </c>
      <c r="K65" s="213"/>
    </row>
    <row r="66" spans="1:21" x14ac:dyDescent="0.3">
      <c r="A66" s="219"/>
      <c r="B66" s="219"/>
      <c r="C66" s="219"/>
      <c r="D66" s="219"/>
      <c r="E66" s="1284" t="s">
        <v>196</v>
      </c>
      <c r="F66" s="1285"/>
      <c r="G66" s="1285"/>
      <c r="H66" s="1285"/>
      <c r="I66" s="1286"/>
      <c r="J66" s="218">
        <f>((J65)^4)/K64</f>
        <v>29.548948718723626</v>
      </c>
      <c r="K66" s="213"/>
    </row>
    <row r="67" spans="1:21" x14ac:dyDescent="0.3">
      <c r="A67" s="219"/>
      <c r="B67" s="219"/>
      <c r="C67" s="219"/>
      <c r="D67" s="219"/>
      <c r="E67" s="1284" t="s">
        <v>197</v>
      </c>
      <c r="F67" s="1285"/>
      <c r="G67" s="1285"/>
      <c r="H67" s="1285"/>
      <c r="I67" s="1286"/>
      <c r="J67" s="213">
        <f>TINV(0.05,J66)</f>
        <v>2.0452296421327048</v>
      </c>
      <c r="K67" s="213"/>
    </row>
    <row r="68" spans="1:21" x14ac:dyDescent="0.3">
      <c r="A68" s="219"/>
      <c r="B68" s="219"/>
      <c r="C68" s="219"/>
      <c r="D68" s="219"/>
      <c r="E68" s="1284" t="s">
        <v>198</v>
      </c>
      <c r="F68" s="1285"/>
      <c r="G68" s="1285"/>
      <c r="H68" s="1285"/>
      <c r="I68" s="1286"/>
      <c r="J68" s="220">
        <f>J67*J65</f>
        <v>0.72657111540404895</v>
      </c>
      <c r="K68" s="213"/>
    </row>
    <row r="69" spans="1:21" hidden="1" x14ac:dyDescent="0.3">
      <c r="J69" s="222"/>
    </row>
    <row r="70" spans="1:21" hidden="1" x14ac:dyDescent="0.3"/>
    <row r="71" spans="1:21" x14ac:dyDescent="0.3">
      <c r="A71" s="225">
        <f>ID!D55</f>
        <v>80</v>
      </c>
      <c r="B71" s="226" t="str">
        <f>B72</f>
        <v>mmHg</v>
      </c>
      <c r="C71" s="227">
        <v>3</v>
      </c>
      <c r="D71" s="219"/>
      <c r="E71" s="221"/>
      <c r="F71" s="221"/>
      <c r="G71" s="221"/>
      <c r="H71" s="221"/>
      <c r="I71" s="221"/>
      <c r="J71" s="224"/>
      <c r="K71" s="223"/>
    </row>
    <row r="72" spans="1:21" x14ac:dyDescent="0.3">
      <c r="A72" s="203">
        <f>ID!L55</f>
        <v>117.86440035599999</v>
      </c>
      <c r="B72" s="204" t="s">
        <v>176</v>
      </c>
    </row>
    <row r="73" spans="1:21" ht="18" x14ac:dyDescent="0.4">
      <c r="A73" s="205" t="s">
        <v>177</v>
      </c>
      <c r="B73" s="205" t="s">
        <v>178</v>
      </c>
      <c r="C73" s="205" t="s">
        <v>179</v>
      </c>
      <c r="D73" s="205" t="s">
        <v>180</v>
      </c>
      <c r="E73" s="205" t="s">
        <v>181</v>
      </c>
      <c r="F73" s="205" t="s">
        <v>182</v>
      </c>
      <c r="G73" s="205" t="s">
        <v>183</v>
      </c>
      <c r="H73" s="205" t="s">
        <v>184</v>
      </c>
      <c r="I73" s="205" t="s">
        <v>185</v>
      </c>
      <c r="J73" s="205" t="s">
        <v>186</v>
      </c>
      <c r="K73" s="206" t="s">
        <v>187</v>
      </c>
    </row>
    <row r="74" spans="1:21" x14ac:dyDescent="0.3">
      <c r="A74" s="208" t="s">
        <v>188</v>
      </c>
      <c r="B74" s="209" t="s">
        <v>176</v>
      </c>
      <c r="C74" s="210" t="s">
        <v>189</v>
      </c>
      <c r="D74" s="211">
        <f>ID!Q55</f>
        <v>0.44721359549995793</v>
      </c>
      <c r="E74" s="211">
        <f>SQRT(5)</f>
        <v>2.2360679774997898</v>
      </c>
      <c r="F74" s="211">
        <f>(D74/E74)</f>
        <v>0.19999999999999998</v>
      </c>
      <c r="G74" s="212">
        <v>1</v>
      </c>
      <c r="H74" s="212">
        <f>5-1</f>
        <v>4</v>
      </c>
      <c r="I74" s="213">
        <f>F74*G74</f>
        <v>0.19999999999999998</v>
      </c>
      <c r="J74" s="213">
        <f>I74^2</f>
        <v>3.9999999999999994E-2</v>
      </c>
      <c r="K74" s="213">
        <f>((I74)^4)/H74</f>
        <v>3.9999999999999986E-4</v>
      </c>
    </row>
    <row r="75" spans="1:21" x14ac:dyDescent="0.3">
      <c r="A75" s="208" t="s">
        <v>190</v>
      </c>
      <c r="B75" s="209" t="s">
        <v>176</v>
      </c>
      <c r="C75" s="210" t="s">
        <v>189</v>
      </c>
      <c r="D75" s="756">
        <f>INTERPOLASI!AJ20</f>
        <v>0.1</v>
      </c>
      <c r="E75" s="212">
        <v>2</v>
      </c>
      <c r="F75" s="211">
        <f>D75/E75</f>
        <v>0.05</v>
      </c>
      <c r="G75" s="212">
        <v>1</v>
      </c>
      <c r="H75" s="212">
        <v>50</v>
      </c>
      <c r="I75" s="213">
        <f>F75*G75</f>
        <v>0.05</v>
      </c>
      <c r="J75" s="213">
        <f>I75^2</f>
        <v>2.5000000000000005E-3</v>
      </c>
      <c r="K75" s="213">
        <f>((I75)^4)/H75</f>
        <v>1.2500000000000005E-7</v>
      </c>
      <c r="Q75" s="648">
        <f>A72</f>
        <v>117.86440035599999</v>
      </c>
      <c r="R75" s="642" t="s">
        <v>462</v>
      </c>
      <c r="S75" s="649">
        <v>115.504</v>
      </c>
      <c r="T75" s="207" t="s">
        <v>190</v>
      </c>
      <c r="U75" s="651">
        <f>((((AD3-Z3)*(S75-X3)))/(AB3-X3))+Z3</f>
        <v>-0.49302400000000002</v>
      </c>
    </row>
    <row r="76" spans="1:21" x14ac:dyDescent="0.3">
      <c r="A76" s="208" t="s">
        <v>191</v>
      </c>
      <c r="B76" s="209" t="s">
        <v>176</v>
      </c>
      <c r="C76" s="210" t="s">
        <v>192</v>
      </c>
      <c r="D76" s="211">
        <f>D25</f>
        <v>0.5</v>
      </c>
      <c r="E76" s="211">
        <f>SQRT(3)</f>
        <v>1.7320508075688772</v>
      </c>
      <c r="F76" s="211">
        <f>D76/E76</f>
        <v>0.28867513459481292</v>
      </c>
      <c r="G76" s="212">
        <v>1</v>
      </c>
      <c r="H76" s="212">
        <v>50</v>
      </c>
      <c r="I76" s="213">
        <f>F76*G76</f>
        <v>0.28867513459481292</v>
      </c>
      <c r="J76" s="213">
        <f>I76^2</f>
        <v>8.3333333333333356E-2</v>
      </c>
      <c r="K76" s="213">
        <f>((I76)^4)/H76</f>
        <v>1.3888888888888897E-4</v>
      </c>
    </row>
    <row r="77" spans="1:21" x14ac:dyDescent="0.3">
      <c r="A77" s="208" t="s">
        <v>193</v>
      </c>
      <c r="B77" s="209" t="s">
        <v>176</v>
      </c>
      <c r="C77" s="210" t="s">
        <v>192</v>
      </c>
      <c r="D77" s="756">
        <f>INTERPOLASI!BI20</f>
        <v>3.3333333333333333E-2</v>
      </c>
      <c r="E77" s="211">
        <f>SQRT(3)</f>
        <v>1.7320508075688772</v>
      </c>
      <c r="F77" s="211">
        <f>D77/E77</f>
        <v>1.9245008972987525E-2</v>
      </c>
      <c r="G77" s="212">
        <v>1</v>
      </c>
      <c r="H77" s="212">
        <v>50</v>
      </c>
      <c r="I77" s="213">
        <f>F77*G77</f>
        <v>1.9245008972987525E-2</v>
      </c>
      <c r="J77" s="213">
        <f>I77^2</f>
        <v>3.7037037037037035E-4</v>
      </c>
      <c r="K77" s="213">
        <f>((I77)^4)/H77</f>
        <v>2.7434842249657066E-9</v>
      </c>
      <c r="T77" s="114" t="s">
        <v>193</v>
      </c>
      <c r="U77" s="651">
        <f>((((AN3-AJ3)*(S75-AH3)))/(AL3-AH3))+AJ3</f>
        <v>3.3333333333333333E-2</v>
      </c>
    </row>
    <row r="78" spans="1:21" x14ac:dyDescent="0.3">
      <c r="A78" s="217"/>
      <c r="B78" s="217"/>
      <c r="C78" s="217"/>
      <c r="D78" s="217"/>
      <c r="E78" s="459" t="s">
        <v>194</v>
      </c>
      <c r="F78" s="460"/>
      <c r="G78" s="460"/>
      <c r="H78" s="460"/>
      <c r="I78" s="461"/>
      <c r="J78" s="218">
        <f>SUM(J74:J77)</f>
        <v>0.12620370370370373</v>
      </c>
      <c r="K78" s="218">
        <f>SUM(K74:K77)</f>
        <v>5.3901663237311374E-4</v>
      </c>
    </row>
    <row r="79" spans="1:21" ht="16.8" x14ac:dyDescent="0.4">
      <c r="A79" s="219"/>
      <c r="B79" s="219"/>
      <c r="C79" s="219"/>
      <c r="D79" s="219"/>
      <c r="E79" s="1284" t="s">
        <v>195</v>
      </c>
      <c r="F79" s="1285"/>
      <c r="G79" s="1285"/>
      <c r="H79" s="1285"/>
      <c r="I79" s="1286"/>
      <c r="J79" s="218">
        <f>SQRT(J78)</f>
        <v>0.35525160619440377</v>
      </c>
      <c r="K79" s="213"/>
    </row>
    <row r="80" spans="1:21" x14ac:dyDescent="0.3">
      <c r="A80" s="219"/>
      <c r="B80" s="219"/>
      <c r="C80" s="219"/>
      <c r="D80" s="219"/>
      <c r="E80" s="1284" t="s">
        <v>196</v>
      </c>
      <c r="F80" s="1285"/>
      <c r="G80" s="1285"/>
      <c r="H80" s="1285"/>
      <c r="I80" s="1286"/>
      <c r="J80" s="218">
        <f>((J79)^4)/K78</f>
        <v>29.548948718723626</v>
      </c>
      <c r="K80" s="213"/>
    </row>
    <row r="81" spans="1:21" x14ac:dyDescent="0.3">
      <c r="A81" s="219"/>
      <c r="B81" s="219"/>
      <c r="C81" s="219"/>
      <c r="D81" s="219"/>
      <c r="E81" s="1284" t="s">
        <v>197</v>
      </c>
      <c r="F81" s="1285"/>
      <c r="G81" s="1285"/>
      <c r="H81" s="1285"/>
      <c r="I81" s="1286"/>
      <c r="J81" s="213">
        <f>TINV(0.05,J80)</f>
        <v>2.0452296421327048</v>
      </c>
      <c r="K81" s="213"/>
    </row>
    <row r="82" spans="1:21" x14ac:dyDescent="0.3">
      <c r="A82" s="219"/>
      <c r="B82" s="219"/>
      <c r="C82" s="219"/>
      <c r="D82" s="219"/>
      <c r="E82" s="1284" t="s">
        <v>198</v>
      </c>
      <c r="F82" s="1285"/>
      <c r="G82" s="1285"/>
      <c r="H82" s="1285"/>
      <c r="I82" s="1286"/>
      <c r="J82" s="220">
        <f>J81*J79</f>
        <v>0.72657111540404895</v>
      </c>
      <c r="K82" s="213"/>
    </row>
    <row r="83" spans="1:21" ht="4.5" customHeight="1" x14ac:dyDescent="0.3">
      <c r="J83" s="222"/>
    </row>
    <row r="84" spans="1:21" ht="4.5" customHeight="1" x14ac:dyDescent="0.3"/>
    <row r="85" spans="1:21" x14ac:dyDescent="0.3">
      <c r="A85" s="225">
        <f>ID!D56</f>
        <v>50</v>
      </c>
      <c r="B85" s="226" t="str">
        <f>B86</f>
        <v>mmHg</v>
      </c>
      <c r="C85" s="227">
        <v>3</v>
      </c>
      <c r="D85" s="219"/>
      <c r="E85" s="221"/>
      <c r="F85" s="221"/>
      <c r="G85" s="221"/>
      <c r="H85" s="221"/>
      <c r="I85" s="221"/>
      <c r="J85" s="224"/>
      <c r="K85" s="223"/>
    </row>
    <row r="86" spans="1:21" ht="6" customHeight="1" x14ac:dyDescent="0.3">
      <c r="A86" s="203">
        <f>ID!L56</f>
        <v>78.188000000000002</v>
      </c>
      <c r="B86" s="204" t="s">
        <v>176</v>
      </c>
    </row>
    <row r="87" spans="1:21" ht="18" x14ac:dyDescent="0.4">
      <c r="A87" s="205" t="s">
        <v>177</v>
      </c>
      <c r="B87" s="205" t="s">
        <v>178</v>
      </c>
      <c r="C87" s="205" t="s">
        <v>179</v>
      </c>
      <c r="D87" s="205" t="s">
        <v>180</v>
      </c>
      <c r="E87" s="205" t="s">
        <v>181</v>
      </c>
      <c r="F87" s="205" t="s">
        <v>182</v>
      </c>
      <c r="G87" s="205" t="s">
        <v>183</v>
      </c>
      <c r="H87" s="205" t="s">
        <v>184</v>
      </c>
      <c r="I87" s="205" t="s">
        <v>185</v>
      </c>
      <c r="J87" s="205" t="s">
        <v>186</v>
      </c>
      <c r="K87" s="206" t="s">
        <v>187</v>
      </c>
    </row>
    <row r="88" spans="1:21" x14ac:dyDescent="0.3">
      <c r="A88" s="208" t="s">
        <v>188</v>
      </c>
      <c r="B88" s="209" t="s">
        <v>176</v>
      </c>
      <c r="C88" s="210" t="s">
        <v>189</v>
      </c>
      <c r="D88" s="211">
        <f>ID!Q56</f>
        <v>0</v>
      </c>
      <c r="E88" s="211">
        <f>SQRT(5)</f>
        <v>2.2360679774997898</v>
      </c>
      <c r="F88" s="211">
        <f>(D88/E88)</f>
        <v>0</v>
      </c>
      <c r="G88" s="212">
        <v>1</v>
      </c>
      <c r="H88" s="212">
        <f>5-1</f>
        <v>4</v>
      </c>
      <c r="I88" s="213">
        <f>F88*G88</f>
        <v>0</v>
      </c>
      <c r="J88" s="213">
        <f>I88^2</f>
        <v>0</v>
      </c>
      <c r="K88" s="213">
        <f>((I88)^4)/H88</f>
        <v>0</v>
      </c>
    </row>
    <row r="89" spans="1:21" x14ac:dyDescent="0.3">
      <c r="A89" s="208" t="s">
        <v>190</v>
      </c>
      <c r="B89" s="209" t="s">
        <v>176</v>
      </c>
      <c r="C89" s="210" t="s">
        <v>189</v>
      </c>
      <c r="D89" s="756">
        <f>INTERPOLASI!AU20</f>
        <v>0.1</v>
      </c>
      <c r="E89" s="212">
        <v>2</v>
      </c>
      <c r="F89" s="211">
        <f>D89/E89</f>
        <v>0.05</v>
      </c>
      <c r="G89" s="212">
        <v>1</v>
      </c>
      <c r="H89" s="212">
        <v>50</v>
      </c>
      <c r="I89" s="213">
        <f>F89*G89</f>
        <v>0.05</v>
      </c>
      <c r="J89" s="213">
        <f>I89^2</f>
        <v>2.5000000000000005E-3</v>
      </c>
      <c r="K89" s="213">
        <f>((I89)^4)/H89</f>
        <v>1.2500000000000005E-7</v>
      </c>
      <c r="Q89" s="648">
        <f>A86</f>
        <v>78.188000000000002</v>
      </c>
      <c r="R89" s="642" t="s">
        <v>462</v>
      </c>
      <c r="S89" s="649">
        <v>75.695999999999998</v>
      </c>
      <c r="T89" s="207" t="s">
        <v>190</v>
      </c>
      <c r="U89" s="651">
        <f>((((AD2-Z2)*(S89-X2)))/(AB2-X2))+Z2</f>
        <v>-0.302784</v>
      </c>
    </row>
    <row r="90" spans="1:21" x14ac:dyDescent="0.3">
      <c r="A90" s="208" t="s">
        <v>191</v>
      </c>
      <c r="B90" s="209" t="s">
        <v>176</v>
      </c>
      <c r="C90" s="210" t="s">
        <v>192</v>
      </c>
      <c r="D90" s="211">
        <f>D39</f>
        <v>0.5</v>
      </c>
      <c r="E90" s="211">
        <f>SQRT(3)</f>
        <v>1.7320508075688772</v>
      </c>
      <c r="F90" s="211">
        <f>D90/E90</f>
        <v>0.28867513459481292</v>
      </c>
      <c r="G90" s="212">
        <v>1</v>
      </c>
      <c r="H90" s="212">
        <v>50</v>
      </c>
      <c r="I90" s="213">
        <f>F90*G90</f>
        <v>0.28867513459481292</v>
      </c>
      <c r="J90" s="213">
        <f>I90^2</f>
        <v>8.3333333333333356E-2</v>
      </c>
      <c r="K90" s="213">
        <f>((I90)^4)/H90</f>
        <v>1.3888888888888897E-4</v>
      </c>
    </row>
    <row r="91" spans="1:21" x14ac:dyDescent="0.3">
      <c r="A91" s="208" t="s">
        <v>193</v>
      </c>
      <c r="B91" s="209" t="s">
        <v>176</v>
      </c>
      <c r="C91" s="210" t="s">
        <v>192</v>
      </c>
      <c r="D91" s="756">
        <f>INTERPOLASI!BT20</f>
        <v>3.3333333333333333E-2</v>
      </c>
      <c r="E91" s="211">
        <f>SQRT(3)</f>
        <v>1.7320508075688772</v>
      </c>
      <c r="F91" s="211">
        <f>D91/E91</f>
        <v>1.9245008972987525E-2</v>
      </c>
      <c r="G91" s="212">
        <v>1</v>
      </c>
      <c r="H91" s="212">
        <v>50</v>
      </c>
      <c r="I91" s="213">
        <f>F91*G91</f>
        <v>1.9245008972987525E-2</v>
      </c>
      <c r="J91" s="213">
        <f>I91^2</f>
        <v>3.7037037037037035E-4</v>
      </c>
      <c r="K91" s="213">
        <f>((I91)^4)/H91</f>
        <v>2.7434842249657066E-9</v>
      </c>
      <c r="T91" s="114" t="s">
        <v>193</v>
      </c>
      <c r="U91" s="651">
        <f>((((AN2-AJ2)*(S89-AH2)))/(AL2-AH2))+AJ2</f>
        <v>3.3333333333333333E-2</v>
      </c>
    </row>
    <row r="92" spans="1:21" x14ac:dyDescent="0.3">
      <c r="A92" s="217"/>
      <c r="B92" s="217"/>
      <c r="C92" s="217"/>
      <c r="D92" s="217"/>
      <c r="E92" s="459" t="s">
        <v>194</v>
      </c>
      <c r="F92" s="460"/>
      <c r="G92" s="460"/>
      <c r="H92" s="460"/>
      <c r="I92" s="461"/>
      <c r="J92" s="218">
        <f>SUM(J88:J91)</f>
        <v>8.6203703703703727E-2</v>
      </c>
      <c r="K92" s="218">
        <f>SUM(K88:K91)</f>
        <v>1.3901663237311391E-4</v>
      </c>
    </row>
    <row r="93" spans="1:21" ht="16.8" x14ac:dyDescent="0.4">
      <c r="A93" s="219"/>
      <c r="B93" s="219"/>
      <c r="C93" s="219"/>
      <c r="D93" s="219"/>
      <c r="E93" s="1284" t="s">
        <v>195</v>
      </c>
      <c r="F93" s="1285"/>
      <c r="G93" s="1285"/>
      <c r="H93" s="1285"/>
      <c r="I93" s="1286"/>
      <c r="J93" s="218">
        <f>SQRT(J92)</f>
        <v>0.29360467248275141</v>
      </c>
      <c r="K93" s="213"/>
    </row>
    <row r="94" spans="1:21" x14ac:dyDescent="0.3">
      <c r="A94" s="219"/>
      <c r="B94" s="219"/>
      <c r="C94" s="219"/>
      <c r="D94" s="219"/>
      <c r="E94" s="1284" t="s">
        <v>196</v>
      </c>
      <c r="F94" s="1285"/>
      <c r="G94" s="1285"/>
      <c r="H94" s="1285"/>
      <c r="I94" s="1286"/>
      <c r="J94" s="218">
        <f>((J93)^4)/K92</f>
        <v>53.454600398399009</v>
      </c>
      <c r="K94" s="213"/>
    </row>
    <row r="95" spans="1:21" x14ac:dyDescent="0.3">
      <c r="A95" s="219"/>
      <c r="B95" s="219"/>
      <c r="C95" s="219"/>
      <c r="D95" s="219"/>
      <c r="E95" s="1284" t="s">
        <v>197</v>
      </c>
      <c r="F95" s="1285"/>
      <c r="G95" s="1285"/>
      <c r="H95" s="1285"/>
      <c r="I95" s="1286"/>
      <c r="J95" s="213">
        <f>TINV(0.05,J94)</f>
        <v>2.0057459953178696</v>
      </c>
      <c r="K95" s="213"/>
    </row>
    <row r="96" spans="1:21" x14ac:dyDescent="0.3">
      <c r="A96" s="219"/>
      <c r="B96" s="219"/>
      <c r="C96" s="219"/>
      <c r="D96" s="219"/>
      <c r="E96" s="1284" t="s">
        <v>198</v>
      </c>
      <c r="F96" s="1285"/>
      <c r="G96" s="1285"/>
      <c r="H96" s="1285"/>
      <c r="I96" s="1286"/>
      <c r="J96" s="220">
        <f>J95*J93</f>
        <v>0.58889639603889332</v>
      </c>
      <c r="K96" s="213"/>
    </row>
    <row r="97" spans="1:21" ht="15.75" hidden="1" customHeight="1" x14ac:dyDescent="0.3">
      <c r="A97" s="219"/>
      <c r="B97" s="219"/>
      <c r="C97" s="219"/>
      <c r="D97" s="219"/>
      <c r="E97" s="221"/>
      <c r="F97" s="221"/>
      <c r="G97" s="221"/>
      <c r="H97" s="221"/>
      <c r="I97" s="221"/>
      <c r="J97" s="222"/>
      <c r="K97" s="223"/>
    </row>
    <row r="98" spans="1:21" ht="15.75" hidden="1" customHeight="1" x14ac:dyDescent="0.3"/>
    <row r="99" spans="1:21" x14ac:dyDescent="0.3">
      <c r="A99" s="225">
        <f>ID!D57</f>
        <v>100</v>
      </c>
      <c r="B99" s="226" t="str">
        <f>B100</f>
        <v>mmHg</v>
      </c>
      <c r="C99" s="227">
        <v>4</v>
      </c>
      <c r="D99" s="219"/>
      <c r="E99" s="221"/>
      <c r="F99" s="221"/>
      <c r="G99" s="221"/>
      <c r="H99" s="221"/>
      <c r="I99" s="221"/>
      <c r="J99" s="224"/>
      <c r="K99" s="223"/>
    </row>
    <row r="100" spans="1:21" x14ac:dyDescent="0.3">
      <c r="A100" s="203">
        <f>ID!L57</f>
        <v>146.00800092</v>
      </c>
      <c r="B100" s="204" t="s">
        <v>176</v>
      </c>
    </row>
    <row r="101" spans="1:21" ht="18" x14ac:dyDescent="0.4">
      <c r="A101" s="205" t="s">
        <v>177</v>
      </c>
      <c r="B101" s="205" t="s">
        <v>178</v>
      </c>
      <c r="C101" s="205" t="s">
        <v>179</v>
      </c>
      <c r="D101" s="205" t="s">
        <v>180</v>
      </c>
      <c r="E101" s="205" t="s">
        <v>181</v>
      </c>
      <c r="F101" s="205" t="s">
        <v>182</v>
      </c>
      <c r="G101" s="205" t="s">
        <v>183</v>
      </c>
      <c r="H101" s="205" t="s">
        <v>184</v>
      </c>
      <c r="I101" s="205" t="s">
        <v>185</v>
      </c>
      <c r="J101" s="205" t="s">
        <v>186</v>
      </c>
      <c r="K101" s="206" t="s">
        <v>187</v>
      </c>
    </row>
    <row r="102" spans="1:21" x14ac:dyDescent="0.3">
      <c r="A102" s="208" t="s">
        <v>188</v>
      </c>
      <c r="B102" s="209" t="s">
        <v>176</v>
      </c>
      <c r="C102" s="210" t="s">
        <v>189</v>
      </c>
      <c r="D102" s="211">
        <f>ID!Q57</f>
        <v>0</v>
      </c>
      <c r="E102" s="211">
        <f>SQRT(5)</f>
        <v>2.2360679774997898</v>
      </c>
      <c r="F102" s="211">
        <f>(D102/E102)</f>
        <v>0</v>
      </c>
      <c r="G102" s="212">
        <v>1</v>
      </c>
      <c r="H102" s="212">
        <f>5-1</f>
        <v>4</v>
      </c>
      <c r="I102" s="213">
        <f>F102*G102</f>
        <v>0</v>
      </c>
      <c r="J102" s="213">
        <f>I102^2</f>
        <v>0</v>
      </c>
      <c r="K102" s="211">
        <f>((I102)^4)/H102</f>
        <v>0</v>
      </c>
    </row>
    <row r="103" spans="1:21" x14ac:dyDescent="0.3">
      <c r="A103" s="208" t="s">
        <v>190</v>
      </c>
      <c r="B103" s="209" t="s">
        <v>176</v>
      </c>
      <c r="C103" s="210" t="s">
        <v>189</v>
      </c>
      <c r="D103" s="756">
        <f>INTERPOLASI!AJ21</f>
        <v>0.1</v>
      </c>
      <c r="E103" s="212">
        <v>2</v>
      </c>
      <c r="F103" s="211">
        <f>D103/E103</f>
        <v>0.05</v>
      </c>
      <c r="G103" s="212">
        <v>1</v>
      </c>
      <c r="H103" s="212">
        <v>50</v>
      </c>
      <c r="I103" s="213">
        <f>F103*G103</f>
        <v>0.05</v>
      </c>
      <c r="J103" s="213">
        <f>I103^2</f>
        <v>2.5000000000000005E-3</v>
      </c>
      <c r="K103" s="213">
        <f>((I103)^4)/H103</f>
        <v>1.2500000000000005E-7</v>
      </c>
      <c r="Q103" s="648">
        <f>A100</f>
        <v>146.00800092</v>
      </c>
      <c r="R103" s="642" t="s">
        <v>462</v>
      </c>
      <c r="S103" s="649">
        <v>146.31800000000001</v>
      </c>
      <c r="T103" s="207" t="s">
        <v>190</v>
      </c>
      <c r="U103" s="651">
        <f>((((AD3-Z3)*(S103-X3)))/(AB3-X3))+Z3</f>
        <v>-0.67790799999999996</v>
      </c>
    </row>
    <row r="104" spans="1:21" x14ac:dyDescent="0.3">
      <c r="A104" s="208" t="s">
        <v>191</v>
      </c>
      <c r="B104" s="209" t="s">
        <v>176</v>
      </c>
      <c r="C104" s="210" t="s">
        <v>192</v>
      </c>
      <c r="D104" s="211">
        <f>D62</f>
        <v>0.5</v>
      </c>
      <c r="E104" s="211">
        <f>SQRT(3)</f>
        <v>1.7320508075688772</v>
      </c>
      <c r="F104" s="211">
        <f>D104/E104</f>
        <v>0.28867513459481292</v>
      </c>
      <c r="G104" s="212">
        <v>1</v>
      </c>
      <c r="H104" s="212">
        <v>50</v>
      </c>
      <c r="I104" s="213">
        <f>F104*G104</f>
        <v>0.28867513459481292</v>
      </c>
      <c r="J104" s="213">
        <f>I104^2</f>
        <v>8.3333333333333356E-2</v>
      </c>
      <c r="K104" s="213">
        <f>((I104)^4)/H104</f>
        <v>1.3888888888888897E-4</v>
      </c>
    </row>
    <row r="105" spans="1:21" x14ac:dyDescent="0.3">
      <c r="A105" s="208" t="s">
        <v>193</v>
      </c>
      <c r="B105" s="209" t="s">
        <v>176</v>
      </c>
      <c r="C105" s="210" t="s">
        <v>192</v>
      </c>
      <c r="D105" s="756">
        <f>INTERPOLASI!BI21</f>
        <v>3.3333333333333333E-2</v>
      </c>
      <c r="E105" s="211">
        <f>SQRT(3)</f>
        <v>1.7320508075688772</v>
      </c>
      <c r="F105" s="211">
        <f>D105/E105</f>
        <v>1.9245008972987525E-2</v>
      </c>
      <c r="G105" s="212">
        <v>1</v>
      </c>
      <c r="H105" s="212">
        <v>50</v>
      </c>
      <c r="I105" s="213">
        <f>F105*G105</f>
        <v>1.9245008972987525E-2</v>
      </c>
      <c r="J105" s="213">
        <f>I105^2</f>
        <v>3.7037037037037035E-4</v>
      </c>
      <c r="K105" s="213">
        <f>((I105)^4)/H105</f>
        <v>2.7434842249657066E-9</v>
      </c>
      <c r="T105" s="114" t="s">
        <v>193</v>
      </c>
      <c r="U105" s="651">
        <f>((((AN3-AJ3)*(S103-AH3)))/(AL3-AH3))+AJ3</f>
        <v>3.3333333333333333E-2</v>
      </c>
    </row>
    <row r="106" spans="1:21" x14ac:dyDescent="0.3">
      <c r="A106" s="217"/>
      <c r="B106" s="217"/>
      <c r="C106" s="217"/>
      <c r="D106" s="217"/>
      <c r="E106" s="459" t="s">
        <v>194</v>
      </c>
      <c r="F106" s="460"/>
      <c r="G106" s="460"/>
      <c r="H106" s="460"/>
      <c r="I106" s="461"/>
      <c r="J106" s="218">
        <f>SUM(J102:J105)</f>
        <v>8.6203703703703727E-2</v>
      </c>
      <c r="K106" s="231">
        <f>SUM(K102:K105)</f>
        <v>1.3901663237311391E-4</v>
      </c>
    </row>
    <row r="107" spans="1:21" ht="16.8" x14ac:dyDescent="0.4">
      <c r="A107" s="219"/>
      <c r="B107" s="219"/>
      <c r="C107" s="219"/>
      <c r="D107" s="219"/>
      <c r="E107" s="1284" t="s">
        <v>195</v>
      </c>
      <c r="F107" s="1285"/>
      <c r="G107" s="1285"/>
      <c r="H107" s="1285"/>
      <c r="I107" s="1286"/>
      <c r="J107" s="218">
        <f>SQRT(J106)</f>
        <v>0.29360467248275141</v>
      </c>
      <c r="K107" s="213"/>
    </row>
    <row r="108" spans="1:21" x14ac:dyDescent="0.3">
      <c r="A108" s="219"/>
      <c r="B108" s="219"/>
      <c r="C108" s="219"/>
      <c r="D108" s="219"/>
      <c r="E108" s="1284" t="s">
        <v>196</v>
      </c>
      <c r="F108" s="1285"/>
      <c r="G108" s="1285"/>
      <c r="H108" s="1285"/>
      <c r="I108" s="1286"/>
      <c r="J108" s="218">
        <f>((J107)^4)/K106</f>
        <v>53.454600398399009</v>
      </c>
      <c r="K108" s="213"/>
    </row>
    <row r="109" spans="1:21" x14ac:dyDescent="0.3">
      <c r="A109" s="219"/>
      <c r="B109" s="219"/>
      <c r="C109" s="219"/>
      <c r="D109" s="219"/>
      <c r="E109" s="1284" t="s">
        <v>197</v>
      </c>
      <c r="F109" s="1285"/>
      <c r="G109" s="1285"/>
      <c r="H109" s="1285"/>
      <c r="I109" s="1286"/>
      <c r="J109" s="213">
        <f>TINV(0.05,J108)</f>
        <v>2.0057459953178696</v>
      </c>
      <c r="K109" s="213"/>
    </row>
    <row r="110" spans="1:21" x14ac:dyDescent="0.3">
      <c r="A110" s="219"/>
      <c r="B110" s="219"/>
      <c r="C110" s="219"/>
      <c r="D110" s="219"/>
      <c r="E110" s="1284" t="s">
        <v>198</v>
      </c>
      <c r="F110" s="1285"/>
      <c r="G110" s="1285"/>
      <c r="H110" s="1285"/>
      <c r="I110" s="1286"/>
      <c r="J110" s="220">
        <f>J109*J107</f>
        <v>0.58889639603889332</v>
      </c>
      <c r="K110" s="213"/>
    </row>
    <row r="111" spans="1:21" x14ac:dyDescent="0.3">
      <c r="J111" s="222"/>
    </row>
    <row r="112" spans="1:21" x14ac:dyDescent="0.3">
      <c r="A112" s="225">
        <f>ID!D58</f>
        <v>70</v>
      </c>
      <c r="B112" s="226" t="str">
        <f>B113</f>
        <v>mmHg</v>
      </c>
      <c r="C112" s="227">
        <v>4</v>
      </c>
      <c r="D112" s="219"/>
      <c r="E112" s="221"/>
      <c r="F112" s="221"/>
      <c r="G112" s="221"/>
      <c r="H112" s="221"/>
      <c r="I112" s="221"/>
      <c r="J112" s="224"/>
      <c r="K112" s="223"/>
    </row>
    <row r="113" spans="1:21" x14ac:dyDescent="0.3">
      <c r="A113" s="203">
        <f>ID!L58</f>
        <v>97.908799999999999</v>
      </c>
      <c r="B113" s="204" t="s">
        <v>176</v>
      </c>
    </row>
    <row r="114" spans="1:21" ht="18" x14ac:dyDescent="0.4">
      <c r="A114" s="205" t="s">
        <v>177</v>
      </c>
      <c r="B114" s="205" t="s">
        <v>178</v>
      </c>
      <c r="C114" s="205" t="s">
        <v>179</v>
      </c>
      <c r="D114" s="205" t="s">
        <v>180</v>
      </c>
      <c r="E114" s="205" t="s">
        <v>181</v>
      </c>
      <c r="F114" s="205" t="s">
        <v>182</v>
      </c>
      <c r="G114" s="205" t="s">
        <v>183</v>
      </c>
      <c r="H114" s="205" t="s">
        <v>184</v>
      </c>
      <c r="I114" s="205" t="s">
        <v>185</v>
      </c>
      <c r="J114" s="205" t="s">
        <v>186</v>
      </c>
      <c r="K114" s="206" t="s">
        <v>187</v>
      </c>
    </row>
    <row r="115" spans="1:21" x14ac:dyDescent="0.3">
      <c r="A115" s="208" t="s">
        <v>188</v>
      </c>
      <c r="B115" s="209" t="s">
        <v>176</v>
      </c>
      <c r="C115" s="210" t="s">
        <v>189</v>
      </c>
      <c r="D115" s="211">
        <f>ID!Q58</f>
        <v>0.44721359549995793</v>
      </c>
      <c r="E115" s="211">
        <f>SQRT(5)</f>
        <v>2.2360679774997898</v>
      </c>
      <c r="F115" s="211">
        <f>(D115/E115)</f>
        <v>0.19999999999999998</v>
      </c>
      <c r="G115" s="212">
        <v>1</v>
      </c>
      <c r="H115" s="212">
        <f>5-1</f>
        <v>4</v>
      </c>
      <c r="I115" s="213">
        <f>F115*G115</f>
        <v>0.19999999999999998</v>
      </c>
      <c r="J115" s="213">
        <f>I115^2</f>
        <v>3.9999999999999994E-2</v>
      </c>
      <c r="K115" s="213">
        <f>((I115)^4)/H115</f>
        <v>3.9999999999999986E-4</v>
      </c>
    </row>
    <row r="116" spans="1:21" x14ac:dyDescent="0.3">
      <c r="A116" s="208" t="s">
        <v>190</v>
      </c>
      <c r="B116" s="209" t="s">
        <v>176</v>
      </c>
      <c r="C116" s="210" t="s">
        <v>189</v>
      </c>
      <c r="D116" s="756">
        <f>INTERPOLASI!AU21</f>
        <v>0.1</v>
      </c>
      <c r="E116" s="212">
        <v>2</v>
      </c>
      <c r="F116" s="211">
        <f>D116/E116</f>
        <v>0.05</v>
      </c>
      <c r="G116" s="212">
        <v>1</v>
      </c>
      <c r="H116" s="212">
        <v>50</v>
      </c>
      <c r="I116" s="213">
        <f>F116*G116</f>
        <v>0.05</v>
      </c>
      <c r="J116" s="213">
        <f>I116^2</f>
        <v>2.5000000000000005E-3</v>
      </c>
      <c r="K116" s="213">
        <f>((I116)^4)/H116</f>
        <v>1.2500000000000005E-7</v>
      </c>
      <c r="Q116" s="648">
        <f>A113</f>
        <v>97.908799999999999</v>
      </c>
      <c r="R116" s="642" t="s">
        <v>462</v>
      </c>
      <c r="S116" s="649">
        <v>95.616</v>
      </c>
      <c r="T116" s="207" t="s">
        <v>190</v>
      </c>
      <c r="U116" s="651">
        <f>((((AD2-Z2)*(S116-X2)))/(AB2-X2))+Z2</f>
        <v>-0.38246400000000003</v>
      </c>
    </row>
    <row r="117" spans="1:21" x14ac:dyDescent="0.3">
      <c r="A117" s="208" t="s">
        <v>191</v>
      </c>
      <c r="B117" s="209" t="s">
        <v>176</v>
      </c>
      <c r="C117" s="210" t="s">
        <v>192</v>
      </c>
      <c r="D117" s="211">
        <f>D76</f>
        <v>0.5</v>
      </c>
      <c r="E117" s="211">
        <f>SQRT(3)</f>
        <v>1.7320508075688772</v>
      </c>
      <c r="F117" s="211">
        <f>D117/E117</f>
        <v>0.28867513459481292</v>
      </c>
      <c r="G117" s="212">
        <v>1</v>
      </c>
      <c r="H117" s="212">
        <v>50</v>
      </c>
      <c r="I117" s="213">
        <f>F117*G117</f>
        <v>0.28867513459481292</v>
      </c>
      <c r="J117" s="213">
        <f>I117^2</f>
        <v>8.3333333333333356E-2</v>
      </c>
      <c r="K117" s="213">
        <f>((I117)^4)/H117</f>
        <v>1.3888888888888897E-4</v>
      </c>
    </row>
    <row r="118" spans="1:21" x14ac:dyDescent="0.3">
      <c r="A118" s="208" t="s">
        <v>193</v>
      </c>
      <c r="B118" s="209" t="s">
        <v>176</v>
      </c>
      <c r="C118" s="210" t="s">
        <v>192</v>
      </c>
      <c r="D118" s="756">
        <f>INTERPOLASI!BT21</f>
        <v>3.3333333333333333E-2</v>
      </c>
      <c r="E118" s="211">
        <f>SQRT(3)</f>
        <v>1.7320508075688772</v>
      </c>
      <c r="F118" s="211">
        <f>D118/E118</f>
        <v>1.9245008972987525E-2</v>
      </c>
      <c r="G118" s="212">
        <v>1</v>
      </c>
      <c r="H118" s="212">
        <v>50</v>
      </c>
      <c r="I118" s="213">
        <f>F118*G118</f>
        <v>1.9245008972987525E-2</v>
      </c>
      <c r="J118" s="213">
        <f>I118^2</f>
        <v>3.7037037037037035E-4</v>
      </c>
      <c r="K118" s="213">
        <f>((I118)^4)/H118</f>
        <v>2.7434842249657066E-9</v>
      </c>
      <c r="T118" s="114" t="s">
        <v>193</v>
      </c>
      <c r="U118" s="651">
        <f>((((AN2-AJ2)*(S116-AH2)))/(AL2-AH2))+AJ2</f>
        <v>3.3333333333333333E-2</v>
      </c>
    </row>
    <row r="119" spans="1:21" x14ac:dyDescent="0.3">
      <c r="A119" s="217"/>
      <c r="B119" s="217"/>
      <c r="C119" s="217"/>
      <c r="D119" s="217"/>
      <c r="E119" s="459" t="s">
        <v>194</v>
      </c>
      <c r="F119" s="460"/>
      <c r="G119" s="460"/>
      <c r="H119" s="460"/>
      <c r="I119" s="461"/>
      <c r="J119" s="218">
        <f>SUM(J115:J118)</f>
        <v>0.12620370370370373</v>
      </c>
      <c r="K119" s="218">
        <f>SUM(K115:K118)</f>
        <v>5.3901663237311374E-4</v>
      </c>
    </row>
    <row r="120" spans="1:21" ht="16.8" x14ac:dyDescent="0.4">
      <c r="A120" s="219"/>
      <c r="B120" s="219"/>
      <c r="C120" s="219"/>
      <c r="D120" s="219"/>
      <c r="E120" s="1284" t="s">
        <v>195</v>
      </c>
      <c r="F120" s="1285"/>
      <c r="G120" s="1285"/>
      <c r="H120" s="1285"/>
      <c r="I120" s="1286"/>
      <c r="J120" s="218">
        <f>SQRT(J119)</f>
        <v>0.35525160619440377</v>
      </c>
      <c r="K120" s="213"/>
    </row>
    <row r="121" spans="1:21" x14ac:dyDescent="0.3">
      <c r="A121" s="219"/>
      <c r="B121" s="219"/>
      <c r="C121" s="219"/>
      <c r="D121" s="219"/>
      <c r="E121" s="1284" t="s">
        <v>196</v>
      </c>
      <c r="F121" s="1285"/>
      <c r="G121" s="1285"/>
      <c r="H121" s="1285"/>
      <c r="I121" s="1286"/>
      <c r="J121" s="218">
        <f>((J120)^4)/K119</f>
        <v>29.548948718723626</v>
      </c>
      <c r="K121" s="213"/>
    </row>
    <row r="122" spans="1:21" x14ac:dyDescent="0.3">
      <c r="A122" s="219"/>
      <c r="B122" s="219"/>
      <c r="C122" s="219"/>
      <c r="D122" s="219"/>
      <c r="E122" s="1284" t="s">
        <v>197</v>
      </c>
      <c r="F122" s="1285"/>
      <c r="G122" s="1285"/>
      <c r="H122" s="1285"/>
      <c r="I122" s="1286"/>
      <c r="J122" s="213">
        <f>TINV(0.05,J121)</f>
        <v>2.0452296421327048</v>
      </c>
      <c r="K122" s="213"/>
    </row>
    <row r="123" spans="1:21" x14ac:dyDescent="0.3">
      <c r="A123" s="219"/>
      <c r="B123" s="219"/>
      <c r="C123" s="219"/>
      <c r="D123" s="219"/>
      <c r="E123" s="1284" t="s">
        <v>198</v>
      </c>
      <c r="F123" s="1285"/>
      <c r="G123" s="1285"/>
      <c r="H123" s="1285"/>
      <c r="I123" s="1286"/>
      <c r="J123" s="220">
        <f>J122*J120</f>
        <v>0.72657111540404895</v>
      </c>
      <c r="K123" s="213"/>
    </row>
    <row r="124" spans="1:21" x14ac:dyDescent="0.3">
      <c r="J124" s="222"/>
    </row>
    <row r="126" spans="1:21" x14ac:dyDescent="0.3">
      <c r="A126" s="225">
        <f>ID!D59</f>
        <v>170</v>
      </c>
      <c r="B126" s="226" t="str">
        <f>B127</f>
        <v>mmHg</v>
      </c>
      <c r="C126" s="227">
        <v>5</v>
      </c>
      <c r="D126" s="219"/>
      <c r="E126" s="221"/>
      <c r="F126" s="221"/>
      <c r="G126" s="221"/>
      <c r="H126" s="221"/>
      <c r="I126" s="221"/>
      <c r="J126" s="224"/>
      <c r="K126" s="223"/>
    </row>
    <row r="127" spans="1:21" x14ac:dyDescent="0.3">
      <c r="A127" s="203">
        <f>ID!L59</f>
        <v>166.56680066799998</v>
      </c>
      <c r="B127" s="204" t="s">
        <v>176</v>
      </c>
    </row>
    <row r="128" spans="1:21" ht="18" x14ac:dyDescent="0.4">
      <c r="A128" s="205" t="s">
        <v>177</v>
      </c>
      <c r="B128" s="205" t="s">
        <v>178</v>
      </c>
      <c r="C128" s="205" t="s">
        <v>179</v>
      </c>
      <c r="D128" s="205" t="s">
        <v>180</v>
      </c>
      <c r="E128" s="205" t="s">
        <v>181</v>
      </c>
      <c r="F128" s="205" t="s">
        <v>182</v>
      </c>
      <c r="G128" s="205" t="s">
        <v>183</v>
      </c>
      <c r="H128" s="205" t="s">
        <v>184</v>
      </c>
      <c r="I128" s="205" t="s">
        <v>185</v>
      </c>
      <c r="J128" s="205" t="s">
        <v>186</v>
      </c>
      <c r="K128" s="206" t="s">
        <v>187</v>
      </c>
    </row>
    <row r="129" spans="1:21" x14ac:dyDescent="0.3">
      <c r="A129" s="208" t="s">
        <v>188</v>
      </c>
      <c r="B129" s="209" t="s">
        <v>176</v>
      </c>
      <c r="C129" s="210" t="s">
        <v>189</v>
      </c>
      <c r="D129" s="211">
        <f>ID!Q59</f>
        <v>0.89442719099991586</v>
      </c>
      <c r="E129" s="211">
        <f>SQRT(5)</f>
        <v>2.2360679774997898</v>
      </c>
      <c r="F129" s="211">
        <f>(D129/E129)</f>
        <v>0.39999999999999997</v>
      </c>
      <c r="G129" s="212">
        <v>1</v>
      </c>
      <c r="H129" s="212">
        <f>5-1</f>
        <v>4</v>
      </c>
      <c r="I129" s="213">
        <f>F129*G129</f>
        <v>0.39999999999999997</v>
      </c>
      <c r="J129" s="213">
        <f>I129^2</f>
        <v>0.15999999999999998</v>
      </c>
      <c r="K129" s="213">
        <f>((I129)^4)/H129</f>
        <v>6.3999999999999977E-3</v>
      </c>
    </row>
    <row r="130" spans="1:21" x14ac:dyDescent="0.3">
      <c r="A130" s="208" t="s">
        <v>190</v>
      </c>
      <c r="B130" s="209" t="s">
        <v>176</v>
      </c>
      <c r="C130" s="210" t="s">
        <v>189</v>
      </c>
      <c r="D130" s="756">
        <f>INTERPOLASI!AJ22</f>
        <v>0.1</v>
      </c>
      <c r="E130" s="212">
        <v>2</v>
      </c>
      <c r="F130" s="211">
        <f>D130/E130</f>
        <v>0.05</v>
      </c>
      <c r="G130" s="212">
        <v>1</v>
      </c>
      <c r="H130" s="212">
        <v>50</v>
      </c>
      <c r="I130" s="213">
        <f>F130*G130</f>
        <v>0.05</v>
      </c>
      <c r="J130" s="213">
        <f>I130^2</f>
        <v>2.5000000000000005E-3</v>
      </c>
      <c r="K130" s="213">
        <f>((I130)^4)/H130</f>
        <v>1.2500000000000005E-7</v>
      </c>
      <c r="Q130" s="648">
        <f>A127</f>
        <v>166.56680066799998</v>
      </c>
      <c r="R130" s="642" t="s">
        <v>462</v>
      </c>
      <c r="S130" s="649">
        <v>194.12</v>
      </c>
      <c r="T130" s="207" t="s">
        <v>190</v>
      </c>
      <c r="U130" s="651">
        <f>((((AD4-Z4)*(S130-X4)))/(AB4-X4))+Z4</f>
        <v>-0.87648000000000004</v>
      </c>
    </row>
    <row r="131" spans="1:21" x14ac:dyDescent="0.3">
      <c r="A131" s="208" t="s">
        <v>191</v>
      </c>
      <c r="B131" s="209" t="s">
        <v>176</v>
      </c>
      <c r="C131" s="210" t="s">
        <v>192</v>
      </c>
      <c r="D131" s="211">
        <f>D90</f>
        <v>0.5</v>
      </c>
      <c r="E131" s="211">
        <f>SQRT(3)</f>
        <v>1.7320508075688772</v>
      </c>
      <c r="F131" s="211">
        <f>D131/E131</f>
        <v>0.28867513459481292</v>
      </c>
      <c r="G131" s="212">
        <v>1</v>
      </c>
      <c r="H131" s="212">
        <v>50</v>
      </c>
      <c r="I131" s="213">
        <f>F131*G131</f>
        <v>0.28867513459481292</v>
      </c>
      <c r="J131" s="213">
        <f>I131^2</f>
        <v>8.3333333333333356E-2</v>
      </c>
      <c r="K131" s="213">
        <f>((I131)^4)/H131</f>
        <v>1.3888888888888897E-4</v>
      </c>
    </row>
    <row r="132" spans="1:21" x14ac:dyDescent="0.3">
      <c r="A132" s="208" t="s">
        <v>193</v>
      </c>
      <c r="B132" s="209" t="s">
        <v>176</v>
      </c>
      <c r="C132" s="210" t="s">
        <v>192</v>
      </c>
      <c r="D132" s="756">
        <f>INTERPOLASI!BI22</f>
        <v>3.3333333333333333E-2</v>
      </c>
      <c r="E132" s="211">
        <f>SQRT(3)</f>
        <v>1.7320508075688772</v>
      </c>
      <c r="F132" s="211">
        <f>D132/E132</f>
        <v>1.9245008972987525E-2</v>
      </c>
      <c r="G132" s="212">
        <v>1</v>
      </c>
      <c r="H132" s="212">
        <v>50</v>
      </c>
      <c r="I132" s="213">
        <f>F132*G132</f>
        <v>1.9245008972987525E-2</v>
      </c>
      <c r="J132" s="213">
        <f>I132^2</f>
        <v>3.7037037037037035E-4</v>
      </c>
      <c r="K132" s="213">
        <f>((I132)^4)/H132</f>
        <v>2.7434842249657066E-9</v>
      </c>
      <c r="T132" s="114" t="s">
        <v>193</v>
      </c>
      <c r="U132" s="651">
        <f>((((AN4-AJ4)*(S130-AH4)))/(AL4-AH4))+AJ4</f>
        <v>3.3333333333333333E-2</v>
      </c>
    </row>
    <row r="133" spans="1:21" x14ac:dyDescent="0.3">
      <c r="A133" s="217"/>
      <c r="B133" s="217"/>
      <c r="C133" s="217"/>
      <c r="D133" s="217"/>
      <c r="E133" s="459" t="s">
        <v>194</v>
      </c>
      <c r="F133" s="460"/>
      <c r="G133" s="460"/>
      <c r="H133" s="460"/>
      <c r="I133" s="461"/>
      <c r="J133" s="218">
        <f>SUM(J129:J132)</f>
        <v>0.24620370370370373</v>
      </c>
      <c r="K133" s="218">
        <f>SUM(K129:K132)</f>
        <v>6.5390166323731121E-3</v>
      </c>
    </row>
    <row r="134" spans="1:21" ht="16.8" x14ac:dyDescent="0.4">
      <c r="A134" s="219"/>
      <c r="B134" s="219"/>
      <c r="C134" s="219"/>
      <c r="D134" s="219"/>
      <c r="E134" s="1284" t="s">
        <v>195</v>
      </c>
      <c r="F134" s="1285"/>
      <c r="G134" s="1285"/>
      <c r="H134" s="1285"/>
      <c r="I134" s="1286"/>
      <c r="J134" s="218">
        <f>SQRT(J133)</f>
        <v>0.49618918136503515</v>
      </c>
      <c r="K134" s="213"/>
    </row>
    <row r="135" spans="1:21" x14ac:dyDescent="0.3">
      <c r="A135" s="219"/>
      <c r="B135" s="219"/>
      <c r="C135" s="219"/>
      <c r="D135" s="219"/>
      <c r="E135" s="1284" t="s">
        <v>196</v>
      </c>
      <c r="F135" s="1285"/>
      <c r="G135" s="1285"/>
      <c r="H135" s="1285"/>
      <c r="I135" s="1286"/>
      <c r="J135" s="218">
        <f>((J134)^4)/K133</f>
        <v>9.269935699096477</v>
      </c>
      <c r="K135" s="213"/>
    </row>
    <row r="136" spans="1:21" x14ac:dyDescent="0.3">
      <c r="A136" s="219"/>
      <c r="B136" s="219"/>
      <c r="C136" s="219"/>
      <c r="D136" s="219"/>
      <c r="E136" s="1284" t="s">
        <v>197</v>
      </c>
      <c r="F136" s="1285"/>
      <c r="G136" s="1285"/>
      <c r="H136" s="1285"/>
      <c r="I136" s="1286"/>
      <c r="J136" s="213">
        <f>TINV(0.05,J135)</f>
        <v>2.2621571627982053</v>
      </c>
      <c r="K136" s="213"/>
    </row>
    <row r="137" spans="1:21" x14ac:dyDescent="0.3">
      <c r="A137" s="219"/>
      <c r="B137" s="219"/>
      <c r="C137" s="219"/>
      <c r="D137" s="219"/>
      <c r="E137" s="1284" t="s">
        <v>198</v>
      </c>
      <c r="F137" s="1285"/>
      <c r="G137" s="1285"/>
      <c r="H137" s="1285"/>
      <c r="I137" s="1286"/>
      <c r="J137" s="220">
        <f>J136*J134</f>
        <v>1.122457910727892</v>
      </c>
      <c r="K137" s="213"/>
    </row>
    <row r="138" spans="1:21" hidden="1" x14ac:dyDescent="0.3">
      <c r="J138" s="222"/>
    </row>
    <row r="139" spans="1:21" hidden="1" x14ac:dyDescent="0.3"/>
    <row r="140" spans="1:21" x14ac:dyDescent="0.3">
      <c r="A140" s="225">
        <f>ID!D60</f>
        <v>100</v>
      </c>
      <c r="B140" s="226" t="str">
        <f>B141</f>
        <v>mmHg</v>
      </c>
      <c r="C140" s="227">
        <v>5</v>
      </c>
      <c r="D140" s="219"/>
      <c r="E140" s="221"/>
      <c r="F140" s="221"/>
      <c r="G140" s="221"/>
      <c r="H140" s="221"/>
      <c r="I140" s="221"/>
      <c r="J140" s="224"/>
      <c r="K140" s="223"/>
    </row>
    <row r="141" spans="1:21" x14ac:dyDescent="0.3">
      <c r="A141" s="203">
        <f>ID!L60</f>
        <v>97.908799999999999</v>
      </c>
      <c r="B141" s="204" t="s">
        <v>176</v>
      </c>
    </row>
    <row r="142" spans="1:21" ht="18" x14ac:dyDescent="0.4">
      <c r="A142" s="205" t="s">
        <v>177</v>
      </c>
      <c r="B142" s="205" t="s">
        <v>178</v>
      </c>
      <c r="C142" s="205" t="s">
        <v>179</v>
      </c>
      <c r="D142" s="205" t="s">
        <v>180</v>
      </c>
      <c r="E142" s="205" t="s">
        <v>181</v>
      </c>
      <c r="F142" s="205" t="s">
        <v>182</v>
      </c>
      <c r="G142" s="205" t="s">
        <v>183</v>
      </c>
      <c r="H142" s="205" t="s">
        <v>184</v>
      </c>
      <c r="I142" s="205" t="s">
        <v>185</v>
      </c>
      <c r="J142" s="205" t="s">
        <v>186</v>
      </c>
      <c r="K142" s="206" t="s">
        <v>187</v>
      </c>
    </row>
    <row r="143" spans="1:21" x14ac:dyDescent="0.3">
      <c r="A143" s="208" t="s">
        <v>188</v>
      </c>
      <c r="B143" s="209" t="s">
        <v>176</v>
      </c>
      <c r="C143" s="210" t="s">
        <v>189</v>
      </c>
      <c r="D143" s="211">
        <f>ID!Q60</f>
        <v>0.44721359549995793</v>
      </c>
      <c r="E143" s="211">
        <f>SQRT(5)</f>
        <v>2.2360679774997898</v>
      </c>
      <c r="F143" s="211">
        <f>(D143/E143)</f>
        <v>0.19999999999999998</v>
      </c>
      <c r="G143" s="212">
        <v>1</v>
      </c>
      <c r="H143" s="212">
        <f>5-1</f>
        <v>4</v>
      </c>
      <c r="I143" s="213">
        <f>F143*G143</f>
        <v>0.19999999999999998</v>
      </c>
      <c r="J143" s="213">
        <f>I143^2</f>
        <v>3.9999999999999994E-2</v>
      </c>
      <c r="K143" s="211">
        <f>((I143)^4)/H143</f>
        <v>3.9999999999999986E-4</v>
      </c>
    </row>
    <row r="144" spans="1:21" x14ac:dyDescent="0.3">
      <c r="A144" s="208" t="s">
        <v>190</v>
      </c>
      <c r="B144" s="209" t="s">
        <v>176</v>
      </c>
      <c r="C144" s="210" t="s">
        <v>189</v>
      </c>
      <c r="D144" s="756">
        <f>INTERPOLASI!AU22</f>
        <v>0.1</v>
      </c>
      <c r="E144" s="212">
        <v>2</v>
      </c>
      <c r="F144" s="211">
        <f>D144/E144</f>
        <v>0.05</v>
      </c>
      <c r="G144" s="212">
        <v>1</v>
      </c>
      <c r="H144" s="212">
        <v>50</v>
      </c>
      <c r="I144" s="213">
        <f>F144*G144</f>
        <v>0.05</v>
      </c>
      <c r="J144" s="213">
        <f>I144^2</f>
        <v>2.5000000000000005E-3</v>
      </c>
      <c r="K144" s="213">
        <f>((I144)^4)/H144</f>
        <v>1.2500000000000005E-7</v>
      </c>
      <c r="T144" s="207" t="s">
        <v>190</v>
      </c>
      <c r="U144" s="651">
        <f>((((AD3-Z3)*(S145-X3)))/(AB3-X3))+Z3</f>
        <v>-0.66598000000000002</v>
      </c>
    </row>
    <row r="145" spans="1:21" x14ac:dyDescent="0.3">
      <c r="A145" s="208" t="s">
        <v>191</v>
      </c>
      <c r="B145" s="209" t="s">
        <v>176</v>
      </c>
      <c r="C145" s="210" t="s">
        <v>192</v>
      </c>
      <c r="D145" s="211">
        <f>D104</f>
        <v>0.5</v>
      </c>
      <c r="E145" s="211">
        <f>SQRT(3)</f>
        <v>1.7320508075688772</v>
      </c>
      <c r="F145" s="211">
        <f>D145/E145</f>
        <v>0.28867513459481292</v>
      </c>
      <c r="G145" s="212">
        <v>1</v>
      </c>
      <c r="H145" s="212">
        <v>50</v>
      </c>
      <c r="I145" s="213">
        <f>F145*G145</f>
        <v>0.28867513459481292</v>
      </c>
      <c r="J145" s="213">
        <f>I145^2</f>
        <v>8.3333333333333356E-2</v>
      </c>
      <c r="K145" s="213">
        <f>((I145)^4)/H145</f>
        <v>1.3888888888888897E-4</v>
      </c>
      <c r="Q145" s="648">
        <f>A141</f>
        <v>97.908799999999999</v>
      </c>
      <c r="R145" s="642" t="s">
        <v>462</v>
      </c>
      <c r="S145" s="649">
        <v>144.33000000000001</v>
      </c>
    </row>
    <row r="146" spans="1:21" x14ac:dyDescent="0.3">
      <c r="A146" s="208" t="s">
        <v>193</v>
      </c>
      <c r="B146" s="209" t="s">
        <v>176</v>
      </c>
      <c r="C146" s="210" t="s">
        <v>192</v>
      </c>
      <c r="D146" s="756">
        <f>INTERPOLASI!BT22</f>
        <v>3.3333333333333333E-2</v>
      </c>
      <c r="E146" s="211">
        <f>SQRT(3)</f>
        <v>1.7320508075688772</v>
      </c>
      <c r="F146" s="211">
        <f>D146/E146</f>
        <v>1.9245008972987525E-2</v>
      </c>
      <c r="G146" s="212">
        <v>1</v>
      </c>
      <c r="H146" s="212">
        <v>50</v>
      </c>
      <c r="I146" s="213">
        <f>F146*G146</f>
        <v>1.9245008972987525E-2</v>
      </c>
      <c r="J146" s="213">
        <f>I146^2</f>
        <v>3.7037037037037035E-4</v>
      </c>
      <c r="K146" s="213">
        <f>((I146)^4)/H146</f>
        <v>2.7434842249657066E-9</v>
      </c>
      <c r="N146" s="116"/>
      <c r="P146" s="115"/>
      <c r="T146" s="114" t="s">
        <v>193</v>
      </c>
      <c r="U146" s="651">
        <f>((((AN3-AJ3)*(S145-AH3)))/(AL3-AH3))+AJ3</f>
        <v>3.3333333333333333E-2</v>
      </c>
    </row>
    <row r="147" spans="1:21" x14ac:dyDescent="0.3">
      <c r="A147" s="217"/>
      <c r="B147" s="217"/>
      <c r="C147" s="217"/>
      <c r="D147" s="217"/>
      <c r="E147" s="459" t="s">
        <v>194</v>
      </c>
      <c r="F147" s="460"/>
      <c r="G147" s="460"/>
      <c r="H147" s="460"/>
      <c r="I147" s="461"/>
      <c r="J147" s="218">
        <f>SUM(J143:J146)</f>
        <v>0.12620370370370373</v>
      </c>
      <c r="K147" s="231">
        <f>SUM(K143:K146)</f>
        <v>5.3901663237311374E-4</v>
      </c>
      <c r="N147" s="106"/>
      <c r="O147" s="106"/>
      <c r="P147" s="106"/>
    </row>
    <row r="148" spans="1:21" ht="16.8" x14ac:dyDescent="0.4">
      <c r="A148" s="219"/>
      <c r="B148" s="219"/>
      <c r="C148" s="219"/>
      <c r="D148" s="219"/>
      <c r="E148" s="1284" t="s">
        <v>195</v>
      </c>
      <c r="F148" s="1285"/>
      <c r="G148" s="1285"/>
      <c r="H148" s="1285"/>
      <c r="I148" s="1286"/>
      <c r="J148" s="218">
        <f>SQRT(J147)</f>
        <v>0.35525160619440377</v>
      </c>
      <c r="K148" s="213"/>
    </row>
    <row r="149" spans="1:21" x14ac:dyDescent="0.3">
      <c r="A149" s="219"/>
      <c r="B149" s="219"/>
      <c r="C149" s="219"/>
      <c r="D149" s="219"/>
      <c r="E149" s="1284" t="s">
        <v>196</v>
      </c>
      <c r="F149" s="1285"/>
      <c r="G149" s="1285"/>
      <c r="H149" s="1285"/>
      <c r="I149" s="1286"/>
      <c r="J149" s="218">
        <f>((J148)^4)/K147</f>
        <v>29.548948718723626</v>
      </c>
      <c r="K149" s="213"/>
    </row>
    <row r="150" spans="1:21" x14ac:dyDescent="0.3">
      <c r="A150" s="219"/>
      <c r="B150" s="219"/>
      <c r="C150" s="219"/>
      <c r="D150" s="219"/>
      <c r="E150" s="1284" t="s">
        <v>197</v>
      </c>
      <c r="F150" s="1285"/>
      <c r="G150" s="1285"/>
      <c r="H150" s="1285"/>
      <c r="I150" s="1286"/>
      <c r="J150" s="213">
        <f>TINV(0.05,J149)</f>
        <v>2.0452296421327048</v>
      </c>
      <c r="K150" s="213"/>
    </row>
    <row r="151" spans="1:21" x14ac:dyDescent="0.3">
      <c r="A151" s="219"/>
      <c r="B151" s="219"/>
      <c r="C151" s="219"/>
      <c r="D151" s="219"/>
      <c r="E151" s="1284" t="s">
        <v>198</v>
      </c>
      <c r="F151" s="1285"/>
      <c r="G151" s="1285"/>
      <c r="H151" s="1285"/>
      <c r="I151" s="1286"/>
      <c r="J151" s="220">
        <f>J150*J148</f>
        <v>0.72657111540404895</v>
      </c>
      <c r="K151" s="213"/>
    </row>
    <row r="152" spans="1:21" x14ac:dyDescent="0.3">
      <c r="J152" s="222"/>
    </row>
    <row r="153" spans="1:21" hidden="1" x14ac:dyDescent="0.3"/>
    <row r="154" spans="1:21" hidden="1" x14ac:dyDescent="0.3"/>
    <row r="155" spans="1:21" hidden="1" x14ac:dyDescent="0.3"/>
    <row r="156" spans="1:21" x14ac:dyDescent="0.3">
      <c r="A156" s="1283" t="s">
        <v>199</v>
      </c>
      <c r="B156" s="1283"/>
      <c r="C156" s="1283"/>
      <c r="D156" s="1283"/>
      <c r="E156" s="1283"/>
      <c r="F156" s="1283"/>
      <c r="G156" s="1283"/>
      <c r="H156" s="1283"/>
      <c r="I156" s="1283"/>
      <c r="J156" s="1283"/>
      <c r="K156" s="1283"/>
      <c r="L156" s="1283"/>
      <c r="M156" s="1283"/>
      <c r="N156" s="1283"/>
      <c r="O156" s="1283"/>
      <c r="P156" s="1283"/>
    </row>
    <row r="157" spans="1:21" x14ac:dyDescent="0.3">
      <c r="A157" s="225">
        <f>ID!D67</f>
        <v>60</v>
      </c>
      <c r="B157" s="226" t="s">
        <v>200</v>
      </c>
      <c r="C157" s="227"/>
      <c r="D157" s="219"/>
      <c r="E157" s="221"/>
      <c r="F157" s="221"/>
      <c r="G157" s="221"/>
      <c r="H157" s="221"/>
      <c r="I157" s="221"/>
      <c r="J157" s="224"/>
      <c r="K157" s="223"/>
    </row>
    <row r="158" spans="1:21" x14ac:dyDescent="0.3">
      <c r="A158" s="203">
        <f>ID!J67</f>
        <v>60</v>
      </c>
      <c r="B158" s="204"/>
    </row>
    <row r="159" spans="1:21" ht="18" x14ac:dyDescent="0.4">
      <c r="A159" s="205" t="s">
        <v>177</v>
      </c>
      <c r="B159" s="205" t="s">
        <v>178</v>
      </c>
      <c r="C159" s="205" t="s">
        <v>179</v>
      </c>
      <c r="D159" s="205" t="s">
        <v>180</v>
      </c>
      <c r="E159" s="205" t="s">
        <v>181</v>
      </c>
      <c r="F159" s="205" t="s">
        <v>182</v>
      </c>
      <c r="G159" s="205" t="s">
        <v>183</v>
      </c>
      <c r="H159" s="205" t="s">
        <v>184</v>
      </c>
      <c r="I159" s="205" t="s">
        <v>185</v>
      </c>
      <c r="J159" s="205" t="s">
        <v>186</v>
      </c>
      <c r="K159" s="206" t="s">
        <v>187</v>
      </c>
    </row>
    <row r="160" spans="1:21" x14ac:dyDescent="0.3">
      <c r="A160" s="208" t="s">
        <v>188</v>
      </c>
      <c r="B160" s="209" t="str">
        <f>B157</f>
        <v>bpm</v>
      </c>
      <c r="C160" s="210" t="s">
        <v>189</v>
      </c>
      <c r="D160" s="232">
        <f>ID!O67</f>
        <v>0</v>
      </c>
      <c r="E160" s="232">
        <f>SQRT(3)</f>
        <v>1.7320508075688772</v>
      </c>
      <c r="F160" s="232">
        <f>(D160/E160)</f>
        <v>0</v>
      </c>
      <c r="G160" s="212">
        <v>1</v>
      </c>
      <c r="H160" s="212">
        <f>3-1</f>
        <v>2</v>
      </c>
      <c r="I160" s="213">
        <f>F160*G160</f>
        <v>0</v>
      </c>
      <c r="J160" s="213">
        <f>I160^2</f>
        <v>0</v>
      </c>
      <c r="K160" s="213">
        <f>((I160)^4)/H160</f>
        <v>0</v>
      </c>
    </row>
    <row r="161" spans="1:11" hidden="1" x14ac:dyDescent="0.3">
      <c r="A161" s="208" t="s">
        <v>190</v>
      </c>
      <c r="B161" s="209" t="str">
        <f>B157</f>
        <v>bpm</v>
      </c>
      <c r="C161" s="210" t="s">
        <v>189</v>
      </c>
      <c r="D161" s="233">
        <v>0</v>
      </c>
      <c r="E161" s="232">
        <v>2</v>
      </c>
      <c r="F161" s="232">
        <f>D161/E161</f>
        <v>0</v>
      </c>
      <c r="G161" s="212">
        <v>1</v>
      </c>
      <c r="H161" s="212">
        <v>50</v>
      </c>
      <c r="I161" s="213">
        <f>F161*G161</f>
        <v>0</v>
      </c>
      <c r="J161" s="213">
        <f>I161^2</f>
        <v>0</v>
      </c>
      <c r="K161" s="213">
        <f>((I161)^4)/H161</f>
        <v>0</v>
      </c>
    </row>
    <row r="162" spans="1:11" x14ac:dyDescent="0.3">
      <c r="A162" s="208" t="s">
        <v>191</v>
      </c>
      <c r="B162" s="209" t="str">
        <f>B157</f>
        <v>bpm</v>
      </c>
      <c r="C162" s="210" t="s">
        <v>192</v>
      </c>
      <c r="D162" s="232">
        <f>ID!J14*0.5</f>
        <v>0.5</v>
      </c>
      <c r="E162" s="232">
        <f>SQRT(3)</f>
        <v>1.7320508075688772</v>
      </c>
      <c r="F162" s="232">
        <f>D162/E162</f>
        <v>0.28867513459481292</v>
      </c>
      <c r="G162" s="212">
        <v>1</v>
      </c>
      <c r="H162" s="212">
        <v>50</v>
      </c>
      <c r="I162" s="213">
        <f>F162*G162</f>
        <v>0.28867513459481292</v>
      </c>
      <c r="J162" s="213">
        <f>I162^2</f>
        <v>8.3333333333333356E-2</v>
      </c>
      <c r="K162" s="213">
        <f>((I162)^4)/H162</f>
        <v>1.3888888888888897E-4</v>
      </c>
    </row>
    <row r="163" spans="1:11" hidden="1" x14ac:dyDescent="0.3">
      <c r="A163" s="208" t="s">
        <v>193</v>
      </c>
      <c r="B163" s="209" t="str">
        <f>B157</f>
        <v>bpm</v>
      </c>
      <c r="C163" s="210" t="s">
        <v>192</v>
      </c>
      <c r="D163" s="233">
        <v>0</v>
      </c>
      <c r="E163" s="232">
        <f>SQRT(3)</f>
        <v>1.7320508075688772</v>
      </c>
      <c r="F163" s="232">
        <f>D163/E163</f>
        <v>0</v>
      </c>
      <c r="G163" s="212">
        <v>1</v>
      </c>
      <c r="H163" s="212">
        <v>50</v>
      </c>
      <c r="I163" s="213">
        <f>F163*G163</f>
        <v>0</v>
      </c>
      <c r="J163" s="213">
        <f>I163^2</f>
        <v>0</v>
      </c>
      <c r="K163" s="213">
        <f>((I163)^4)/H163</f>
        <v>0</v>
      </c>
    </row>
    <row r="164" spans="1:11" x14ac:dyDescent="0.3">
      <c r="A164" s="217"/>
      <c r="B164" s="217"/>
      <c r="C164" s="217"/>
      <c r="D164" s="217"/>
      <c r="E164" s="459" t="s">
        <v>194</v>
      </c>
      <c r="F164" s="460"/>
      <c r="G164" s="460"/>
      <c r="H164" s="460"/>
      <c r="I164" s="461"/>
      <c r="J164" s="218">
        <f>SUM(J160:J163)</f>
        <v>8.3333333333333356E-2</v>
      </c>
      <c r="K164" s="218">
        <f>SUM(K160:K163)</f>
        <v>1.3888888888888897E-4</v>
      </c>
    </row>
    <row r="165" spans="1:11" ht="16.8" x14ac:dyDescent="0.4">
      <c r="A165" s="219"/>
      <c r="B165" s="219"/>
      <c r="C165" s="219"/>
      <c r="D165" s="219"/>
      <c r="E165" s="1284" t="s">
        <v>195</v>
      </c>
      <c r="F165" s="1285"/>
      <c r="G165" s="1285"/>
      <c r="H165" s="1285"/>
      <c r="I165" s="1286"/>
      <c r="J165" s="218">
        <f>SQRT(J164)</f>
        <v>0.28867513459481292</v>
      </c>
      <c r="K165" s="213"/>
    </row>
    <row r="166" spans="1:11" x14ac:dyDescent="0.3">
      <c r="A166" s="219"/>
      <c r="B166" s="219"/>
      <c r="C166" s="219"/>
      <c r="D166" s="219"/>
      <c r="E166" s="1284" t="s">
        <v>196</v>
      </c>
      <c r="F166" s="1285"/>
      <c r="G166" s="1285"/>
      <c r="H166" s="1285"/>
      <c r="I166" s="1286"/>
      <c r="J166" s="218">
        <f>((J165)^4)/K164</f>
        <v>50</v>
      </c>
      <c r="K166" s="213"/>
    </row>
    <row r="167" spans="1:11" x14ac:dyDescent="0.3">
      <c r="A167" s="219"/>
      <c r="B167" s="219"/>
      <c r="C167" s="219"/>
      <c r="D167" s="219"/>
      <c r="E167" s="1284" t="s">
        <v>197</v>
      </c>
      <c r="F167" s="1285"/>
      <c r="G167" s="1285"/>
      <c r="H167" s="1285"/>
      <c r="I167" s="1286"/>
      <c r="J167" s="213">
        <f>TINV(0.05,J166)</f>
        <v>2.0085591121007611</v>
      </c>
      <c r="K167" s="213"/>
    </row>
    <row r="168" spans="1:11" x14ac:dyDescent="0.3">
      <c r="A168" s="219"/>
      <c r="B168" s="219"/>
      <c r="C168" s="219"/>
      <c r="D168" s="219"/>
      <c r="E168" s="1284" t="s">
        <v>198</v>
      </c>
      <c r="F168" s="1285"/>
      <c r="G168" s="1285"/>
      <c r="H168" s="1285"/>
      <c r="I168" s="1286"/>
      <c r="J168" s="231">
        <f>J167*J165</f>
        <v>0.57982107202732514</v>
      </c>
      <c r="K168" s="213"/>
    </row>
    <row r="169" spans="1:11" x14ac:dyDescent="0.3">
      <c r="J169" s="234">
        <f>(ABS(J168/A158)*100)</f>
        <v>0.96636845337887511</v>
      </c>
    </row>
    <row r="170" spans="1:11" x14ac:dyDescent="0.3">
      <c r="A170" s="225">
        <f>ID!D68</f>
        <v>120</v>
      </c>
      <c r="B170" s="226" t="str">
        <f>B157</f>
        <v>bpm</v>
      </c>
      <c r="C170" s="227"/>
      <c r="D170" s="219"/>
      <c r="E170" s="221"/>
      <c r="F170" s="221"/>
      <c r="G170" s="221"/>
      <c r="H170" s="221"/>
      <c r="I170" s="221"/>
      <c r="J170" s="224"/>
      <c r="K170" s="223"/>
    </row>
    <row r="171" spans="1:11" x14ac:dyDescent="0.3">
      <c r="A171" s="203">
        <f>ID!J68</f>
        <v>120</v>
      </c>
      <c r="B171" s="204"/>
    </row>
    <row r="172" spans="1:11" ht="18" x14ac:dyDescent="0.4">
      <c r="A172" s="205" t="s">
        <v>177</v>
      </c>
      <c r="B172" s="205" t="s">
        <v>178</v>
      </c>
      <c r="C172" s="205" t="s">
        <v>179</v>
      </c>
      <c r="D172" s="205" t="s">
        <v>180</v>
      </c>
      <c r="E172" s="205" t="s">
        <v>181</v>
      </c>
      <c r="F172" s="205" t="s">
        <v>182</v>
      </c>
      <c r="G172" s="205" t="s">
        <v>183</v>
      </c>
      <c r="H172" s="205" t="s">
        <v>184</v>
      </c>
      <c r="I172" s="205" t="s">
        <v>185</v>
      </c>
      <c r="J172" s="205" t="s">
        <v>186</v>
      </c>
      <c r="K172" s="206" t="s">
        <v>187</v>
      </c>
    </row>
    <row r="173" spans="1:11" x14ac:dyDescent="0.3">
      <c r="A173" s="208" t="s">
        <v>188</v>
      </c>
      <c r="B173" s="209" t="str">
        <f>B170</f>
        <v>bpm</v>
      </c>
      <c r="C173" s="210" t="s">
        <v>189</v>
      </c>
      <c r="D173" s="232">
        <f>ID!O68</f>
        <v>0</v>
      </c>
      <c r="E173" s="232">
        <f>SQRT(3)</f>
        <v>1.7320508075688772</v>
      </c>
      <c r="F173" s="232">
        <f>(D173/E173)</f>
        <v>0</v>
      </c>
      <c r="G173" s="212">
        <v>1</v>
      </c>
      <c r="H173" s="212">
        <f>3-1</f>
        <v>2</v>
      </c>
      <c r="I173" s="213">
        <f>F173*G173</f>
        <v>0</v>
      </c>
      <c r="J173" s="213">
        <f>I173^2</f>
        <v>0</v>
      </c>
      <c r="K173" s="213">
        <f>((I173)^4)/H173</f>
        <v>0</v>
      </c>
    </row>
    <row r="174" spans="1:11" hidden="1" x14ac:dyDescent="0.3">
      <c r="A174" s="208" t="s">
        <v>190</v>
      </c>
      <c r="B174" s="209" t="str">
        <f>B170</f>
        <v>bpm</v>
      </c>
      <c r="C174" s="210" t="s">
        <v>189</v>
      </c>
      <c r="D174" s="233">
        <v>0</v>
      </c>
      <c r="E174" s="232">
        <v>2</v>
      </c>
      <c r="F174" s="232">
        <f>D174/E174</f>
        <v>0</v>
      </c>
      <c r="G174" s="212">
        <v>1</v>
      </c>
      <c r="H174" s="212">
        <v>50</v>
      </c>
      <c r="I174" s="213">
        <f>F174*G174</f>
        <v>0</v>
      </c>
      <c r="J174" s="213">
        <f>I174^2</f>
        <v>0</v>
      </c>
      <c r="K174" s="213">
        <f>((I174)^4)/H174</f>
        <v>0</v>
      </c>
    </row>
    <row r="175" spans="1:11" x14ac:dyDescent="0.3">
      <c r="A175" s="208" t="s">
        <v>191</v>
      </c>
      <c r="B175" s="209" t="str">
        <f>B170</f>
        <v>bpm</v>
      </c>
      <c r="C175" s="210" t="s">
        <v>192</v>
      </c>
      <c r="D175" s="232">
        <f>D162</f>
        <v>0.5</v>
      </c>
      <c r="E175" s="232">
        <f>SQRT(3)</f>
        <v>1.7320508075688772</v>
      </c>
      <c r="F175" s="232">
        <f>D175/E175</f>
        <v>0.28867513459481292</v>
      </c>
      <c r="G175" s="212">
        <v>1</v>
      </c>
      <c r="H175" s="212">
        <v>50</v>
      </c>
      <c r="I175" s="213">
        <f>F175*G175</f>
        <v>0.28867513459481292</v>
      </c>
      <c r="J175" s="213">
        <f>I175^2</f>
        <v>8.3333333333333356E-2</v>
      </c>
      <c r="K175" s="213">
        <f>((I175)^4)/H175</f>
        <v>1.3888888888888897E-4</v>
      </c>
    </row>
    <row r="176" spans="1:11" hidden="1" x14ac:dyDescent="0.3">
      <c r="A176" s="208" t="s">
        <v>193</v>
      </c>
      <c r="B176" s="209" t="str">
        <f>B170</f>
        <v>bpm</v>
      </c>
      <c r="C176" s="210" t="s">
        <v>192</v>
      </c>
      <c r="D176" s="233">
        <v>0</v>
      </c>
      <c r="E176" s="232">
        <f>SQRT(3)</f>
        <v>1.7320508075688772</v>
      </c>
      <c r="F176" s="232">
        <f>D176/E176</f>
        <v>0</v>
      </c>
      <c r="G176" s="212">
        <v>1</v>
      </c>
      <c r="H176" s="212">
        <v>50</v>
      </c>
      <c r="I176" s="213">
        <f>F176*G176</f>
        <v>0</v>
      </c>
      <c r="J176" s="213">
        <f>I176^2</f>
        <v>0</v>
      </c>
      <c r="K176" s="213">
        <f>((I176)^4)/H176</f>
        <v>0</v>
      </c>
    </row>
    <row r="177" spans="1:11" x14ac:dyDescent="0.3">
      <c r="A177" s="217"/>
      <c r="B177" s="217"/>
      <c r="C177" s="217"/>
      <c r="D177" s="217"/>
      <c r="E177" s="459" t="s">
        <v>194</v>
      </c>
      <c r="F177" s="460"/>
      <c r="G177" s="460"/>
      <c r="H177" s="460"/>
      <c r="I177" s="461"/>
      <c r="J177" s="218">
        <f>SUM(J173:J176)</f>
        <v>8.3333333333333356E-2</v>
      </c>
      <c r="K177" s="218">
        <f>SUM(K173:K176)</f>
        <v>1.3888888888888897E-4</v>
      </c>
    </row>
    <row r="178" spans="1:11" ht="16.8" x14ac:dyDescent="0.4">
      <c r="A178" s="219"/>
      <c r="B178" s="219"/>
      <c r="C178" s="219"/>
      <c r="D178" s="219"/>
      <c r="E178" s="1284" t="s">
        <v>195</v>
      </c>
      <c r="F178" s="1285"/>
      <c r="G178" s="1285"/>
      <c r="H178" s="1285"/>
      <c r="I178" s="1286"/>
      <c r="J178" s="218">
        <f>SQRT(J177)</f>
        <v>0.28867513459481292</v>
      </c>
      <c r="K178" s="213"/>
    </row>
    <row r="179" spans="1:11" x14ac:dyDescent="0.3">
      <c r="A179" s="219"/>
      <c r="B179" s="219"/>
      <c r="C179" s="219"/>
      <c r="D179" s="219"/>
      <c r="E179" s="1284" t="s">
        <v>196</v>
      </c>
      <c r="F179" s="1285"/>
      <c r="G179" s="1285"/>
      <c r="H179" s="1285"/>
      <c r="I179" s="1286"/>
      <c r="J179" s="218">
        <f>((J178)^4)/K177</f>
        <v>50</v>
      </c>
      <c r="K179" s="213"/>
    </row>
    <row r="180" spans="1:11" x14ac:dyDescent="0.3">
      <c r="A180" s="219"/>
      <c r="B180" s="219"/>
      <c r="C180" s="219"/>
      <c r="D180" s="219"/>
      <c r="E180" s="1284" t="s">
        <v>197</v>
      </c>
      <c r="F180" s="1285"/>
      <c r="G180" s="1285"/>
      <c r="H180" s="1285"/>
      <c r="I180" s="1286"/>
      <c r="J180" s="213">
        <f>TINV(0.05,J179)</f>
        <v>2.0085591121007611</v>
      </c>
      <c r="K180" s="213"/>
    </row>
    <row r="181" spans="1:11" x14ac:dyDescent="0.3">
      <c r="A181" s="219"/>
      <c r="B181" s="219"/>
      <c r="C181" s="219"/>
      <c r="D181" s="219"/>
      <c r="E181" s="1284" t="s">
        <v>198</v>
      </c>
      <c r="F181" s="1285"/>
      <c r="G181" s="1285"/>
      <c r="H181" s="1285"/>
      <c r="I181" s="1286"/>
      <c r="J181" s="231">
        <f>J180*J178</f>
        <v>0.57982107202732514</v>
      </c>
      <c r="K181" s="213"/>
    </row>
    <row r="182" spans="1:11" x14ac:dyDescent="0.3">
      <c r="J182" s="234">
        <f>(ABS(J181/A171)*100)</f>
        <v>0.48318422668943756</v>
      </c>
    </row>
    <row r="183" spans="1:11" x14ac:dyDescent="0.3">
      <c r="A183" s="225">
        <f>ID!D69</f>
        <v>180</v>
      </c>
      <c r="B183" s="226" t="str">
        <f>B170</f>
        <v>bpm</v>
      </c>
      <c r="C183" s="227"/>
      <c r="D183" s="219"/>
      <c r="E183" s="221"/>
      <c r="F183" s="221"/>
      <c r="G183" s="221"/>
      <c r="H183" s="221"/>
      <c r="I183" s="221"/>
      <c r="J183" s="224"/>
      <c r="K183" s="223"/>
    </row>
    <row r="184" spans="1:11" x14ac:dyDescent="0.3">
      <c r="A184" s="203">
        <f>ID!J69</f>
        <v>179</v>
      </c>
      <c r="B184" s="204"/>
    </row>
    <row r="185" spans="1:11" ht="18" x14ac:dyDescent="0.4">
      <c r="A185" s="205" t="s">
        <v>177</v>
      </c>
      <c r="B185" s="205" t="s">
        <v>178</v>
      </c>
      <c r="C185" s="205" t="s">
        <v>179</v>
      </c>
      <c r="D185" s="205" t="s">
        <v>180</v>
      </c>
      <c r="E185" s="205" t="s">
        <v>181</v>
      </c>
      <c r="F185" s="205" t="s">
        <v>182</v>
      </c>
      <c r="G185" s="205" t="s">
        <v>183</v>
      </c>
      <c r="H185" s="205" t="s">
        <v>184</v>
      </c>
      <c r="I185" s="205" t="s">
        <v>185</v>
      </c>
      <c r="J185" s="205" t="s">
        <v>186</v>
      </c>
      <c r="K185" s="206" t="s">
        <v>187</v>
      </c>
    </row>
    <row r="186" spans="1:11" x14ac:dyDescent="0.3">
      <c r="A186" s="208" t="s">
        <v>188</v>
      </c>
      <c r="B186" s="209" t="str">
        <f>B183</f>
        <v>bpm</v>
      </c>
      <c r="C186" s="210" t="s">
        <v>189</v>
      </c>
      <c r="D186" s="232">
        <f>ID!O69</f>
        <v>0</v>
      </c>
      <c r="E186" s="232">
        <f>SQRT(3)</f>
        <v>1.7320508075688772</v>
      </c>
      <c r="F186" s="232">
        <f>(D186/E186)</f>
        <v>0</v>
      </c>
      <c r="G186" s="212">
        <v>1</v>
      </c>
      <c r="H186" s="212">
        <f>3-1</f>
        <v>2</v>
      </c>
      <c r="I186" s="213">
        <f>F186*G186</f>
        <v>0</v>
      </c>
      <c r="J186" s="213">
        <f>I186^2</f>
        <v>0</v>
      </c>
      <c r="K186" s="213">
        <f>((I186)^4)/H186</f>
        <v>0</v>
      </c>
    </row>
    <row r="187" spans="1:11" hidden="1" x14ac:dyDescent="0.3">
      <c r="A187" s="208" t="s">
        <v>190</v>
      </c>
      <c r="B187" s="209" t="str">
        <f>B183</f>
        <v>bpm</v>
      </c>
      <c r="C187" s="210" t="s">
        <v>189</v>
      </c>
      <c r="D187" s="233">
        <v>0</v>
      </c>
      <c r="E187" s="232">
        <v>2</v>
      </c>
      <c r="F187" s="232">
        <f>D187/E187</f>
        <v>0</v>
      </c>
      <c r="G187" s="212">
        <v>1</v>
      </c>
      <c r="H187" s="212">
        <v>50</v>
      </c>
      <c r="I187" s="213">
        <f>F187*G187</f>
        <v>0</v>
      </c>
      <c r="J187" s="213">
        <f>I187^2</f>
        <v>0</v>
      </c>
      <c r="K187" s="213">
        <f>((I187)^4)/H187</f>
        <v>0</v>
      </c>
    </row>
    <row r="188" spans="1:11" x14ac:dyDescent="0.3">
      <c r="A188" s="208" t="s">
        <v>191</v>
      </c>
      <c r="B188" s="209" t="str">
        <f>B183</f>
        <v>bpm</v>
      </c>
      <c r="C188" s="210" t="s">
        <v>192</v>
      </c>
      <c r="D188" s="232">
        <f>D175</f>
        <v>0.5</v>
      </c>
      <c r="E188" s="232">
        <f>SQRT(3)</f>
        <v>1.7320508075688772</v>
      </c>
      <c r="F188" s="232">
        <f>D188/E188</f>
        <v>0.28867513459481292</v>
      </c>
      <c r="G188" s="212">
        <v>1</v>
      </c>
      <c r="H188" s="212">
        <v>50</v>
      </c>
      <c r="I188" s="213">
        <f>F188*G188</f>
        <v>0.28867513459481292</v>
      </c>
      <c r="J188" s="213">
        <f>I188^2</f>
        <v>8.3333333333333356E-2</v>
      </c>
      <c r="K188" s="213">
        <f>((I188)^4)/H188</f>
        <v>1.3888888888888897E-4</v>
      </c>
    </row>
    <row r="189" spans="1:11" hidden="1" x14ac:dyDescent="0.3">
      <c r="A189" s="208" t="s">
        <v>193</v>
      </c>
      <c r="B189" s="209" t="str">
        <f>B183</f>
        <v>bpm</v>
      </c>
      <c r="C189" s="210" t="s">
        <v>192</v>
      </c>
      <c r="D189" s="233">
        <v>0</v>
      </c>
      <c r="E189" s="232">
        <f>SQRT(3)</f>
        <v>1.7320508075688772</v>
      </c>
      <c r="F189" s="232">
        <f>D189/E189</f>
        <v>0</v>
      </c>
      <c r="G189" s="212">
        <v>1</v>
      </c>
      <c r="H189" s="212">
        <v>50</v>
      </c>
      <c r="I189" s="213">
        <f>F189*G189</f>
        <v>0</v>
      </c>
      <c r="J189" s="213">
        <f>I189^2</f>
        <v>0</v>
      </c>
      <c r="K189" s="213">
        <f>((I189)^4)/H189</f>
        <v>0</v>
      </c>
    </row>
    <row r="190" spans="1:11" x14ac:dyDescent="0.3">
      <c r="A190" s="217"/>
      <c r="B190" s="217"/>
      <c r="C190" s="217"/>
      <c r="D190" s="217"/>
      <c r="E190" s="459" t="s">
        <v>194</v>
      </c>
      <c r="F190" s="460"/>
      <c r="G190" s="460"/>
      <c r="H190" s="460"/>
      <c r="I190" s="461"/>
      <c r="J190" s="218">
        <f>SUM(J186:J189)</f>
        <v>8.3333333333333356E-2</v>
      </c>
      <c r="K190" s="218">
        <f>SUM(K186:K189)</f>
        <v>1.3888888888888897E-4</v>
      </c>
    </row>
    <row r="191" spans="1:11" ht="16.8" x14ac:dyDescent="0.4">
      <c r="A191" s="219"/>
      <c r="B191" s="219"/>
      <c r="C191" s="219"/>
      <c r="D191" s="219"/>
      <c r="E191" s="1284" t="s">
        <v>195</v>
      </c>
      <c r="F191" s="1285"/>
      <c r="G191" s="1285"/>
      <c r="H191" s="1285"/>
      <c r="I191" s="1286"/>
      <c r="J191" s="218">
        <f>SQRT(J190)</f>
        <v>0.28867513459481292</v>
      </c>
      <c r="K191" s="213"/>
    </row>
    <row r="192" spans="1:11" x14ac:dyDescent="0.3">
      <c r="A192" s="219"/>
      <c r="B192" s="219"/>
      <c r="C192" s="219"/>
      <c r="D192" s="219"/>
      <c r="E192" s="1284" t="s">
        <v>196</v>
      </c>
      <c r="F192" s="1285"/>
      <c r="G192" s="1285"/>
      <c r="H192" s="1285"/>
      <c r="I192" s="1286"/>
      <c r="J192" s="218">
        <f>((J191)^4)/K190</f>
        <v>50</v>
      </c>
      <c r="K192" s="213"/>
    </row>
    <row r="193" spans="1:11" x14ac:dyDescent="0.3">
      <c r="A193" s="219"/>
      <c r="B193" s="219"/>
      <c r="C193" s="219"/>
      <c r="D193" s="219"/>
      <c r="E193" s="1284" t="s">
        <v>197</v>
      </c>
      <c r="F193" s="1285"/>
      <c r="G193" s="1285"/>
      <c r="H193" s="1285"/>
      <c r="I193" s="1286"/>
      <c r="J193" s="213">
        <f>TINV(0.05,J192)</f>
        <v>2.0085591121007611</v>
      </c>
      <c r="K193" s="213"/>
    </row>
    <row r="194" spans="1:11" x14ac:dyDescent="0.3">
      <c r="A194" s="219"/>
      <c r="B194" s="219"/>
      <c r="C194" s="219"/>
      <c r="D194" s="219"/>
      <c r="E194" s="1284" t="s">
        <v>198</v>
      </c>
      <c r="F194" s="1285"/>
      <c r="G194" s="1285"/>
      <c r="H194" s="1285"/>
      <c r="I194" s="1286"/>
      <c r="J194" s="231">
        <f>J193*J191</f>
        <v>0.57982107202732514</v>
      </c>
      <c r="K194" s="213"/>
    </row>
    <row r="195" spans="1:11" x14ac:dyDescent="0.3">
      <c r="J195" s="234">
        <f>(ABS(J194/A184)*100)</f>
        <v>0.32392238660744421</v>
      </c>
    </row>
    <row r="196" spans="1:11" hidden="1" x14ac:dyDescent="0.3">
      <c r="A196" s="225"/>
      <c r="B196" s="226"/>
      <c r="C196" s="227"/>
      <c r="D196" s="219"/>
      <c r="E196" s="221"/>
      <c r="F196" s="221"/>
      <c r="G196" s="221"/>
      <c r="H196" s="221"/>
      <c r="I196" s="221"/>
      <c r="J196" s="224"/>
      <c r="K196" s="223"/>
    </row>
    <row r="197" spans="1:11" hidden="1" x14ac:dyDescent="0.3">
      <c r="A197" s="203"/>
      <c r="B197" s="204"/>
    </row>
    <row r="198" spans="1:11" hidden="1" x14ac:dyDescent="0.3">
      <c r="A198" s="205"/>
      <c r="B198" s="205"/>
      <c r="C198" s="205"/>
      <c r="D198" s="205"/>
      <c r="E198" s="205"/>
      <c r="F198" s="205"/>
      <c r="G198" s="205"/>
      <c r="H198" s="205"/>
      <c r="I198" s="205"/>
      <c r="J198" s="205"/>
      <c r="K198" s="206"/>
    </row>
    <row r="199" spans="1:11" hidden="1" x14ac:dyDescent="0.3">
      <c r="A199" s="208"/>
      <c r="B199" s="209"/>
      <c r="C199" s="210"/>
      <c r="D199" s="232"/>
      <c r="E199" s="232"/>
      <c r="F199" s="232"/>
      <c r="G199" s="212"/>
      <c r="H199" s="212"/>
      <c r="I199" s="213"/>
      <c r="J199" s="213"/>
      <c r="K199" s="213"/>
    </row>
    <row r="200" spans="1:11" hidden="1" x14ac:dyDescent="0.3">
      <c r="A200" s="208"/>
      <c r="B200" s="209"/>
      <c r="C200" s="210"/>
      <c r="D200" s="233"/>
      <c r="E200" s="232"/>
      <c r="F200" s="232"/>
      <c r="G200" s="212"/>
      <c r="H200" s="212"/>
      <c r="I200" s="213"/>
      <c r="J200" s="213"/>
      <c r="K200" s="213"/>
    </row>
    <row r="201" spans="1:11" hidden="1" x14ac:dyDescent="0.3">
      <c r="A201" s="208"/>
      <c r="B201" s="209"/>
      <c r="C201" s="210"/>
      <c r="D201" s="232"/>
      <c r="E201" s="232"/>
      <c r="F201" s="232"/>
      <c r="G201" s="212"/>
      <c r="H201" s="212"/>
      <c r="I201" s="213"/>
      <c r="J201" s="213"/>
      <c r="K201" s="213"/>
    </row>
    <row r="202" spans="1:11" hidden="1" x14ac:dyDescent="0.3">
      <c r="A202" s="208"/>
      <c r="B202" s="209"/>
      <c r="C202" s="210"/>
      <c r="D202" s="233"/>
      <c r="E202" s="232"/>
      <c r="F202" s="232"/>
      <c r="G202" s="212"/>
      <c r="H202" s="212"/>
      <c r="I202" s="213"/>
      <c r="J202" s="213"/>
      <c r="K202" s="213"/>
    </row>
    <row r="203" spans="1:11" hidden="1" x14ac:dyDescent="0.3">
      <c r="A203" s="217"/>
      <c r="B203" s="217"/>
      <c r="C203" s="217"/>
      <c r="D203" s="217"/>
      <c r="E203" s="459"/>
      <c r="F203" s="460"/>
      <c r="G203" s="460"/>
      <c r="H203" s="460"/>
      <c r="I203" s="461"/>
      <c r="J203" s="218"/>
      <c r="K203" s="218"/>
    </row>
    <row r="204" spans="1:11" hidden="1" x14ac:dyDescent="0.3">
      <c r="A204" s="219"/>
      <c r="B204" s="219"/>
      <c r="C204" s="219"/>
      <c r="D204" s="219"/>
      <c r="E204" s="1284"/>
      <c r="F204" s="1285"/>
      <c r="G204" s="1285"/>
      <c r="H204" s="1285"/>
      <c r="I204" s="1286"/>
      <c r="J204" s="218"/>
      <c r="K204" s="213"/>
    </row>
    <row r="205" spans="1:11" hidden="1" x14ac:dyDescent="0.3">
      <c r="A205" s="219"/>
      <c r="B205" s="219"/>
      <c r="C205" s="219"/>
      <c r="D205" s="219"/>
      <c r="E205" s="1284"/>
      <c r="F205" s="1285"/>
      <c r="G205" s="1285"/>
      <c r="H205" s="1285"/>
      <c r="I205" s="1286"/>
      <c r="J205" s="218"/>
      <c r="K205" s="213"/>
    </row>
    <row r="206" spans="1:11" hidden="1" x14ac:dyDescent="0.3">
      <c r="A206" s="219"/>
      <c r="B206" s="219"/>
      <c r="C206" s="219"/>
      <c r="D206" s="219"/>
      <c r="E206" s="1284"/>
      <c r="F206" s="1285"/>
      <c r="G206" s="1285"/>
      <c r="H206" s="1285"/>
      <c r="I206" s="1286"/>
      <c r="J206" s="213"/>
      <c r="K206" s="213"/>
    </row>
    <row r="207" spans="1:11" hidden="1" x14ac:dyDescent="0.3">
      <c r="A207" s="219"/>
      <c r="B207" s="219"/>
      <c r="C207" s="219"/>
      <c r="D207" s="219"/>
      <c r="E207" s="1284"/>
      <c r="F207" s="1285"/>
      <c r="G207" s="1285"/>
      <c r="H207" s="1285"/>
      <c r="I207" s="1286"/>
      <c r="J207" s="231"/>
      <c r="K207" s="213"/>
    </row>
    <row r="208" spans="1:11" hidden="1" x14ac:dyDescent="0.3">
      <c r="J208" s="234"/>
    </row>
    <row r="209" spans="1:11" hidden="1" x14ac:dyDescent="0.3">
      <c r="A209" s="225"/>
      <c r="B209" s="226"/>
      <c r="C209" s="227"/>
      <c r="D209" s="219"/>
      <c r="E209" s="221"/>
      <c r="F209" s="221"/>
      <c r="G209" s="221"/>
      <c r="H209" s="221"/>
      <c r="I209" s="221"/>
      <c r="J209" s="224"/>
      <c r="K209" s="223"/>
    </row>
    <row r="210" spans="1:11" hidden="1" x14ac:dyDescent="0.3">
      <c r="A210" s="203"/>
      <c r="B210" s="204"/>
    </row>
    <row r="211" spans="1:11" hidden="1" x14ac:dyDescent="0.3">
      <c r="A211" s="205"/>
      <c r="B211" s="205"/>
      <c r="C211" s="205"/>
      <c r="D211" s="205"/>
      <c r="E211" s="205"/>
      <c r="F211" s="205"/>
      <c r="G211" s="205"/>
      <c r="H211" s="205"/>
      <c r="I211" s="205"/>
      <c r="J211" s="205"/>
      <c r="K211" s="206"/>
    </row>
    <row r="212" spans="1:11" hidden="1" x14ac:dyDescent="0.3">
      <c r="A212" s="208"/>
      <c r="B212" s="209"/>
      <c r="C212" s="210"/>
      <c r="D212" s="232"/>
      <c r="E212" s="232"/>
      <c r="F212" s="232"/>
      <c r="G212" s="212"/>
      <c r="H212" s="212"/>
      <c r="I212" s="213"/>
      <c r="J212" s="213"/>
      <c r="K212" s="213"/>
    </row>
    <row r="213" spans="1:11" hidden="1" x14ac:dyDescent="0.3">
      <c r="A213" s="208"/>
      <c r="B213" s="209"/>
      <c r="C213" s="210"/>
      <c r="D213" s="233"/>
      <c r="E213" s="232"/>
      <c r="F213" s="232"/>
      <c r="G213" s="212"/>
      <c r="H213" s="212"/>
      <c r="I213" s="213"/>
      <c r="J213" s="213"/>
      <c r="K213" s="213"/>
    </row>
    <row r="214" spans="1:11" hidden="1" x14ac:dyDescent="0.3">
      <c r="A214" s="208"/>
      <c r="B214" s="209"/>
      <c r="C214" s="210"/>
      <c r="D214" s="232"/>
      <c r="E214" s="232"/>
      <c r="F214" s="232"/>
      <c r="G214" s="212"/>
      <c r="H214" s="212"/>
      <c r="I214" s="213"/>
      <c r="J214" s="213"/>
      <c r="K214" s="213"/>
    </row>
    <row r="215" spans="1:11" hidden="1" x14ac:dyDescent="0.3">
      <c r="A215" s="208"/>
      <c r="B215" s="209"/>
      <c r="C215" s="210"/>
      <c r="D215" s="233"/>
      <c r="E215" s="232"/>
      <c r="F215" s="232"/>
      <c r="G215" s="212"/>
      <c r="H215" s="212"/>
      <c r="I215" s="213"/>
      <c r="J215" s="213"/>
      <c r="K215" s="213"/>
    </row>
    <row r="216" spans="1:11" hidden="1" x14ac:dyDescent="0.3">
      <c r="A216" s="217"/>
      <c r="B216" s="217"/>
      <c r="C216" s="217"/>
      <c r="D216" s="217"/>
      <c r="E216" s="459"/>
      <c r="F216" s="460"/>
      <c r="G216" s="460"/>
      <c r="H216" s="460"/>
      <c r="I216" s="461"/>
      <c r="J216" s="218"/>
      <c r="K216" s="218"/>
    </row>
    <row r="217" spans="1:11" hidden="1" x14ac:dyDescent="0.3">
      <c r="A217" s="219"/>
      <c r="B217" s="219"/>
      <c r="C217" s="219"/>
      <c r="D217" s="219"/>
      <c r="E217" s="1284"/>
      <c r="F217" s="1285"/>
      <c r="G217" s="1285"/>
      <c r="H217" s="1285"/>
      <c r="I217" s="1286"/>
      <c r="J217" s="218"/>
      <c r="K217" s="213"/>
    </row>
    <row r="218" spans="1:11" hidden="1" x14ac:dyDescent="0.3">
      <c r="A218" s="219"/>
      <c r="B218" s="219"/>
      <c r="C218" s="219"/>
      <c r="D218" s="219"/>
      <c r="E218" s="1284"/>
      <c r="F218" s="1285"/>
      <c r="G218" s="1285"/>
      <c r="H218" s="1285"/>
      <c r="I218" s="1286"/>
      <c r="J218" s="218"/>
      <c r="K218" s="213"/>
    </row>
    <row r="219" spans="1:11" hidden="1" x14ac:dyDescent="0.3">
      <c r="A219" s="219"/>
      <c r="B219" s="219"/>
      <c r="C219" s="219"/>
      <c r="D219" s="219"/>
      <c r="E219" s="1284"/>
      <c r="F219" s="1285"/>
      <c r="G219" s="1285"/>
      <c r="H219" s="1285"/>
      <c r="I219" s="1286"/>
      <c r="J219" s="213"/>
      <c r="K219" s="213"/>
    </row>
    <row r="220" spans="1:11" hidden="1" x14ac:dyDescent="0.3">
      <c r="A220" s="219"/>
      <c r="B220" s="219"/>
      <c r="C220" s="219"/>
      <c r="D220" s="219"/>
      <c r="E220" s="1284"/>
      <c r="F220" s="1285"/>
      <c r="G220" s="1285"/>
      <c r="H220" s="1285"/>
      <c r="I220" s="1286"/>
      <c r="J220" s="231"/>
      <c r="K220" s="213"/>
    </row>
    <row r="221" spans="1:11" hidden="1" x14ac:dyDescent="0.3">
      <c r="J221" s="234"/>
    </row>
    <row r="222" spans="1:11" hidden="1" x14ac:dyDescent="0.3"/>
    <row r="223" spans="1:11" hidden="1" x14ac:dyDescent="0.3"/>
    <row r="224" spans="1:11" hidden="1" x14ac:dyDescent="0.3"/>
    <row r="225" hidden="1" x14ac:dyDescent="0.3"/>
    <row r="226" hidden="1" x14ac:dyDescent="0.3"/>
    <row r="227" hidden="1" x14ac:dyDescent="0.3"/>
    <row r="228" hidden="1" x14ac:dyDescent="0.3"/>
    <row r="229" hidden="1" x14ac:dyDescent="0.3"/>
    <row r="230" hidden="1" x14ac:dyDescent="0.3"/>
    <row r="231" hidden="1" x14ac:dyDescent="0.3"/>
    <row r="232" hidden="1" x14ac:dyDescent="0.3"/>
    <row r="233" hidden="1" x14ac:dyDescent="0.3"/>
    <row r="234" hidden="1" x14ac:dyDescent="0.3"/>
    <row r="235" hidden="1" x14ac:dyDescent="0.3"/>
    <row r="236" hidden="1" x14ac:dyDescent="0.3"/>
    <row r="237" hidden="1" x14ac:dyDescent="0.3"/>
    <row r="238" hidden="1" x14ac:dyDescent="0.3"/>
    <row r="239" hidden="1" x14ac:dyDescent="0.3"/>
    <row r="240" hidden="1" x14ac:dyDescent="0.3"/>
    <row r="241" hidden="1" x14ac:dyDescent="0.3"/>
    <row r="242" hidden="1" x14ac:dyDescent="0.3"/>
    <row r="243" hidden="1" x14ac:dyDescent="0.3"/>
    <row r="244" hidden="1" x14ac:dyDescent="0.3"/>
    <row r="245" hidden="1" x14ac:dyDescent="0.3"/>
    <row r="246" hidden="1" x14ac:dyDescent="0.3"/>
    <row r="247" hidden="1" x14ac:dyDescent="0.3"/>
    <row r="248" hidden="1" x14ac:dyDescent="0.3"/>
    <row r="249" hidden="1" x14ac:dyDescent="0.3"/>
    <row r="250" hidden="1" x14ac:dyDescent="0.3"/>
    <row r="251" hidden="1" x14ac:dyDescent="0.3"/>
    <row r="252" hidden="1" x14ac:dyDescent="0.3"/>
    <row r="253" hidden="1" x14ac:dyDescent="0.3"/>
    <row r="254" hidden="1" x14ac:dyDescent="0.3"/>
    <row r="255" hidden="1" x14ac:dyDescent="0.3"/>
    <row r="256" hidden="1" x14ac:dyDescent="0.3"/>
    <row r="257" hidden="1" x14ac:dyDescent="0.3"/>
    <row r="258" hidden="1" x14ac:dyDescent="0.3"/>
    <row r="259" hidden="1" x14ac:dyDescent="0.3"/>
    <row r="260" hidden="1" x14ac:dyDescent="0.3"/>
    <row r="261" hidden="1" x14ac:dyDescent="0.3"/>
    <row r="262" hidden="1" x14ac:dyDescent="0.3"/>
    <row r="263" hidden="1" x14ac:dyDescent="0.3"/>
    <row r="264" hidden="1" x14ac:dyDescent="0.3"/>
    <row r="265" hidden="1" x14ac:dyDescent="0.3"/>
    <row r="266" hidden="1" x14ac:dyDescent="0.3"/>
    <row r="267" hidden="1" x14ac:dyDescent="0.3"/>
    <row r="268" hidden="1" x14ac:dyDescent="0.3"/>
    <row r="269" hidden="1" x14ac:dyDescent="0.3"/>
    <row r="270" hidden="1" x14ac:dyDescent="0.3"/>
    <row r="271" hidden="1" x14ac:dyDescent="0.3"/>
    <row r="272" hidden="1" x14ac:dyDescent="0.3"/>
    <row r="273" hidden="1" x14ac:dyDescent="0.3"/>
    <row r="274" hidden="1" x14ac:dyDescent="0.3"/>
    <row r="275" hidden="1" x14ac:dyDescent="0.3"/>
    <row r="276" hidden="1" x14ac:dyDescent="0.3"/>
    <row r="277" hidden="1" x14ac:dyDescent="0.3"/>
    <row r="278" hidden="1" x14ac:dyDescent="0.3"/>
    <row r="279" hidden="1" x14ac:dyDescent="0.3"/>
    <row r="280" hidden="1" x14ac:dyDescent="0.3"/>
    <row r="281" hidden="1" x14ac:dyDescent="0.3"/>
    <row r="282" hidden="1" x14ac:dyDescent="0.3"/>
    <row r="283" hidden="1" x14ac:dyDescent="0.3"/>
    <row r="284" hidden="1" x14ac:dyDescent="0.3"/>
    <row r="285" hidden="1" x14ac:dyDescent="0.3"/>
    <row r="286" hidden="1" x14ac:dyDescent="0.3"/>
    <row r="287" hidden="1" x14ac:dyDescent="0.3"/>
    <row r="288" hidden="1" x14ac:dyDescent="0.3"/>
    <row r="289" hidden="1" x14ac:dyDescent="0.3"/>
    <row r="290" hidden="1" x14ac:dyDescent="0.3"/>
  </sheetData>
  <mergeCells count="67">
    <mergeCell ref="V1:AD1"/>
    <mergeCell ref="AF1:AN1"/>
    <mergeCell ref="E149:I149"/>
    <mergeCell ref="E150:I150"/>
    <mergeCell ref="E151:I151"/>
    <mergeCell ref="E134:I134"/>
    <mergeCell ref="E135:I135"/>
    <mergeCell ref="E136:I136"/>
    <mergeCell ref="E137:I137"/>
    <mergeCell ref="E148:I148"/>
    <mergeCell ref="E110:I110"/>
    <mergeCell ref="E120:I120"/>
    <mergeCell ref="E121:I121"/>
    <mergeCell ref="E122:I122"/>
    <mergeCell ref="E123:I123"/>
    <mergeCell ref="E95:I95"/>
    <mergeCell ref="E96:I96"/>
    <mergeCell ref="E107:I107"/>
    <mergeCell ref="E108:I108"/>
    <mergeCell ref="E109:I109"/>
    <mergeCell ref="E80:I80"/>
    <mergeCell ref="E81:I81"/>
    <mergeCell ref="E82:I82"/>
    <mergeCell ref="E93:I93"/>
    <mergeCell ref="E94:I94"/>
    <mergeCell ref="E65:I65"/>
    <mergeCell ref="E66:I66"/>
    <mergeCell ref="E67:I67"/>
    <mergeCell ref="E68:I68"/>
    <mergeCell ref="E79:I79"/>
    <mergeCell ref="E15:I15"/>
    <mergeCell ref="E16:I16"/>
    <mergeCell ref="A1:P1"/>
    <mergeCell ref="A2:P2"/>
    <mergeCell ref="N8:P8"/>
    <mergeCell ref="E14:I14"/>
    <mergeCell ref="A5:P5"/>
    <mergeCell ref="E42:I42"/>
    <mergeCell ref="E43:I43"/>
    <mergeCell ref="E44:I44"/>
    <mergeCell ref="E45:I45"/>
    <mergeCell ref="E17:I17"/>
    <mergeCell ref="E28:I28"/>
    <mergeCell ref="E29:I29"/>
    <mergeCell ref="E30:I30"/>
    <mergeCell ref="E31:I31"/>
    <mergeCell ref="E220:I220"/>
    <mergeCell ref="E193:I193"/>
    <mergeCell ref="E194:I194"/>
    <mergeCell ref="E204:I204"/>
    <mergeCell ref="E205:I205"/>
    <mergeCell ref="E206:I206"/>
    <mergeCell ref="A156:P156"/>
    <mergeCell ref="E207:I207"/>
    <mergeCell ref="E217:I217"/>
    <mergeCell ref="E218:I218"/>
    <mergeCell ref="E219:I219"/>
    <mergeCell ref="E179:I179"/>
    <mergeCell ref="E180:I180"/>
    <mergeCell ref="E181:I181"/>
    <mergeCell ref="E191:I191"/>
    <mergeCell ref="E192:I192"/>
    <mergeCell ref="E165:I165"/>
    <mergeCell ref="E166:I166"/>
    <mergeCell ref="E167:I167"/>
    <mergeCell ref="E168:I168"/>
    <mergeCell ref="E178:I178"/>
  </mergeCells>
  <phoneticPr fontId="4" type="noConversion"/>
  <printOptions horizontalCentered="1"/>
  <pageMargins left="0.23622047244094499" right="0.23622047244094499" top="0.23622047244094499" bottom="0.23622047244094499" header="0.196850393700787" footer="0.196850393700787"/>
  <pageSetup paperSize="9" scale="63" orientation="landscape" horizontalDpi="4294967293" r:id="rId1"/>
  <headerFooter>
    <oddHeader>&amp;R&amp;"Calibri,Regular"&amp;8T.UB 014-18/REV:1</oddHeader>
    <oddFooter>&amp;R&amp;8&amp;K00-012Software BPM 2018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5">
    <tabColor rgb="FF00B0F0"/>
  </sheetPr>
  <dimension ref="A1:IN204"/>
  <sheetViews>
    <sheetView showGridLines="0" view="pageBreakPreview" topLeftCell="A43" zoomScale="70" zoomScaleNormal="85" zoomScaleSheetLayoutView="70" workbookViewId="0">
      <selection activeCell="K58" sqref="K58"/>
    </sheetView>
  </sheetViews>
  <sheetFormatPr defaultColWidth="9.21875" defaultRowHeight="15.6" x14ac:dyDescent="0.25"/>
  <cols>
    <col min="1" max="1" width="5.44140625" style="107" customWidth="1"/>
    <col min="2" max="2" width="4" style="237" customWidth="1"/>
    <col min="3" max="3" width="18.77734375" style="237" customWidth="1"/>
    <col min="4" max="4" width="0.5546875" style="237" hidden="1" customWidth="1"/>
    <col min="5" max="5" width="1.44140625" style="237" customWidth="1"/>
    <col min="6" max="6" width="15.44140625" style="237" customWidth="1"/>
    <col min="7" max="7" width="13.5546875" style="237" customWidth="1"/>
    <col min="8" max="8" width="12.21875" style="237" customWidth="1"/>
    <col min="9" max="9" width="11.5546875" style="237" customWidth="1"/>
    <col min="10" max="10" width="14.77734375" style="237" customWidth="1"/>
    <col min="11" max="11" width="15.21875" style="237" customWidth="1"/>
    <col min="12" max="12" width="14.77734375" style="239" customWidth="1"/>
    <col min="13" max="13" width="7.5546875" style="237" customWidth="1"/>
    <col min="14" max="14" width="9.21875" style="237" customWidth="1"/>
    <col min="15" max="15" width="11.21875" style="237" customWidth="1"/>
    <col min="16" max="22" width="9.21875" style="237" customWidth="1"/>
    <col min="23" max="23" width="9.77734375" style="237" customWidth="1"/>
    <col min="24" max="223" width="9.21875" style="237" customWidth="1"/>
    <col min="224" max="247" width="10.21875" style="237" customWidth="1"/>
    <col min="248" max="248" width="7.5546875" style="237" customWidth="1"/>
    <col min="249" max="255" width="8.77734375" style="237" customWidth="1"/>
    <col min="256" max="16384" width="9.21875" style="237"/>
  </cols>
  <sheetData>
    <row r="1" spans="1:248" ht="18" x14ac:dyDescent="0.25">
      <c r="A1" s="1368" t="s">
        <v>202</v>
      </c>
      <c r="B1" s="1368"/>
      <c r="C1" s="1368"/>
      <c r="D1" s="1368"/>
      <c r="E1" s="1368"/>
      <c r="F1" s="1368"/>
      <c r="G1" s="1368"/>
      <c r="H1" s="1368"/>
      <c r="I1" s="1368"/>
      <c r="J1" s="1368"/>
      <c r="K1" s="1368"/>
      <c r="L1" s="1368"/>
      <c r="M1" s="1368"/>
      <c r="N1" s="236"/>
      <c r="O1" s="243"/>
      <c r="P1" s="236"/>
      <c r="Q1" s="243"/>
      <c r="R1" s="243"/>
      <c r="S1" s="243"/>
      <c r="T1" s="243"/>
      <c r="U1" s="243"/>
      <c r="V1" s="243"/>
      <c r="W1" s="243"/>
      <c r="X1" s="243"/>
      <c r="Y1" s="243"/>
      <c r="Z1" s="243"/>
      <c r="AA1" s="243"/>
      <c r="AB1" s="243"/>
      <c r="AC1" s="243"/>
      <c r="AD1" s="243"/>
      <c r="AE1" s="243"/>
      <c r="AF1" s="243"/>
      <c r="AG1" s="243"/>
      <c r="AH1" s="243"/>
      <c r="AI1" s="243"/>
      <c r="AJ1" s="243"/>
      <c r="AK1" s="243"/>
      <c r="AL1" s="243"/>
      <c r="AM1" s="243"/>
      <c r="AN1" s="243"/>
      <c r="AO1" s="243"/>
      <c r="AP1" s="243"/>
      <c r="AQ1" s="243"/>
      <c r="AR1" s="243"/>
      <c r="AS1" s="243"/>
      <c r="AT1" s="243"/>
      <c r="AU1" s="243"/>
      <c r="AV1" s="243"/>
      <c r="AW1" s="243"/>
      <c r="AX1" s="243"/>
      <c r="AY1" s="243"/>
      <c r="AZ1" s="243"/>
      <c r="BA1" s="243"/>
      <c r="BB1" s="243"/>
      <c r="BC1" s="243"/>
      <c r="BD1" s="243"/>
      <c r="BE1" s="243"/>
      <c r="BF1" s="243"/>
      <c r="BG1" s="243"/>
      <c r="BH1" s="243"/>
      <c r="BI1" s="243"/>
      <c r="BJ1" s="243"/>
      <c r="BK1" s="243"/>
      <c r="BL1" s="243"/>
      <c r="BM1" s="243"/>
      <c r="BN1" s="243"/>
      <c r="BO1" s="243"/>
      <c r="BP1" s="243"/>
      <c r="BQ1" s="243"/>
      <c r="BR1" s="243"/>
      <c r="BS1" s="243"/>
      <c r="BT1" s="243"/>
      <c r="BU1" s="243"/>
      <c r="BV1" s="243"/>
      <c r="BW1" s="243"/>
      <c r="BX1" s="243"/>
      <c r="BY1" s="243"/>
      <c r="BZ1" s="243"/>
      <c r="CA1" s="243"/>
      <c r="CB1" s="243"/>
      <c r="CC1" s="243"/>
      <c r="CD1" s="243"/>
      <c r="CE1" s="243"/>
      <c r="CF1" s="243"/>
      <c r="CG1" s="243"/>
      <c r="CH1" s="243"/>
      <c r="CI1" s="243"/>
      <c r="CJ1" s="243"/>
      <c r="CK1" s="243"/>
      <c r="CL1" s="243"/>
      <c r="CM1" s="243"/>
      <c r="CN1" s="243"/>
      <c r="CO1" s="243"/>
      <c r="CP1" s="243"/>
      <c r="CQ1" s="243"/>
      <c r="CR1" s="243"/>
      <c r="CS1" s="243"/>
      <c r="CT1" s="243"/>
      <c r="CU1" s="243"/>
      <c r="CV1" s="243"/>
      <c r="CW1" s="243"/>
      <c r="CX1" s="243"/>
      <c r="CY1" s="243"/>
      <c r="CZ1" s="243"/>
      <c r="DA1" s="243"/>
      <c r="DB1" s="243"/>
      <c r="DC1" s="243"/>
      <c r="DD1" s="243"/>
      <c r="DE1" s="243"/>
      <c r="DF1" s="243"/>
      <c r="DG1" s="243"/>
      <c r="DH1" s="243"/>
      <c r="DI1" s="243"/>
      <c r="DJ1" s="243"/>
      <c r="DK1" s="243"/>
      <c r="DL1" s="243"/>
      <c r="DM1" s="243"/>
      <c r="DN1" s="243"/>
      <c r="DO1" s="243"/>
      <c r="DP1" s="243"/>
      <c r="DQ1" s="243"/>
      <c r="DR1" s="243"/>
      <c r="DS1" s="243"/>
      <c r="DT1" s="243"/>
      <c r="DU1" s="243"/>
      <c r="DV1" s="243"/>
      <c r="DW1" s="243"/>
      <c r="DX1" s="243"/>
      <c r="DY1" s="243"/>
      <c r="DZ1" s="243"/>
      <c r="EA1" s="243"/>
      <c r="EB1" s="243"/>
      <c r="EC1" s="243"/>
      <c r="ED1" s="243"/>
      <c r="EE1" s="243"/>
      <c r="EF1" s="243"/>
      <c r="EG1" s="243"/>
      <c r="EH1" s="243"/>
      <c r="EI1" s="243"/>
      <c r="EJ1" s="243"/>
      <c r="EK1" s="243"/>
      <c r="EL1" s="243"/>
      <c r="EM1" s="243"/>
      <c r="EN1" s="243"/>
      <c r="EO1" s="243"/>
      <c r="EP1" s="243"/>
      <c r="EQ1" s="243"/>
      <c r="ER1" s="243"/>
      <c r="ES1" s="243"/>
      <c r="ET1" s="243"/>
      <c r="EU1" s="243"/>
      <c r="EV1" s="243"/>
      <c r="EW1" s="243"/>
      <c r="EX1" s="243"/>
      <c r="EY1" s="243"/>
      <c r="EZ1" s="243"/>
      <c r="FA1" s="243"/>
      <c r="FB1" s="243"/>
      <c r="FC1" s="243"/>
      <c r="FD1" s="243"/>
      <c r="FE1" s="243"/>
      <c r="FF1" s="243"/>
      <c r="FG1" s="243"/>
      <c r="FH1" s="243"/>
      <c r="FI1" s="243"/>
      <c r="FJ1" s="243"/>
      <c r="FK1" s="243"/>
      <c r="FL1" s="243"/>
      <c r="FM1" s="243"/>
      <c r="FN1" s="243"/>
      <c r="FO1" s="243"/>
      <c r="FP1" s="243"/>
      <c r="FQ1" s="243"/>
      <c r="FR1" s="243"/>
      <c r="FS1" s="243"/>
      <c r="FT1" s="243"/>
      <c r="FU1" s="243"/>
      <c r="FV1" s="243"/>
      <c r="FW1" s="243"/>
      <c r="FX1" s="243"/>
      <c r="FY1" s="243"/>
      <c r="FZ1" s="243"/>
      <c r="GA1" s="243"/>
      <c r="GB1" s="243"/>
      <c r="GC1" s="243"/>
      <c r="GD1" s="243"/>
      <c r="GE1" s="243"/>
      <c r="GF1" s="243"/>
      <c r="GG1" s="243"/>
      <c r="GH1" s="243"/>
      <c r="GI1" s="243"/>
      <c r="GJ1" s="243"/>
      <c r="GK1" s="243"/>
      <c r="GL1" s="243"/>
      <c r="GM1" s="243"/>
      <c r="GN1" s="243"/>
      <c r="GO1" s="243"/>
      <c r="GP1" s="243"/>
      <c r="GQ1" s="243"/>
      <c r="GR1" s="243"/>
      <c r="GS1" s="243"/>
      <c r="GT1" s="243"/>
      <c r="GU1" s="243"/>
      <c r="GV1" s="243"/>
      <c r="GW1" s="243"/>
      <c r="GX1" s="243"/>
      <c r="GY1" s="243"/>
      <c r="GZ1" s="243"/>
      <c r="HA1" s="243"/>
      <c r="HB1" s="243"/>
      <c r="HC1" s="243"/>
      <c r="HD1" s="243"/>
      <c r="HE1" s="243"/>
      <c r="HF1" s="243"/>
      <c r="HG1" s="243"/>
      <c r="HH1" s="243"/>
      <c r="HI1" s="243"/>
      <c r="HJ1" s="243"/>
      <c r="HK1" s="243"/>
      <c r="HL1" s="243"/>
      <c r="HM1" s="243"/>
      <c r="HN1" s="243"/>
      <c r="HO1" s="243"/>
      <c r="HP1" s="243"/>
      <c r="HQ1" s="243"/>
      <c r="HR1" s="243"/>
      <c r="HS1" s="243"/>
      <c r="HT1" s="243"/>
      <c r="HU1" s="243"/>
      <c r="HV1" s="243"/>
      <c r="HW1" s="243"/>
      <c r="HX1" s="243"/>
      <c r="HY1" s="243"/>
      <c r="HZ1" s="243"/>
      <c r="IA1" s="243"/>
      <c r="IB1" s="243"/>
      <c r="IC1" s="243"/>
      <c r="ID1" s="243"/>
      <c r="IE1" s="243"/>
      <c r="IF1" s="243"/>
      <c r="IG1" s="243"/>
      <c r="IH1" s="243"/>
      <c r="II1" s="243"/>
      <c r="IJ1" s="243"/>
      <c r="IK1" s="243"/>
      <c r="IL1" s="243"/>
      <c r="IM1" s="243"/>
      <c r="IN1" s="243"/>
    </row>
    <row r="2" spans="1:248" ht="17.399999999999999" x14ac:dyDescent="0.25">
      <c r="A2" s="1369" t="str">
        <f>CONCATENATE(ID!A2," ",ID!I2)</f>
        <v>Nomor surat keterangan : 9 / M - 2 / II - 20 / E - 015.38 DL</v>
      </c>
      <c r="B2" s="1369"/>
      <c r="C2" s="1369"/>
      <c r="D2" s="1369"/>
      <c r="E2" s="1369"/>
      <c r="F2" s="1369"/>
      <c r="G2" s="1369"/>
      <c r="H2" s="1369"/>
      <c r="I2" s="1369"/>
      <c r="J2" s="1369"/>
      <c r="K2" s="1369"/>
      <c r="L2" s="1369"/>
      <c r="M2" s="1369"/>
      <c r="N2" s="243"/>
      <c r="O2" s="243"/>
      <c r="P2" s="243"/>
      <c r="Q2" s="243"/>
      <c r="R2" s="243"/>
      <c r="S2" s="243"/>
      <c r="T2" s="243"/>
      <c r="U2" s="243"/>
      <c r="V2" s="243"/>
      <c r="W2" s="243"/>
      <c r="X2" s="243"/>
      <c r="Y2" s="243"/>
      <c r="Z2" s="243"/>
      <c r="AA2" s="243"/>
      <c r="AB2" s="243"/>
      <c r="AC2" s="243"/>
      <c r="AD2" s="243"/>
      <c r="AE2" s="243"/>
      <c r="AF2" s="243"/>
      <c r="AG2" s="243"/>
      <c r="AH2" s="243"/>
      <c r="AI2" s="243"/>
      <c r="AJ2" s="243"/>
      <c r="AK2" s="243"/>
      <c r="AL2" s="243"/>
      <c r="AM2" s="243"/>
      <c r="AN2" s="243"/>
      <c r="AO2" s="243"/>
      <c r="AP2" s="243"/>
      <c r="AQ2" s="243"/>
      <c r="AR2" s="243"/>
      <c r="AS2" s="243"/>
      <c r="AT2" s="243"/>
      <c r="AU2" s="243"/>
      <c r="AV2" s="243"/>
      <c r="AW2" s="243"/>
      <c r="AX2" s="243"/>
      <c r="AY2" s="243"/>
      <c r="AZ2" s="243"/>
      <c r="BA2" s="243"/>
      <c r="BB2" s="243"/>
      <c r="BC2" s="243"/>
      <c r="BD2" s="243"/>
      <c r="BE2" s="243"/>
      <c r="BF2" s="243"/>
      <c r="BG2" s="243"/>
      <c r="BH2" s="243"/>
      <c r="BI2" s="243"/>
      <c r="BJ2" s="243"/>
      <c r="BK2" s="243"/>
      <c r="BL2" s="243"/>
      <c r="BM2" s="243"/>
      <c r="BN2" s="243"/>
      <c r="BO2" s="243"/>
      <c r="BP2" s="243"/>
      <c r="BQ2" s="243"/>
      <c r="BR2" s="243"/>
      <c r="BS2" s="243"/>
      <c r="BT2" s="243"/>
      <c r="BU2" s="243"/>
      <c r="BV2" s="243"/>
      <c r="BW2" s="243"/>
      <c r="BX2" s="243"/>
      <c r="BY2" s="243"/>
      <c r="BZ2" s="243"/>
      <c r="CA2" s="243"/>
      <c r="CB2" s="243"/>
      <c r="CC2" s="243"/>
      <c r="CD2" s="243"/>
      <c r="CE2" s="243"/>
      <c r="CF2" s="243"/>
      <c r="CG2" s="243"/>
      <c r="CH2" s="243"/>
      <c r="CI2" s="243"/>
      <c r="CJ2" s="243"/>
      <c r="CK2" s="243"/>
      <c r="CL2" s="243"/>
      <c r="CM2" s="243"/>
      <c r="CN2" s="243"/>
      <c r="CO2" s="243"/>
      <c r="CP2" s="243"/>
      <c r="CQ2" s="243"/>
      <c r="CR2" s="243"/>
      <c r="CS2" s="243"/>
      <c r="CT2" s="243"/>
      <c r="CU2" s="243"/>
      <c r="CV2" s="243"/>
      <c r="CW2" s="243"/>
      <c r="CX2" s="243"/>
      <c r="CY2" s="243"/>
      <c r="CZ2" s="243"/>
      <c r="DA2" s="243"/>
      <c r="DB2" s="243"/>
      <c r="DC2" s="243"/>
      <c r="DD2" s="243"/>
      <c r="DE2" s="243"/>
      <c r="DF2" s="243"/>
      <c r="DG2" s="243"/>
      <c r="DH2" s="243"/>
      <c r="DI2" s="243"/>
      <c r="DJ2" s="243"/>
      <c r="DK2" s="243"/>
      <c r="DL2" s="243"/>
      <c r="DM2" s="243"/>
      <c r="DN2" s="243"/>
      <c r="DO2" s="243"/>
      <c r="DP2" s="243"/>
      <c r="DQ2" s="243"/>
      <c r="DR2" s="243"/>
      <c r="DS2" s="243"/>
      <c r="DT2" s="243"/>
      <c r="DU2" s="243"/>
      <c r="DV2" s="243"/>
      <c r="DW2" s="243"/>
      <c r="DX2" s="243"/>
      <c r="DY2" s="243"/>
      <c r="DZ2" s="243"/>
      <c r="EA2" s="243"/>
      <c r="EB2" s="243"/>
      <c r="EC2" s="243"/>
      <c r="ED2" s="243"/>
      <c r="EE2" s="243"/>
      <c r="EF2" s="243"/>
      <c r="EG2" s="243"/>
      <c r="EH2" s="243"/>
      <c r="EI2" s="243"/>
      <c r="EJ2" s="243"/>
      <c r="EK2" s="243"/>
      <c r="EL2" s="243"/>
      <c r="EM2" s="243"/>
      <c r="EN2" s="243"/>
      <c r="EO2" s="243"/>
      <c r="EP2" s="243"/>
      <c r="EQ2" s="243"/>
      <c r="ER2" s="243"/>
      <c r="ES2" s="243"/>
      <c r="ET2" s="243"/>
      <c r="EU2" s="243"/>
      <c r="EV2" s="243"/>
      <c r="EW2" s="243"/>
      <c r="EX2" s="243"/>
      <c r="EY2" s="243"/>
      <c r="EZ2" s="243"/>
      <c r="FA2" s="243"/>
      <c r="FB2" s="243"/>
      <c r="FC2" s="243"/>
      <c r="FD2" s="243"/>
      <c r="FE2" s="243"/>
      <c r="FF2" s="243"/>
      <c r="FG2" s="243"/>
      <c r="FH2" s="243"/>
      <c r="FI2" s="243"/>
      <c r="FJ2" s="243"/>
      <c r="FK2" s="243"/>
      <c r="FL2" s="243"/>
      <c r="FM2" s="243"/>
      <c r="FN2" s="243"/>
      <c r="FO2" s="243"/>
      <c r="FP2" s="243"/>
      <c r="FQ2" s="243"/>
      <c r="FR2" s="243"/>
      <c r="FS2" s="243"/>
      <c r="FT2" s="243"/>
      <c r="FU2" s="243"/>
      <c r="FV2" s="243"/>
      <c r="FW2" s="243"/>
      <c r="FX2" s="243"/>
      <c r="FY2" s="243"/>
      <c r="FZ2" s="243"/>
      <c r="GA2" s="243"/>
      <c r="GB2" s="243"/>
      <c r="GC2" s="243"/>
      <c r="GD2" s="243"/>
      <c r="GE2" s="243"/>
      <c r="GF2" s="243"/>
      <c r="GG2" s="243"/>
      <c r="GH2" s="243"/>
      <c r="GI2" s="243"/>
      <c r="GJ2" s="243"/>
      <c r="GK2" s="243"/>
      <c r="GL2" s="243"/>
      <c r="GM2" s="243"/>
      <c r="GN2" s="243"/>
      <c r="GO2" s="243"/>
      <c r="GP2" s="243"/>
      <c r="GQ2" s="243"/>
      <c r="GR2" s="243"/>
      <c r="GS2" s="243"/>
      <c r="GT2" s="243"/>
      <c r="GU2" s="243"/>
      <c r="GV2" s="243"/>
      <c r="GW2" s="243"/>
      <c r="GX2" s="243"/>
      <c r="GY2" s="243"/>
      <c r="GZ2" s="243"/>
      <c r="HA2" s="243"/>
      <c r="HB2" s="243"/>
      <c r="HC2" s="243"/>
      <c r="HD2" s="243"/>
      <c r="HE2" s="243"/>
      <c r="HF2" s="243"/>
      <c r="HG2" s="243"/>
      <c r="HH2" s="243"/>
      <c r="HI2" s="243"/>
      <c r="HJ2" s="243"/>
      <c r="HK2" s="243"/>
      <c r="HL2" s="243"/>
      <c r="HM2" s="243"/>
      <c r="HN2" s="243"/>
      <c r="HO2" s="243"/>
      <c r="HP2" s="243"/>
      <c r="HQ2" s="243"/>
      <c r="HR2" s="243"/>
      <c r="HS2" s="243"/>
      <c r="HT2" s="243"/>
      <c r="HU2" s="243"/>
      <c r="HV2" s="243"/>
      <c r="HW2" s="243"/>
      <c r="HX2" s="243"/>
      <c r="HY2" s="243"/>
      <c r="HZ2" s="243"/>
      <c r="IA2" s="243"/>
      <c r="IB2" s="243"/>
      <c r="IC2" s="243"/>
      <c r="ID2" s="243"/>
      <c r="IE2" s="243"/>
      <c r="IF2" s="243"/>
      <c r="IG2" s="243"/>
      <c r="IH2" s="243"/>
      <c r="II2" s="243"/>
      <c r="IJ2" s="243"/>
      <c r="IK2" s="243"/>
      <c r="IL2" s="243"/>
      <c r="IM2" s="243"/>
      <c r="IN2" s="243" t="s">
        <v>203</v>
      </c>
    </row>
    <row r="3" spans="1:248" ht="9.75" customHeight="1" x14ac:dyDescent="0.25">
      <c r="A3" s="238"/>
      <c r="B3" s="238"/>
      <c r="C3" s="238"/>
      <c r="D3" s="238"/>
      <c r="E3" s="238"/>
      <c r="F3" s="238"/>
      <c r="G3" s="238"/>
      <c r="H3" s="238"/>
      <c r="I3" s="238"/>
      <c r="J3" s="238"/>
      <c r="K3" s="238"/>
      <c r="M3" s="243"/>
      <c r="N3" s="243"/>
      <c r="O3" s="243"/>
      <c r="P3" s="243"/>
      <c r="Q3" s="243"/>
      <c r="R3" s="243"/>
      <c r="S3" s="243"/>
      <c r="T3" s="243"/>
      <c r="U3" s="243"/>
      <c r="V3" s="243"/>
      <c r="W3" s="243"/>
      <c r="X3" s="243"/>
      <c r="Y3" s="243"/>
      <c r="Z3" s="243"/>
      <c r="AA3" s="243"/>
      <c r="AB3" s="243"/>
      <c r="AC3" s="243"/>
      <c r="AD3" s="243"/>
      <c r="AE3" s="243"/>
      <c r="AF3" s="243"/>
      <c r="AG3" s="243"/>
      <c r="AH3" s="243"/>
      <c r="AI3" s="243"/>
      <c r="AJ3" s="243"/>
      <c r="AK3" s="243"/>
      <c r="AL3" s="243"/>
      <c r="AM3" s="243"/>
      <c r="AN3" s="243"/>
      <c r="AO3" s="243"/>
      <c r="AP3" s="243"/>
      <c r="AQ3" s="243"/>
      <c r="AR3" s="243"/>
      <c r="AS3" s="243"/>
      <c r="AT3" s="243"/>
      <c r="AU3" s="243"/>
      <c r="AV3" s="243"/>
      <c r="AW3" s="243"/>
      <c r="AX3" s="243"/>
      <c r="AY3" s="243"/>
      <c r="AZ3" s="243"/>
      <c r="BA3" s="243"/>
      <c r="BB3" s="243"/>
      <c r="BC3" s="243"/>
      <c r="BD3" s="243"/>
      <c r="BE3" s="243"/>
      <c r="BF3" s="243"/>
      <c r="BG3" s="243"/>
      <c r="BH3" s="243"/>
      <c r="BI3" s="243"/>
      <c r="BJ3" s="243"/>
      <c r="BK3" s="243"/>
      <c r="BL3" s="243"/>
      <c r="BM3" s="243"/>
      <c r="BN3" s="243"/>
      <c r="BO3" s="243"/>
      <c r="BP3" s="243"/>
      <c r="BQ3" s="243"/>
      <c r="BR3" s="243"/>
      <c r="BS3" s="243"/>
      <c r="BT3" s="243"/>
      <c r="BU3" s="243"/>
      <c r="BV3" s="243"/>
      <c r="BW3" s="243"/>
      <c r="BX3" s="243"/>
      <c r="BY3" s="243"/>
      <c r="BZ3" s="243"/>
      <c r="CA3" s="243"/>
      <c r="CB3" s="243"/>
      <c r="CC3" s="243"/>
      <c r="CD3" s="243"/>
      <c r="CE3" s="243"/>
      <c r="CF3" s="243"/>
      <c r="CG3" s="243"/>
      <c r="CH3" s="243"/>
      <c r="CI3" s="243"/>
      <c r="CJ3" s="243"/>
      <c r="CK3" s="243"/>
      <c r="CL3" s="243"/>
      <c r="CM3" s="243"/>
      <c r="CN3" s="243"/>
      <c r="CO3" s="243"/>
      <c r="CP3" s="243"/>
      <c r="CQ3" s="243"/>
      <c r="CR3" s="243"/>
      <c r="CS3" s="243"/>
      <c r="CT3" s="243"/>
      <c r="CU3" s="243"/>
      <c r="CV3" s="243"/>
      <c r="CW3" s="243"/>
      <c r="CX3" s="243"/>
      <c r="CY3" s="243"/>
      <c r="CZ3" s="243"/>
      <c r="DA3" s="243"/>
      <c r="DB3" s="243"/>
      <c r="DC3" s="243"/>
      <c r="DD3" s="243"/>
      <c r="DE3" s="243"/>
      <c r="DF3" s="243"/>
      <c r="DG3" s="243"/>
      <c r="DH3" s="243"/>
      <c r="DI3" s="243"/>
      <c r="DJ3" s="243"/>
      <c r="DK3" s="243"/>
      <c r="DL3" s="243"/>
      <c r="DM3" s="243"/>
      <c r="DN3" s="243"/>
      <c r="DO3" s="243"/>
      <c r="DP3" s="243"/>
      <c r="DQ3" s="243"/>
      <c r="DR3" s="243"/>
      <c r="DS3" s="243"/>
      <c r="DT3" s="243"/>
      <c r="DU3" s="243"/>
      <c r="DV3" s="243"/>
      <c r="DW3" s="243"/>
      <c r="DX3" s="243"/>
      <c r="DY3" s="243"/>
      <c r="DZ3" s="243"/>
      <c r="EA3" s="243"/>
      <c r="EB3" s="243"/>
      <c r="EC3" s="243"/>
      <c r="ED3" s="243"/>
      <c r="EE3" s="243"/>
      <c r="EF3" s="243"/>
      <c r="EG3" s="243"/>
      <c r="EH3" s="243"/>
      <c r="EI3" s="243"/>
      <c r="EJ3" s="243"/>
      <c r="EK3" s="243"/>
      <c r="EL3" s="243"/>
      <c r="EM3" s="243"/>
      <c r="EN3" s="243"/>
      <c r="EO3" s="243"/>
      <c r="EP3" s="243"/>
      <c r="EQ3" s="243"/>
      <c r="ER3" s="243"/>
      <c r="ES3" s="243"/>
      <c r="ET3" s="243"/>
      <c r="EU3" s="243"/>
      <c r="EV3" s="243"/>
      <c r="EW3" s="243"/>
      <c r="EX3" s="243"/>
      <c r="EY3" s="243"/>
      <c r="EZ3" s="243"/>
      <c r="FA3" s="243"/>
      <c r="FB3" s="243"/>
      <c r="FC3" s="243"/>
      <c r="FD3" s="243"/>
      <c r="FE3" s="243"/>
      <c r="FF3" s="243"/>
      <c r="FG3" s="243"/>
      <c r="FH3" s="243"/>
      <c r="FI3" s="243"/>
      <c r="FJ3" s="243"/>
      <c r="FK3" s="243"/>
      <c r="FL3" s="243"/>
      <c r="FM3" s="243"/>
      <c r="FN3" s="243"/>
      <c r="FO3" s="243"/>
      <c r="FP3" s="243"/>
      <c r="FQ3" s="243"/>
      <c r="FR3" s="243"/>
      <c r="FS3" s="243"/>
      <c r="FT3" s="243"/>
      <c r="FU3" s="243"/>
      <c r="FV3" s="243"/>
      <c r="FW3" s="243"/>
      <c r="FX3" s="243"/>
      <c r="FY3" s="243"/>
      <c r="FZ3" s="243"/>
      <c r="GA3" s="243"/>
      <c r="GB3" s="243"/>
      <c r="GC3" s="243"/>
      <c r="GD3" s="243"/>
      <c r="GE3" s="243"/>
      <c r="GF3" s="243"/>
      <c r="GG3" s="243"/>
      <c r="GH3" s="243"/>
      <c r="GI3" s="243"/>
      <c r="GJ3" s="243"/>
      <c r="GK3" s="243"/>
      <c r="GL3" s="243"/>
      <c r="GM3" s="243"/>
      <c r="GN3" s="243"/>
      <c r="GO3" s="243"/>
      <c r="GP3" s="243"/>
      <c r="GQ3" s="243"/>
      <c r="GR3" s="243"/>
      <c r="GS3" s="243"/>
      <c r="GT3" s="243"/>
      <c r="GU3" s="243"/>
      <c r="GV3" s="243"/>
      <c r="GW3" s="243"/>
      <c r="GX3" s="243"/>
      <c r="GY3" s="243"/>
      <c r="GZ3" s="243"/>
      <c r="HA3" s="243"/>
      <c r="HB3" s="243"/>
      <c r="HC3" s="243"/>
      <c r="HD3" s="243"/>
      <c r="HE3" s="243"/>
      <c r="HF3" s="243"/>
      <c r="HG3" s="243"/>
      <c r="HH3" s="243"/>
      <c r="HI3" s="243"/>
      <c r="HJ3" s="243"/>
      <c r="HK3" s="243"/>
      <c r="HL3" s="243"/>
      <c r="HM3" s="243"/>
      <c r="HN3" s="243"/>
      <c r="HO3" s="243"/>
      <c r="HP3" s="243"/>
      <c r="HQ3" s="243"/>
      <c r="HR3" s="243"/>
      <c r="HS3" s="243"/>
      <c r="HT3" s="243"/>
      <c r="HU3" s="243"/>
      <c r="HV3" s="243"/>
      <c r="HW3" s="243"/>
      <c r="HX3" s="243"/>
      <c r="HY3" s="243"/>
      <c r="HZ3" s="243"/>
      <c r="IA3" s="243"/>
      <c r="IB3" s="243"/>
      <c r="IC3" s="243"/>
      <c r="ID3" s="243"/>
      <c r="IE3" s="243"/>
      <c r="IF3" s="243"/>
      <c r="IG3" s="243"/>
      <c r="IH3" s="243"/>
      <c r="II3" s="243"/>
      <c r="IJ3" s="243"/>
      <c r="IK3" s="243"/>
      <c r="IL3" s="243"/>
      <c r="IM3" s="243"/>
      <c r="IN3" s="243"/>
    </row>
    <row r="4" spans="1:248" x14ac:dyDescent="0.25">
      <c r="A4" s="1350" t="str">
        <f>ID!B4</f>
        <v>Merek</v>
      </c>
      <c r="B4" s="1350"/>
      <c r="C4" s="1350"/>
      <c r="D4" s="344" t="s">
        <v>7</v>
      </c>
      <c r="E4" s="344" t="s">
        <v>7</v>
      </c>
      <c r="F4" s="684" t="str">
        <f>ID!E4</f>
        <v>OMRON</v>
      </c>
      <c r="G4" s="684"/>
      <c r="H4" s="684"/>
      <c r="I4" s="684"/>
      <c r="J4" s="243"/>
      <c r="K4" s="243"/>
      <c r="M4" s="243"/>
      <c r="N4" s="243"/>
      <c r="O4" s="243"/>
      <c r="P4" s="243"/>
      <c r="Q4" s="243"/>
      <c r="R4" s="243"/>
      <c r="S4" s="243"/>
      <c r="T4" s="243"/>
      <c r="U4" s="243"/>
      <c r="V4" s="243"/>
      <c r="W4" s="243"/>
      <c r="X4" s="243"/>
      <c r="Y4" s="243"/>
      <c r="Z4" s="243"/>
      <c r="AA4" s="243"/>
      <c r="AB4" s="243"/>
      <c r="AC4" s="243"/>
      <c r="AD4" s="243"/>
      <c r="AE4" s="243"/>
      <c r="AF4" s="243"/>
      <c r="AG4" s="243"/>
      <c r="AH4" s="243"/>
      <c r="AI4" s="243"/>
      <c r="AJ4" s="243"/>
      <c r="AK4" s="243"/>
      <c r="AL4" s="243"/>
      <c r="AM4" s="243"/>
      <c r="AN4" s="243"/>
      <c r="AO4" s="243"/>
      <c r="AP4" s="243"/>
      <c r="AQ4" s="243"/>
      <c r="AR4" s="243"/>
      <c r="AS4" s="243"/>
      <c r="AT4" s="243"/>
      <c r="AU4" s="243"/>
      <c r="AV4" s="243"/>
      <c r="AW4" s="243"/>
      <c r="AX4" s="243"/>
      <c r="AY4" s="243"/>
      <c r="AZ4" s="243"/>
      <c r="BA4" s="243"/>
      <c r="BB4" s="243"/>
      <c r="BC4" s="243"/>
      <c r="BD4" s="243"/>
      <c r="BE4" s="243"/>
      <c r="BF4" s="243"/>
      <c r="BG4" s="243"/>
      <c r="BH4" s="243"/>
      <c r="BI4" s="243"/>
      <c r="BJ4" s="243"/>
      <c r="BK4" s="243"/>
      <c r="BL4" s="243"/>
      <c r="BM4" s="243"/>
      <c r="BN4" s="243"/>
      <c r="BO4" s="243"/>
      <c r="BP4" s="243"/>
      <c r="BQ4" s="243"/>
      <c r="BR4" s="243"/>
      <c r="BS4" s="243"/>
      <c r="BT4" s="243"/>
      <c r="BU4" s="243"/>
      <c r="BV4" s="243"/>
      <c r="BW4" s="243"/>
      <c r="BX4" s="243"/>
      <c r="BY4" s="243"/>
      <c r="BZ4" s="243"/>
      <c r="CA4" s="243"/>
      <c r="CB4" s="243"/>
      <c r="CC4" s="243"/>
      <c r="CD4" s="243"/>
      <c r="CE4" s="243"/>
      <c r="CF4" s="243"/>
      <c r="CG4" s="243"/>
      <c r="CH4" s="243"/>
      <c r="CI4" s="243"/>
      <c r="CJ4" s="243"/>
      <c r="CK4" s="243"/>
      <c r="CL4" s="243"/>
      <c r="CM4" s="243"/>
      <c r="CN4" s="243"/>
      <c r="CO4" s="243"/>
      <c r="CP4" s="243"/>
      <c r="CQ4" s="243"/>
      <c r="CR4" s="243"/>
      <c r="CS4" s="243"/>
      <c r="CT4" s="243"/>
      <c r="CU4" s="243"/>
      <c r="CV4" s="243"/>
      <c r="CW4" s="243"/>
      <c r="CX4" s="243"/>
      <c r="CY4" s="243"/>
      <c r="CZ4" s="243"/>
      <c r="DA4" s="243"/>
      <c r="DB4" s="243"/>
      <c r="DC4" s="243"/>
      <c r="DD4" s="243"/>
      <c r="DE4" s="243"/>
      <c r="DF4" s="243"/>
      <c r="DG4" s="243"/>
      <c r="DH4" s="243"/>
      <c r="DI4" s="243"/>
      <c r="DJ4" s="243"/>
      <c r="DK4" s="243"/>
      <c r="DL4" s="243"/>
      <c r="DM4" s="243"/>
      <c r="DN4" s="243"/>
      <c r="DO4" s="243"/>
      <c r="DP4" s="243"/>
      <c r="DQ4" s="243"/>
      <c r="DR4" s="243"/>
      <c r="DS4" s="243"/>
      <c r="DT4" s="243"/>
      <c r="DU4" s="243"/>
      <c r="DV4" s="243"/>
      <c r="DW4" s="243"/>
      <c r="DX4" s="243"/>
      <c r="DY4" s="243"/>
      <c r="DZ4" s="243"/>
      <c r="EA4" s="243"/>
      <c r="EB4" s="243"/>
      <c r="EC4" s="243"/>
      <c r="ED4" s="243"/>
      <c r="EE4" s="243"/>
      <c r="EF4" s="243"/>
      <c r="EG4" s="243"/>
      <c r="EH4" s="243"/>
      <c r="EI4" s="243"/>
      <c r="EJ4" s="243"/>
      <c r="EK4" s="243"/>
      <c r="EL4" s="243"/>
      <c r="EM4" s="243"/>
      <c r="EN4" s="243"/>
      <c r="EO4" s="243"/>
      <c r="EP4" s="243"/>
      <c r="EQ4" s="243"/>
      <c r="ER4" s="243"/>
      <c r="ES4" s="243"/>
      <c r="ET4" s="243"/>
      <c r="EU4" s="243"/>
      <c r="EV4" s="243"/>
      <c r="EW4" s="243"/>
      <c r="EX4" s="243"/>
      <c r="EY4" s="243"/>
      <c r="EZ4" s="243"/>
      <c r="FA4" s="243"/>
      <c r="FB4" s="243"/>
      <c r="FC4" s="243"/>
      <c r="FD4" s="243"/>
      <c r="FE4" s="243"/>
      <c r="FF4" s="243"/>
      <c r="FG4" s="243"/>
      <c r="FH4" s="243"/>
      <c r="FI4" s="243"/>
      <c r="FJ4" s="243"/>
      <c r="FK4" s="243"/>
      <c r="FL4" s="243"/>
      <c r="FM4" s="243"/>
      <c r="FN4" s="243"/>
      <c r="FO4" s="243"/>
      <c r="FP4" s="243"/>
      <c r="FQ4" s="243"/>
      <c r="FR4" s="243"/>
      <c r="FS4" s="243"/>
      <c r="FT4" s="243"/>
      <c r="FU4" s="243"/>
      <c r="FV4" s="243"/>
      <c r="FW4" s="243"/>
      <c r="FX4" s="243"/>
      <c r="FY4" s="243"/>
      <c r="FZ4" s="243"/>
      <c r="GA4" s="243"/>
      <c r="GB4" s="243"/>
      <c r="GC4" s="243"/>
      <c r="GD4" s="243"/>
      <c r="GE4" s="243"/>
      <c r="GF4" s="243"/>
      <c r="GG4" s="243"/>
      <c r="GH4" s="243"/>
      <c r="GI4" s="243"/>
      <c r="GJ4" s="243"/>
      <c r="GK4" s="243"/>
      <c r="GL4" s="243"/>
      <c r="GM4" s="243"/>
      <c r="GN4" s="243"/>
      <c r="GO4" s="243"/>
      <c r="GP4" s="243"/>
      <c r="GQ4" s="243"/>
      <c r="GR4" s="243"/>
      <c r="GS4" s="243"/>
      <c r="GT4" s="243"/>
      <c r="GU4" s="243"/>
      <c r="GV4" s="243"/>
      <c r="GW4" s="243"/>
      <c r="GX4" s="243"/>
      <c r="GY4" s="243"/>
      <c r="GZ4" s="243"/>
      <c r="HA4" s="243"/>
      <c r="HB4" s="243"/>
      <c r="HC4" s="243"/>
      <c r="HD4" s="243"/>
      <c r="HE4" s="243"/>
      <c r="HF4" s="243"/>
      <c r="HG4" s="243"/>
      <c r="HH4" s="243"/>
      <c r="HI4" s="243"/>
      <c r="HJ4" s="243"/>
      <c r="HK4" s="243"/>
      <c r="HL4" s="243"/>
      <c r="HM4" s="243"/>
      <c r="HN4" s="243"/>
      <c r="HO4" s="243"/>
      <c r="HP4" s="243"/>
      <c r="HQ4" s="243"/>
      <c r="HR4" s="243"/>
      <c r="HS4" s="243"/>
      <c r="HT4" s="243"/>
      <c r="HU4" s="243"/>
      <c r="HV4" s="243"/>
      <c r="HW4" s="243"/>
      <c r="HX4" s="243"/>
      <c r="HY4" s="243"/>
      <c r="HZ4" s="243"/>
      <c r="IA4" s="243"/>
      <c r="IB4" s="243"/>
      <c r="IC4" s="243"/>
      <c r="ID4" s="243"/>
      <c r="IE4" s="243"/>
      <c r="IF4" s="243"/>
      <c r="IG4" s="243"/>
      <c r="IH4" s="243"/>
      <c r="II4" s="243"/>
      <c r="IJ4" s="243"/>
      <c r="IK4" s="243"/>
      <c r="IL4" s="243"/>
      <c r="IM4" s="243"/>
      <c r="IN4" s="243" t="s">
        <v>204</v>
      </c>
    </row>
    <row r="5" spans="1:248" x14ac:dyDescent="0.25">
      <c r="A5" s="1350" t="str">
        <f>ID!B5</f>
        <v>Model/ tipe</v>
      </c>
      <c r="B5" s="1350"/>
      <c r="C5" s="1350"/>
      <c r="D5" s="344" t="s">
        <v>7</v>
      </c>
      <c r="E5" s="344" t="s">
        <v>7</v>
      </c>
      <c r="F5" s="684" t="str">
        <f>ID!E5</f>
        <v>HEM-8712</v>
      </c>
      <c r="G5" s="684"/>
      <c r="H5" s="684"/>
      <c r="I5" s="684"/>
      <c r="J5" s="243"/>
      <c r="K5" s="243"/>
      <c r="M5" s="243"/>
      <c r="N5" s="243"/>
      <c r="O5" s="243"/>
      <c r="P5" s="243"/>
      <c r="Q5" s="243"/>
      <c r="R5" s="243"/>
      <c r="S5" s="243"/>
      <c r="T5" s="243"/>
      <c r="U5" s="243"/>
      <c r="V5" s="243"/>
      <c r="W5" s="243"/>
      <c r="X5" s="243"/>
      <c r="Y5" s="243"/>
      <c r="Z5" s="243"/>
      <c r="AA5" s="243"/>
      <c r="AB5" s="243"/>
      <c r="AC5" s="243"/>
      <c r="AD5" s="243"/>
      <c r="AE5" s="243"/>
      <c r="AF5" s="243"/>
      <c r="AG5" s="243"/>
      <c r="AH5" s="243"/>
      <c r="AI5" s="243"/>
      <c r="AJ5" s="243"/>
      <c r="AK5" s="243"/>
      <c r="AL5" s="243"/>
      <c r="AM5" s="243"/>
      <c r="AN5" s="243"/>
      <c r="AO5" s="243"/>
      <c r="AP5" s="243"/>
      <c r="AQ5" s="243"/>
      <c r="AR5" s="243"/>
      <c r="AS5" s="243"/>
      <c r="AT5" s="243"/>
      <c r="AU5" s="243"/>
      <c r="AV5" s="243"/>
      <c r="AW5" s="243"/>
      <c r="AX5" s="243"/>
      <c r="AY5" s="243"/>
      <c r="AZ5" s="243"/>
      <c r="BA5" s="243"/>
      <c r="BB5" s="243"/>
      <c r="BC5" s="243"/>
      <c r="BD5" s="243"/>
      <c r="BE5" s="243"/>
      <c r="BF5" s="243"/>
      <c r="BG5" s="243"/>
      <c r="BH5" s="243"/>
      <c r="BI5" s="243"/>
      <c r="BJ5" s="243"/>
      <c r="BK5" s="243"/>
      <c r="BL5" s="243"/>
      <c r="BM5" s="243"/>
      <c r="BN5" s="243"/>
      <c r="BO5" s="243"/>
      <c r="BP5" s="243"/>
      <c r="BQ5" s="243"/>
      <c r="BR5" s="243"/>
      <c r="BS5" s="243"/>
      <c r="BT5" s="243"/>
      <c r="BU5" s="243"/>
      <c r="BV5" s="243"/>
      <c r="BW5" s="243"/>
      <c r="BX5" s="243"/>
      <c r="BY5" s="243"/>
      <c r="BZ5" s="243"/>
      <c r="CA5" s="243"/>
      <c r="CB5" s="243"/>
      <c r="CC5" s="243"/>
      <c r="CD5" s="243"/>
      <c r="CE5" s="243"/>
      <c r="CF5" s="243"/>
      <c r="CG5" s="243"/>
      <c r="CH5" s="243"/>
      <c r="CI5" s="243"/>
      <c r="CJ5" s="243"/>
      <c r="CK5" s="243"/>
      <c r="CL5" s="243"/>
      <c r="CM5" s="243"/>
      <c r="CN5" s="243"/>
      <c r="CO5" s="243"/>
      <c r="CP5" s="243"/>
      <c r="CQ5" s="243"/>
      <c r="CR5" s="243"/>
      <c r="CS5" s="243"/>
      <c r="CT5" s="243"/>
      <c r="CU5" s="243"/>
      <c r="CV5" s="243"/>
      <c r="CW5" s="243"/>
      <c r="CX5" s="243"/>
      <c r="CY5" s="243"/>
      <c r="CZ5" s="243"/>
      <c r="DA5" s="243"/>
      <c r="DB5" s="243"/>
      <c r="DC5" s="243"/>
      <c r="DD5" s="243"/>
      <c r="DE5" s="243"/>
      <c r="DF5" s="243"/>
      <c r="DG5" s="243"/>
      <c r="DH5" s="243"/>
      <c r="DI5" s="243"/>
      <c r="DJ5" s="243"/>
      <c r="DK5" s="243"/>
      <c r="DL5" s="243"/>
      <c r="DM5" s="243"/>
      <c r="DN5" s="243"/>
      <c r="DO5" s="243"/>
      <c r="DP5" s="243"/>
      <c r="DQ5" s="243"/>
      <c r="DR5" s="243"/>
      <c r="DS5" s="243"/>
      <c r="DT5" s="243"/>
      <c r="DU5" s="243"/>
      <c r="DV5" s="243"/>
      <c r="DW5" s="243"/>
      <c r="DX5" s="243"/>
      <c r="DY5" s="243"/>
      <c r="DZ5" s="243"/>
      <c r="EA5" s="243"/>
      <c r="EB5" s="243"/>
      <c r="EC5" s="243"/>
      <c r="ED5" s="243"/>
      <c r="EE5" s="243"/>
      <c r="EF5" s="243"/>
      <c r="EG5" s="243"/>
      <c r="EH5" s="243"/>
      <c r="EI5" s="243"/>
      <c r="EJ5" s="243"/>
      <c r="EK5" s="243"/>
      <c r="EL5" s="243"/>
      <c r="EM5" s="243"/>
      <c r="EN5" s="243"/>
      <c r="EO5" s="243"/>
      <c r="EP5" s="243"/>
      <c r="EQ5" s="243"/>
      <c r="ER5" s="243"/>
      <c r="ES5" s="243"/>
      <c r="ET5" s="243"/>
      <c r="EU5" s="243"/>
      <c r="EV5" s="243"/>
      <c r="EW5" s="243"/>
      <c r="EX5" s="243"/>
      <c r="EY5" s="243"/>
      <c r="EZ5" s="243"/>
      <c r="FA5" s="243"/>
      <c r="FB5" s="243"/>
      <c r="FC5" s="243"/>
      <c r="FD5" s="243"/>
      <c r="FE5" s="243"/>
      <c r="FF5" s="243"/>
      <c r="FG5" s="243"/>
      <c r="FH5" s="243"/>
      <c r="FI5" s="243"/>
      <c r="FJ5" s="243"/>
      <c r="FK5" s="243"/>
      <c r="FL5" s="243"/>
      <c r="FM5" s="243"/>
      <c r="FN5" s="243"/>
      <c r="FO5" s="243"/>
      <c r="FP5" s="243"/>
      <c r="FQ5" s="243"/>
      <c r="FR5" s="243"/>
      <c r="FS5" s="243"/>
      <c r="FT5" s="243"/>
      <c r="FU5" s="243"/>
      <c r="FV5" s="243"/>
      <c r="FW5" s="243"/>
      <c r="FX5" s="243"/>
      <c r="FY5" s="243"/>
      <c r="FZ5" s="243"/>
      <c r="GA5" s="243"/>
      <c r="GB5" s="243"/>
      <c r="GC5" s="243"/>
      <c r="GD5" s="243"/>
      <c r="GE5" s="243"/>
      <c r="GF5" s="243"/>
      <c r="GG5" s="243"/>
      <c r="GH5" s="243"/>
      <c r="GI5" s="243"/>
      <c r="GJ5" s="243"/>
      <c r="GK5" s="243"/>
      <c r="GL5" s="243"/>
      <c r="GM5" s="243"/>
      <c r="GN5" s="243"/>
      <c r="GO5" s="243"/>
      <c r="GP5" s="243"/>
      <c r="GQ5" s="243"/>
      <c r="GR5" s="243"/>
      <c r="GS5" s="243"/>
      <c r="GT5" s="243"/>
      <c r="GU5" s="243"/>
      <c r="GV5" s="243"/>
      <c r="GW5" s="243"/>
      <c r="GX5" s="243"/>
      <c r="GY5" s="243"/>
      <c r="GZ5" s="243"/>
      <c r="HA5" s="243"/>
      <c r="HB5" s="243"/>
      <c r="HC5" s="243"/>
      <c r="HD5" s="243"/>
      <c r="HE5" s="243"/>
      <c r="HF5" s="243"/>
      <c r="HG5" s="243"/>
      <c r="HH5" s="243"/>
      <c r="HI5" s="243"/>
      <c r="HJ5" s="243"/>
      <c r="HK5" s="243"/>
      <c r="HL5" s="243"/>
      <c r="HM5" s="243"/>
      <c r="HN5" s="243"/>
      <c r="HO5" s="243"/>
      <c r="HP5" s="243"/>
      <c r="HQ5" s="243"/>
      <c r="HR5" s="243"/>
      <c r="HS5" s="243"/>
      <c r="HT5" s="243"/>
      <c r="HU5" s="243"/>
      <c r="HV5" s="243"/>
      <c r="HW5" s="243"/>
      <c r="HX5" s="243"/>
      <c r="HY5" s="243"/>
      <c r="HZ5" s="243"/>
      <c r="IA5" s="243"/>
      <c r="IB5" s="243"/>
      <c r="IC5" s="243"/>
      <c r="ID5" s="243"/>
      <c r="IE5" s="243"/>
      <c r="IF5" s="243"/>
      <c r="IG5" s="243"/>
      <c r="IH5" s="243"/>
      <c r="II5" s="243"/>
      <c r="IJ5" s="243"/>
      <c r="IK5" s="243"/>
      <c r="IL5" s="243"/>
      <c r="IM5" s="243"/>
      <c r="IN5" s="243"/>
    </row>
    <row r="6" spans="1:248" x14ac:dyDescent="0.25">
      <c r="A6" s="1350" t="str">
        <f>ID!B6</f>
        <v>Nomor seri</v>
      </c>
      <c r="B6" s="1350"/>
      <c r="C6" s="1350"/>
      <c r="D6" s="344" t="s">
        <v>7</v>
      </c>
      <c r="E6" s="344" t="s">
        <v>7</v>
      </c>
      <c r="F6" s="684" t="str">
        <f>ID!E6</f>
        <v>-</v>
      </c>
      <c r="G6" s="684"/>
      <c r="H6" s="684"/>
      <c r="I6" s="684"/>
      <c r="J6" s="243"/>
      <c r="K6" s="243"/>
      <c r="M6" s="243"/>
      <c r="N6" s="243"/>
      <c r="O6" s="243"/>
      <c r="P6" s="243"/>
      <c r="Q6" s="243"/>
      <c r="R6" s="243"/>
      <c r="S6" s="243"/>
      <c r="T6" s="243"/>
      <c r="U6" s="243"/>
      <c r="V6" s="243"/>
      <c r="W6" s="243"/>
      <c r="X6" s="243"/>
      <c r="Y6" s="243"/>
      <c r="Z6" s="243"/>
      <c r="AA6" s="243"/>
      <c r="AB6" s="243"/>
      <c r="AC6" s="243"/>
      <c r="AD6" s="243"/>
      <c r="AE6" s="243"/>
      <c r="AF6" s="243"/>
      <c r="AG6" s="243"/>
      <c r="AH6" s="243"/>
      <c r="AI6" s="243"/>
      <c r="AJ6" s="243"/>
      <c r="AK6" s="243"/>
      <c r="AL6" s="243"/>
      <c r="AM6" s="243"/>
      <c r="AN6" s="243"/>
      <c r="AO6" s="243"/>
      <c r="AP6" s="243"/>
      <c r="AQ6" s="243"/>
      <c r="AR6" s="243"/>
      <c r="AS6" s="243"/>
      <c r="AT6" s="243"/>
      <c r="AU6" s="243"/>
      <c r="AV6" s="243"/>
      <c r="AW6" s="243"/>
      <c r="AX6" s="243"/>
      <c r="AY6" s="243"/>
      <c r="AZ6" s="243"/>
      <c r="BA6" s="243"/>
      <c r="BB6" s="243"/>
      <c r="BC6" s="243"/>
      <c r="BD6" s="243"/>
      <c r="BE6" s="243"/>
      <c r="BF6" s="243"/>
      <c r="BG6" s="243"/>
      <c r="BH6" s="243"/>
      <c r="BI6" s="243"/>
      <c r="BJ6" s="243"/>
      <c r="BK6" s="243"/>
      <c r="BL6" s="243"/>
      <c r="BM6" s="243"/>
      <c r="BN6" s="243"/>
      <c r="BO6" s="243"/>
      <c r="BP6" s="243"/>
      <c r="BQ6" s="243"/>
      <c r="BR6" s="243"/>
      <c r="BS6" s="243"/>
      <c r="BT6" s="243"/>
      <c r="BU6" s="243"/>
      <c r="BV6" s="243"/>
      <c r="BW6" s="243"/>
      <c r="BX6" s="243"/>
      <c r="BY6" s="243"/>
      <c r="BZ6" s="243"/>
      <c r="CA6" s="243"/>
      <c r="CB6" s="243"/>
      <c r="CC6" s="243"/>
      <c r="CD6" s="243"/>
      <c r="CE6" s="243"/>
      <c r="CF6" s="243"/>
      <c r="CG6" s="243"/>
      <c r="CH6" s="243"/>
      <c r="CI6" s="243"/>
      <c r="CJ6" s="243"/>
      <c r="CK6" s="243"/>
      <c r="CL6" s="243"/>
      <c r="CM6" s="243"/>
      <c r="CN6" s="243"/>
      <c r="CO6" s="243"/>
      <c r="CP6" s="243"/>
      <c r="CQ6" s="243"/>
      <c r="CR6" s="243"/>
      <c r="CS6" s="243"/>
      <c r="CT6" s="243"/>
      <c r="CU6" s="243"/>
      <c r="CV6" s="243"/>
      <c r="CW6" s="243"/>
      <c r="CX6" s="243"/>
      <c r="CY6" s="243"/>
      <c r="CZ6" s="243"/>
      <c r="DA6" s="243"/>
      <c r="DB6" s="243"/>
      <c r="DC6" s="243"/>
      <c r="DD6" s="243"/>
      <c r="DE6" s="243"/>
      <c r="DF6" s="243"/>
      <c r="DG6" s="243"/>
      <c r="DH6" s="243"/>
      <c r="DI6" s="243"/>
      <c r="DJ6" s="243"/>
      <c r="DK6" s="243"/>
      <c r="DL6" s="243"/>
      <c r="DM6" s="243"/>
      <c r="DN6" s="243"/>
      <c r="DO6" s="243"/>
      <c r="DP6" s="243"/>
      <c r="DQ6" s="243"/>
      <c r="DR6" s="243"/>
      <c r="DS6" s="243"/>
      <c r="DT6" s="243"/>
      <c r="DU6" s="243"/>
      <c r="DV6" s="243"/>
      <c r="DW6" s="243"/>
      <c r="DX6" s="243"/>
      <c r="DY6" s="243"/>
      <c r="DZ6" s="243"/>
      <c r="EA6" s="243"/>
      <c r="EB6" s="243"/>
      <c r="EC6" s="243"/>
      <c r="ED6" s="243"/>
      <c r="EE6" s="243"/>
      <c r="EF6" s="243"/>
      <c r="EG6" s="243"/>
      <c r="EH6" s="243"/>
      <c r="EI6" s="243"/>
      <c r="EJ6" s="243"/>
      <c r="EK6" s="243"/>
      <c r="EL6" s="243"/>
      <c r="EM6" s="243"/>
      <c r="EN6" s="243"/>
      <c r="EO6" s="243"/>
      <c r="EP6" s="243"/>
      <c r="EQ6" s="243"/>
      <c r="ER6" s="243"/>
      <c r="ES6" s="243"/>
      <c r="ET6" s="243"/>
      <c r="EU6" s="243"/>
      <c r="EV6" s="243"/>
      <c r="EW6" s="243"/>
      <c r="EX6" s="243"/>
      <c r="EY6" s="243"/>
      <c r="EZ6" s="243"/>
      <c r="FA6" s="243"/>
      <c r="FB6" s="243"/>
      <c r="FC6" s="243"/>
      <c r="FD6" s="243"/>
      <c r="FE6" s="243"/>
      <c r="FF6" s="243"/>
      <c r="FG6" s="243"/>
      <c r="FH6" s="243"/>
      <c r="FI6" s="243"/>
      <c r="FJ6" s="243"/>
      <c r="FK6" s="243"/>
      <c r="FL6" s="243"/>
      <c r="FM6" s="243"/>
      <c r="FN6" s="243"/>
      <c r="FO6" s="243"/>
      <c r="FP6" s="243"/>
      <c r="FQ6" s="243"/>
      <c r="FR6" s="243"/>
      <c r="FS6" s="243"/>
      <c r="FT6" s="243"/>
      <c r="FU6" s="243"/>
      <c r="FV6" s="243"/>
      <c r="FW6" s="243"/>
      <c r="FX6" s="243"/>
      <c r="FY6" s="243"/>
      <c r="FZ6" s="243"/>
      <c r="GA6" s="243"/>
      <c r="GB6" s="243"/>
      <c r="GC6" s="243"/>
      <c r="GD6" s="243"/>
      <c r="GE6" s="243"/>
      <c r="GF6" s="243"/>
      <c r="GG6" s="243"/>
      <c r="GH6" s="243"/>
      <c r="GI6" s="243"/>
      <c r="GJ6" s="243"/>
      <c r="GK6" s="243"/>
      <c r="GL6" s="243"/>
      <c r="GM6" s="243"/>
      <c r="GN6" s="243"/>
      <c r="GO6" s="243"/>
      <c r="GP6" s="243"/>
      <c r="GQ6" s="243"/>
      <c r="GR6" s="243"/>
      <c r="GS6" s="243"/>
      <c r="GT6" s="243"/>
      <c r="GU6" s="243"/>
      <c r="GV6" s="243"/>
      <c r="GW6" s="243"/>
      <c r="GX6" s="243"/>
      <c r="GY6" s="243"/>
      <c r="GZ6" s="243"/>
      <c r="HA6" s="243"/>
      <c r="HB6" s="243"/>
      <c r="HC6" s="243"/>
      <c r="HD6" s="243"/>
      <c r="HE6" s="243"/>
      <c r="HF6" s="243"/>
      <c r="HG6" s="243"/>
      <c r="HH6" s="243"/>
      <c r="HI6" s="243"/>
      <c r="HJ6" s="243"/>
      <c r="HK6" s="243"/>
      <c r="HL6" s="243"/>
      <c r="HM6" s="243"/>
      <c r="HN6" s="243"/>
      <c r="HO6" s="243"/>
      <c r="HP6" s="243"/>
      <c r="HQ6" s="243"/>
      <c r="HR6" s="243"/>
      <c r="HS6" s="243"/>
      <c r="HT6" s="243"/>
      <c r="HU6" s="243"/>
      <c r="HV6" s="243"/>
      <c r="HW6" s="243"/>
      <c r="HX6" s="243"/>
      <c r="HY6" s="243"/>
      <c r="HZ6" s="243"/>
      <c r="IA6" s="243"/>
      <c r="IB6" s="243"/>
      <c r="IC6" s="243"/>
      <c r="ID6" s="243"/>
      <c r="IE6" s="243"/>
      <c r="IF6" s="243"/>
      <c r="IG6" s="243"/>
      <c r="IH6" s="243"/>
      <c r="II6" s="243"/>
      <c r="IJ6" s="243"/>
      <c r="IK6" s="243"/>
      <c r="IL6" s="243"/>
      <c r="IM6" s="243"/>
      <c r="IN6" s="243"/>
    </row>
    <row r="7" spans="1:248" x14ac:dyDescent="0.25">
      <c r="A7" s="684" t="str">
        <f>ID!B7</f>
        <v>Tanggal penerimaan alat</v>
      </c>
      <c r="B7" s="684"/>
      <c r="C7" s="684"/>
      <c r="D7" s="344"/>
      <c r="E7" s="344" t="s">
        <v>7</v>
      </c>
      <c r="F7" s="1077" t="str">
        <f>ID!E7</f>
        <v>3 Januari 2023</v>
      </c>
      <c r="G7" s="684"/>
      <c r="H7" s="684"/>
      <c r="I7" s="684"/>
      <c r="J7" s="243"/>
      <c r="K7" s="243"/>
      <c r="M7" s="243"/>
      <c r="N7" s="243"/>
      <c r="O7" s="243"/>
      <c r="P7" s="243"/>
      <c r="Q7" s="243"/>
      <c r="R7" s="243"/>
      <c r="S7" s="243"/>
      <c r="T7" s="243"/>
      <c r="U7" s="243"/>
      <c r="V7" s="243"/>
      <c r="W7" s="243"/>
      <c r="X7" s="243"/>
      <c r="Y7" s="243"/>
      <c r="Z7" s="243"/>
      <c r="AA7" s="243"/>
      <c r="AB7" s="243"/>
      <c r="AC7" s="243"/>
      <c r="AD7" s="243"/>
      <c r="AE7" s="243"/>
      <c r="AF7" s="243"/>
      <c r="AG7" s="243"/>
      <c r="AH7" s="243"/>
      <c r="AI7" s="243"/>
      <c r="AJ7" s="243"/>
      <c r="AK7" s="243"/>
      <c r="AL7" s="243"/>
      <c r="AM7" s="243"/>
      <c r="AN7" s="243"/>
      <c r="AO7" s="243"/>
      <c r="AP7" s="243"/>
      <c r="AQ7" s="243"/>
      <c r="AR7" s="243"/>
      <c r="AS7" s="243"/>
      <c r="AT7" s="243"/>
      <c r="AU7" s="243"/>
      <c r="AV7" s="243"/>
      <c r="AW7" s="243"/>
      <c r="AX7" s="243"/>
      <c r="AY7" s="243"/>
      <c r="AZ7" s="243"/>
      <c r="BA7" s="243"/>
      <c r="BB7" s="243"/>
      <c r="BC7" s="243"/>
      <c r="BD7" s="243"/>
      <c r="BE7" s="243"/>
      <c r="BF7" s="243"/>
      <c r="BG7" s="243"/>
      <c r="BH7" s="243"/>
      <c r="BI7" s="243"/>
      <c r="BJ7" s="243"/>
      <c r="BK7" s="243"/>
      <c r="BL7" s="243"/>
      <c r="BM7" s="243"/>
      <c r="BN7" s="243"/>
      <c r="BO7" s="243"/>
      <c r="BP7" s="243"/>
      <c r="BQ7" s="243"/>
      <c r="BR7" s="243"/>
      <c r="BS7" s="243"/>
      <c r="BT7" s="243"/>
      <c r="BU7" s="243"/>
      <c r="BV7" s="243"/>
      <c r="BW7" s="243"/>
      <c r="BX7" s="243"/>
      <c r="BY7" s="243"/>
      <c r="BZ7" s="243"/>
      <c r="CA7" s="243"/>
      <c r="CB7" s="243"/>
      <c r="CC7" s="243"/>
      <c r="CD7" s="243"/>
      <c r="CE7" s="243"/>
      <c r="CF7" s="243"/>
      <c r="CG7" s="243"/>
      <c r="CH7" s="243"/>
      <c r="CI7" s="243"/>
      <c r="CJ7" s="243"/>
      <c r="CK7" s="243"/>
      <c r="CL7" s="243"/>
      <c r="CM7" s="243"/>
      <c r="CN7" s="243"/>
      <c r="CO7" s="243"/>
      <c r="CP7" s="243"/>
      <c r="CQ7" s="243"/>
      <c r="CR7" s="243"/>
      <c r="CS7" s="243"/>
      <c r="CT7" s="243"/>
      <c r="CU7" s="243"/>
      <c r="CV7" s="243"/>
      <c r="CW7" s="243"/>
      <c r="CX7" s="243"/>
      <c r="CY7" s="243"/>
      <c r="CZ7" s="243"/>
      <c r="DA7" s="243"/>
      <c r="DB7" s="243"/>
      <c r="DC7" s="243"/>
      <c r="DD7" s="243"/>
      <c r="DE7" s="243"/>
      <c r="DF7" s="243"/>
      <c r="DG7" s="243"/>
      <c r="DH7" s="243"/>
      <c r="DI7" s="243"/>
      <c r="DJ7" s="243"/>
      <c r="DK7" s="243"/>
      <c r="DL7" s="243"/>
      <c r="DM7" s="243"/>
      <c r="DN7" s="243"/>
      <c r="DO7" s="243"/>
      <c r="DP7" s="243"/>
      <c r="DQ7" s="243"/>
      <c r="DR7" s="243"/>
      <c r="DS7" s="243"/>
      <c r="DT7" s="243"/>
      <c r="DU7" s="243"/>
      <c r="DV7" s="243"/>
      <c r="DW7" s="243"/>
      <c r="DX7" s="243"/>
      <c r="DY7" s="243"/>
      <c r="DZ7" s="243"/>
      <c r="EA7" s="243"/>
      <c r="EB7" s="243"/>
      <c r="EC7" s="243"/>
      <c r="ED7" s="243"/>
      <c r="EE7" s="243"/>
      <c r="EF7" s="243"/>
      <c r="EG7" s="243"/>
      <c r="EH7" s="243"/>
      <c r="EI7" s="243"/>
      <c r="EJ7" s="243"/>
      <c r="EK7" s="243"/>
      <c r="EL7" s="243"/>
      <c r="EM7" s="243"/>
      <c r="EN7" s="243"/>
      <c r="EO7" s="243"/>
      <c r="EP7" s="243"/>
      <c r="EQ7" s="243"/>
      <c r="ER7" s="243"/>
      <c r="ES7" s="243"/>
      <c r="ET7" s="243"/>
      <c r="EU7" s="243"/>
      <c r="EV7" s="243"/>
      <c r="EW7" s="243"/>
      <c r="EX7" s="243"/>
      <c r="EY7" s="243"/>
      <c r="EZ7" s="243"/>
      <c r="FA7" s="243"/>
      <c r="FB7" s="243"/>
      <c r="FC7" s="243"/>
      <c r="FD7" s="243"/>
      <c r="FE7" s="243"/>
      <c r="FF7" s="243"/>
      <c r="FG7" s="243"/>
      <c r="FH7" s="243"/>
      <c r="FI7" s="243"/>
      <c r="FJ7" s="243"/>
      <c r="FK7" s="243"/>
      <c r="FL7" s="243"/>
      <c r="FM7" s="243"/>
      <c r="FN7" s="243"/>
      <c r="FO7" s="243"/>
      <c r="FP7" s="243"/>
      <c r="FQ7" s="243"/>
      <c r="FR7" s="243"/>
      <c r="FS7" s="243"/>
      <c r="FT7" s="243"/>
      <c r="FU7" s="243"/>
      <c r="FV7" s="243"/>
      <c r="FW7" s="243"/>
      <c r="FX7" s="243"/>
      <c r="FY7" s="243"/>
      <c r="FZ7" s="243"/>
      <c r="GA7" s="243"/>
      <c r="GB7" s="243"/>
      <c r="GC7" s="243"/>
      <c r="GD7" s="243"/>
      <c r="GE7" s="243"/>
      <c r="GF7" s="243"/>
      <c r="GG7" s="243"/>
      <c r="GH7" s="243"/>
      <c r="GI7" s="243"/>
      <c r="GJ7" s="243"/>
      <c r="GK7" s="243"/>
      <c r="GL7" s="243"/>
      <c r="GM7" s="243"/>
      <c r="GN7" s="243"/>
      <c r="GO7" s="243"/>
      <c r="GP7" s="243"/>
      <c r="GQ7" s="243"/>
      <c r="GR7" s="243"/>
      <c r="GS7" s="243"/>
      <c r="GT7" s="243"/>
      <c r="GU7" s="243"/>
      <c r="GV7" s="243"/>
      <c r="GW7" s="243"/>
      <c r="GX7" s="243"/>
      <c r="GY7" s="243"/>
      <c r="GZ7" s="243"/>
      <c r="HA7" s="243"/>
      <c r="HB7" s="243"/>
      <c r="HC7" s="243"/>
      <c r="HD7" s="243"/>
      <c r="HE7" s="243"/>
      <c r="HF7" s="243"/>
      <c r="HG7" s="243"/>
      <c r="HH7" s="243"/>
      <c r="HI7" s="243"/>
      <c r="HJ7" s="243"/>
      <c r="HK7" s="243"/>
      <c r="HL7" s="243"/>
      <c r="HM7" s="243"/>
      <c r="HN7" s="243"/>
      <c r="HO7" s="243"/>
      <c r="HP7" s="243"/>
      <c r="HQ7" s="243"/>
      <c r="HR7" s="243"/>
      <c r="HS7" s="243"/>
      <c r="HT7" s="243"/>
      <c r="HU7" s="243"/>
      <c r="HV7" s="243"/>
      <c r="HW7" s="243"/>
      <c r="HX7" s="243"/>
      <c r="HY7" s="243"/>
      <c r="HZ7" s="243"/>
      <c r="IA7" s="243"/>
      <c r="IB7" s="243"/>
      <c r="IC7" s="243"/>
      <c r="ID7" s="243"/>
      <c r="IE7" s="243"/>
      <c r="IF7" s="243"/>
      <c r="IG7" s="243"/>
      <c r="IH7" s="243"/>
      <c r="II7" s="243"/>
      <c r="IJ7" s="243"/>
      <c r="IK7" s="243"/>
      <c r="IL7" s="243"/>
      <c r="IM7" s="243"/>
      <c r="IN7" s="243"/>
    </row>
    <row r="8" spans="1:248" x14ac:dyDescent="0.25">
      <c r="A8" s="684" t="str">
        <f>ID!B8</f>
        <v>Tanggal kalibrasi</v>
      </c>
      <c r="B8" s="684"/>
      <c r="C8" s="684"/>
      <c r="D8" s="344"/>
      <c r="E8" s="344" t="s">
        <v>7</v>
      </c>
      <c r="F8" s="1077" t="str">
        <f>ID!E8</f>
        <v>3 Januari 2023</v>
      </c>
      <c r="G8" s="344"/>
      <c r="H8" s="344"/>
      <c r="I8" s="344"/>
      <c r="J8" s="243"/>
      <c r="K8" s="243"/>
      <c r="M8" s="243"/>
      <c r="N8" s="243"/>
      <c r="O8" s="243"/>
      <c r="P8" s="243"/>
      <c r="Q8" s="243"/>
      <c r="R8" s="243"/>
      <c r="S8" s="243"/>
      <c r="T8" s="243"/>
      <c r="U8" s="243"/>
      <c r="V8" s="243"/>
      <c r="W8" s="243"/>
      <c r="X8" s="243"/>
      <c r="Y8" s="243"/>
      <c r="Z8" s="243"/>
      <c r="AA8" s="243"/>
      <c r="AB8" s="243"/>
      <c r="AC8" s="243"/>
      <c r="AD8" s="243"/>
      <c r="AE8" s="243"/>
      <c r="AF8" s="243"/>
      <c r="AG8" s="243"/>
      <c r="AH8" s="243"/>
      <c r="AI8" s="243"/>
      <c r="AJ8" s="243"/>
      <c r="AK8" s="243"/>
      <c r="AL8" s="243"/>
      <c r="AM8" s="243"/>
      <c r="AN8" s="243"/>
      <c r="AO8" s="243"/>
      <c r="AP8" s="243"/>
      <c r="AQ8" s="243"/>
      <c r="AR8" s="243"/>
      <c r="AS8" s="243"/>
      <c r="AT8" s="243"/>
      <c r="AU8" s="243"/>
      <c r="AV8" s="243"/>
      <c r="AW8" s="243"/>
      <c r="AX8" s="243"/>
      <c r="AY8" s="243"/>
      <c r="AZ8" s="243"/>
      <c r="BA8" s="243"/>
      <c r="BB8" s="243"/>
      <c r="BC8" s="243"/>
      <c r="BD8" s="243"/>
      <c r="BE8" s="243"/>
      <c r="BF8" s="243"/>
      <c r="BG8" s="243"/>
      <c r="BH8" s="243"/>
      <c r="BI8" s="243"/>
      <c r="BJ8" s="243"/>
      <c r="BK8" s="243"/>
      <c r="BL8" s="243"/>
      <c r="BM8" s="243"/>
      <c r="BN8" s="243"/>
      <c r="BO8" s="243"/>
      <c r="BP8" s="243"/>
      <c r="BQ8" s="243"/>
      <c r="BR8" s="243"/>
      <c r="BS8" s="243"/>
      <c r="BT8" s="243"/>
      <c r="BU8" s="243"/>
      <c r="BV8" s="243"/>
      <c r="BW8" s="243"/>
      <c r="BX8" s="243"/>
      <c r="BY8" s="243"/>
      <c r="BZ8" s="243"/>
      <c r="CA8" s="243"/>
      <c r="CB8" s="243"/>
      <c r="CC8" s="243"/>
      <c r="CD8" s="243"/>
      <c r="CE8" s="243"/>
      <c r="CF8" s="243"/>
      <c r="CG8" s="243"/>
      <c r="CH8" s="243"/>
      <c r="CI8" s="243"/>
      <c r="CJ8" s="243"/>
      <c r="CK8" s="243"/>
      <c r="CL8" s="243"/>
      <c r="CM8" s="243"/>
      <c r="CN8" s="243"/>
      <c r="CO8" s="243"/>
      <c r="CP8" s="243"/>
      <c r="CQ8" s="243"/>
      <c r="CR8" s="243"/>
      <c r="CS8" s="243"/>
      <c r="CT8" s="243"/>
      <c r="CU8" s="243"/>
      <c r="CV8" s="243"/>
      <c r="CW8" s="243"/>
      <c r="CX8" s="243"/>
      <c r="CY8" s="243"/>
      <c r="CZ8" s="243"/>
      <c r="DA8" s="243"/>
      <c r="DB8" s="243"/>
      <c r="DC8" s="243"/>
      <c r="DD8" s="243"/>
      <c r="DE8" s="243"/>
      <c r="DF8" s="243"/>
      <c r="DG8" s="243"/>
      <c r="DH8" s="243"/>
      <c r="DI8" s="243"/>
      <c r="DJ8" s="243"/>
      <c r="DK8" s="243"/>
      <c r="DL8" s="243"/>
      <c r="DM8" s="243"/>
      <c r="DN8" s="243"/>
      <c r="DO8" s="243"/>
      <c r="DP8" s="243"/>
      <c r="DQ8" s="243"/>
      <c r="DR8" s="243"/>
      <c r="DS8" s="243"/>
      <c r="DT8" s="243"/>
      <c r="DU8" s="243"/>
      <c r="DV8" s="243"/>
      <c r="DW8" s="243"/>
      <c r="DX8" s="243"/>
      <c r="DY8" s="243"/>
      <c r="DZ8" s="243"/>
      <c r="EA8" s="243"/>
      <c r="EB8" s="243"/>
      <c r="EC8" s="243"/>
      <c r="ED8" s="243"/>
      <c r="EE8" s="243"/>
      <c r="EF8" s="243"/>
      <c r="EG8" s="243"/>
      <c r="EH8" s="243"/>
      <c r="EI8" s="243"/>
      <c r="EJ8" s="243"/>
      <c r="EK8" s="243"/>
      <c r="EL8" s="243"/>
      <c r="EM8" s="243"/>
      <c r="EN8" s="243"/>
      <c r="EO8" s="243"/>
      <c r="EP8" s="243"/>
      <c r="EQ8" s="243"/>
      <c r="ER8" s="243"/>
      <c r="ES8" s="243"/>
      <c r="ET8" s="243"/>
      <c r="EU8" s="243"/>
      <c r="EV8" s="243"/>
      <c r="EW8" s="243"/>
      <c r="EX8" s="243"/>
      <c r="EY8" s="243"/>
      <c r="EZ8" s="243"/>
      <c r="FA8" s="243"/>
      <c r="FB8" s="243"/>
      <c r="FC8" s="243"/>
      <c r="FD8" s="243"/>
      <c r="FE8" s="243"/>
      <c r="FF8" s="243"/>
      <c r="FG8" s="243"/>
      <c r="FH8" s="243"/>
      <c r="FI8" s="243"/>
      <c r="FJ8" s="243"/>
      <c r="FK8" s="243"/>
      <c r="FL8" s="243"/>
      <c r="FM8" s="243"/>
      <c r="FN8" s="243"/>
      <c r="FO8" s="243"/>
      <c r="FP8" s="243"/>
      <c r="FQ8" s="243"/>
      <c r="FR8" s="243"/>
      <c r="FS8" s="243"/>
      <c r="FT8" s="243"/>
      <c r="FU8" s="243"/>
      <c r="FV8" s="243"/>
      <c r="FW8" s="243"/>
      <c r="FX8" s="243"/>
      <c r="FY8" s="243"/>
      <c r="FZ8" s="243"/>
      <c r="GA8" s="243"/>
      <c r="GB8" s="243"/>
      <c r="GC8" s="243"/>
      <c r="GD8" s="243"/>
      <c r="GE8" s="243"/>
      <c r="GF8" s="243"/>
      <c r="GG8" s="243"/>
      <c r="GH8" s="243"/>
      <c r="GI8" s="243"/>
      <c r="GJ8" s="243"/>
      <c r="GK8" s="243"/>
      <c r="GL8" s="243"/>
      <c r="GM8" s="243"/>
      <c r="GN8" s="243"/>
      <c r="GO8" s="243"/>
      <c r="GP8" s="243"/>
      <c r="GQ8" s="243"/>
      <c r="GR8" s="243"/>
      <c r="GS8" s="243"/>
      <c r="GT8" s="243"/>
      <c r="GU8" s="243"/>
      <c r="GV8" s="243"/>
      <c r="GW8" s="243"/>
      <c r="GX8" s="243"/>
      <c r="GY8" s="243"/>
      <c r="GZ8" s="243"/>
      <c r="HA8" s="243"/>
      <c r="HB8" s="243"/>
      <c r="HC8" s="243"/>
      <c r="HD8" s="243"/>
      <c r="HE8" s="243"/>
      <c r="HF8" s="243"/>
      <c r="HG8" s="243"/>
      <c r="HH8" s="243"/>
      <c r="HI8" s="243"/>
      <c r="HJ8" s="243"/>
      <c r="HK8" s="243"/>
      <c r="HL8" s="243"/>
      <c r="HM8" s="243"/>
      <c r="HN8" s="243"/>
      <c r="HO8" s="243"/>
      <c r="HP8" s="243"/>
      <c r="HQ8" s="243"/>
      <c r="HR8" s="243"/>
      <c r="HS8" s="243"/>
      <c r="HT8" s="243"/>
      <c r="HU8" s="243"/>
      <c r="HV8" s="243"/>
      <c r="HW8" s="243"/>
      <c r="HX8" s="243"/>
      <c r="HY8" s="243"/>
      <c r="HZ8" s="243"/>
      <c r="IA8" s="243"/>
      <c r="IB8" s="243"/>
      <c r="IC8" s="243"/>
      <c r="ID8" s="243"/>
      <c r="IE8" s="243"/>
      <c r="IF8" s="243"/>
      <c r="IG8" s="243"/>
      <c r="IH8" s="243"/>
      <c r="II8" s="243"/>
      <c r="IJ8" s="243"/>
      <c r="IK8" s="243"/>
      <c r="IL8" s="243"/>
      <c r="IM8" s="243"/>
      <c r="IN8" s="243"/>
    </row>
    <row r="9" spans="1:248" x14ac:dyDescent="0.25">
      <c r="A9" s="1350" t="str">
        <f>ID!B9</f>
        <v>Tempat kalibrasi</v>
      </c>
      <c r="B9" s="1350"/>
      <c r="C9" s="1350"/>
      <c r="D9" s="344" t="s">
        <v>7</v>
      </c>
      <c r="E9" s="344" t="s">
        <v>7</v>
      </c>
      <c r="F9" s="684" t="str">
        <f>ID!E9</f>
        <v>-</v>
      </c>
      <c r="G9" s="344"/>
      <c r="H9" s="344"/>
      <c r="I9" s="344"/>
      <c r="J9" s="243"/>
      <c r="K9" s="243"/>
      <c r="M9" s="243"/>
      <c r="N9" s="243"/>
      <c r="O9" s="243"/>
      <c r="P9" s="243"/>
      <c r="Q9" s="243"/>
      <c r="R9" s="243"/>
      <c r="S9" s="243"/>
      <c r="T9" s="243"/>
      <c r="U9" s="243"/>
      <c r="V9" s="243"/>
      <c r="W9" s="243"/>
      <c r="X9" s="243"/>
      <c r="Y9" s="243"/>
      <c r="Z9" s="243"/>
      <c r="AA9" s="243"/>
      <c r="AB9" s="243"/>
      <c r="AC9" s="243"/>
      <c r="AD9" s="243"/>
      <c r="AE9" s="243"/>
      <c r="AF9" s="243"/>
      <c r="AG9" s="243"/>
      <c r="AH9" s="243"/>
      <c r="AI9" s="243"/>
      <c r="AJ9" s="243"/>
      <c r="AK9" s="243"/>
      <c r="AL9" s="243"/>
      <c r="AM9" s="243"/>
      <c r="AN9" s="243"/>
      <c r="AO9" s="243"/>
      <c r="AP9" s="243"/>
      <c r="AQ9" s="243"/>
      <c r="AR9" s="243"/>
      <c r="AS9" s="243"/>
      <c r="AT9" s="243"/>
      <c r="AU9" s="243"/>
      <c r="AV9" s="243"/>
      <c r="AW9" s="243"/>
      <c r="AX9" s="243"/>
      <c r="AY9" s="243"/>
      <c r="AZ9" s="243"/>
      <c r="BA9" s="243"/>
      <c r="BB9" s="243"/>
      <c r="BC9" s="243"/>
      <c r="BD9" s="243"/>
      <c r="BE9" s="243"/>
      <c r="BF9" s="243"/>
      <c r="BG9" s="243"/>
      <c r="BH9" s="243"/>
      <c r="BI9" s="243"/>
      <c r="BJ9" s="243"/>
      <c r="BK9" s="243"/>
      <c r="BL9" s="243"/>
      <c r="BM9" s="243"/>
      <c r="BN9" s="243"/>
      <c r="BO9" s="243"/>
      <c r="BP9" s="243"/>
      <c r="BQ9" s="243"/>
      <c r="BR9" s="243"/>
      <c r="BS9" s="243"/>
      <c r="BT9" s="243"/>
      <c r="BU9" s="243"/>
      <c r="BV9" s="243"/>
      <c r="BW9" s="243"/>
      <c r="BX9" s="243"/>
      <c r="BY9" s="243"/>
      <c r="BZ9" s="243"/>
      <c r="CA9" s="243"/>
      <c r="CB9" s="243"/>
      <c r="CC9" s="243"/>
      <c r="CD9" s="243"/>
      <c r="CE9" s="243"/>
      <c r="CF9" s="243"/>
      <c r="CG9" s="243"/>
      <c r="CH9" s="243"/>
      <c r="CI9" s="243"/>
      <c r="CJ9" s="243"/>
      <c r="CK9" s="243"/>
      <c r="CL9" s="243"/>
      <c r="CM9" s="243"/>
      <c r="CN9" s="243"/>
      <c r="CO9" s="243"/>
      <c r="CP9" s="243"/>
      <c r="CQ9" s="243"/>
      <c r="CR9" s="243"/>
      <c r="CS9" s="243"/>
      <c r="CT9" s="243"/>
      <c r="CU9" s="243"/>
      <c r="CV9" s="243"/>
      <c r="CW9" s="243"/>
      <c r="CX9" s="243"/>
      <c r="CY9" s="243"/>
      <c r="CZ9" s="243"/>
      <c r="DA9" s="243"/>
      <c r="DB9" s="243"/>
      <c r="DC9" s="243"/>
      <c r="DD9" s="243"/>
      <c r="DE9" s="243"/>
      <c r="DF9" s="243"/>
      <c r="DG9" s="243"/>
      <c r="DH9" s="243"/>
      <c r="DI9" s="243"/>
      <c r="DJ9" s="243"/>
      <c r="DK9" s="243"/>
      <c r="DL9" s="243"/>
      <c r="DM9" s="243"/>
      <c r="DN9" s="243"/>
      <c r="DO9" s="243"/>
      <c r="DP9" s="243"/>
      <c r="DQ9" s="243"/>
      <c r="DR9" s="243"/>
      <c r="DS9" s="243"/>
      <c r="DT9" s="243"/>
      <c r="DU9" s="243"/>
      <c r="DV9" s="243"/>
      <c r="DW9" s="243"/>
      <c r="DX9" s="243"/>
      <c r="DY9" s="243"/>
      <c r="DZ9" s="243"/>
      <c r="EA9" s="243"/>
      <c r="EB9" s="243"/>
      <c r="EC9" s="243"/>
      <c r="ED9" s="243"/>
      <c r="EE9" s="243"/>
      <c r="EF9" s="243"/>
      <c r="EG9" s="243"/>
      <c r="EH9" s="243"/>
      <c r="EI9" s="243"/>
      <c r="EJ9" s="243"/>
      <c r="EK9" s="243"/>
      <c r="EL9" s="243"/>
      <c r="EM9" s="243"/>
      <c r="EN9" s="243"/>
      <c r="EO9" s="243"/>
      <c r="EP9" s="243"/>
      <c r="EQ9" s="243"/>
      <c r="ER9" s="243"/>
      <c r="ES9" s="243"/>
      <c r="ET9" s="243"/>
      <c r="EU9" s="243"/>
      <c r="EV9" s="243"/>
      <c r="EW9" s="243"/>
      <c r="EX9" s="243"/>
      <c r="EY9" s="243"/>
      <c r="EZ9" s="243"/>
      <c r="FA9" s="243"/>
      <c r="FB9" s="243"/>
      <c r="FC9" s="243"/>
      <c r="FD9" s="243"/>
      <c r="FE9" s="243"/>
      <c r="FF9" s="243"/>
      <c r="FG9" s="243"/>
      <c r="FH9" s="243"/>
      <c r="FI9" s="243"/>
      <c r="FJ9" s="243"/>
      <c r="FK9" s="243"/>
      <c r="FL9" s="243"/>
      <c r="FM9" s="243"/>
      <c r="FN9" s="243"/>
      <c r="FO9" s="243"/>
      <c r="FP9" s="243"/>
      <c r="FQ9" s="243"/>
      <c r="FR9" s="243"/>
      <c r="FS9" s="243"/>
      <c r="FT9" s="243"/>
      <c r="FU9" s="243"/>
      <c r="FV9" s="243"/>
      <c r="FW9" s="243"/>
      <c r="FX9" s="243"/>
      <c r="FY9" s="243"/>
      <c r="FZ9" s="243"/>
      <c r="GA9" s="243"/>
      <c r="GB9" s="243"/>
      <c r="GC9" s="243"/>
      <c r="GD9" s="243"/>
      <c r="GE9" s="243"/>
      <c r="GF9" s="243"/>
      <c r="GG9" s="243"/>
      <c r="GH9" s="243"/>
      <c r="GI9" s="243"/>
      <c r="GJ9" s="243"/>
      <c r="GK9" s="243"/>
      <c r="GL9" s="243"/>
      <c r="GM9" s="243"/>
      <c r="GN9" s="243"/>
      <c r="GO9" s="243"/>
      <c r="GP9" s="243"/>
      <c r="GQ9" s="243"/>
      <c r="GR9" s="243"/>
      <c r="GS9" s="243"/>
      <c r="GT9" s="243"/>
      <c r="GU9" s="243"/>
      <c r="GV9" s="243"/>
      <c r="GW9" s="243"/>
      <c r="GX9" s="243"/>
      <c r="GY9" s="243"/>
      <c r="GZ9" s="243"/>
      <c r="HA9" s="243"/>
      <c r="HB9" s="243"/>
      <c r="HC9" s="243"/>
      <c r="HD9" s="243"/>
      <c r="HE9" s="243"/>
      <c r="HF9" s="243"/>
      <c r="HG9" s="243"/>
      <c r="HH9" s="243"/>
      <c r="HI9" s="243"/>
      <c r="HJ9" s="243"/>
      <c r="HK9" s="243"/>
      <c r="HL9" s="243"/>
      <c r="HM9" s="243"/>
      <c r="HN9" s="243"/>
      <c r="HO9" s="243"/>
      <c r="HP9" s="243"/>
      <c r="HQ9" s="243"/>
      <c r="HR9" s="243"/>
      <c r="HS9" s="243"/>
      <c r="HT9" s="243"/>
      <c r="HU9" s="243"/>
      <c r="HV9" s="243"/>
      <c r="HW9" s="243"/>
      <c r="HX9" s="243"/>
      <c r="HY9" s="243"/>
      <c r="HZ9" s="243"/>
      <c r="IA9" s="243"/>
      <c r="IB9" s="243"/>
      <c r="IC9" s="243"/>
      <c r="ID9" s="243"/>
      <c r="IE9" s="243"/>
      <c r="IF9" s="243"/>
      <c r="IG9" s="243"/>
      <c r="IH9" s="243"/>
      <c r="II9" s="243"/>
      <c r="IJ9" s="243"/>
      <c r="IK9" s="243"/>
      <c r="IL9" s="243"/>
      <c r="IM9" s="243"/>
      <c r="IN9" s="243"/>
    </row>
    <row r="10" spans="1:248" x14ac:dyDescent="0.25">
      <c r="A10" s="684" t="str">
        <f>ID!B10</f>
        <v>Nama ruang</v>
      </c>
      <c r="B10" s="684"/>
      <c r="C10" s="684"/>
      <c r="D10" s="344"/>
      <c r="E10" s="344" t="s">
        <v>7</v>
      </c>
      <c r="F10" s="684" t="str">
        <f>ID!E10</f>
        <v>-</v>
      </c>
      <c r="G10" s="344"/>
      <c r="H10" s="344"/>
      <c r="I10" s="344"/>
      <c r="J10" s="243"/>
      <c r="K10" s="243"/>
      <c r="M10" s="243"/>
      <c r="N10" s="243"/>
      <c r="O10" s="243"/>
      <c r="P10" s="243"/>
      <c r="Q10" s="243"/>
      <c r="R10" s="243"/>
      <c r="S10" s="243"/>
      <c r="T10" s="243"/>
      <c r="U10" s="243"/>
      <c r="V10" s="243"/>
      <c r="W10" s="243"/>
      <c r="X10" s="243"/>
      <c r="Y10" s="243"/>
      <c r="Z10" s="243"/>
      <c r="AA10" s="243"/>
      <c r="AB10" s="243"/>
      <c r="AC10" s="243"/>
      <c r="AD10" s="243"/>
      <c r="AE10" s="243"/>
      <c r="AF10" s="243"/>
      <c r="AG10" s="243"/>
      <c r="AH10" s="243"/>
      <c r="AI10" s="243"/>
      <c r="AJ10" s="243"/>
      <c r="AK10" s="243"/>
      <c r="AL10" s="243"/>
      <c r="AM10" s="243"/>
      <c r="AN10" s="243"/>
      <c r="AO10" s="243"/>
      <c r="AP10" s="243"/>
      <c r="AQ10" s="243"/>
      <c r="AR10" s="243"/>
      <c r="AS10" s="243"/>
      <c r="AT10" s="243"/>
      <c r="AU10" s="243"/>
      <c r="AV10" s="243"/>
      <c r="AW10" s="243"/>
      <c r="AX10" s="243"/>
      <c r="AY10" s="243"/>
      <c r="AZ10" s="243"/>
      <c r="BA10" s="243"/>
      <c r="BB10" s="243"/>
      <c r="BC10" s="243"/>
      <c r="BD10" s="243"/>
      <c r="BE10" s="243"/>
      <c r="BF10" s="243"/>
      <c r="BG10" s="243"/>
      <c r="BH10" s="243"/>
      <c r="BI10" s="243"/>
      <c r="BJ10" s="243"/>
      <c r="BK10" s="243"/>
      <c r="BL10" s="243"/>
      <c r="BM10" s="243"/>
      <c r="BN10" s="243"/>
      <c r="BO10" s="243"/>
      <c r="BP10" s="243"/>
      <c r="BQ10" s="243"/>
      <c r="BR10" s="243"/>
      <c r="BS10" s="243"/>
      <c r="BT10" s="243"/>
      <c r="BU10" s="243"/>
      <c r="BV10" s="243"/>
      <c r="BW10" s="243"/>
      <c r="BX10" s="243"/>
      <c r="BY10" s="243"/>
      <c r="BZ10" s="243"/>
      <c r="CA10" s="243"/>
      <c r="CB10" s="243"/>
      <c r="CC10" s="243"/>
      <c r="CD10" s="243"/>
      <c r="CE10" s="243"/>
      <c r="CF10" s="243"/>
      <c r="CG10" s="243"/>
      <c r="CH10" s="243"/>
      <c r="CI10" s="243"/>
      <c r="CJ10" s="243"/>
      <c r="CK10" s="243"/>
      <c r="CL10" s="243"/>
      <c r="CM10" s="243"/>
      <c r="CN10" s="243"/>
      <c r="CO10" s="243"/>
      <c r="CP10" s="243"/>
      <c r="CQ10" s="243"/>
      <c r="CR10" s="243"/>
      <c r="CS10" s="243"/>
      <c r="CT10" s="243"/>
      <c r="CU10" s="243"/>
      <c r="CV10" s="243"/>
      <c r="CW10" s="243"/>
      <c r="CX10" s="243"/>
      <c r="CY10" s="243"/>
      <c r="CZ10" s="243"/>
      <c r="DA10" s="243"/>
      <c r="DB10" s="243"/>
      <c r="DC10" s="243"/>
      <c r="DD10" s="243"/>
      <c r="DE10" s="243"/>
      <c r="DF10" s="243"/>
      <c r="DG10" s="243"/>
      <c r="DH10" s="243"/>
      <c r="DI10" s="243"/>
      <c r="DJ10" s="243"/>
      <c r="DK10" s="243"/>
      <c r="DL10" s="243"/>
      <c r="DM10" s="243"/>
      <c r="DN10" s="243"/>
      <c r="DO10" s="243"/>
      <c r="DP10" s="243"/>
      <c r="DQ10" s="243"/>
      <c r="DR10" s="243"/>
      <c r="DS10" s="243"/>
      <c r="DT10" s="243"/>
      <c r="DU10" s="243"/>
      <c r="DV10" s="243"/>
      <c r="DW10" s="243"/>
      <c r="DX10" s="243"/>
      <c r="DY10" s="243"/>
      <c r="DZ10" s="243"/>
      <c r="EA10" s="243"/>
      <c r="EB10" s="243"/>
      <c r="EC10" s="243"/>
      <c r="ED10" s="243"/>
      <c r="EE10" s="243"/>
      <c r="EF10" s="243"/>
      <c r="EG10" s="243"/>
      <c r="EH10" s="243"/>
      <c r="EI10" s="243"/>
      <c r="EJ10" s="243"/>
      <c r="EK10" s="243"/>
      <c r="EL10" s="243"/>
      <c r="EM10" s="243"/>
      <c r="EN10" s="243"/>
      <c r="EO10" s="243"/>
      <c r="EP10" s="243"/>
      <c r="EQ10" s="243"/>
      <c r="ER10" s="243"/>
      <c r="ES10" s="243"/>
      <c r="ET10" s="243"/>
      <c r="EU10" s="243"/>
      <c r="EV10" s="243"/>
      <c r="EW10" s="243"/>
      <c r="EX10" s="243"/>
      <c r="EY10" s="243"/>
      <c r="EZ10" s="243"/>
      <c r="FA10" s="243"/>
      <c r="FB10" s="243"/>
      <c r="FC10" s="243"/>
      <c r="FD10" s="243"/>
      <c r="FE10" s="243"/>
      <c r="FF10" s="243"/>
      <c r="FG10" s="243"/>
      <c r="FH10" s="243"/>
      <c r="FI10" s="243"/>
      <c r="FJ10" s="243"/>
      <c r="FK10" s="243"/>
      <c r="FL10" s="243"/>
      <c r="FM10" s="243"/>
      <c r="FN10" s="243"/>
      <c r="FO10" s="243"/>
      <c r="FP10" s="243"/>
      <c r="FQ10" s="243"/>
      <c r="FR10" s="243"/>
      <c r="FS10" s="243"/>
      <c r="FT10" s="243"/>
      <c r="FU10" s="243"/>
      <c r="FV10" s="243"/>
      <c r="FW10" s="243"/>
      <c r="FX10" s="243"/>
      <c r="FY10" s="243"/>
      <c r="FZ10" s="243"/>
      <c r="GA10" s="243"/>
      <c r="GB10" s="243"/>
      <c r="GC10" s="243"/>
      <c r="GD10" s="243"/>
      <c r="GE10" s="243"/>
      <c r="GF10" s="243"/>
      <c r="GG10" s="243"/>
      <c r="GH10" s="243"/>
      <c r="GI10" s="243"/>
      <c r="GJ10" s="243"/>
      <c r="GK10" s="243"/>
      <c r="GL10" s="243"/>
      <c r="GM10" s="243"/>
      <c r="GN10" s="243"/>
      <c r="GO10" s="243"/>
      <c r="GP10" s="243"/>
      <c r="GQ10" s="243"/>
      <c r="GR10" s="243"/>
      <c r="GS10" s="243"/>
      <c r="GT10" s="243"/>
      <c r="GU10" s="243"/>
      <c r="GV10" s="243"/>
      <c r="GW10" s="243"/>
      <c r="GX10" s="243"/>
      <c r="GY10" s="243"/>
      <c r="GZ10" s="243"/>
      <c r="HA10" s="243"/>
      <c r="HB10" s="243"/>
      <c r="HC10" s="243"/>
      <c r="HD10" s="243"/>
      <c r="HE10" s="243"/>
      <c r="HF10" s="243"/>
      <c r="HG10" s="243"/>
      <c r="HH10" s="243"/>
      <c r="HI10" s="243"/>
      <c r="HJ10" s="243"/>
      <c r="HK10" s="243"/>
      <c r="HL10" s="243"/>
      <c r="HM10" s="243"/>
      <c r="HN10" s="243"/>
      <c r="HO10" s="243"/>
      <c r="HP10" s="243"/>
      <c r="HQ10" s="243"/>
      <c r="HR10" s="243"/>
      <c r="HS10" s="243"/>
      <c r="HT10" s="243"/>
      <c r="HU10" s="243"/>
      <c r="HV10" s="243"/>
      <c r="HW10" s="243"/>
      <c r="HX10" s="243"/>
      <c r="HY10" s="243"/>
      <c r="HZ10" s="243"/>
      <c r="IA10" s="243"/>
      <c r="IB10" s="243"/>
      <c r="IC10" s="243"/>
      <c r="ID10" s="243"/>
      <c r="IE10" s="243"/>
      <c r="IF10" s="243"/>
      <c r="IG10" s="243"/>
      <c r="IH10" s="243"/>
      <c r="II10" s="243"/>
      <c r="IJ10" s="243"/>
      <c r="IK10" s="243"/>
      <c r="IL10" s="243"/>
      <c r="IM10" s="243"/>
      <c r="IN10" s="243"/>
    </row>
    <row r="11" spans="1:248" x14ac:dyDescent="0.25">
      <c r="A11" s="684" t="str">
        <f>ID!B17</f>
        <v>Metode kerja</v>
      </c>
      <c r="B11" s="684"/>
      <c r="C11" s="684"/>
      <c r="D11" s="344"/>
      <c r="E11" s="344" t="s">
        <v>7</v>
      </c>
      <c r="F11" s="684" t="str">
        <f>ID!E17</f>
        <v>MK 014-18</v>
      </c>
      <c r="G11" s="344"/>
      <c r="H11" s="344"/>
      <c r="I11" s="344"/>
      <c r="J11" s="243"/>
      <c r="K11" s="243"/>
      <c r="M11" s="243"/>
      <c r="N11" s="243"/>
      <c r="O11" s="243"/>
      <c r="P11" s="243"/>
      <c r="Q11" s="243"/>
      <c r="R11" s="243"/>
      <c r="S11" s="243"/>
      <c r="T11" s="243"/>
      <c r="U11" s="243"/>
      <c r="V11" s="243"/>
      <c r="W11" s="243"/>
      <c r="X11" s="243"/>
      <c r="Y11" s="243"/>
      <c r="Z11" s="243"/>
      <c r="AA11" s="243"/>
      <c r="AB11" s="243"/>
      <c r="AC11" s="243"/>
      <c r="AD11" s="243"/>
      <c r="AE11" s="243"/>
      <c r="AF11" s="243"/>
      <c r="AG11" s="243"/>
      <c r="AH11" s="243"/>
      <c r="AI11" s="243"/>
      <c r="AJ11" s="243"/>
      <c r="AK11" s="243"/>
      <c r="AL11" s="243"/>
      <c r="AM11" s="243"/>
      <c r="AN11" s="243"/>
      <c r="AO11" s="243"/>
      <c r="AP11" s="243"/>
      <c r="AQ11" s="243"/>
      <c r="AR11" s="243"/>
      <c r="AS11" s="243"/>
      <c r="AT11" s="243"/>
      <c r="AU11" s="243"/>
      <c r="AV11" s="243"/>
      <c r="AW11" s="243"/>
      <c r="AX11" s="243"/>
      <c r="AY11" s="243"/>
      <c r="AZ11" s="243"/>
      <c r="BA11" s="243"/>
      <c r="BB11" s="243"/>
      <c r="BC11" s="243"/>
      <c r="BD11" s="243"/>
      <c r="BE11" s="243"/>
      <c r="BF11" s="243"/>
      <c r="BG11" s="243"/>
      <c r="BH11" s="243"/>
      <c r="BI11" s="243"/>
      <c r="BJ11" s="243"/>
      <c r="BK11" s="243"/>
      <c r="BL11" s="243"/>
      <c r="BM11" s="243"/>
      <c r="BN11" s="243"/>
      <c r="BO11" s="243"/>
      <c r="BP11" s="243"/>
      <c r="BQ11" s="243"/>
      <c r="BR11" s="243"/>
      <c r="BS11" s="243"/>
      <c r="BT11" s="243"/>
      <c r="BU11" s="243"/>
      <c r="BV11" s="243"/>
      <c r="BW11" s="243"/>
      <c r="BX11" s="243"/>
      <c r="BY11" s="243"/>
      <c r="BZ11" s="243"/>
      <c r="CA11" s="243"/>
      <c r="CB11" s="243"/>
      <c r="CC11" s="243"/>
      <c r="CD11" s="243"/>
      <c r="CE11" s="243"/>
      <c r="CF11" s="243"/>
      <c r="CG11" s="243"/>
      <c r="CH11" s="243"/>
      <c r="CI11" s="243"/>
      <c r="CJ11" s="243"/>
      <c r="CK11" s="243"/>
      <c r="CL11" s="243"/>
      <c r="CM11" s="243"/>
      <c r="CN11" s="243"/>
      <c r="CO11" s="243"/>
      <c r="CP11" s="243"/>
      <c r="CQ11" s="243"/>
      <c r="CR11" s="243"/>
      <c r="CS11" s="243"/>
      <c r="CT11" s="243"/>
      <c r="CU11" s="243"/>
      <c r="CV11" s="243"/>
      <c r="CW11" s="243"/>
      <c r="CX11" s="243"/>
      <c r="CY11" s="243"/>
      <c r="CZ11" s="243"/>
      <c r="DA11" s="243"/>
      <c r="DB11" s="243"/>
      <c r="DC11" s="243"/>
      <c r="DD11" s="243"/>
      <c r="DE11" s="243"/>
      <c r="DF11" s="243"/>
      <c r="DG11" s="243"/>
      <c r="DH11" s="243"/>
      <c r="DI11" s="243"/>
      <c r="DJ11" s="243"/>
      <c r="DK11" s="243"/>
      <c r="DL11" s="243"/>
      <c r="DM11" s="243"/>
      <c r="DN11" s="243"/>
      <c r="DO11" s="243"/>
      <c r="DP11" s="243"/>
      <c r="DQ11" s="243"/>
      <c r="DR11" s="243"/>
      <c r="DS11" s="243"/>
      <c r="DT11" s="243"/>
      <c r="DU11" s="243"/>
      <c r="DV11" s="243"/>
      <c r="DW11" s="243"/>
      <c r="DX11" s="243"/>
      <c r="DY11" s="243"/>
      <c r="DZ11" s="243"/>
      <c r="EA11" s="243"/>
      <c r="EB11" s="243"/>
      <c r="EC11" s="243"/>
      <c r="ED11" s="243"/>
      <c r="EE11" s="243"/>
      <c r="EF11" s="243"/>
      <c r="EG11" s="243"/>
      <c r="EH11" s="243"/>
      <c r="EI11" s="243"/>
      <c r="EJ11" s="243"/>
      <c r="EK11" s="243"/>
      <c r="EL11" s="243"/>
      <c r="EM11" s="243"/>
      <c r="EN11" s="243"/>
      <c r="EO11" s="243"/>
      <c r="EP11" s="243"/>
      <c r="EQ11" s="243"/>
      <c r="ER11" s="243"/>
      <c r="ES11" s="243"/>
      <c r="ET11" s="243"/>
      <c r="EU11" s="243"/>
      <c r="EV11" s="243"/>
      <c r="EW11" s="243"/>
      <c r="EX11" s="243"/>
      <c r="EY11" s="243"/>
      <c r="EZ11" s="243"/>
      <c r="FA11" s="243"/>
      <c r="FB11" s="243"/>
      <c r="FC11" s="243"/>
      <c r="FD11" s="243"/>
      <c r="FE11" s="243"/>
      <c r="FF11" s="243"/>
      <c r="FG11" s="243"/>
      <c r="FH11" s="243"/>
      <c r="FI11" s="243"/>
      <c r="FJ11" s="243"/>
      <c r="FK11" s="243"/>
      <c r="FL11" s="243"/>
      <c r="FM11" s="243"/>
      <c r="FN11" s="243"/>
      <c r="FO11" s="243"/>
      <c r="FP11" s="243"/>
      <c r="FQ11" s="243"/>
      <c r="FR11" s="243"/>
      <c r="FS11" s="243"/>
      <c r="FT11" s="243"/>
      <c r="FU11" s="243"/>
      <c r="FV11" s="243"/>
      <c r="FW11" s="243"/>
      <c r="FX11" s="243"/>
      <c r="FY11" s="243"/>
      <c r="FZ11" s="243"/>
      <c r="GA11" s="243"/>
      <c r="GB11" s="243"/>
      <c r="GC11" s="243"/>
      <c r="GD11" s="243"/>
      <c r="GE11" s="243"/>
      <c r="GF11" s="243"/>
      <c r="GG11" s="243"/>
      <c r="GH11" s="243"/>
      <c r="GI11" s="243"/>
      <c r="GJ11" s="243"/>
      <c r="GK11" s="243"/>
      <c r="GL11" s="243"/>
      <c r="GM11" s="243"/>
      <c r="GN11" s="243"/>
      <c r="GO11" s="243"/>
      <c r="GP11" s="243"/>
      <c r="GQ11" s="243"/>
      <c r="GR11" s="243"/>
      <c r="GS11" s="243"/>
      <c r="GT11" s="243"/>
      <c r="GU11" s="243"/>
      <c r="GV11" s="243"/>
      <c r="GW11" s="243"/>
      <c r="GX11" s="243"/>
      <c r="GY11" s="243"/>
      <c r="GZ11" s="243"/>
      <c r="HA11" s="243"/>
      <c r="HB11" s="243"/>
      <c r="HC11" s="243"/>
      <c r="HD11" s="243"/>
      <c r="HE11" s="243"/>
      <c r="HF11" s="243"/>
      <c r="HG11" s="243"/>
      <c r="HH11" s="243"/>
      <c r="HI11" s="243"/>
      <c r="HJ11" s="243"/>
      <c r="HK11" s="243"/>
      <c r="HL11" s="243"/>
      <c r="HM11" s="243"/>
      <c r="HN11" s="243"/>
      <c r="HO11" s="243"/>
      <c r="HP11" s="243"/>
      <c r="HQ11" s="243"/>
      <c r="HR11" s="243"/>
      <c r="HS11" s="243"/>
      <c r="HT11" s="243"/>
      <c r="HU11" s="243"/>
      <c r="HV11" s="243"/>
      <c r="HW11" s="243"/>
      <c r="HX11" s="243"/>
      <c r="HY11" s="243"/>
      <c r="HZ11" s="243"/>
      <c r="IA11" s="243"/>
      <c r="IB11" s="243"/>
      <c r="IC11" s="243"/>
      <c r="ID11" s="243"/>
      <c r="IE11" s="243"/>
      <c r="IF11" s="243"/>
      <c r="IG11" s="243"/>
      <c r="IH11" s="243"/>
      <c r="II11" s="243"/>
      <c r="IJ11" s="243"/>
      <c r="IK11" s="243"/>
      <c r="IL11" s="243"/>
      <c r="IM11" s="243"/>
      <c r="IN11" s="243"/>
    </row>
    <row r="12" spans="1:248" ht="9" customHeight="1" x14ac:dyDescent="0.25">
      <c r="A12" s="684"/>
      <c r="B12" s="684"/>
      <c r="C12" s="684"/>
      <c r="D12" s="344"/>
      <c r="E12" s="344"/>
      <c r="F12" s="106"/>
      <c r="G12" s="344"/>
      <c r="H12" s="344"/>
      <c r="I12" s="344"/>
      <c r="J12" s="243"/>
      <c r="K12" s="243"/>
      <c r="M12" s="243"/>
      <c r="N12" s="243"/>
      <c r="O12" s="243"/>
      <c r="P12" s="243"/>
      <c r="Q12" s="243"/>
      <c r="R12" s="243"/>
      <c r="S12" s="243"/>
      <c r="T12" s="243"/>
      <c r="U12" s="243"/>
      <c r="V12" s="243"/>
      <c r="W12" s="243"/>
      <c r="X12" s="243"/>
      <c r="Y12" s="243"/>
      <c r="Z12" s="243"/>
      <c r="AA12" s="243"/>
      <c r="AB12" s="243"/>
      <c r="AC12" s="243"/>
      <c r="AD12" s="243"/>
      <c r="AE12" s="243"/>
      <c r="AF12" s="243"/>
      <c r="AG12" s="243"/>
      <c r="AH12" s="243"/>
      <c r="AI12" s="243"/>
      <c r="AJ12" s="243"/>
      <c r="AK12" s="243"/>
      <c r="AL12" s="243"/>
      <c r="AM12" s="243"/>
      <c r="AN12" s="243"/>
      <c r="AO12" s="243"/>
      <c r="AP12" s="243"/>
      <c r="AQ12" s="243"/>
      <c r="AR12" s="243"/>
      <c r="AS12" s="243"/>
      <c r="AT12" s="243"/>
      <c r="AU12" s="243"/>
      <c r="AV12" s="243"/>
      <c r="AW12" s="243"/>
      <c r="AX12" s="243"/>
      <c r="AY12" s="243"/>
      <c r="AZ12" s="243"/>
      <c r="BA12" s="243"/>
      <c r="BB12" s="243"/>
      <c r="BC12" s="243"/>
      <c r="BD12" s="243"/>
      <c r="BE12" s="243"/>
      <c r="BF12" s="243"/>
      <c r="BG12" s="243"/>
      <c r="BH12" s="243"/>
      <c r="BI12" s="243"/>
      <c r="BJ12" s="243"/>
      <c r="BK12" s="243"/>
      <c r="BL12" s="243"/>
      <c r="BM12" s="243"/>
      <c r="BN12" s="243"/>
      <c r="BO12" s="243"/>
      <c r="BP12" s="243"/>
      <c r="BQ12" s="243"/>
      <c r="BR12" s="243"/>
      <c r="BS12" s="243"/>
      <c r="BT12" s="243"/>
      <c r="BU12" s="243"/>
      <c r="BV12" s="243"/>
      <c r="BW12" s="243"/>
      <c r="BX12" s="243"/>
      <c r="BY12" s="243"/>
      <c r="BZ12" s="243"/>
      <c r="CA12" s="243"/>
      <c r="CB12" s="243"/>
      <c r="CC12" s="243"/>
      <c r="CD12" s="243"/>
      <c r="CE12" s="243"/>
      <c r="CF12" s="243"/>
      <c r="CG12" s="243"/>
      <c r="CH12" s="243"/>
      <c r="CI12" s="243"/>
      <c r="CJ12" s="243"/>
      <c r="CK12" s="243"/>
      <c r="CL12" s="243"/>
      <c r="CM12" s="243"/>
      <c r="CN12" s="243"/>
      <c r="CO12" s="243"/>
      <c r="CP12" s="243"/>
      <c r="CQ12" s="243"/>
      <c r="CR12" s="243"/>
      <c r="CS12" s="243"/>
      <c r="CT12" s="243"/>
      <c r="CU12" s="243"/>
      <c r="CV12" s="243"/>
      <c r="CW12" s="243"/>
      <c r="CX12" s="243"/>
      <c r="CY12" s="243"/>
      <c r="CZ12" s="243"/>
      <c r="DA12" s="243"/>
      <c r="DB12" s="243"/>
      <c r="DC12" s="243"/>
      <c r="DD12" s="243"/>
      <c r="DE12" s="243"/>
      <c r="DF12" s="243"/>
      <c r="DG12" s="243"/>
      <c r="DH12" s="243"/>
      <c r="DI12" s="243"/>
      <c r="DJ12" s="243"/>
      <c r="DK12" s="243"/>
      <c r="DL12" s="243"/>
      <c r="DM12" s="243"/>
      <c r="DN12" s="243"/>
      <c r="DO12" s="243"/>
      <c r="DP12" s="243"/>
      <c r="DQ12" s="243"/>
      <c r="DR12" s="243"/>
      <c r="DS12" s="243"/>
      <c r="DT12" s="243"/>
      <c r="DU12" s="243"/>
      <c r="DV12" s="243"/>
      <c r="DW12" s="243"/>
      <c r="DX12" s="243"/>
      <c r="DY12" s="243"/>
      <c r="DZ12" s="243"/>
      <c r="EA12" s="243"/>
      <c r="EB12" s="243"/>
      <c r="EC12" s="243"/>
      <c r="ED12" s="243"/>
      <c r="EE12" s="243"/>
      <c r="EF12" s="243"/>
      <c r="EG12" s="243"/>
      <c r="EH12" s="243"/>
      <c r="EI12" s="243"/>
      <c r="EJ12" s="243"/>
      <c r="EK12" s="243"/>
      <c r="EL12" s="243"/>
      <c r="EM12" s="243"/>
      <c r="EN12" s="243"/>
      <c r="EO12" s="243"/>
      <c r="EP12" s="243"/>
      <c r="EQ12" s="243"/>
      <c r="ER12" s="243"/>
      <c r="ES12" s="243"/>
      <c r="ET12" s="243"/>
      <c r="EU12" s="243"/>
      <c r="EV12" s="243"/>
      <c r="EW12" s="243"/>
      <c r="EX12" s="243"/>
      <c r="EY12" s="243"/>
      <c r="EZ12" s="243"/>
      <c r="FA12" s="243"/>
      <c r="FB12" s="243"/>
      <c r="FC12" s="243"/>
      <c r="FD12" s="243"/>
      <c r="FE12" s="243"/>
      <c r="FF12" s="243"/>
      <c r="FG12" s="243"/>
      <c r="FH12" s="243"/>
      <c r="FI12" s="243"/>
      <c r="FJ12" s="243"/>
      <c r="FK12" s="243"/>
      <c r="FL12" s="243"/>
      <c r="FM12" s="243"/>
      <c r="FN12" s="243"/>
      <c r="FO12" s="243"/>
      <c r="FP12" s="243"/>
      <c r="FQ12" s="243"/>
      <c r="FR12" s="243"/>
      <c r="FS12" s="243"/>
      <c r="FT12" s="243"/>
      <c r="FU12" s="243"/>
      <c r="FV12" s="243"/>
      <c r="FW12" s="243"/>
      <c r="FX12" s="243"/>
      <c r="FY12" s="243"/>
      <c r="FZ12" s="243"/>
      <c r="GA12" s="243"/>
      <c r="GB12" s="243"/>
      <c r="GC12" s="243"/>
      <c r="GD12" s="243"/>
      <c r="GE12" s="243"/>
      <c r="GF12" s="243"/>
      <c r="GG12" s="243"/>
      <c r="GH12" s="243"/>
      <c r="GI12" s="243"/>
      <c r="GJ12" s="243"/>
      <c r="GK12" s="243"/>
      <c r="GL12" s="243"/>
      <c r="GM12" s="243"/>
      <c r="GN12" s="243"/>
      <c r="GO12" s="243"/>
      <c r="GP12" s="243"/>
      <c r="GQ12" s="243"/>
      <c r="GR12" s="243"/>
      <c r="GS12" s="243"/>
      <c r="GT12" s="243"/>
      <c r="GU12" s="243"/>
      <c r="GV12" s="243"/>
      <c r="GW12" s="243"/>
      <c r="GX12" s="243"/>
      <c r="GY12" s="243"/>
      <c r="GZ12" s="243"/>
      <c r="HA12" s="243"/>
      <c r="HB12" s="243"/>
      <c r="HC12" s="243"/>
      <c r="HD12" s="243"/>
      <c r="HE12" s="243"/>
      <c r="HF12" s="243"/>
      <c r="HG12" s="243"/>
      <c r="HH12" s="243"/>
      <c r="HI12" s="243"/>
      <c r="HJ12" s="243"/>
      <c r="HK12" s="243"/>
      <c r="HL12" s="243"/>
      <c r="HM12" s="243"/>
      <c r="HN12" s="243"/>
      <c r="HO12" s="243"/>
      <c r="HP12" s="243"/>
      <c r="HQ12" s="243"/>
      <c r="HR12" s="243"/>
      <c r="HS12" s="243"/>
      <c r="HT12" s="243"/>
      <c r="HU12" s="243"/>
      <c r="HV12" s="243"/>
      <c r="HW12" s="243"/>
      <c r="HX12" s="243"/>
      <c r="HY12" s="243"/>
      <c r="HZ12" s="243"/>
      <c r="IA12" s="243"/>
      <c r="IB12" s="243"/>
      <c r="IC12" s="243"/>
      <c r="ID12" s="243"/>
      <c r="IE12" s="243"/>
      <c r="IF12" s="243"/>
      <c r="IG12" s="243"/>
      <c r="IH12" s="243"/>
      <c r="II12" s="243"/>
      <c r="IJ12" s="243"/>
      <c r="IK12" s="243"/>
      <c r="IL12" s="243"/>
      <c r="IM12" s="243"/>
      <c r="IN12" s="243"/>
    </row>
    <row r="13" spans="1:248" x14ac:dyDescent="0.25">
      <c r="A13" s="849" t="s">
        <v>205</v>
      </c>
      <c r="B13" s="1370" t="s">
        <v>206</v>
      </c>
      <c r="C13" s="1370"/>
      <c r="D13" s="1370"/>
      <c r="E13" s="1370"/>
      <c r="F13" s="1370"/>
      <c r="G13" s="1370"/>
      <c r="H13" s="344"/>
      <c r="I13" s="344"/>
      <c r="J13" s="243"/>
      <c r="K13" s="243"/>
      <c r="M13" s="243"/>
      <c r="N13" s="243"/>
      <c r="O13" s="243"/>
      <c r="P13" s="243"/>
      <c r="Q13" s="243"/>
      <c r="R13" s="243"/>
      <c r="S13" s="243"/>
      <c r="T13" s="243"/>
      <c r="U13" s="243"/>
      <c r="V13" s="243"/>
      <c r="W13" s="243"/>
      <c r="X13" s="243"/>
      <c r="Y13" s="243"/>
      <c r="Z13" s="243"/>
      <c r="AA13" s="243"/>
      <c r="AB13" s="243"/>
      <c r="AC13" s="243"/>
      <c r="AD13" s="243"/>
      <c r="AE13" s="243"/>
      <c r="AF13" s="243"/>
      <c r="AG13" s="243"/>
      <c r="AH13" s="243"/>
      <c r="AI13" s="243"/>
      <c r="AJ13" s="243"/>
      <c r="AK13" s="243"/>
      <c r="AL13" s="243"/>
      <c r="AM13" s="243"/>
      <c r="AN13" s="243"/>
      <c r="AO13" s="243"/>
      <c r="AP13" s="243"/>
      <c r="AQ13" s="243"/>
      <c r="AR13" s="243"/>
      <c r="AS13" s="243"/>
      <c r="AT13" s="243"/>
      <c r="AU13" s="243"/>
      <c r="AV13" s="243"/>
      <c r="AW13" s="243"/>
      <c r="AX13" s="243"/>
      <c r="AY13" s="243"/>
      <c r="AZ13" s="243"/>
      <c r="BA13" s="243"/>
      <c r="BB13" s="243"/>
      <c r="BC13" s="243"/>
      <c r="BD13" s="243"/>
      <c r="BE13" s="243"/>
      <c r="BF13" s="243"/>
      <c r="BG13" s="243"/>
      <c r="BH13" s="243"/>
      <c r="BI13" s="243"/>
      <c r="BJ13" s="243"/>
      <c r="BK13" s="243"/>
      <c r="BL13" s="243"/>
      <c r="BM13" s="243"/>
      <c r="BN13" s="243"/>
      <c r="BO13" s="243"/>
      <c r="BP13" s="243"/>
      <c r="BQ13" s="243"/>
      <c r="BR13" s="243"/>
      <c r="BS13" s="243"/>
      <c r="BT13" s="243"/>
      <c r="BU13" s="243"/>
      <c r="BV13" s="243"/>
      <c r="BW13" s="243"/>
      <c r="BX13" s="243"/>
      <c r="BY13" s="243"/>
      <c r="BZ13" s="243"/>
      <c r="CA13" s="243"/>
      <c r="CB13" s="243"/>
      <c r="CC13" s="243"/>
      <c r="CD13" s="243"/>
      <c r="CE13" s="243"/>
      <c r="CF13" s="243"/>
      <c r="CG13" s="243"/>
      <c r="CH13" s="243"/>
      <c r="CI13" s="243"/>
      <c r="CJ13" s="243"/>
      <c r="CK13" s="243"/>
      <c r="CL13" s="243"/>
      <c r="CM13" s="243"/>
      <c r="CN13" s="243"/>
      <c r="CO13" s="243"/>
      <c r="CP13" s="243"/>
      <c r="CQ13" s="243"/>
      <c r="CR13" s="243"/>
      <c r="CS13" s="243"/>
      <c r="CT13" s="243"/>
      <c r="CU13" s="243"/>
      <c r="CV13" s="243"/>
      <c r="CW13" s="243"/>
      <c r="CX13" s="243"/>
      <c r="CY13" s="243"/>
      <c r="CZ13" s="243"/>
      <c r="DA13" s="243"/>
      <c r="DB13" s="243"/>
      <c r="DC13" s="243"/>
      <c r="DD13" s="243"/>
      <c r="DE13" s="243"/>
      <c r="DF13" s="243"/>
      <c r="DG13" s="243"/>
      <c r="DH13" s="243"/>
      <c r="DI13" s="243"/>
      <c r="DJ13" s="243"/>
      <c r="DK13" s="243"/>
      <c r="DL13" s="243"/>
      <c r="DM13" s="243"/>
      <c r="DN13" s="243"/>
      <c r="DO13" s="243"/>
      <c r="DP13" s="243"/>
      <c r="DQ13" s="243"/>
      <c r="DR13" s="243"/>
      <c r="DS13" s="243"/>
      <c r="DT13" s="243"/>
      <c r="DU13" s="243"/>
      <c r="DV13" s="243"/>
      <c r="DW13" s="243"/>
      <c r="DX13" s="243"/>
      <c r="DY13" s="243"/>
      <c r="DZ13" s="243"/>
      <c r="EA13" s="243"/>
      <c r="EB13" s="243"/>
      <c r="EC13" s="243"/>
      <c r="ED13" s="243"/>
      <c r="EE13" s="243"/>
      <c r="EF13" s="243"/>
      <c r="EG13" s="243"/>
      <c r="EH13" s="243"/>
      <c r="EI13" s="243"/>
      <c r="EJ13" s="243"/>
      <c r="EK13" s="243"/>
      <c r="EL13" s="243"/>
      <c r="EM13" s="243"/>
      <c r="EN13" s="243"/>
      <c r="EO13" s="243"/>
      <c r="EP13" s="243"/>
      <c r="EQ13" s="243"/>
      <c r="ER13" s="243"/>
      <c r="ES13" s="243"/>
      <c r="ET13" s="243"/>
      <c r="EU13" s="243"/>
      <c r="EV13" s="243"/>
      <c r="EW13" s="243"/>
      <c r="EX13" s="243"/>
      <c r="EY13" s="243"/>
      <c r="EZ13" s="243"/>
      <c r="FA13" s="243"/>
      <c r="FB13" s="243"/>
      <c r="FC13" s="243"/>
      <c r="FD13" s="243"/>
      <c r="FE13" s="243"/>
      <c r="FF13" s="243"/>
      <c r="FG13" s="243"/>
      <c r="FH13" s="243"/>
      <c r="FI13" s="243"/>
      <c r="FJ13" s="243"/>
      <c r="FK13" s="243"/>
      <c r="FL13" s="243"/>
      <c r="FM13" s="243"/>
      <c r="FN13" s="243"/>
      <c r="FO13" s="243"/>
      <c r="FP13" s="243"/>
      <c r="FQ13" s="243"/>
      <c r="FR13" s="243"/>
      <c r="FS13" s="243"/>
      <c r="FT13" s="243"/>
      <c r="FU13" s="243"/>
      <c r="FV13" s="243"/>
      <c r="FW13" s="243"/>
      <c r="FX13" s="243"/>
      <c r="FY13" s="243"/>
      <c r="FZ13" s="243"/>
      <c r="GA13" s="243"/>
      <c r="GB13" s="243"/>
      <c r="GC13" s="243"/>
      <c r="GD13" s="243"/>
      <c r="GE13" s="243"/>
      <c r="GF13" s="243"/>
      <c r="GG13" s="243"/>
      <c r="GH13" s="243"/>
      <c r="GI13" s="243"/>
      <c r="GJ13" s="243"/>
      <c r="GK13" s="243"/>
      <c r="GL13" s="243"/>
      <c r="GM13" s="243"/>
      <c r="GN13" s="243"/>
      <c r="GO13" s="243"/>
      <c r="GP13" s="243"/>
      <c r="GQ13" s="243"/>
      <c r="GR13" s="243"/>
      <c r="GS13" s="243"/>
      <c r="GT13" s="243"/>
      <c r="GU13" s="243"/>
      <c r="GV13" s="243"/>
      <c r="GW13" s="243"/>
      <c r="GX13" s="243"/>
      <c r="GY13" s="243"/>
      <c r="GZ13" s="243"/>
      <c r="HA13" s="243"/>
      <c r="HB13" s="243"/>
      <c r="HC13" s="243"/>
      <c r="HD13" s="243"/>
      <c r="HE13" s="243"/>
      <c r="HF13" s="243"/>
      <c r="HG13" s="243"/>
      <c r="HH13" s="243"/>
      <c r="HI13" s="243"/>
      <c r="HJ13" s="243"/>
      <c r="HK13" s="243"/>
      <c r="HL13" s="243"/>
      <c r="HM13" s="243"/>
      <c r="HN13" s="243"/>
      <c r="HO13" s="243"/>
      <c r="HP13" s="243"/>
      <c r="HQ13" s="243"/>
      <c r="HR13" s="243"/>
      <c r="HS13" s="243"/>
      <c r="HT13" s="243"/>
      <c r="HU13" s="243"/>
      <c r="HV13" s="243"/>
      <c r="HW13" s="243"/>
      <c r="HX13" s="243"/>
      <c r="HY13" s="243"/>
      <c r="HZ13" s="243"/>
      <c r="IA13" s="243"/>
      <c r="IB13" s="243"/>
      <c r="IC13" s="243"/>
      <c r="ID13" s="243"/>
      <c r="IE13" s="243"/>
      <c r="IF13" s="243"/>
      <c r="IG13" s="243"/>
      <c r="IH13" s="243"/>
      <c r="II13" s="243"/>
      <c r="IJ13" s="243"/>
      <c r="IK13" s="243"/>
      <c r="IL13" s="243"/>
      <c r="IM13" s="243"/>
      <c r="IN13" s="243"/>
    </row>
    <row r="14" spans="1:248" x14ac:dyDescent="0.3">
      <c r="A14" s="684"/>
      <c r="B14" s="1350" t="s">
        <v>207</v>
      </c>
      <c r="C14" s="1350"/>
      <c r="D14" s="344" t="s">
        <v>7</v>
      </c>
      <c r="E14" s="344" t="s">
        <v>7</v>
      </c>
      <c r="F14" s="1094">
        <f>ID!L33</f>
        <v>22.9</v>
      </c>
      <c r="G14" s="685" t="s">
        <v>730</v>
      </c>
      <c r="H14" s="684">
        <f>THERMOHYGROMETER!Q15</f>
        <v>0.4</v>
      </c>
      <c r="I14" s="684" t="str">
        <f>ID!N33</f>
        <v xml:space="preserve"> °C</v>
      </c>
      <c r="J14" s="243"/>
      <c r="K14" s="243"/>
      <c r="M14" s="243"/>
      <c r="N14" s="243"/>
      <c r="O14" s="243"/>
      <c r="P14" s="243"/>
      <c r="Q14" s="243"/>
      <c r="R14" s="243"/>
      <c r="S14" s="243"/>
      <c r="T14" s="243"/>
      <c r="U14" s="243"/>
      <c r="V14" s="243"/>
      <c r="W14" s="243"/>
      <c r="X14" s="243"/>
      <c r="Y14" s="243"/>
      <c r="Z14" s="243"/>
      <c r="AA14" s="243"/>
      <c r="AB14" s="243"/>
      <c r="AC14" s="243"/>
      <c r="AD14" s="243"/>
      <c r="AE14" s="243"/>
      <c r="AF14" s="243"/>
      <c r="AG14" s="243"/>
      <c r="AH14" s="243"/>
      <c r="AI14" s="243"/>
      <c r="AJ14" s="243"/>
      <c r="AK14" s="243"/>
      <c r="AL14" s="243"/>
      <c r="AM14" s="243"/>
      <c r="AN14" s="243"/>
      <c r="AO14" s="243"/>
      <c r="AP14" s="243"/>
      <c r="AQ14" s="243"/>
      <c r="AR14" s="243"/>
      <c r="AS14" s="243"/>
      <c r="AT14" s="243"/>
      <c r="AU14" s="243"/>
      <c r="AV14" s="243"/>
      <c r="AW14" s="243"/>
      <c r="AX14" s="243"/>
      <c r="AY14" s="243"/>
      <c r="AZ14" s="243"/>
      <c r="BA14" s="243"/>
      <c r="BB14" s="243"/>
      <c r="BC14" s="243"/>
      <c r="BD14" s="243"/>
      <c r="BE14" s="243"/>
      <c r="BF14" s="243"/>
      <c r="BG14" s="243"/>
      <c r="BH14" s="243"/>
      <c r="BI14" s="243"/>
      <c r="BJ14" s="243"/>
      <c r="BK14" s="243"/>
      <c r="BL14" s="243"/>
      <c r="BM14" s="243"/>
      <c r="BN14" s="243"/>
      <c r="BO14" s="243"/>
      <c r="BP14" s="243"/>
      <c r="BQ14" s="243"/>
      <c r="BR14" s="243"/>
      <c r="BS14" s="243"/>
      <c r="BT14" s="243"/>
      <c r="BU14" s="243"/>
      <c r="BV14" s="243"/>
      <c r="BW14" s="243"/>
      <c r="BX14" s="243"/>
      <c r="BY14" s="243"/>
      <c r="BZ14" s="243"/>
      <c r="CA14" s="243"/>
      <c r="CB14" s="243"/>
      <c r="CC14" s="243"/>
      <c r="CD14" s="243"/>
      <c r="CE14" s="243"/>
      <c r="CF14" s="243"/>
      <c r="CG14" s="243"/>
      <c r="CH14" s="243"/>
      <c r="CI14" s="243"/>
      <c r="CJ14" s="243"/>
      <c r="CK14" s="243"/>
      <c r="CL14" s="243"/>
      <c r="CM14" s="243"/>
      <c r="CN14" s="243"/>
      <c r="CO14" s="243"/>
      <c r="CP14" s="243"/>
      <c r="CQ14" s="243"/>
      <c r="CR14" s="243"/>
      <c r="CS14" s="243"/>
      <c r="CT14" s="243"/>
      <c r="CU14" s="243"/>
      <c r="CV14" s="243"/>
      <c r="CW14" s="243"/>
      <c r="CX14" s="243"/>
      <c r="CY14" s="243"/>
      <c r="CZ14" s="243"/>
      <c r="DA14" s="243"/>
      <c r="DB14" s="243"/>
      <c r="DC14" s="243"/>
      <c r="DD14" s="243"/>
      <c r="DE14" s="243"/>
      <c r="DF14" s="243"/>
      <c r="DG14" s="243"/>
      <c r="DH14" s="243"/>
      <c r="DI14" s="243"/>
      <c r="DJ14" s="243"/>
      <c r="DK14" s="243"/>
      <c r="DL14" s="243"/>
      <c r="DM14" s="243"/>
      <c r="DN14" s="243"/>
      <c r="DO14" s="243"/>
      <c r="DP14" s="243"/>
      <c r="DQ14" s="243"/>
      <c r="DR14" s="243"/>
      <c r="DS14" s="243"/>
      <c r="DT14" s="243"/>
      <c r="DU14" s="243"/>
      <c r="DV14" s="243"/>
      <c r="DW14" s="243"/>
      <c r="DX14" s="243"/>
      <c r="DY14" s="243"/>
      <c r="DZ14" s="243"/>
      <c r="EA14" s="243"/>
      <c r="EB14" s="243"/>
      <c r="EC14" s="243"/>
      <c r="ED14" s="243"/>
      <c r="EE14" s="243"/>
      <c r="EF14" s="243"/>
      <c r="EG14" s="243"/>
      <c r="EH14" s="243"/>
      <c r="EI14" s="243"/>
      <c r="EJ14" s="243"/>
      <c r="EK14" s="243"/>
      <c r="EL14" s="243"/>
      <c r="EM14" s="243"/>
      <c r="EN14" s="243"/>
      <c r="EO14" s="243"/>
      <c r="EP14" s="243"/>
      <c r="EQ14" s="243"/>
      <c r="ER14" s="243"/>
      <c r="ES14" s="243"/>
      <c r="ET14" s="243"/>
      <c r="EU14" s="243"/>
      <c r="EV14" s="243"/>
      <c r="EW14" s="243"/>
      <c r="EX14" s="243"/>
      <c r="EY14" s="243"/>
      <c r="EZ14" s="243"/>
      <c r="FA14" s="243"/>
      <c r="FB14" s="243"/>
      <c r="FC14" s="243"/>
      <c r="FD14" s="243"/>
      <c r="FE14" s="243"/>
      <c r="FF14" s="243"/>
      <c r="FG14" s="243"/>
      <c r="FH14" s="243"/>
      <c r="FI14" s="243"/>
      <c r="FJ14" s="243"/>
      <c r="FK14" s="243"/>
      <c r="FL14" s="243"/>
      <c r="FM14" s="243"/>
      <c r="FN14" s="243"/>
      <c r="FO14" s="243"/>
      <c r="FP14" s="243"/>
      <c r="FQ14" s="243"/>
      <c r="FR14" s="243"/>
      <c r="FS14" s="243"/>
      <c r="FT14" s="243"/>
      <c r="FU14" s="243"/>
      <c r="FV14" s="243"/>
      <c r="FW14" s="243"/>
      <c r="FX14" s="243"/>
      <c r="FY14" s="243"/>
      <c r="FZ14" s="243"/>
      <c r="GA14" s="243"/>
      <c r="GB14" s="243"/>
      <c r="GC14" s="243"/>
      <c r="GD14" s="243"/>
      <c r="GE14" s="243"/>
      <c r="GF14" s="243"/>
      <c r="GG14" s="243"/>
      <c r="GH14" s="243"/>
      <c r="GI14" s="243"/>
      <c r="GJ14" s="243"/>
      <c r="GK14" s="243"/>
      <c r="GL14" s="243"/>
      <c r="GM14" s="243"/>
      <c r="GN14" s="243"/>
      <c r="GO14" s="243"/>
      <c r="GP14" s="243"/>
      <c r="GQ14" s="243"/>
      <c r="GR14" s="243"/>
      <c r="GS14" s="243"/>
      <c r="GT14" s="243"/>
      <c r="GU14" s="243"/>
      <c r="GV14" s="243"/>
      <c r="GW14" s="243"/>
      <c r="GX14" s="243"/>
      <c r="GY14" s="243"/>
      <c r="GZ14" s="243"/>
      <c r="HA14" s="243"/>
      <c r="HB14" s="243"/>
      <c r="HC14" s="243"/>
      <c r="HD14" s="243"/>
      <c r="HE14" s="243"/>
      <c r="HF14" s="243"/>
      <c r="HG14" s="243"/>
      <c r="HH14" s="243"/>
      <c r="HI14" s="243"/>
      <c r="HJ14" s="243"/>
      <c r="HK14" s="243"/>
      <c r="HL14" s="243"/>
      <c r="HM14" s="243"/>
      <c r="HN14" s="243"/>
      <c r="HO14" s="243"/>
      <c r="HP14" s="243"/>
      <c r="HQ14" s="243"/>
      <c r="HR14" s="243"/>
      <c r="HS14" s="243"/>
      <c r="HT14" s="243"/>
      <c r="HU14" s="243"/>
      <c r="HV14" s="243"/>
      <c r="HW14" s="243"/>
      <c r="HX14" s="243"/>
      <c r="HY14" s="243"/>
      <c r="HZ14" s="243"/>
      <c r="IA14" s="243"/>
      <c r="IB14" s="243"/>
      <c r="IC14" s="243"/>
      <c r="ID14" s="243"/>
      <c r="IE14" s="243"/>
      <c r="IF14" s="243"/>
      <c r="IG14" s="243"/>
      <c r="IH14" s="243"/>
      <c r="II14" s="243"/>
      <c r="IJ14" s="243"/>
      <c r="IK14" s="243"/>
      <c r="IL14" s="243"/>
      <c r="IM14" s="243"/>
      <c r="IN14" s="243"/>
    </row>
    <row r="15" spans="1:248" x14ac:dyDescent="0.3">
      <c r="A15" s="684"/>
      <c r="B15" s="1350" t="s">
        <v>208</v>
      </c>
      <c r="C15" s="1350"/>
      <c r="D15" s="344" t="s">
        <v>7</v>
      </c>
      <c r="E15" s="344" t="s">
        <v>7</v>
      </c>
      <c r="F15" s="1094">
        <f>ID!L34</f>
        <v>55.332000000000001</v>
      </c>
      <c r="G15" s="685" t="s">
        <v>730</v>
      </c>
      <c r="H15" s="684">
        <f>THERMOHYGROMETER!T15</f>
        <v>2.2000000000000002</v>
      </c>
      <c r="I15" s="684" t="str">
        <f>ID!N34</f>
        <v xml:space="preserve"> %RH</v>
      </c>
      <c r="J15" s="243"/>
      <c r="K15" s="243"/>
      <c r="M15" s="243"/>
      <c r="N15" s="243"/>
      <c r="O15" s="243"/>
      <c r="P15" s="243"/>
      <c r="Q15" s="243"/>
      <c r="R15" s="243"/>
      <c r="S15" s="243"/>
      <c r="T15" s="243"/>
      <c r="U15" s="243"/>
      <c r="V15" s="243"/>
      <c r="W15" s="243"/>
      <c r="X15" s="243"/>
      <c r="Y15" s="243"/>
      <c r="Z15" s="243"/>
      <c r="AA15" s="243"/>
      <c r="AB15" s="243"/>
      <c r="AC15" s="243"/>
      <c r="AD15" s="243"/>
      <c r="AE15" s="243"/>
      <c r="AF15" s="243"/>
      <c r="AG15" s="243"/>
      <c r="AH15" s="243"/>
      <c r="AI15" s="243"/>
      <c r="AJ15" s="243"/>
      <c r="AK15" s="243"/>
      <c r="AL15" s="243"/>
      <c r="AM15" s="243"/>
      <c r="AN15" s="243"/>
      <c r="AO15" s="243"/>
      <c r="AP15" s="243"/>
      <c r="AQ15" s="243"/>
      <c r="AR15" s="243"/>
      <c r="AS15" s="243"/>
      <c r="AT15" s="243"/>
      <c r="AU15" s="243"/>
      <c r="AV15" s="243"/>
      <c r="AW15" s="243"/>
      <c r="AX15" s="243"/>
      <c r="AY15" s="243"/>
      <c r="AZ15" s="243"/>
      <c r="BA15" s="243"/>
      <c r="BB15" s="243"/>
      <c r="BC15" s="243"/>
      <c r="BD15" s="243"/>
      <c r="BE15" s="243"/>
      <c r="BF15" s="243"/>
      <c r="BG15" s="243"/>
      <c r="BH15" s="243"/>
      <c r="BI15" s="243"/>
      <c r="BJ15" s="243"/>
      <c r="BK15" s="243"/>
      <c r="BL15" s="243"/>
      <c r="BM15" s="243"/>
      <c r="BN15" s="243"/>
      <c r="BO15" s="243"/>
      <c r="BP15" s="243"/>
      <c r="BQ15" s="243"/>
      <c r="BR15" s="243"/>
      <c r="BS15" s="243"/>
      <c r="BT15" s="243"/>
      <c r="BU15" s="243"/>
      <c r="BV15" s="243"/>
      <c r="BW15" s="243"/>
      <c r="BX15" s="243"/>
      <c r="BY15" s="243"/>
      <c r="BZ15" s="243"/>
      <c r="CA15" s="243"/>
      <c r="CB15" s="243"/>
      <c r="CC15" s="243"/>
      <c r="CD15" s="243"/>
      <c r="CE15" s="243"/>
      <c r="CF15" s="243"/>
      <c r="CG15" s="243"/>
      <c r="CH15" s="243"/>
      <c r="CI15" s="243"/>
      <c r="CJ15" s="243"/>
      <c r="CK15" s="243"/>
      <c r="CL15" s="243"/>
      <c r="CM15" s="243"/>
      <c r="CN15" s="243"/>
      <c r="CO15" s="243"/>
      <c r="CP15" s="243"/>
      <c r="CQ15" s="243"/>
      <c r="CR15" s="243"/>
      <c r="CS15" s="243"/>
      <c r="CT15" s="243"/>
      <c r="CU15" s="243"/>
      <c r="CV15" s="243"/>
      <c r="CW15" s="243"/>
      <c r="CX15" s="243"/>
      <c r="CY15" s="243"/>
      <c r="CZ15" s="243"/>
      <c r="DA15" s="243"/>
      <c r="DB15" s="243"/>
      <c r="DC15" s="243"/>
      <c r="DD15" s="243"/>
      <c r="DE15" s="243"/>
      <c r="DF15" s="243"/>
      <c r="DG15" s="243"/>
      <c r="DH15" s="243"/>
      <c r="DI15" s="243"/>
      <c r="DJ15" s="243"/>
      <c r="DK15" s="243"/>
      <c r="DL15" s="243"/>
      <c r="DM15" s="243"/>
      <c r="DN15" s="243"/>
      <c r="DO15" s="243"/>
      <c r="DP15" s="243"/>
      <c r="DQ15" s="243"/>
      <c r="DR15" s="243"/>
      <c r="DS15" s="243"/>
      <c r="DT15" s="243"/>
      <c r="DU15" s="243"/>
      <c r="DV15" s="243"/>
      <c r="DW15" s="243"/>
      <c r="DX15" s="243"/>
      <c r="DY15" s="243"/>
      <c r="DZ15" s="243"/>
      <c r="EA15" s="243"/>
      <c r="EB15" s="243"/>
      <c r="EC15" s="243"/>
      <c r="ED15" s="243"/>
      <c r="EE15" s="243"/>
      <c r="EF15" s="243"/>
      <c r="EG15" s="243"/>
      <c r="EH15" s="243"/>
      <c r="EI15" s="243"/>
      <c r="EJ15" s="243"/>
      <c r="EK15" s="243"/>
      <c r="EL15" s="243"/>
      <c r="EM15" s="243"/>
      <c r="EN15" s="243"/>
      <c r="EO15" s="243"/>
      <c r="EP15" s="243"/>
      <c r="EQ15" s="243"/>
      <c r="ER15" s="243"/>
      <c r="ES15" s="243"/>
      <c r="ET15" s="243"/>
      <c r="EU15" s="243"/>
      <c r="EV15" s="243"/>
      <c r="EW15" s="243"/>
      <c r="EX15" s="243"/>
      <c r="EY15" s="243"/>
      <c r="EZ15" s="243"/>
      <c r="FA15" s="243"/>
      <c r="FB15" s="243"/>
      <c r="FC15" s="243"/>
      <c r="FD15" s="243"/>
      <c r="FE15" s="243"/>
      <c r="FF15" s="243"/>
      <c r="FG15" s="243"/>
      <c r="FH15" s="243"/>
      <c r="FI15" s="243"/>
      <c r="FJ15" s="243"/>
      <c r="FK15" s="243"/>
      <c r="FL15" s="243"/>
      <c r="FM15" s="243"/>
      <c r="FN15" s="243"/>
      <c r="FO15" s="243"/>
      <c r="FP15" s="243"/>
      <c r="FQ15" s="243"/>
      <c r="FR15" s="243"/>
      <c r="FS15" s="243"/>
      <c r="FT15" s="243"/>
      <c r="FU15" s="243"/>
      <c r="FV15" s="243"/>
      <c r="FW15" s="243"/>
      <c r="FX15" s="243"/>
      <c r="FY15" s="243"/>
      <c r="FZ15" s="243"/>
      <c r="GA15" s="243"/>
      <c r="GB15" s="243"/>
      <c r="GC15" s="243"/>
      <c r="GD15" s="243"/>
      <c r="GE15" s="243"/>
      <c r="GF15" s="243"/>
      <c r="GG15" s="243"/>
      <c r="GH15" s="243"/>
      <c r="GI15" s="243"/>
      <c r="GJ15" s="243"/>
      <c r="GK15" s="243"/>
      <c r="GL15" s="243"/>
      <c r="GM15" s="243"/>
      <c r="GN15" s="243"/>
      <c r="GO15" s="243"/>
      <c r="GP15" s="243"/>
      <c r="GQ15" s="243"/>
      <c r="GR15" s="243"/>
      <c r="GS15" s="243"/>
      <c r="GT15" s="243"/>
      <c r="GU15" s="243"/>
      <c r="GV15" s="243"/>
      <c r="GW15" s="243"/>
      <c r="GX15" s="243"/>
      <c r="GY15" s="243"/>
      <c r="GZ15" s="243"/>
      <c r="HA15" s="243"/>
      <c r="HB15" s="243"/>
      <c r="HC15" s="243"/>
      <c r="HD15" s="243"/>
      <c r="HE15" s="243"/>
      <c r="HF15" s="243"/>
      <c r="HG15" s="243"/>
      <c r="HH15" s="243"/>
      <c r="HI15" s="243"/>
      <c r="HJ15" s="243"/>
      <c r="HK15" s="243"/>
      <c r="HL15" s="243"/>
      <c r="HM15" s="243"/>
      <c r="HN15" s="243"/>
      <c r="HO15" s="243"/>
      <c r="HP15" s="243"/>
      <c r="HQ15" s="243"/>
      <c r="HR15" s="243"/>
      <c r="HS15" s="243"/>
      <c r="HT15" s="243"/>
      <c r="HU15" s="243"/>
      <c r="HV15" s="243"/>
      <c r="HW15" s="243"/>
      <c r="HX15" s="243"/>
      <c r="HY15" s="243"/>
      <c r="HZ15" s="243"/>
      <c r="IA15" s="243"/>
      <c r="IB15" s="243"/>
      <c r="IC15" s="243"/>
      <c r="ID15" s="243"/>
      <c r="IE15" s="243"/>
      <c r="IF15" s="243"/>
      <c r="IG15" s="243"/>
      <c r="IH15" s="243"/>
      <c r="II15" s="243"/>
      <c r="IJ15" s="243"/>
      <c r="IK15" s="243"/>
      <c r="IL15" s="243"/>
      <c r="IM15" s="243"/>
      <c r="IN15" s="243"/>
    </row>
    <row r="16" spans="1:248" ht="18" customHeight="1" x14ac:dyDescent="0.3">
      <c r="A16" s="684"/>
      <c r="B16" s="865" t="s">
        <v>209</v>
      </c>
      <c r="C16" s="684"/>
      <c r="D16" s="344"/>
      <c r="E16" s="344" t="s">
        <v>7</v>
      </c>
      <c r="F16" s="144" t="str">
        <f>ID!H35</f>
        <v>-</v>
      </c>
      <c r="G16" s="866" t="str">
        <f>IF(F16="-","","±")</f>
        <v/>
      </c>
      <c r="H16" s="867" t="str">
        <f>IF(F16="-","",VOLT!O17)</f>
        <v/>
      </c>
      <c r="I16" s="684" t="str">
        <f>IF(H16="","",ID!J35)</f>
        <v/>
      </c>
      <c r="J16" s="243"/>
      <c r="K16" s="243"/>
      <c r="L16" s="240"/>
      <c r="M16" s="243"/>
      <c r="N16" s="243"/>
      <c r="O16" s="243"/>
      <c r="P16" s="243"/>
      <c r="Q16" s="243"/>
      <c r="R16" s="243"/>
      <c r="S16" s="243"/>
      <c r="T16" s="243"/>
      <c r="U16" s="243"/>
      <c r="V16" s="243"/>
      <c r="W16" s="243"/>
      <c r="X16" s="243"/>
      <c r="Y16" s="243"/>
      <c r="Z16" s="243"/>
      <c r="AA16" s="243"/>
      <c r="AB16" s="243"/>
      <c r="AC16" s="243"/>
      <c r="AD16" s="243"/>
      <c r="AE16" s="243"/>
      <c r="AF16" s="243"/>
      <c r="AG16" s="243"/>
      <c r="AH16" s="243"/>
      <c r="AI16" s="243"/>
      <c r="AJ16" s="243"/>
      <c r="AK16" s="243"/>
      <c r="AL16" s="243"/>
      <c r="AM16" s="243"/>
      <c r="AN16" s="243"/>
      <c r="AO16" s="243"/>
      <c r="AP16" s="243"/>
      <c r="AQ16" s="243"/>
      <c r="AR16" s="243"/>
      <c r="AS16" s="243"/>
      <c r="AT16" s="243"/>
      <c r="AU16" s="243"/>
      <c r="AV16" s="243"/>
      <c r="AW16" s="243"/>
      <c r="AX16" s="243"/>
      <c r="AY16" s="243"/>
      <c r="AZ16" s="243"/>
      <c r="BA16" s="243"/>
      <c r="BB16" s="243"/>
      <c r="BC16" s="243"/>
      <c r="BD16" s="243"/>
      <c r="BE16" s="243"/>
      <c r="BF16" s="243"/>
      <c r="BG16" s="243"/>
      <c r="BH16" s="243"/>
      <c r="BI16" s="243"/>
      <c r="BJ16" s="243"/>
      <c r="BK16" s="243"/>
      <c r="BL16" s="243"/>
      <c r="BM16" s="243"/>
      <c r="BN16" s="243"/>
      <c r="BO16" s="243"/>
      <c r="BP16" s="243"/>
      <c r="BQ16" s="243"/>
      <c r="BR16" s="243"/>
      <c r="BS16" s="243"/>
      <c r="BT16" s="243"/>
      <c r="BU16" s="243"/>
      <c r="BV16" s="243"/>
      <c r="BW16" s="243"/>
      <c r="BX16" s="243"/>
      <c r="BY16" s="243"/>
      <c r="BZ16" s="243"/>
      <c r="CA16" s="243"/>
      <c r="CB16" s="243"/>
      <c r="CC16" s="243"/>
      <c r="CD16" s="243"/>
      <c r="CE16" s="243"/>
      <c r="CF16" s="243"/>
      <c r="CG16" s="243"/>
      <c r="CH16" s="243"/>
      <c r="CI16" s="243"/>
      <c r="CJ16" s="243"/>
      <c r="CK16" s="243"/>
      <c r="CL16" s="243"/>
      <c r="CM16" s="243"/>
      <c r="CN16" s="243"/>
      <c r="CO16" s="243"/>
      <c r="CP16" s="243"/>
      <c r="CQ16" s="243"/>
      <c r="CR16" s="243"/>
      <c r="CS16" s="243"/>
      <c r="CT16" s="243"/>
      <c r="CU16" s="243"/>
      <c r="CV16" s="243"/>
      <c r="CW16" s="243"/>
      <c r="CX16" s="243"/>
      <c r="CY16" s="243"/>
      <c r="CZ16" s="243"/>
      <c r="DA16" s="243"/>
      <c r="DB16" s="243"/>
      <c r="DC16" s="243"/>
      <c r="DD16" s="243"/>
      <c r="DE16" s="243"/>
      <c r="DF16" s="243"/>
      <c r="DG16" s="243"/>
      <c r="DH16" s="243"/>
      <c r="DI16" s="243"/>
      <c r="DJ16" s="243"/>
      <c r="DK16" s="243"/>
      <c r="DL16" s="243"/>
      <c r="DM16" s="243"/>
      <c r="DN16" s="243"/>
      <c r="DO16" s="243"/>
      <c r="DP16" s="243"/>
      <c r="DQ16" s="243"/>
      <c r="DR16" s="243"/>
      <c r="DS16" s="243"/>
      <c r="DT16" s="243"/>
      <c r="DU16" s="243"/>
      <c r="DV16" s="243"/>
      <c r="DW16" s="243"/>
      <c r="DX16" s="243"/>
      <c r="DY16" s="243"/>
      <c r="DZ16" s="243"/>
      <c r="EA16" s="243"/>
      <c r="EB16" s="243"/>
      <c r="EC16" s="243"/>
      <c r="ED16" s="243"/>
      <c r="EE16" s="243"/>
      <c r="EF16" s="243"/>
      <c r="EG16" s="243"/>
      <c r="EH16" s="243"/>
      <c r="EI16" s="243"/>
      <c r="EJ16" s="243"/>
      <c r="EK16" s="243"/>
      <c r="EL16" s="243"/>
      <c r="EM16" s="243"/>
      <c r="EN16" s="243"/>
      <c r="EO16" s="243"/>
      <c r="EP16" s="243"/>
      <c r="EQ16" s="243"/>
      <c r="ER16" s="243"/>
      <c r="ES16" s="243"/>
      <c r="ET16" s="243"/>
      <c r="EU16" s="243"/>
      <c r="EV16" s="243"/>
      <c r="EW16" s="243"/>
      <c r="EX16" s="243"/>
      <c r="EY16" s="243"/>
      <c r="EZ16" s="243"/>
      <c r="FA16" s="243"/>
      <c r="FB16" s="243"/>
      <c r="FC16" s="243"/>
      <c r="FD16" s="243"/>
      <c r="FE16" s="243"/>
      <c r="FF16" s="243"/>
      <c r="FG16" s="243"/>
      <c r="FH16" s="243"/>
      <c r="FI16" s="243"/>
      <c r="FJ16" s="243"/>
      <c r="FK16" s="243"/>
      <c r="FL16" s="243"/>
      <c r="FM16" s="243"/>
      <c r="FN16" s="243"/>
      <c r="FO16" s="243"/>
      <c r="FP16" s="243"/>
      <c r="FQ16" s="243"/>
      <c r="FR16" s="243"/>
      <c r="FS16" s="243"/>
      <c r="FT16" s="243"/>
      <c r="FU16" s="243"/>
      <c r="FV16" s="243"/>
      <c r="FW16" s="243"/>
      <c r="FX16" s="243"/>
      <c r="FY16" s="243"/>
      <c r="FZ16" s="243"/>
      <c r="GA16" s="243"/>
      <c r="GB16" s="243"/>
      <c r="GC16" s="243"/>
      <c r="GD16" s="243"/>
      <c r="GE16" s="243"/>
      <c r="GF16" s="243"/>
      <c r="GG16" s="243"/>
      <c r="GH16" s="243"/>
      <c r="GI16" s="243"/>
      <c r="GJ16" s="243"/>
      <c r="GK16" s="243"/>
      <c r="GL16" s="243"/>
      <c r="GM16" s="243"/>
      <c r="GN16" s="243"/>
      <c r="GO16" s="243"/>
      <c r="GP16" s="243"/>
      <c r="GQ16" s="243"/>
      <c r="GR16" s="243"/>
      <c r="GS16" s="243"/>
      <c r="GT16" s="243"/>
      <c r="GU16" s="243"/>
      <c r="GV16" s="243"/>
      <c r="GW16" s="243"/>
      <c r="GX16" s="243"/>
      <c r="GY16" s="243"/>
      <c r="GZ16" s="243"/>
      <c r="HA16" s="243"/>
      <c r="HB16" s="243"/>
      <c r="HC16" s="243"/>
      <c r="HD16" s="243"/>
      <c r="HE16" s="243"/>
      <c r="HF16" s="243"/>
      <c r="HG16" s="243"/>
      <c r="HH16" s="243"/>
      <c r="HI16" s="243"/>
      <c r="HJ16" s="243"/>
      <c r="HK16" s="243"/>
      <c r="HL16" s="243"/>
      <c r="HM16" s="243"/>
      <c r="HN16" s="243"/>
      <c r="HO16" s="243"/>
      <c r="HP16" s="243"/>
      <c r="HQ16" s="243"/>
      <c r="HR16" s="243"/>
      <c r="HS16" s="243"/>
      <c r="HT16" s="243"/>
      <c r="HU16" s="243"/>
      <c r="HV16" s="243"/>
      <c r="HW16" s="243"/>
      <c r="HX16" s="243"/>
      <c r="HY16" s="243"/>
      <c r="HZ16" s="243"/>
      <c r="IA16" s="243"/>
      <c r="IB16" s="243"/>
      <c r="IC16" s="243"/>
      <c r="ID16" s="243"/>
      <c r="IE16" s="243"/>
      <c r="IF16" s="243"/>
      <c r="IG16" s="243"/>
      <c r="IH16" s="243"/>
      <c r="II16" s="243"/>
      <c r="IJ16" s="243"/>
      <c r="IK16" s="243"/>
      <c r="IL16" s="243"/>
      <c r="IM16" s="243"/>
      <c r="IN16" s="243"/>
    </row>
    <row r="17" spans="1:248" x14ac:dyDescent="0.3">
      <c r="A17" s="241" t="s">
        <v>33</v>
      </c>
      <c r="B17" s="242" t="s">
        <v>210</v>
      </c>
      <c r="C17" s="242"/>
      <c r="D17" s="242"/>
      <c r="E17" s="242"/>
      <c r="F17" s="144"/>
      <c r="G17" s="242"/>
      <c r="H17" s="242"/>
      <c r="I17" s="243"/>
      <c r="J17" s="243"/>
      <c r="K17" s="243"/>
      <c r="L17" s="240"/>
      <c r="M17" s="243"/>
      <c r="N17" s="243"/>
      <c r="O17" s="243"/>
      <c r="P17" s="243"/>
      <c r="Q17" s="243"/>
      <c r="R17" s="243"/>
      <c r="S17" s="243"/>
      <c r="T17" s="243"/>
      <c r="U17" s="243"/>
      <c r="V17" s="243"/>
      <c r="W17" s="243"/>
      <c r="X17" s="243"/>
      <c r="Y17" s="243"/>
      <c r="Z17" s="243"/>
      <c r="AA17" s="243"/>
      <c r="AB17" s="243"/>
      <c r="AC17" s="243"/>
      <c r="AD17" s="243"/>
      <c r="AE17" s="243"/>
      <c r="AF17" s="243"/>
      <c r="AG17" s="243"/>
      <c r="AH17" s="243"/>
      <c r="AI17" s="243"/>
      <c r="AJ17" s="243"/>
      <c r="AK17" s="243"/>
      <c r="AL17" s="243"/>
      <c r="AM17" s="243"/>
      <c r="AN17" s="243"/>
      <c r="AO17" s="243"/>
      <c r="AP17" s="243"/>
      <c r="AQ17" s="243"/>
      <c r="AR17" s="243"/>
      <c r="AS17" s="243"/>
      <c r="AT17" s="243"/>
      <c r="AU17" s="243"/>
      <c r="AV17" s="243"/>
      <c r="AW17" s="243"/>
      <c r="AX17" s="243"/>
      <c r="AY17" s="243"/>
      <c r="AZ17" s="243"/>
      <c r="BA17" s="243"/>
      <c r="BB17" s="243"/>
      <c r="BC17" s="243"/>
      <c r="BD17" s="243"/>
      <c r="BE17" s="243"/>
      <c r="BF17" s="243"/>
      <c r="BG17" s="243"/>
      <c r="BH17" s="243"/>
      <c r="BI17" s="243"/>
      <c r="BJ17" s="243"/>
      <c r="BK17" s="243"/>
      <c r="BL17" s="243"/>
      <c r="BM17" s="243"/>
      <c r="BN17" s="243"/>
      <c r="BO17" s="243"/>
      <c r="BP17" s="243"/>
      <c r="BQ17" s="243"/>
      <c r="BR17" s="243"/>
      <c r="BS17" s="243"/>
      <c r="BT17" s="243"/>
      <c r="BU17" s="243"/>
      <c r="BV17" s="243"/>
      <c r="BW17" s="243"/>
      <c r="BX17" s="243"/>
      <c r="BY17" s="243"/>
      <c r="BZ17" s="243"/>
      <c r="CA17" s="243"/>
      <c r="CB17" s="243"/>
      <c r="CC17" s="243"/>
      <c r="CD17" s="243"/>
      <c r="CE17" s="243"/>
      <c r="CF17" s="243"/>
      <c r="CG17" s="243"/>
      <c r="CH17" s="243"/>
      <c r="CI17" s="243"/>
      <c r="CJ17" s="243"/>
      <c r="CK17" s="243"/>
      <c r="CL17" s="243"/>
      <c r="CM17" s="243"/>
      <c r="CN17" s="243"/>
      <c r="CO17" s="243"/>
      <c r="CP17" s="243"/>
      <c r="CQ17" s="243"/>
      <c r="CR17" s="243"/>
      <c r="CS17" s="243"/>
      <c r="CT17" s="243"/>
      <c r="CU17" s="243"/>
      <c r="CV17" s="243"/>
      <c r="CW17" s="243"/>
      <c r="CX17" s="243"/>
      <c r="CY17" s="243"/>
      <c r="CZ17" s="243"/>
      <c r="DA17" s="243"/>
      <c r="DB17" s="243"/>
      <c r="DC17" s="243"/>
      <c r="DD17" s="243"/>
      <c r="DE17" s="243"/>
      <c r="DF17" s="243"/>
      <c r="DG17" s="243"/>
      <c r="DH17" s="243"/>
      <c r="DI17" s="243"/>
      <c r="DJ17" s="243"/>
      <c r="DK17" s="243"/>
      <c r="DL17" s="243"/>
      <c r="DM17" s="243"/>
      <c r="DN17" s="243"/>
      <c r="DO17" s="243"/>
      <c r="DP17" s="243"/>
      <c r="DQ17" s="243"/>
      <c r="DR17" s="243"/>
      <c r="DS17" s="243"/>
      <c r="DT17" s="243"/>
      <c r="DU17" s="243"/>
      <c r="DV17" s="243"/>
      <c r="DW17" s="243"/>
      <c r="DX17" s="243"/>
      <c r="DY17" s="243"/>
      <c r="DZ17" s="243"/>
      <c r="EA17" s="243"/>
      <c r="EB17" s="243"/>
      <c r="EC17" s="243"/>
      <c r="ED17" s="243"/>
      <c r="EE17" s="243"/>
      <c r="EF17" s="243"/>
      <c r="EG17" s="243"/>
      <c r="EH17" s="243"/>
      <c r="EI17" s="243"/>
      <c r="EJ17" s="243"/>
      <c r="EK17" s="243"/>
      <c r="EL17" s="243"/>
      <c r="EM17" s="243"/>
      <c r="EN17" s="243"/>
      <c r="EO17" s="243"/>
      <c r="EP17" s="243"/>
      <c r="EQ17" s="243"/>
      <c r="ER17" s="243"/>
      <c r="ES17" s="243"/>
      <c r="ET17" s="243"/>
      <c r="EU17" s="243"/>
      <c r="EV17" s="243"/>
      <c r="EW17" s="243"/>
      <c r="EX17" s="243"/>
      <c r="EY17" s="243"/>
      <c r="EZ17" s="243"/>
      <c r="FA17" s="243"/>
      <c r="FB17" s="243"/>
      <c r="FC17" s="243"/>
      <c r="FD17" s="243"/>
      <c r="FE17" s="243"/>
      <c r="FF17" s="243"/>
      <c r="FG17" s="243"/>
      <c r="FH17" s="243"/>
      <c r="FI17" s="243"/>
      <c r="FJ17" s="243"/>
      <c r="FK17" s="243"/>
      <c r="FL17" s="243"/>
      <c r="FM17" s="243"/>
      <c r="FN17" s="243"/>
      <c r="FO17" s="243"/>
      <c r="FP17" s="243"/>
      <c r="FQ17" s="243"/>
      <c r="FR17" s="243"/>
      <c r="FS17" s="243"/>
      <c r="FT17" s="243"/>
      <c r="FU17" s="243"/>
      <c r="FV17" s="243"/>
      <c r="FW17" s="243"/>
      <c r="FX17" s="243"/>
      <c r="FY17" s="243"/>
      <c r="FZ17" s="243"/>
      <c r="GA17" s="243"/>
      <c r="GB17" s="243"/>
      <c r="GC17" s="243"/>
      <c r="GD17" s="243"/>
      <c r="GE17" s="243"/>
      <c r="GF17" s="243"/>
      <c r="GG17" s="243"/>
      <c r="GH17" s="243"/>
      <c r="GI17" s="243"/>
      <c r="GJ17" s="243"/>
      <c r="GK17" s="243"/>
      <c r="GL17" s="243"/>
      <c r="GM17" s="243"/>
      <c r="GN17" s="243"/>
      <c r="GO17" s="243"/>
      <c r="GP17" s="243"/>
      <c r="GQ17" s="243"/>
      <c r="GR17" s="243"/>
      <c r="GS17" s="243"/>
      <c r="GT17" s="243"/>
      <c r="GU17" s="243"/>
      <c r="GV17" s="243"/>
      <c r="GW17" s="243"/>
      <c r="GX17" s="243"/>
      <c r="GY17" s="243"/>
      <c r="GZ17" s="243"/>
      <c r="HA17" s="243"/>
      <c r="HB17" s="243"/>
      <c r="HC17" s="243"/>
      <c r="HD17" s="243"/>
      <c r="HE17" s="243"/>
      <c r="HF17" s="243"/>
      <c r="HG17" s="243"/>
      <c r="HH17" s="243"/>
      <c r="HI17" s="243"/>
      <c r="HJ17" s="243"/>
      <c r="HK17" s="243"/>
      <c r="HL17" s="243"/>
      <c r="HM17" s="243"/>
      <c r="HN17" s="243"/>
      <c r="HO17" s="243"/>
      <c r="HP17" s="243"/>
      <c r="HQ17" s="243"/>
      <c r="HR17" s="243"/>
      <c r="HS17" s="243"/>
      <c r="HT17" s="243"/>
      <c r="HU17" s="243"/>
      <c r="HV17" s="243"/>
      <c r="HW17" s="243"/>
      <c r="HX17" s="243"/>
      <c r="HY17" s="243"/>
      <c r="HZ17" s="243"/>
      <c r="IA17" s="243"/>
      <c r="IB17" s="243"/>
      <c r="IC17" s="243"/>
      <c r="ID17" s="243"/>
      <c r="IE17" s="243"/>
      <c r="IF17" s="243"/>
      <c r="IG17" s="243"/>
      <c r="IH17" s="243"/>
      <c r="II17" s="243"/>
      <c r="IJ17" s="243"/>
      <c r="IK17" s="243"/>
      <c r="IL17" s="243"/>
      <c r="IM17" s="243"/>
      <c r="IN17" s="243"/>
    </row>
    <row r="18" spans="1:248" x14ac:dyDescent="0.3">
      <c r="A18" s="467"/>
      <c r="B18" s="243" t="s">
        <v>211</v>
      </c>
      <c r="C18" s="243"/>
      <c r="D18" s="243" t="s">
        <v>212</v>
      </c>
      <c r="E18" s="243" t="s">
        <v>7</v>
      </c>
      <c r="F18" s="1068" t="str">
        <f>ID!D37</f>
        <v>Baik</v>
      </c>
      <c r="G18" s="243"/>
      <c r="H18" s="243"/>
      <c r="I18" s="243"/>
      <c r="J18" s="243"/>
      <c r="K18" s="243"/>
      <c r="M18" s="1121">
        <f>P18</f>
        <v>10</v>
      </c>
      <c r="N18" s="243"/>
      <c r="O18" s="838">
        <f>IF(F18="Baik",5,IF(F18="Tidak Baik",0))</f>
        <v>5</v>
      </c>
      <c r="P18" s="1371">
        <f>SUM(O18:O19)</f>
        <v>10</v>
      </c>
      <c r="Q18" s="243"/>
      <c r="R18" s="243"/>
      <c r="S18" s="243"/>
      <c r="T18" s="243"/>
      <c r="U18" s="20" t="s">
        <v>213</v>
      </c>
      <c r="V18" s="243"/>
      <c r="W18" s="243"/>
      <c r="X18" s="243"/>
      <c r="Y18" s="243"/>
      <c r="Z18" s="243"/>
      <c r="AA18" s="243"/>
      <c r="AB18" s="243"/>
      <c r="AC18" s="243"/>
      <c r="AD18" s="243"/>
      <c r="AE18" s="243"/>
      <c r="AF18" s="243"/>
      <c r="AG18" s="243"/>
      <c r="AH18" s="243"/>
      <c r="AI18" s="243"/>
      <c r="AJ18" s="243"/>
    </row>
    <row r="19" spans="1:248" x14ac:dyDescent="0.25">
      <c r="A19" s="467"/>
      <c r="B19" s="243" t="s">
        <v>214</v>
      </c>
      <c r="C19" s="243"/>
      <c r="D19" s="243" t="s">
        <v>212</v>
      </c>
      <c r="E19" s="243" t="s">
        <v>7</v>
      </c>
      <c r="F19" s="467" t="str">
        <f>ID!D38</f>
        <v>Baik</v>
      </c>
      <c r="G19" s="243"/>
      <c r="H19" s="243"/>
      <c r="I19" s="243"/>
      <c r="J19" s="243"/>
      <c r="K19" s="243"/>
      <c r="M19" s="1122"/>
      <c r="N19" s="243"/>
      <c r="O19" s="838">
        <f>IF(F19="Baik",5,IF(F19="Tidak Baik",0))</f>
        <v>5</v>
      </c>
      <c r="P19" s="1371"/>
      <c r="Q19" s="243"/>
      <c r="R19" s="243"/>
      <c r="S19" s="243"/>
      <c r="T19" s="243"/>
      <c r="U19" s="243"/>
      <c r="V19" s="243"/>
      <c r="W19" s="243"/>
      <c r="X19" s="243"/>
      <c r="Y19" s="243"/>
      <c r="Z19" s="243"/>
      <c r="AA19" s="243"/>
      <c r="AB19" s="243"/>
      <c r="AC19" s="243"/>
      <c r="AD19" s="243"/>
      <c r="AE19" s="243"/>
      <c r="AF19" s="243"/>
      <c r="AG19" s="243"/>
      <c r="AH19" s="243"/>
      <c r="AI19" s="243"/>
      <c r="AJ19" s="243"/>
    </row>
    <row r="20" spans="1:248" ht="9" customHeight="1" x14ac:dyDescent="0.25">
      <c r="A20" s="1354"/>
      <c r="B20" s="1354"/>
      <c r="C20" s="1354"/>
      <c r="D20" s="1354"/>
      <c r="E20" s="1354"/>
      <c r="F20" s="1354"/>
      <c r="G20" s="1354"/>
      <c r="H20" s="344"/>
      <c r="I20" s="344"/>
      <c r="J20" s="243"/>
      <c r="K20" s="243"/>
      <c r="L20" s="244"/>
      <c r="M20" s="243"/>
      <c r="N20" s="243"/>
      <c r="O20" s="243"/>
      <c r="P20" s="243"/>
      <c r="Q20" s="243"/>
      <c r="R20" s="243"/>
      <c r="S20" s="243"/>
      <c r="T20" s="243"/>
      <c r="U20" s="243"/>
      <c r="V20" s="243"/>
      <c r="W20" s="243"/>
      <c r="X20" s="243"/>
      <c r="Y20" s="243"/>
      <c r="Z20" s="243"/>
      <c r="AA20" s="243"/>
      <c r="AB20" s="243"/>
      <c r="AC20" s="243"/>
      <c r="AD20" s="243"/>
      <c r="AE20" s="243"/>
      <c r="AF20" s="243"/>
      <c r="AG20" s="243"/>
      <c r="AH20" s="243"/>
      <c r="AI20" s="243"/>
      <c r="AJ20" s="243"/>
    </row>
    <row r="21" spans="1:248" s="105" customFormat="1" ht="17.25" customHeight="1" x14ac:dyDescent="0.25">
      <c r="A21" s="195" t="s">
        <v>215</v>
      </c>
      <c r="B21" s="195" t="s">
        <v>216</v>
      </c>
      <c r="C21" s="250"/>
      <c r="D21" s="250"/>
      <c r="E21" s="250"/>
      <c r="F21" s="250"/>
      <c r="G21" s="250"/>
      <c r="H21" s="106"/>
      <c r="I21" s="250"/>
      <c r="J21" s="464"/>
      <c r="K21" s="171"/>
      <c r="L21" s="170"/>
      <c r="M21" s="171"/>
      <c r="N21" s="245"/>
      <c r="O21" s="199"/>
      <c r="P21" s="171"/>
      <c r="Q21" s="199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6"/>
      <c r="AE21" s="106"/>
      <c r="AF21" s="106"/>
      <c r="AG21" s="106"/>
      <c r="AH21" s="106"/>
      <c r="AI21" s="106"/>
      <c r="AJ21" s="106"/>
    </row>
    <row r="22" spans="1:248" s="124" customFormat="1" ht="30" customHeight="1" thickBot="1" x14ac:dyDescent="0.25">
      <c r="B22" s="1310" t="s">
        <v>23</v>
      </c>
      <c r="C22" s="1311"/>
      <c r="D22" s="1311"/>
      <c r="E22" s="1311"/>
      <c r="F22" s="1311"/>
      <c r="G22" s="1311"/>
      <c r="H22" s="1312"/>
      <c r="I22" s="843" t="s">
        <v>40</v>
      </c>
      <c r="J22" s="842" t="s">
        <v>41</v>
      </c>
      <c r="K22" s="1322"/>
      <c r="L22" s="1323"/>
      <c r="P22" s="125"/>
      <c r="S22" s="197"/>
      <c r="T22" s="197"/>
      <c r="AE22" s="868" t="s">
        <v>430</v>
      </c>
      <c r="AF22" s="246"/>
    </row>
    <row r="23" spans="1:248" s="124" customFormat="1" ht="18" customHeight="1" x14ac:dyDescent="0.3">
      <c r="B23" s="126" t="str">
        <f>ID!A42</f>
        <v>Resistansi isolasi</v>
      </c>
      <c r="C23" s="127"/>
      <c r="D23" s="127"/>
      <c r="E23" s="127"/>
      <c r="F23" s="127"/>
      <c r="G23" s="128"/>
      <c r="H23" s="129"/>
      <c r="I23" s="680" t="str">
        <f>ID!G42</f>
        <v>-</v>
      </c>
      <c r="J23" s="444" t="str">
        <f>ID!J42</f>
        <v>&gt; 2 MΩ</v>
      </c>
      <c r="K23" s="1324"/>
      <c r="L23" s="1325"/>
      <c r="M23" s="1326">
        <f>IF(ID!B79="Catu daya menggunakan baterai",40,AA25)</f>
        <v>40</v>
      </c>
      <c r="N23" s="868">
        <f>IF(I23="OL",2.5,IF(I23="-",2.5,IF(I23&gt;R24,2.5,0)))</f>
        <v>2.5</v>
      </c>
      <c r="O23" s="1327"/>
      <c r="P23" s="1372"/>
      <c r="Q23" s="106"/>
      <c r="R23" s="130">
        <f>IF(J23="&gt; 2 MΩ",2,1.99999)</f>
        <v>2</v>
      </c>
      <c r="S23" s="106"/>
      <c r="T23" s="1327" t="s">
        <v>47</v>
      </c>
      <c r="U23" s="1327"/>
      <c r="V23" s="1327"/>
      <c r="W23" s="1327"/>
      <c r="X23" s="1327"/>
      <c r="Y23" s="1327"/>
      <c r="Z23" s="1327"/>
      <c r="AA23" s="869">
        <f>IF(OR(I25&lt;=R25,I25="-",N25=35),SUM(N23:N25),0)</f>
        <v>5</v>
      </c>
      <c r="AC23" s="247"/>
      <c r="AI23" s="248"/>
      <c r="AJ23" s="106"/>
    </row>
    <row r="24" spans="1:248" s="124" customFormat="1" x14ac:dyDescent="0.3">
      <c r="B24" s="126" t="str">
        <f>ID!A43</f>
        <v>Resistansi pembumian protektif (kabel dapat dilepas)</v>
      </c>
      <c r="C24" s="127"/>
      <c r="D24" s="127"/>
      <c r="E24" s="127"/>
      <c r="F24" s="127"/>
      <c r="G24" s="131"/>
      <c r="H24" s="129"/>
      <c r="I24" s="680" t="str">
        <f>ID!G43</f>
        <v>-</v>
      </c>
      <c r="J24" s="444" t="str">
        <f>ID!J43</f>
        <v>≤ 0.2 Ω</v>
      </c>
      <c r="K24" s="1328"/>
      <c r="L24" s="1329"/>
      <c r="M24" s="1326"/>
      <c r="N24" s="868">
        <f>IF(I24="OL",2.5,IF(I24="-",2.5,IF(I24&lt;=R25,2.5,0)))</f>
        <v>2.5</v>
      </c>
      <c r="O24" s="1327"/>
      <c r="P24" s="1373"/>
      <c r="Q24" s="106"/>
      <c r="R24" s="130">
        <f>IF(J24="≤ 0.2 Ω",0.2,0.1999999)</f>
        <v>0.2</v>
      </c>
      <c r="S24" s="106"/>
      <c r="T24" s="1333" t="s">
        <v>50</v>
      </c>
      <c r="U24" s="1333"/>
      <c r="V24" s="1333"/>
      <c r="W24" s="1333"/>
      <c r="X24" s="1333"/>
      <c r="Y24" s="1333"/>
      <c r="Z24" s="1333"/>
      <c r="AA24" s="869">
        <f>IF(AND(I25&gt;R25,N25=35),0,IF(I25="-",35,SUM(N23:N25)))</f>
        <v>35</v>
      </c>
      <c r="AC24" s="247"/>
      <c r="AI24" s="106"/>
      <c r="AJ24" s="106"/>
    </row>
    <row r="25" spans="1:248" s="124" customFormat="1" ht="15.75" customHeight="1" thickBot="1" x14ac:dyDescent="0.35">
      <c r="B25" s="126" t="str">
        <f>ID!A44</f>
        <v xml:space="preserve">Arus bocor peralatan untuk peralatan elektromedik kelas I </v>
      </c>
      <c r="C25" s="127"/>
      <c r="D25" s="127"/>
      <c r="E25" s="127"/>
      <c r="F25" s="127"/>
      <c r="G25" s="128"/>
      <c r="H25" s="457"/>
      <c r="I25" s="679" t="str">
        <f>ID!G44</f>
        <v>-</v>
      </c>
      <c r="J25" s="444" t="str">
        <f>ID!J44</f>
        <v>≤ 500 μA</v>
      </c>
      <c r="K25" s="1330"/>
      <c r="L25" s="1331"/>
      <c r="M25" s="1326"/>
      <c r="N25" s="868">
        <f>IF(I25="OL",35,IF(I25="-",0,IF(I25&lt;=R26,35,IF(ID!S36&lt;=100,35,0))))</f>
        <v>0</v>
      </c>
      <c r="O25" s="1327"/>
      <c r="P25" s="1374"/>
      <c r="Q25" s="106"/>
      <c r="R25" s="130">
        <f>IF(J25="≤ 500 μA",500,100)</f>
        <v>500</v>
      </c>
      <c r="S25" s="106"/>
      <c r="T25" s="1378"/>
      <c r="U25" s="1378"/>
      <c r="V25" s="1378"/>
      <c r="W25" s="1378"/>
      <c r="X25" s="1378"/>
      <c r="Y25" s="1378"/>
      <c r="Z25" s="1379"/>
      <c r="AA25" s="1375">
        <f>IF(B25=T23,AA23,IF(T24=B25,AA24,"PERBAIKI Z2425"))</f>
        <v>5</v>
      </c>
      <c r="AC25" s="247"/>
      <c r="AI25" s="106"/>
      <c r="AJ25" s="106"/>
    </row>
    <row r="26" spans="1:248" s="105" customFormat="1" ht="9" customHeight="1" x14ac:dyDescent="0.25">
      <c r="A26" s="106"/>
      <c r="B26" s="106"/>
      <c r="C26" s="106"/>
      <c r="D26" s="171"/>
      <c r="E26" s="171"/>
      <c r="F26" s="171"/>
      <c r="G26" s="171"/>
      <c r="H26" s="171"/>
      <c r="I26" s="250"/>
      <c r="J26" s="464"/>
      <c r="K26" s="171"/>
      <c r="L26" s="171"/>
      <c r="M26" s="171"/>
      <c r="N26" s="245"/>
      <c r="O26" s="199"/>
      <c r="P26" s="171"/>
      <c r="Q26" s="199"/>
      <c r="R26" s="106"/>
      <c r="S26" s="106"/>
      <c r="T26" s="870"/>
      <c r="U26" s="870"/>
      <c r="V26" s="870"/>
      <c r="W26" s="870"/>
      <c r="X26" s="870"/>
      <c r="AA26" s="1376"/>
      <c r="AB26" s="106"/>
      <c r="AC26" s="106"/>
      <c r="AD26" s="106"/>
      <c r="AE26" s="106"/>
      <c r="AF26" s="106"/>
      <c r="AG26" s="106"/>
      <c r="AH26" s="106"/>
      <c r="AI26" s="106"/>
      <c r="AJ26" s="106"/>
    </row>
    <row r="27" spans="1:248" s="105" customFormat="1" ht="17.25" customHeight="1" x14ac:dyDescent="0.25">
      <c r="A27" s="198" t="s">
        <v>217</v>
      </c>
      <c r="B27" s="198" t="s">
        <v>218</v>
      </c>
      <c r="C27" s="198"/>
      <c r="D27" s="198"/>
      <c r="E27" s="198"/>
      <c r="F27" s="198"/>
      <c r="G27" s="198"/>
      <c r="H27" s="198"/>
      <c r="I27" s="106"/>
      <c r="J27" s="106"/>
      <c r="K27" s="106"/>
      <c r="L27" s="250"/>
      <c r="M27" s="106"/>
      <c r="N27" s="463"/>
      <c r="O27" s="199"/>
      <c r="P27" s="106"/>
      <c r="Q27" s="199"/>
      <c r="R27" s="106"/>
      <c r="S27" s="106"/>
      <c r="T27" s="870"/>
      <c r="U27" s="870"/>
      <c r="V27" s="870"/>
      <c r="W27" s="870"/>
      <c r="X27" s="870"/>
      <c r="AA27" s="1377"/>
      <c r="AB27" s="106"/>
      <c r="AC27" s="106"/>
      <c r="AD27" s="106"/>
      <c r="AE27" s="106"/>
      <c r="AF27" s="106"/>
      <c r="AG27" s="106"/>
      <c r="AH27" s="106"/>
      <c r="AI27" s="106"/>
      <c r="AJ27" s="106"/>
    </row>
    <row r="28" spans="1:248" s="105" customFormat="1" ht="17.25" customHeight="1" x14ac:dyDescent="0.25">
      <c r="A28" s="198"/>
      <c r="B28" s="198" t="str">
        <f>ID!B47</f>
        <v xml:space="preserve">A. Blood pressure monitor </v>
      </c>
      <c r="C28" s="198"/>
      <c r="D28" s="198"/>
      <c r="E28" s="198"/>
      <c r="F28" s="198"/>
      <c r="G28" s="198"/>
      <c r="H28" s="198"/>
      <c r="I28" s="106"/>
      <c r="J28" s="106"/>
      <c r="K28" s="106"/>
      <c r="L28" s="250"/>
      <c r="M28" s="106"/>
      <c r="N28" s="463"/>
      <c r="O28" s="199"/>
      <c r="P28" s="106"/>
      <c r="Q28" s="199"/>
      <c r="R28" s="106"/>
      <c r="S28" s="106"/>
      <c r="T28" s="106"/>
      <c r="U28" s="106"/>
      <c r="V28" s="106"/>
      <c r="W28" s="106"/>
      <c r="X28" s="106"/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6"/>
    </row>
    <row r="29" spans="1:248" s="105" customFormat="1" ht="16.5" customHeight="1" x14ac:dyDescent="0.3">
      <c r="A29" s="1359"/>
      <c r="B29" s="1294" t="s">
        <v>39</v>
      </c>
      <c r="C29" s="1365" t="s">
        <v>23</v>
      </c>
      <c r="D29" s="1360"/>
      <c r="E29" s="1363"/>
      <c r="F29" s="1294" t="s">
        <v>219</v>
      </c>
      <c r="G29" s="1334" t="str">
        <f>ID!E48</f>
        <v>Setting heart rate (bpm)</v>
      </c>
      <c r="H29" s="1294" t="s">
        <v>220</v>
      </c>
      <c r="I29" s="1294" t="s">
        <v>221</v>
      </c>
      <c r="J29" s="1334" t="s">
        <v>56</v>
      </c>
      <c r="K29" s="1294" t="s">
        <v>222</v>
      </c>
      <c r="L29" s="250"/>
      <c r="M29" s="249"/>
      <c r="N29" s="106"/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6"/>
    </row>
    <row r="30" spans="1:248" s="105" customFormat="1" ht="12" customHeight="1" x14ac:dyDescent="0.25">
      <c r="A30" s="1359"/>
      <c r="B30" s="1295"/>
      <c r="C30" s="1366"/>
      <c r="D30" s="1361"/>
      <c r="E30" s="1349"/>
      <c r="F30" s="1295"/>
      <c r="G30" s="1335"/>
      <c r="H30" s="1295"/>
      <c r="I30" s="1295"/>
      <c r="J30" s="1335"/>
      <c r="K30" s="1295"/>
      <c r="L30" s="250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6"/>
      <c r="AB30" s="106" t="s">
        <v>119</v>
      </c>
      <c r="AC30" s="106"/>
      <c r="AD30" s="106"/>
      <c r="AE30" s="106"/>
      <c r="AF30" s="106"/>
      <c r="AG30" s="106"/>
      <c r="AH30" s="106"/>
      <c r="AI30" s="106"/>
      <c r="AJ30" s="106"/>
    </row>
    <row r="31" spans="1:248" s="105" customFormat="1" ht="18" customHeight="1" x14ac:dyDescent="0.25">
      <c r="A31" s="1359"/>
      <c r="B31" s="1296"/>
      <c r="C31" s="1367"/>
      <c r="D31" s="1362"/>
      <c r="E31" s="1364"/>
      <c r="F31" s="1296"/>
      <c r="G31" s="1335"/>
      <c r="H31" s="1295"/>
      <c r="I31" s="1295"/>
      <c r="J31" s="1336"/>
      <c r="K31" s="1296"/>
      <c r="L31" s="250"/>
      <c r="M31" s="456" t="str">
        <f>ID!E16</f>
        <v>Bayi</v>
      </c>
      <c r="N31" s="106"/>
      <c r="O31" s="106"/>
      <c r="P31" s="106"/>
      <c r="Q31" s="106"/>
      <c r="R31" s="106"/>
      <c r="S31" s="106"/>
      <c r="T31" s="106"/>
      <c r="U31" s="106"/>
      <c r="V31" s="106"/>
      <c r="W31" s="337" t="s">
        <v>223</v>
      </c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06"/>
      <c r="AI31" s="106"/>
      <c r="AJ31" s="106"/>
    </row>
    <row r="32" spans="1:248" s="105" customFormat="1" x14ac:dyDescent="0.3">
      <c r="A32" s="1349"/>
      <c r="B32" s="1300">
        <v>1</v>
      </c>
      <c r="C32" s="108" t="s">
        <v>136</v>
      </c>
      <c r="D32" s="109"/>
      <c r="E32" s="110"/>
      <c r="F32" s="111">
        <f>ID!D51</f>
        <v>35</v>
      </c>
      <c r="G32" s="1333">
        <f>ID!E51</f>
        <v>80</v>
      </c>
      <c r="H32" s="844">
        <f>ID!L51</f>
        <v>76.992800000000003</v>
      </c>
      <c r="I32" s="112">
        <f>ID!O51</f>
        <v>-41.992800000000003</v>
      </c>
      <c r="J32" s="1337" t="s">
        <v>224</v>
      </c>
      <c r="K32" s="112">
        <f>ID!P51</f>
        <v>0.72657111540404895</v>
      </c>
      <c r="L32" s="845"/>
      <c r="M32" s="1147" t="str">
        <f>AB32</f>
        <v>0</v>
      </c>
      <c r="N32" s="106"/>
      <c r="O32" s="116"/>
      <c r="P32" s="113"/>
      <c r="Q32" s="106"/>
      <c r="R32" s="106"/>
      <c r="S32" s="106"/>
      <c r="T32" s="106"/>
      <c r="U32" s="106"/>
      <c r="V32" s="106"/>
      <c r="W32" s="338">
        <f>ABS(I32)+ABS(K32)</f>
        <v>42.719371115404051</v>
      </c>
      <c r="X32" s="252" t="str">
        <f t="shared" ref="X32:X41" si="0">IF(AND(W32&gt;=-5,W32&lt;=0),"√",IF(AND(W32&gt;=0,W32&lt;=5),"√","X"))</f>
        <v>X</v>
      </c>
      <c r="Y32" s="1300" t="str">
        <f>IF(X32="X","X",IF(X33="X","X"))</f>
        <v>X</v>
      </c>
      <c r="Z32" s="1380">
        <f>IF(Y32="X",0,AA45)</f>
        <v>0</v>
      </c>
      <c r="AA32" s="121">
        <f>IF(ID!E16="Dewasa",SUM(Z32:Z41),IF(ID!E16="Anak",SUM(Z32:Z39),IF(ID!E16="Bayi",SUM(Z32:Z39),"Penyelia Z32")))</f>
        <v>0</v>
      </c>
      <c r="AB32" s="146" t="str">
        <f>IF(AA32&gt;=70,"50","0")</f>
        <v>0</v>
      </c>
      <c r="AC32" s="375"/>
      <c r="AD32" s="106"/>
      <c r="AE32" s="106"/>
      <c r="AF32" s="106"/>
      <c r="AG32" s="106"/>
      <c r="AH32" s="106"/>
      <c r="AI32" s="106"/>
      <c r="AJ32" s="106"/>
    </row>
    <row r="33" spans="1:36" s="105" customFormat="1" x14ac:dyDescent="0.3">
      <c r="A33" s="1349"/>
      <c r="B33" s="1301"/>
      <c r="C33" s="108" t="s">
        <v>138</v>
      </c>
      <c r="D33" s="109"/>
      <c r="E33" s="110"/>
      <c r="F33" s="111">
        <f>ID!D52</f>
        <v>15</v>
      </c>
      <c r="G33" s="1333"/>
      <c r="H33" s="844">
        <f>ID!L52</f>
        <v>49.294000019880002</v>
      </c>
      <c r="I33" s="112">
        <f>ID!O52</f>
        <v>-34.294000019880002</v>
      </c>
      <c r="J33" s="1338"/>
      <c r="K33" s="112">
        <f>ID!P52</f>
        <v>0.58889639603889332</v>
      </c>
      <c r="L33" s="845"/>
      <c r="M33" s="1103"/>
      <c r="N33" s="106"/>
      <c r="O33" s="106"/>
      <c r="P33" s="114"/>
      <c r="Q33" s="106"/>
      <c r="R33" s="106"/>
      <c r="S33" s="253" t="s">
        <v>135</v>
      </c>
      <c r="T33" s="468"/>
      <c r="U33" s="106"/>
      <c r="V33" s="106"/>
      <c r="W33" s="338">
        <f t="shared" ref="W33:W41" si="1">ABS(I33)+ABS(K33)</f>
        <v>34.882896415918893</v>
      </c>
      <c r="X33" s="252" t="str">
        <f t="shared" si="0"/>
        <v>X</v>
      </c>
      <c r="Y33" s="1302"/>
      <c r="Z33" s="1381"/>
      <c r="AA33" s="106"/>
      <c r="AB33" s="106"/>
      <c r="AC33" s="106"/>
      <c r="AD33" s="106"/>
      <c r="AE33" s="106"/>
      <c r="AF33" s="106"/>
      <c r="AG33" s="106"/>
      <c r="AH33" s="106"/>
      <c r="AI33" s="106"/>
      <c r="AJ33" s="106"/>
    </row>
    <row r="34" spans="1:36" s="105" customFormat="1" ht="15.75" customHeight="1" x14ac:dyDescent="0.3">
      <c r="A34" s="1349"/>
      <c r="B34" s="1300">
        <v>2</v>
      </c>
      <c r="C34" s="108" t="s">
        <v>136</v>
      </c>
      <c r="D34" s="109"/>
      <c r="E34" s="110"/>
      <c r="F34" s="111">
        <f>ID!D53</f>
        <v>60</v>
      </c>
      <c r="G34" s="1333">
        <f>ID!E53</f>
        <v>80</v>
      </c>
      <c r="H34" s="844">
        <f>ID!L53</f>
        <v>98.904799999999994</v>
      </c>
      <c r="I34" s="112">
        <f>ID!O53</f>
        <v>-38.904799999999994</v>
      </c>
      <c r="J34" s="1338"/>
      <c r="K34" s="112">
        <f>ID!P53</f>
        <v>0.72657111540404895</v>
      </c>
      <c r="L34" s="845"/>
      <c r="M34" s="1103"/>
      <c r="N34" s="106"/>
      <c r="O34" s="106"/>
      <c r="P34" s="114"/>
      <c r="Q34" s="106"/>
      <c r="R34" s="106"/>
      <c r="S34" s="375"/>
      <c r="T34" s="469"/>
      <c r="U34" s="106"/>
      <c r="V34" s="106"/>
      <c r="W34" s="338">
        <f t="shared" si="1"/>
        <v>39.631371115404043</v>
      </c>
      <c r="X34" s="252" t="str">
        <f t="shared" si="0"/>
        <v>X</v>
      </c>
      <c r="Y34" s="1300" t="str">
        <f>IF(X34="X","X",IF(X35="X","X"))</f>
        <v>X</v>
      </c>
      <c r="Z34" s="1380">
        <f>IF(Y34="X",0,AA46)</f>
        <v>0</v>
      </c>
      <c r="AA34" s="106"/>
    </row>
    <row r="35" spans="1:36" s="105" customFormat="1" ht="15.75" customHeight="1" x14ac:dyDescent="0.3">
      <c r="A35" s="1349"/>
      <c r="B35" s="1301"/>
      <c r="C35" s="108" t="s">
        <v>138</v>
      </c>
      <c r="D35" s="109"/>
      <c r="E35" s="110"/>
      <c r="F35" s="111">
        <f>ID!D54</f>
        <v>30</v>
      </c>
      <c r="G35" s="1333"/>
      <c r="H35" s="844">
        <f>ID!L54</f>
        <v>63.447200000000002</v>
      </c>
      <c r="I35" s="112">
        <f>ID!O54</f>
        <v>-33.447200000000002</v>
      </c>
      <c r="J35" s="1338"/>
      <c r="K35" s="112">
        <f>ID!P54</f>
        <v>0.72657111540404895</v>
      </c>
      <c r="L35" s="845"/>
      <c r="M35" s="1103"/>
      <c r="N35" s="106"/>
      <c r="O35" s="116"/>
      <c r="P35" s="114"/>
      <c r="Q35" s="106"/>
      <c r="R35" s="106"/>
      <c r="S35" s="375"/>
      <c r="T35" s="469"/>
      <c r="U35" s="106"/>
      <c r="V35" s="106"/>
      <c r="W35" s="338">
        <f t="shared" si="1"/>
        <v>34.173771115404051</v>
      </c>
      <c r="X35" s="252" t="str">
        <f t="shared" si="0"/>
        <v>X</v>
      </c>
      <c r="Y35" s="1302"/>
      <c r="Z35" s="1381"/>
      <c r="AA35" s="106"/>
    </row>
    <row r="36" spans="1:36" s="105" customFormat="1" ht="19.5" customHeight="1" x14ac:dyDescent="0.3">
      <c r="A36" s="1349"/>
      <c r="B36" s="1300">
        <v>3</v>
      </c>
      <c r="C36" s="108" t="s">
        <v>136</v>
      </c>
      <c r="D36" s="109"/>
      <c r="E36" s="110"/>
      <c r="F36" s="111">
        <f>ID!D55</f>
        <v>80</v>
      </c>
      <c r="G36" s="1333">
        <f>ID!E55</f>
        <v>80</v>
      </c>
      <c r="H36" s="844">
        <f>ID!L55</f>
        <v>117.86440035599999</v>
      </c>
      <c r="I36" s="112">
        <f>ID!O55</f>
        <v>-37.86440035599999</v>
      </c>
      <c r="J36" s="1338"/>
      <c r="K36" s="112">
        <f>ID!P55</f>
        <v>0.72657111540404895</v>
      </c>
      <c r="L36" s="845"/>
      <c r="M36" s="1103"/>
      <c r="N36" s="106"/>
      <c r="O36" s="116"/>
      <c r="P36" s="114"/>
      <c r="Q36" s="106"/>
      <c r="R36" s="106"/>
      <c r="S36" s="375"/>
      <c r="T36" s="469"/>
      <c r="U36" s="106"/>
      <c r="V36" s="106"/>
      <c r="W36" s="338">
        <f t="shared" si="1"/>
        <v>38.590971471404039</v>
      </c>
      <c r="X36" s="252" t="str">
        <f t="shared" si="0"/>
        <v>X</v>
      </c>
      <c r="Y36" s="1300" t="str">
        <f>IF(X36="X","X",IF(X37="X","X"))</f>
        <v>X</v>
      </c>
      <c r="Z36" s="1380">
        <f>IF(Y36="X",0,AA47)</f>
        <v>0</v>
      </c>
      <c r="AA36" s="106"/>
    </row>
    <row r="37" spans="1:36" s="105" customFormat="1" ht="18.75" customHeight="1" x14ac:dyDescent="0.3">
      <c r="A37" s="1349"/>
      <c r="B37" s="1301"/>
      <c r="C37" s="108" t="s">
        <v>138</v>
      </c>
      <c r="D37" s="109"/>
      <c r="E37" s="110"/>
      <c r="F37" s="111">
        <f>ID!D56</f>
        <v>50</v>
      </c>
      <c r="G37" s="1333"/>
      <c r="H37" s="844">
        <f>ID!L56</f>
        <v>78.188000000000002</v>
      </c>
      <c r="I37" s="112">
        <f>ID!O56</f>
        <v>-28.188000000000002</v>
      </c>
      <c r="J37" s="1338"/>
      <c r="K37" s="112">
        <f>ID!P56</f>
        <v>0.58889639603889332</v>
      </c>
      <c r="L37" s="845"/>
      <c r="M37" s="1103"/>
      <c r="N37" s="106"/>
      <c r="O37" s="106"/>
      <c r="P37" s="114"/>
      <c r="Q37" s="106"/>
      <c r="R37" s="106"/>
      <c r="S37" s="470" t="s">
        <v>736</v>
      </c>
      <c r="T37" s="471"/>
      <c r="U37" s="106"/>
      <c r="V37" s="106"/>
      <c r="W37" s="338">
        <f t="shared" si="1"/>
        <v>28.776896396038897</v>
      </c>
      <c r="X37" s="252" t="str">
        <f t="shared" si="0"/>
        <v>X</v>
      </c>
      <c r="Y37" s="1302"/>
      <c r="Z37" s="1381"/>
      <c r="AA37" s="106"/>
    </row>
    <row r="38" spans="1:36" s="105" customFormat="1" x14ac:dyDescent="0.3">
      <c r="A38" s="1349"/>
      <c r="B38" s="1300">
        <v>4</v>
      </c>
      <c r="C38" s="108" t="s">
        <v>136</v>
      </c>
      <c r="D38" s="109"/>
      <c r="E38" s="110"/>
      <c r="F38" s="111">
        <f>ID!D57</f>
        <v>100</v>
      </c>
      <c r="G38" s="1333">
        <f>ID!E57</f>
        <v>80</v>
      </c>
      <c r="H38" s="844">
        <f>ID!L57</f>
        <v>146.00800092</v>
      </c>
      <c r="I38" s="112">
        <f>ID!O57</f>
        <v>-46.008000920000001</v>
      </c>
      <c r="J38" s="1338"/>
      <c r="K38" s="112">
        <f>ID!P57</f>
        <v>0.58889639603889332</v>
      </c>
      <c r="L38" s="845"/>
      <c r="M38" s="1103"/>
      <c r="N38" s="106"/>
      <c r="O38" s="106"/>
      <c r="P38" s="114"/>
      <c r="Q38" s="106"/>
      <c r="R38" s="106"/>
      <c r="S38" s="106"/>
      <c r="T38" s="106"/>
      <c r="U38" s="106"/>
      <c r="V38" s="106"/>
      <c r="W38" s="338">
        <f t="shared" si="1"/>
        <v>46.596897316038891</v>
      </c>
      <c r="X38" s="252" t="str">
        <f t="shared" si="0"/>
        <v>X</v>
      </c>
      <c r="Y38" s="1300" t="str">
        <f>IF(X38="X","X",IF(X39="X","X"))</f>
        <v>X</v>
      </c>
      <c r="Z38" s="1380">
        <f>IF(Y38="X",0,AA48)</f>
        <v>0</v>
      </c>
      <c r="AA38" s="106"/>
    </row>
    <row r="39" spans="1:36" s="105" customFormat="1" x14ac:dyDescent="0.3">
      <c r="A39" s="1349"/>
      <c r="B39" s="1301"/>
      <c r="C39" s="108" t="s">
        <v>138</v>
      </c>
      <c r="D39" s="109"/>
      <c r="E39" s="110"/>
      <c r="F39" s="111">
        <f>ID!D58</f>
        <v>70</v>
      </c>
      <c r="G39" s="1333"/>
      <c r="H39" s="844">
        <f>ID!L58</f>
        <v>97.908799999999999</v>
      </c>
      <c r="I39" s="112">
        <f>ID!O58</f>
        <v>-27.908799999999999</v>
      </c>
      <c r="J39" s="1338"/>
      <c r="K39" s="112">
        <f>ID!P58</f>
        <v>0.72657111540404895</v>
      </c>
      <c r="L39" s="845"/>
      <c r="M39" s="1103"/>
      <c r="N39" s="106"/>
      <c r="O39" s="106"/>
      <c r="P39" s="114"/>
      <c r="Q39" s="106"/>
      <c r="R39" s="106"/>
      <c r="S39" s="106"/>
      <c r="T39" s="106"/>
      <c r="U39" s="106"/>
      <c r="V39" s="106"/>
      <c r="W39" s="338">
        <f>ABS(I39)+ABS(K39)</f>
        <v>28.635371115404048</v>
      </c>
      <c r="X39" s="252" t="str">
        <f t="shared" si="0"/>
        <v>X</v>
      </c>
      <c r="Y39" s="1302"/>
      <c r="Z39" s="1381"/>
      <c r="AA39" s="106"/>
    </row>
    <row r="40" spans="1:36" s="105" customFormat="1" x14ac:dyDescent="0.3">
      <c r="A40" s="1349"/>
      <c r="B40" s="1351" t="str">
        <f>IF(ID!E16="Bayi","",IF(ID!E16="Anak","",5))</f>
        <v/>
      </c>
      <c r="C40" s="878" t="str">
        <f>IF(ID!E16="Bayi","",IF(ID!E16="Anak","","Sistole"))</f>
        <v/>
      </c>
      <c r="D40" s="879"/>
      <c r="E40" s="880"/>
      <c r="F40" s="881" t="str">
        <f>IF(ID!E16="Bayi","",IF(ID!E16="Anak","",ID!D59))</f>
        <v/>
      </c>
      <c r="G40" s="1332" t="str">
        <f>IF(ID!E16="Bayi","",IF(ID!E16="Anak","",ID!E59))</f>
        <v/>
      </c>
      <c r="H40" s="882" t="str">
        <f>IF(AND(ID!$E$16="Bayi"),"",IF(AND(ID!$E$16="Anak"),"",ID!L59))</f>
        <v/>
      </c>
      <c r="I40" s="883" t="str">
        <f>IF(ID!E16="Bayi","",IF(ID!E16="Anak","",ID!O59))</f>
        <v/>
      </c>
      <c r="J40" s="1338"/>
      <c r="K40" s="883" t="str">
        <f>IF(ID!E16="Bayi","",IF(ID!E16="Anak","",ID!P59))</f>
        <v/>
      </c>
      <c r="L40" s="845"/>
      <c r="M40" s="1103"/>
      <c r="N40" s="254" t="s">
        <v>225</v>
      </c>
      <c r="O40" s="106"/>
      <c r="P40" s="114"/>
      <c r="Q40" s="106"/>
      <c r="R40" s="106"/>
      <c r="S40" s="106"/>
      <c r="T40" s="106"/>
      <c r="U40" s="106"/>
      <c r="V40" s="106"/>
      <c r="W40" s="338" t="e">
        <f t="shared" si="1"/>
        <v>#VALUE!</v>
      </c>
      <c r="X40" s="252" t="e">
        <f t="shared" si="0"/>
        <v>#VALUE!</v>
      </c>
      <c r="Y40" s="1300" t="e">
        <f>IF(X40="X","X",IF(X41="X","X"))</f>
        <v>#VALUE!</v>
      </c>
      <c r="Z40" s="1380" t="e">
        <f>IF(Y40="X",0,AA49)</f>
        <v>#VALUE!</v>
      </c>
      <c r="AA40" s="106"/>
    </row>
    <row r="41" spans="1:36" s="105" customFormat="1" x14ac:dyDescent="0.3">
      <c r="A41" s="1349"/>
      <c r="B41" s="1352"/>
      <c r="C41" s="878" t="str">
        <f>IF(ID!E16="Bayi","",IF(ID!E16="Anak","","Diastole"))</f>
        <v/>
      </c>
      <c r="D41" s="879"/>
      <c r="E41" s="880"/>
      <c r="F41" s="881" t="str">
        <f>IF(ID!E16="Bayi","",IF(ID!E16="Anak","",ID!D60))</f>
        <v/>
      </c>
      <c r="G41" s="1332"/>
      <c r="H41" s="882" t="str">
        <f>IF(AND(ID!$E$16="Bayi"),"",IF(AND(ID!$E$16="Anak"),"",ID!L60))</f>
        <v/>
      </c>
      <c r="I41" s="883" t="str">
        <f>IF(ID!E16="Bayi","",IF(ID!E16="Anak","",ID!O60))</f>
        <v/>
      </c>
      <c r="J41" s="1339"/>
      <c r="K41" s="883" t="str">
        <f>IF(ID!E16="Bayi","",IF(ID!E16="Anak","",ID!P60))</f>
        <v/>
      </c>
      <c r="L41" s="845"/>
      <c r="M41" s="1103"/>
      <c r="N41" s="254" t="s">
        <v>225</v>
      </c>
      <c r="O41" s="106"/>
      <c r="P41" s="114"/>
      <c r="Q41" s="106"/>
      <c r="R41" s="106"/>
      <c r="S41" s="106"/>
      <c r="T41" s="106"/>
      <c r="U41" s="106"/>
      <c r="V41" s="106"/>
      <c r="W41" s="338" t="e">
        <f t="shared" si="1"/>
        <v>#VALUE!</v>
      </c>
      <c r="X41" s="252" t="e">
        <f t="shared" si="0"/>
        <v>#VALUE!</v>
      </c>
      <c r="Y41" s="1302"/>
      <c r="Z41" s="1381"/>
      <c r="AA41" s="106"/>
    </row>
    <row r="42" spans="1:36" s="105" customFormat="1" ht="9.75" customHeight="1" x14ac:dyDescent="0.3">
      <c r="A42" s="255"/>
      <c r="B42" s="846"/>
      <c r="C42" s="134"/>
      <c r="D42" s="135"/>
      <c r="E42" s="135"/>
      <c r="F42" s="136"/>
      <c r="G42" s="250"/>
      <c r="H42" s="137"/>
      <c r="I42" s="138"/>
      <c r="J42" s="147"/>
      <c r="K42" s="138"/>
      <c r="L42" s="250"/>
      <c r="M42" s="250"/>
      <c r="N42" s="106"/>
      <c r="O42" s="106"/>
      <c r="P42" s="114"/>
      <c r="Q42" s="115"/>
      <c r="R42" s="106"/>
      <c r="S42" s="106"/>
      <c r="T42" s="106"/>
      <c r="U42" s="106"/>
      <c r="V42" s="106"/>
      <c r="W42" s="106"/>
      <c r="X42" s="106"/>
      <c r="Y42" s="106"/>
      <c r="Z42" s="106"/>
      <c r="AA42" s="106"/>
    </row>
    <row r="43" spans="1:36" s="105" customFormat="1" x14ac:dyDescent="0.3">
      <c r="A43" s="255"/>
      <c r="B43" s="198" t="s">
        <v>70</v>
      </c>
      <c r="C43" s="140"/>
      <c r="D43" s="141"/>
      <c r="E43" s="141"/>
      <c r="F43" s="142"/>
      <c r="G43" s="250"/>
      <c r="H43" s="143"/>
      <c r="I43" s="144"/>
      <c r="J43" s="139"/>
      <c r="K43" s="144"/>
      <c r="L43" s="250"/>
      <c r="M43" s="250"/>
      <c r="N43" s="106"/>
      <c r="O43" s="106"/>
      <c r="P43" s="114"/>
      <c r="Q43" s="115"/>
      <c r="R43" s="106"/>
      <c r="S43" s="106"/>
      <c r="T43" s="106"/>
      <c r="U43" s="106"/>
      <c r="V43" s="106"/>
      <c r="W43" s="106" t="s">
        <v>226</v>
      </c>
      <c r="X43" s="106" t="s">
        <v>226</v>
      </c>
      <c r="Y43" s="106"/>
      <c r="Z43" s="106"/>
      <c r="AA43" s="106"/>
    </row>
    <row r="44" spans="1:36" s="105" customFormat="1" ht="9.75" customHeight="1" x14ac:dyDescent="0.3">
      <c r="A44" s="255"/>
      <c r="B44" s="250"/>
      <c r="C44" s="140"/>
      <c r="D44" s="141"/>
      <c r="E44" s="141"/>
      <c r="F44" s="142"/>
      <c r="G44" s="250"/>
      <c r="H44" s="143"/>
      <c r="I44" s="144"/>
      <c r="J44" s="139"/>
      <c r="K44" s="144"/>
      <c r="L44" s="250"/>
      <c r="M44" s="250"/>
      <c r="N44" s="106"/>
      <c r="O44" s="106"/>
      <c r="P44" s="114"/>
      <c r="Q44" s="115"/>
      <c r="R44" s="106"/>
      <c r="S44" s="106"/>
      <c r="T44" s="106"/>
      <c r="U44" s="251">
        <v>1</v>
      </c>
      <c r="V44" s="106"/>
      <c r="W44" s="256" t="s">
        <v>77</v>
      </c>
      <c r="X44" s="256" t="s">
        <v>78</v>
      </c>
      <c r="Y44" s="256" t="s">
        <v>79</v>
      </c>
      <c r="Z44" s="256" t="s">
        <v>110</v>
      </c>
      <c r="AA44" s="106"/>
    </row>
    <row r="45" spans="1:36" s="105" customFormat="1" x14ac:dyDescent="0.3">
      <c r="A45" s="255"/>
      <c r="B45" s="1300" t="s">
        <v>39</v>
      </c>
      <c r="C45" s="1303" t="s">
        <v>23</v>
      </c>
      <c r="D45" s="1304"/>
      <c r="E45" s="468"/>
      <c r="F45" s="1309" t="s">
        <v>72</v>
      </c>
      <c r="G45" s="1309" t="s">
        <v>140</v>
      </c>
      <c r="H45" s="1309" t="s">
        <v>141</v>
      </c>
      <c r="I45" s="1309" t="s">
        <v>227</v>
      </c>
      <c r="J45" s="1340" t="s">
        <v>228</v>
      </c>
      <c r="K45" s="1334" t="s">
        <v>229</v>
      </c>
      <c r="L45" s="1294" t="s">
        <v>230</v>
      </c>
      <c r="M45" s="250"/>
      <c r="N45" s="106"/>
      <c r="O45" s="106"/>
      <c r="P45" s="114"/>
      <c r="Q45" s="115"/>
      <c r="R45" s="106"/>
      <c r="S45" s="106"/>
      <c r="T45" s="106"/>
      <c r="U45" s="106"/>
      <c r="V45" s="121" t="str">
        <f>ID!E16</f>
        <v>Bayi</v>
      </c>
      <c r="W45" s="257">
        <v>25</v>
      </c>
      <c r="X45" s="257">
        <v>25</v>
      </c>
      <c r="Y45" s="258">
        <v>20</v>
      </c>
      <c r="Z45" s="258">
        <v>3</v>
      </c>
      <c r="AA45" s="259">
        <f>IF($V$45=$W$44,W45,IF($V$45=$X$44,X45,IF($V$45=$Y$44,Y45,IF($V$45=$Z$44,Z45))))</f>
        <v>25</v>
      </c>
    </row>
    <row r="46" spans="1:36" s="105" customFormat="1" x14ac:dyDescent="0.3">
      <c r="A46" s="255"/>
      <c r="B46" s="1301"/>
      <c r="C46" s="1305"/>
      <c r="D46" s="1306"/>
      <c r="E46" s="469"/>
      <c r="F46" s="1309"/>
      <c r="G46" s="1309"/>
      <c r="H46" s="1309"/>
      <c r="I46" s="1309"/>
      <c r="J46" s="1340"/>
      <c r="K46" s="1335"/>
      <c r="L46" s="1295"/>
      <c r="M46" s="250"/>
      <c r="N46" s="106"/>
      <c r="O46" s="106"/>
      <c r="P46" s="114"/>
      <c r="Q46" s="115"/>
      <c r="R46" s="106"/>
      <c r="S46" s="106"/>
      <c r="T46" s="106"/>
      <c r="U46" s="106"/>
      <c r="V46" s="106"/>
      <c r="W46" s="257">
        <v>25</v>
      </c>
      <c r="X46" s="257">
        <v>25</v>
      </c>
      <c r="Y46" s="258">
        <v>20</v>
      </c>
      <c r="Z46" s="258">
        <v>4</v>
      </c>
      <c r="AA46" s="259">
        <f t="shared" ref="AA46:AA49" si="2">IF($V$45=$W$44,W46,IF($V$45=$X$44,X46,IF($V$45=$Y$44,Y46,IF($V$45=$Z$44,Z46))))</f>
        <v>25</v>
      </c>
    </row>
    <row r="47" spans="1:36" s="105" customFormat="1" x14ac:dyDescent="0.3">
      <c r="A47" s="255"/>
      <c r="B47" s="1302"/>
      <c r="C47" s="1307"/>
      <c r="D47" s="1308"/>
      <c r="E47" s="469"/>
      <c r="F47" s="1309"/>
      <c r="G47" s="1309"/>
      <c r="H47" s="1309"/>
      <c r="I47" s="1309"/>
      <c r="J47" s="1340"/>
      <c r="K47" s="1336"/>
      <c r="L47" s="1296"/>
      <c r="M47" s="250"/>
      <c r="N47" s="106"/>
      <c r="O47" s="106"/>
      <c r="P47" s="114"/>
      <c r="Q47" s="115"/>
      <c r="R47" s="106"/>
      <c r="S47" s="106"/>
      <c r="T47" s="106"/>
      <c r="U47" s="106"/>
      <c r="V47" s="106"/>
      <c r="W47" s="257">
        <v>25</v>
      </c>
      <c r="X47" s="257">
        <v>25</v>
      </c>
      <c r="Y47" s="258">
        <v>20</v>
      </c>
      <c r="Z47" s="258">
        <v>31</v>
      </c>
      <c r="AA47" s="259">
        <f t="shared" si="2"/>
        <v>25</v>
      </c>
    </row>
    <row r="48" spans="1:36" s="105" customFormat="1" x14ac:dyDescent="0.3">
      <c r="A48" s="255"/>
      <c r="B48" s="1300">
        <v>1</v>
      </c>
      <c r="C48" s="1313" t="s">
        <v>80</v>
      </c>
      <c r="D48" s="260"/>
      <c r="E48" s="1316"/>
      <c r="F48" s="261">
        <f>ID!D67</f>
        <v>60</v>
      </c>
      <c r="G48" s="1319">
        <f>ID!E67</f>
        <v>120</v>
      </c>
      <c r="H48" s="1319">
        <f>ID!F67</f>
        <v>80</v>
      </c>
      <c r="I48" s="844">
        <f>ID!J67</f>
        <v>60</v>
      </c>
      <c r="J48" s="145">
        <f>ID!K67</f>
        <v>0</v>
      </c>
      <c r="K48" s="1297" t="s">
        <v>231</v>
      </c>
      <c r="L48" s="466">
        <f>ID!P67</f>
        <v>0.96636845337887511</v>
      </c>
      <c r="M48" s="250"/>
      <c r="N48" s="106"/>
      <c r="O48" s="106"/>
      <c r="P48" s="114"/>
      <c r="Q48" s="115"/>
      <c r="R48" s="106"/>
      <c r="S48" s="106"/>
      <c r="T48" s="106"/>
      <c r="U48" s="106"/>
      <c r="V48" s="106"/>
      <c r="W48" s="257">
        <v>25</v>
      </c>
      <c r="X48" s="257">
        <v>25</v>
      </c>
      <c r="Y48" s="258">
        <v>20</v>
      </c>
      <c r="Z48" s="258">
        <v>31</v>
      </c>
      <c r="AA48" s="259">
        <f t="shared" si="2"/>
        <v>25</v>
      </c>
    </row>
    <row r="49" spans="1:27" s="105" customFormat="1" x14ac:dyDescent="0.3">
      <c r="A49" s="255"/>
      <c r="B49" s="1301"/>
      <c r="C49" s="1314"/>
      <c r="D49" s="260"/>
      <c r="E49" s="1317"/>
      <c r="F49" s="261">
        <f>ID!D68</f>
        <v>120</v>
      </c>
      <c r="G49" s="1320"/>
      <c r="H49" s="1320"/>
      <c r="I49" s="844">
        <f>ID!J68</f>
        <v>120</v>
      </c>
      <c r="J49" s="145">
        <f>ID!K68</f>
        <v>0</v>
      </c>
      <c r="K49" s="1298"/>
      <c r="L49" s="466">
        <f>ID!P68</f>
        <v>0.48318422668943756</v>
      </c>
      <c r="M49" s="250"/>
      <c r="N49" s="106"/>
      <c r="O49" s="106"/>
      <c r="P49" s="114"/>
      <c r="Q49" s="115"/>
      <c r="R49" s="106"/>
      <c r="S49" s="106"/>
      <c r="T49" s="106"/>
      <c r="U49" s="106"/>
      <c r="V49" s="106"/>
      <c r="W49" s="106"/>
      <c r="X49" s="257"/>
      <c r="Y49" s="258">
        <v>20</v>
      </c>
      <c r="Z49" s="258">
        <v>31</v>
      </c>
      <c r="AA49" s="259">
        <f t="shared" si="2"/>
        <v>0</v>
      </c>
    </row>
    <row r="50" spans="1:27" s="105" customFormat="1" x14ac:dyDescent="0.3">
      <c r="A50" s="255"/>
      <c r="B50" s="1302"/>
      <c r="C50" s="1315"/>
      <c r="D50" s="260"/>
      <c r="E50" s="1318"/>
      <c r="F50" s="261">
        <f>ID!D69</f>
        <v>180</v>
      </c>
      <c r="G50" s="1321"/>
      <c r="H50" s="1321"/>
      <c r="I50" s="844">
        <f>ID!J69</f>
        <v>179</v>
      </c>
      <c r="J50" s="145">
        <f>ID!K69</f>
        <v>0.55555555555555558</v>
      </c>
      <c r="K50" s="1299"/>
      <c r="L50" s="466">
        <f>ID!P69</f>
        <v>0.32392238660744421</v>
      </c>
      <c r="M50" s="250"/>
      <c r="N50" s="106"/>
      <c r="O50" s="106"/>
      <c r="P50" s="114"/>
      <c r="Q50" s="115"/>
      <c r="R50" s="106"/>
      <c r="S50" s="106"/>
      <c r="T50" s="106"/>
      <c r="U50" s="106"/>
      <c r="V50" s="106"/>
      <c r="W50" s="106"/>
      <c r="X50" s="257"/>
      <c r="Y50" s="258"/>
      <c r="Z50" s="258"/>
    </row>
    <row r="51" spans="1:27" ht="9" customHeight="1" x14ac:dyDescent="0.25">
      <c r="A51" s="344"/>
      <c r="B51" s="472"/>
      <c r="C51" s="472"/>
      <c r="D51" s="472"/>
      <c r="E51" s="472"/>
      <c r="F51" s="472"/>
      <c r="G51" s="344"/>
      <c r="H51" s="473"/>
      <c r="I51" s="474"/>
      <c r="J51" s="475"/>
      <c r="K51" s="475"/>
      <c r="L51" s="262"/>
      <c r="M51" s="243"/>
      <c r="N51" s="243"/>
      <c r="O51" s="243"/>
      <c r="P51" s="243"/>
      <c r="Q51" s="243"/>
      <c r="R51" s="243"/>
      <c r="S51" s="243"/>
      <c r="T51" s="243"/>
      <c r="U51" s="243"/>
      <c r="V51" s="243"/>
      <c r="W51" s="243"/>
      <c r="X51" s="243"/>
      <c r="Y51" s="243"/>
      <c r="Z51" s="243"/>
    </row>
    <row r="52" spans="1:27" x14ac:dyDescent="0.25">
      <c r="A52" s="849" t="s">
        <v>232</v>
      </c>
      <c r="B52" s="849" t="s">
        <v>233</v>
      </c>
      <c r="C52" s="238"/>
      <c r="D52" s="871"/>
      <c r="E52" s="871"/>
      <c r="F52" s="871"/>
      <c r="G52" s="871"/>
      <c r="H52" s="473"/>
      <c r="I52" s="473"/>
      <c r="J52" s="243"/>
      <c r="K52" s="243"/>
      <c r="M52" s="243"/>
      <c r="N52" s="243"/>
      <c r="O52" s="243"/>
      <c r="P52" s="243"/>
      <c r="Q52" s="243"/>
      <c r="R52" s="243"/>
      <c r="S52" s="243"/>
      <c r="T52" s="243"/>
      <c r="U52" s="243"/>
      <c r="V52" s="243"/>
      <c r="W52" s="243"/>
      <c r="X52" s="243"/>
      <c r="Y52" s="243"/>
      <c r="Z52" s="243"/>
    </row>
    <row r="53" spans="1:27" x14ac:dyDescent="0.25">
      <c r="A53" s="684"/>
      <c r="B53" s="446" t="s">
        <v>234</v>
      </c>
      <c r="C53" s="847"/>
      <c r="D53" s="871"/>
      <c r="E53" s="871"/>
      <c r="F53" s="871"/>
      <c r="G53" s="871"/>
      <c r="H53" s="473"/>
      <c r="I53" s="473"/>
      <c r="J53" s="243"/>
      <c r="K53" s="243"/>
      <c r="M53" s="243"/>
      <c r="N53" s="243"/>
      <c r="O53" s="243"/>
      <c r="P53" s="243"/>
      <c r="Q53" s="243"/>
      <c r="R53" s="243"/>
      <c r="S53" s="243"/>
      <c r="T53" s="243"/>
      <c r="U53" s="243"/>
      <c r="V53" s="243"/>
      <c r="W53" s="243"/>
      <c r="X53" s="243"/>
      <c r="Y53" s="243"/>
      <c r="Z53" s="243"/>
    </row>
    <row r="54" spans="1:27" x14ac:dyDescent="0.25">
      <c r="A54" s="684"/>
      <c r="B54" s="248" t="s">
        <v>235</v>
      </c>
      <c r="C54" s="871"/>
      <c r="D54" s="871"/>
      <c r="E54" s="871"/>
      <c r="F54" s="871"/>
      <c r="G54" s="871"/>
      <c r="H54" s="473"/>
      <c r="I54" s="473"/>
      <c r="J54" s="243"/>
      <c r="K54" s="243"/>
      <c r="M54" s="243"/>
      <c r="N54" s="243"/>
      <c r="O54" s="243"/>
      <c r="P54" s="243"/>
      <c r="Q54" s="243"/>
      <c r="R54" s="243"/>
      <c r="S54" s="243"/>
      <c r="T54" s="243"/>
      <c r="U54" s="243"/>
      <c r="V54" s="243"/>
      <c r="W54" s="243"/>
      <c r="X54" s="243"/>
      <c r="Y54" s="243"/>
      <c r="Z54" s="243"/>
    </row>
    <row r="55" spans="1:27" s="105" customFormat="1" x14ac:dyDescent="0.25">
      <c r="A55" s="196"/>
      <c r="B55" s="465" t="str">
        <f>NIBP!AR10</f>
        <v>Hasil pengujian kinerja blood pressure monitor tertelusur ke satuan SI melalui PT. KALIMAN</v>
      </c>
      <c r="C55" s="250"/>
      <c r="D55" s="250"/>
      <c r="E55" s="250"/>
      <c r="F55" s="250"/>
      <c r="G55" s="250"/>
      <c r="H55" s="872"/>
      <c r="I55" s="872"/>
      <c r="J55" s="106"/>
      <c r="K55" s="106"/>
      <c r="L55" s="873"/>
      <c r="M55" s="106"/>
      <c r="N55" s="106"/>
      <c r="O55" s="106"/>
      <c r="P55" s="106"/>
      <c r="Q55" s="106"/>
      <c r="R55" s="106"/>
      <c r="S55" s="106"/>
      <c r="T55" s="106"/>
      <c r="U55" s="106"/>
      <c r="V55" s="106"/>
      <c r="W55" s="106"/>
      <c r="X55" s="106"/>
      <c r="Y55" s="106"/>
      <c r="Z55" s="106"/>
    </row>
    <row r="56" spans="1:27" s="105" customFormat="1" x14ac:dyDescent="0.25">
      <c r="A56" s="196"/>
      <c r="B56" s="235" t="str">
        <f>IF(B57="Catu daya menggunakan baterai","",VOLT!Q8)</f>
        <v/>
      </c>
      <c r="C56" s="250"/>
      <c r="D56" s="250"/>
      <c r="E56" s="250"/>
      <c r="F56" s="250"/>
      <c r="G56" s="250"/>
      <c r="H56" s="872"/>
      <c r="I56" s="872"/>
      <c r="J56" s="106"/>
      <c r="K56" s="106"/>
      <c r="L56" s="873"/>
      <c r="M56" s="106"/>
      <c r="N56" s="106"/>
      <c r="O56" s="121" t="s">
        <v>135</v>
      </c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</row>
    <row r="57" spans="1:27" s="105" customFormat="1" x14ac:dyDescent="0.3">
      <c r="A57" s="196"/>
      <c r="B57" s="495" t="str">
        <f>IF(O59="Catu daya menggunakan baterai","Catu daya menggunakan baterai",O58)</f>
        <v>Catu daya menggunakan baterai</v>
      </c>
      <c r="C57" s="465"/>
      <c r="D57" s="250"/>
      <c r="E57" s="250"/>
      <c r="F57" s="250"/>
      <c r="G57" s="250"/>
      <c r="H57" s="872"/>
      <c r="I57" s="872"/>
      <c r="J57" s="106"/>
      <c r="K57" s="106"/>
      <c r="L57" s="873"/>
      <c r="M57" s="106"/>
      <c r="N57" s="106"/>
      <c r="O57" s="1293" t="str">
        <f>ID!B78</f>
        <v>Tidak terdapat grounding di ruangan</v>
      </c>
      <c r="P57" s="1293"/>
      <c r="Q57" s="1293"/>
      <c r="R57" s="1293"/>
      <c r="S57" s="1293"/>
      <c r="T57" s="1293"/>
      <c r="U57" s="1293"/>
      <c r="V57" s="106"/>
      <c r="W57" s="106"/>
      <c r="X57" s="106"/>
      <c r="Y57" s="106"/>
      <c r="Z57" s="106"/>
    </row>
    <row r="58" spans="1:27" s="105" customFormat="1" ht="17.25" customHeight="1" x14ac:dyDescent="0.3">
      <c r="A58" s="196"/>
      <c r="B58" s="235" t="str">
        <f>IF(ID!B80="","",ID!B80)</f>
        <v/>
      </c>
      <c r="C58" s="465"/>
      <c r="D58" s="250"/>
      <c r="E58" s="250"/>
      <c r="F58" s="250"/>
      <c r="G58" s="250"/>
      <c r="H58" s="872"/>
      <c r="I58" s="872"/>
      <c r="J58" s="106"/>
      <c r="K58" s="106"/>
      <c r="L58" s="873"/>
      <c r="M58" s="106"/>
      <c r="N58" s="106"/>
      <c r="O58" s="1292" t="str">
        <f>IF(ID!B78="","",ID!B78)</f>
        <v>Tidak terdapat grounding di ruangan</v>
      </c>
      <c r="P58" s="1292"/>
      <c r="Q58" s="1292"/>
      <c r="R58" s="1292"/>
      <c r="S58" s="1292"/>
      <c r="T58" s="1292"/>
      <c r="U58" s="1292"/>
      <c r="V58" s="106"/>
      <c r="W58" s="106"/>
      <c r="X58" s="106"/>
      <c r="Y58" s="106"/>
      <c r="Z58" s="106"/>
    </row>
    <row r="59" spans="1:27" s="105" customFormat="1" ht="17.25" customHeight="1" x14ac:dyDescent="0.25">
      <c r="A59" s="196"/>
      <c r="B59" s="235"/>
      <c r="C59" s="250"/>
      <c r="D59" s="250"/>
      <c r="E59" s="250"/>
      <c r="F59" s="250"/>
      <c r="G59" s="250"/>
      <c r="H59" s="872"/>
      <c r="I59" s="872"/>
      <c r="J59" s="106"/>
      <c r="K59" s="106"/>
      <c r="L59" s="873"/>
      <c r="M59" s="106"/>
      <c r="N59" s="106"/>
      <c r="O59" s="1291" t="str">
        <f>ID!B79</f>
        <v>Catu daya menggunakan baterai</v>
      </c>
      <c r="P59" s="1291"/>
      <c r="Q59" s="1291"/>
      <c r="R59" s="1291"/>
      <c r="S59" s="1291"/>
      <c r="T59" s="1291"/>
      <c r="U59" s="1291"/>
      <c r="V59" s="106"/>
      <c r="W59" s="106"/>
      <c r="X59" s="106"/>
      <c r="Y59" s="106"/>
      <c r="Z59" s="106"/>
    </row>
    <row r="60" spans="1:27" x14ac:dyDescent="0.3">
      <c r="A60" s="874" t="s">
        <v>236</v>
      </c>
      <c r="B60" s="1353" t="s">
        <v>237</v>
      </c>
      <c r="C60" s="1353"/>
      <c r="D60" s="1353"/>
      <c r="E60" s="1353"/>
      <c r="F60" s="1353"/>
      <c r="G60" s="1353"/>
      <c r="H60" s="344"/>
      <c r="I60" s="344"/>
      <c r="J60" s="243"/>
      <c r="K60" s="243"/>
      <c r="M60" s="243"/>
      <c r="N60" s="243"/>
      <c r="O60" s="243"/>
      <c r="P60" s="243"/>
      <c r="Q60" s="243"/>
      <c r="R60" s="243"/>
      <c r="S60" s="243"/>
      <c r="T60" s="243"/>
      <c r="U60" s="243"/>
      <c r="V60" s="243"/>
      <c r="W60" s="243"/>
      <c r="X60" s="243"/>
      <c r="Y60" s="243"/>
      <c r="Z60" s="243"/>
    </row>
    <row r="61" spans="1:27" ht="15.75" customHeight="1" x14ac:dyDescent="0.25">
      <c r="A61" s="684"/>
      <c r="B61" s="344" t="str">
        <f>ID!B82</f>
        <v>Vital Sign Simulator, Merek : RIGEL, Model : UNI-SiM, SN : 05J-0804</v>
      </c>
      <c r="C61" s="344"/>
      <c r="D61" s="344"/>
      <c r="E61" s="344"/>
      <c r="F61" s="871"/>
      <c r="G61" s="871"/>
      <c r="H61" s="473"/>
      <c r="I61" s="473"/>
      <c r="J61" s="243"/>
      <c r="K61" s="243"/>
      <c r="M61" s="243"/>
      <c r="N61" s="243"/>
      <c r="O61" s="243"/>
      <c r="P61" s="243"/>
      <c r="Q61" s="476"/>
      <c r="R61" s="476"/>
      <c r="S61" s="476"/>
      <c r="T61" s="476"/>
      <c r="U61" s="476"/>
      <c r="V61" s="476"/>
      <c r="W61" s="476"/>
      <c r="X61" s="476"/>
      <c r="Y61" s="476"/>
      <c r="Z61" s="476"/>
    </row>
    <row r="62" spans="1:27" ht="14.25" customHeight="1" x14ac:dyDescent="0.25">
      <c r="A62" s="684"/>
      <c r="B62" s="875" t="str">
        <f>ID!B84</f>
        <v>Electrical Safety Analyzer, Merek : Fluke, Model : ESA 620, SN : 1837056</v>
      </c>
      <c r="C62" s="344"/>
      <c r="D62" s="344"/>
      <c r="E62" s="344"/>
      <c r="F62" s="344"/>
      <c r="G62" s="344"/>
      <c r="H62" s="344"/>
      <c r="I62" s="344"/>
      <c r="J62" s="243"/>
      <c r="K62" s="243"/>
      <c r="M62" s="243"/>
      <c r="N62" s="243"/>
      <c r="O62" s="243"/>
      <c r="P62" s="243"/>
      <c r="Q62" s="476"/>
      <c r="R62" s="476"/>
      <c r="S62" s="476"/>
      <c r="T62" s="476"/>
      <c r="U62" s="476"/>
      <c r="V62" s="476"/>
      <c r="W62" s="476"/>
      <c r="X62" s="476"/>
      <c r="Y62" s="476"/>
      <c r="Z62" s="476"/>
    </row>
    <row r="63" spans="1:27" x14ac:dyDescent="0.25">
      <c r="A63" s="849" t="s">
        <v>238</v>
      </c>
      <c r="B63" s="876" t="s">
        <v>239</v>
      </c>
      <c r="C63" s="876"/>
      <c r="D63" s="344"/>
      <c r="E63" s="344"/>
      <c r="F63" s="344"/>
      <c r="G63" s="344"/>
      <c r="H63" s="344"/>
      <c r="I63" s="344"/>
      <c r="J63" s="243"/>
      <c r="K63" s="243"/>
      <c r="M63" s="243"/>
      <c r="N63" s="243"/>
      <c r="O63" s="243"/>
      <c r="P63" s="243"/>
      <c r="Q63" s="243"/>
      <c r="R63" s="243"/>
      <c r="S63" s="243"/>
      <c r="T63" s="243"/>
      <c r="U63" s="243"/>
      <c r="V63" s="243"/>
      <c r="W63" s="243"/>
      <c r="X63" s="243"/>
      <c r="Y63" s="243"/>
      <c r="Z63" s="243"/>
    </row>
    <row r="64" spans="1:27" ht="35.25" customHeight="1" x14ac:dyDescent="0.25">
      <c r="A64" s="684"/>
      <c r="B64" s="1355" t="str">
        <f>LOOKUP(ID!A2,KESIMPULAN!F8:F9,KESIMPULAN!G8:G9)</f>
        <v>Alat yang dikalibrasi melebihi batas toleransi dan dinyatakan TIDAK LAIK PAKAI, dimana hasil atau skor akhir dibawah 70% berdasarkan Keputusan Direktur Jenderal Pelayanan Kesehatan No : HK.02.02/V/0412/2020</v>
      </c>
      <c r="C64" s="1355"/>
      <c r="D64" s="1355"/>
      <c r="E64" s="1355"/>
      <c r="F64" s="1355"/>
      <c r="G64" s="1355"/>
      <c r="H64" s="1355"/>
      <c r="I64" s="1355"/>
      <c r="J64" s="1355"/>
      <c r="K64" s="1355"/>
      <c r="L64" s="1355"/>
      <c r="M64" s="243"/>
      <c r="N64" s="243"/>
      <c r="O64" s="243"/>
      <c r="P64" s="476"/>
      <c r="Q64" s="243"/>
      <c r="R64" s="243"/>
      <c r="S64" s="243"/>
      <c r="T64" s="243"/>
      <c r="U64" s="243"/>
      <c r="V64" s="243"/>
      <c r="W64" s="243"/>
      <c r="X64" s="243"/>
      <c r="Y64" s="243"/>
      <c r="Z64" s="243"/>
    </row>
    <row r="65" spans="1:26" ht="11.25" customHeight="1" x14ac:dyDescent="0.25">
      <c r="A65" s="1354"/>
      <c r="B65" s="1354"/>
      <c r="C65" s="1354"/>
      <c r="D65" s="1354"/>
      <c r="E65" s="1354"/>
      <c r="F65" s="1354"/>
      <c r="G65" s="1354"/>
      <c r="H65" s="344"/>
      <c r="I65" s="344"/>
      <c r="J65" s="243"/>
      <c r="K65" s="243"/>
      <c r="M65" s="243"/>
      <c r="N65" s="243"/>
      <c r="O65" s="243"/>
      <c r="P65" s="243"/>
      <c r="Q65" s="243"/>
      <c r="R65" s="243"/>
      <c r="S65" s="243"/>
      <c r="T65" s="243"/>
      <c r="U65" s="243"/>
      <c r="V65" s="243"/>
      <c r="W65" s="243"/>
      <c r="X65" s="243"/>
      <c r="Y65" s="243"/>
      <c r="Z65" s="243"/>
    </row>
    <row r="66" spans="1:26" x14ac:dyDescent="0.3">
      <c r="A66" s="874" t="s">
        <v>240</v>
      </c>
      <c r="B66" s="1353" t="str">
        <f>ID!B15</f>
        <v>Petugas kalibrasi</v>
      </c>
      <c r="C66" s="1353"/>
      <c r="D66" s="1353"/>
      <c r="E66" s="1353"/>
      <c r="F66" s="1353"/>
      <c r="G66" s="1353"/>
      <c r="H66" s="344"/>
      <c r="I66" s="344"/>
      <c r="J66" s="243"/>
      <c r="K66" s="243"/>
      <c r="L66" s="877"/>
      <c r="M66" s="243"/>
      <c r="N66" s="243"/>
      <c r="O66" s="243"/>
      <c r="P66" s="243"/>
      <c r="Q66" s="243"/>
      <c r="R66" s="243"/>
      <c r="S66" s="243"/>
      <c r="T66" s="243"/>
      <c r="U66" s="243"/>
      <c r="V66" s="243"/>
      <c r="W66" s="243"/>
      <c r="X66" s="243"/>
      <c r="Y66" s="243"/>
      <c r="Z66" s="243"/>
    </row>
    <row r="67" spans="1:26" x14ac:dyDescent="0.25">
      <c r="A67" s="684"/>
      <c r="B67" s="1350" t="str">
        <f>ID!E15</f>
        <v>Muhammad Alpian Hadi</v>
      </c>
      <c r="C67" s="1350"/>
      <c r="D67" s="1350"/>
      <c r="E67" s="1350"/>
      <c r="F67" s="1350"/>
      <c r="G67" s="1350"/>
      <c r="H67" s="344"/>
      <c r="I67" s="344"/>
      <c r="J67" s="243"/>
      <c r="K67" s="243"/>
      <c r="L67" s="877"/>
      <c r="M67" s="243"/>
    </row>
    <row r="68" spans="1:26" x14ac:dyDescent="0.25">
      <c r="A68" s="344"/>
      <c r="B68" s="344"/>
      <c r="C68" s="1356" t="s">
        <v>241</v>
      </c>
      <c r="D68" s="1357"/>
      <c r="E68" s="1357"/>
      <c r="F68" s="1357"/>
      <c r="G68" s="1358"/>
      <c r="H68" s="848" t="s">
        <v>90</v>
      </c>
      <c r="I68" s="477" t="s">
        <v>242</v>
      </c>
      <c r="J68" s="263" t="s">
        <v>243</v>
      </c>
      <c r="K68" s="1347" t="s">
        <v>244</v>
      </c>
      <c r="L68" s="1348"/>
      <c r="M68" s="264"/>
    </row>
    <row r="69" spans="1:26" ht="15.75" customHeight="1" x14ac:dyDescent="0.25">
      <c r="A69" s="684"/>
      <c r="B69" s="344"/>
      <c r="C69" s="265" t="s">
        <v>245</v>
      </c>
      <c r="D69" s="478"/>
      <c r="E69" s="479" t="s">
        <v>7</v>
      </c>
      <c r="F69" s="653" t="str">
        <f>ID!E15</f>
        <v>Muhammad Alpian Hadi</v>
      </c>
      <c r="G69" s="480"/>
      <c r="H69" s="450">
        <f ca="1">TODAY()</f>
        <v>45307</v>
      </c>
      <c r="I69" s="481"/>
      <c r="J69" s="1345" t="str">
        <f>IF($K$69&gt;=70,"HIJAU","MERAH")</f>
        <v>MERAH</v>
      </c>
      <c r="K69" s="1341">
        <f>M18+M23+M32</f>
        <v>50</v>
      </c>
      <c r="L69" s="1343" t="str">
        <f>IF($K$69&gt;=70,"P","O")</f>
        <v>O</v>
      </c>
      <c r="M69" s="266"/>
    </row>
    <row r="70" spans="1:26" ht="15.75" customHeight="1" x14ac:dyDescent="0.25">
      <c r="A70" s="467"/>
      <c r="B70" s="243"/>
      <c r="C70" s="482" t="s">
        <v>246</v>
      </c>
      <c r="D70" s="483"/>
      <c r="E70" s="480" t="s">
        <v>7</v>
      </c>
      <c r="F70" s="480"/>
      <c r="G70" s="480"/>
      <c r="H70" s="484"/>
      <c r="I70" s="484"/>
      <c r="J70" s="1346"/>
      <c r="K70" s="1342"/>
      <c r="L70" s="1344"/>
      <c r="M70" s="266"/>
    </row>
    <row r="72" spans="1:26" x14ac:dyDescent="0.25">
      <c r="A72" s="243"/>
      <c r="B72" s="243"/>
      <c r="C72" s="243"/>
      <c r="D72" s="243"/>
      <c r="E72" s="243"/>
      <c r="F72" s="243"/>
      <c r="G72" s="243"/>
      <c r="H72" s="243"/>
      <c r="I72" s="243"/>
      <c r="J72" s="243"/>
      <c r="K72" s="243"/>
      <c r="M72" s="243"/>
    </row>
    <row r="73" spans="1:26" x14ac:dyDescent="0.25">
      <c r="A73" s="243"/>
      <c r="B73" s="243"/>
      <c r="C73" s="243"/>
      <c r="D73" s="243"/>
      <c r="E73" s="243"/>
      <c r="F73" s="243"/>
      <c r="G73" s="243"/>
      <c r="H73" s="267"/>
      <c r="I73" s="243"/>
      <c r="J73" s="243"/>
      <c r="K73" s="243"/>
      <c r="M73" s="243"/>
    </row>
    <row r="74" spans="1:26" x14ac:dyDescent="0.25">
      <c r="A74" s="243"/>
      <c r="B74" s="243"/>
      <c r="C74" s="243"/>
      <c r="D74" s="243"/>
      <c r="E74" s="243"/>
      <c r="F74" s="243"/>
      <c r="G74" s="243"/>
      <c r="H74" s="243"/>
      <c r="I74" s="243"/>
      <c r="J74" s="243"/>
      <c r="K74" s="243"/>
      <c r="M74" s="243"/>
    </row>
    <row r="204" spans="1:6" x14ac:dyDescent="0.25">
      <c r="A204" s="243"/>
      <c r="B204" s="243"/>
      <c r="C204" s="243"/>
      <c r="D204" s="243"/>
      <c r="E204" s="243"/>
      <c r="F204" s="485"/>
    </row>
  </sheetData>
  <sheetProtection formatCells="0" formatColumns="0" formatRows="0" insertColumns="0" insertRows="0" deleteColumns="0" deleteRows="0"/>
  <dataConsolidate/>
  <mergeCells count="90">
    <mergeCell ref="AA25:AA27"/>
    <mergeCell ref="T24:Z24"/>
    <mergeCell ref="T23:Z23"/>
    <mergeCell ref="T25:Z25"/>
    <mergeCell ref="Z40:Z41"/>
    <mergeCell ref="Z32:Z33"/>
    <mergeCell ref="Z34:Z35"/>
    <mergeCell ref="Z36:Z37"/>
    <mergeCell ref="Z38:Z39"/>
    <mergeCell ref="P18:P19"/>
    <mergeCell ref="M18:M19"/>
    <mergeCell ref="Y32:Y33"/>
    <mergeCell ref="Y34:Y35"/>
    <mergeCell ref="M32:M41"/>
    <mergeCell ref="Y36:Y37"/>
    <mergeCell ref="Y38:Y39"/>
    <mergeCell ref="Y40:Y41"/>
    <mergeCell ref="P23:P25"/>
    <mergeCell ref="A1:M1"/>
    <mergeCell ref="A2:M2"/>
    <mergeCell ref="A4:C4"/>
    <mergeCell ref="A5:C5"/>
    <mergeCell ref="A20:G20"/>
    <mergeCell ref="B15:C15"/>
    <mergeCell ref="B13:G13"/>
    <mergeCell ref="A6:C6"/>
    <mergeCell ref="B14:C14"/>
    <mergeCell ref="A9:C9"/>
    <mergeCell ref="A32:A33"/>
    <mergeCell ref="A34:A35"/>
    <mergeCell ref="J29:J31"/>
    <mergeCell ref="F29:F31"/>
    <mergeCell ref="A29:A31"/>
    <mergeCell ref="D29:D31"/>
    <mergeCell ref="E29:E31"/>
    <mergeCell ref="C29:C31"/>
    <mergeCell ref="K69:K70"/>
    <mergeCell ref="L69:L70"/>
    <mergeCell ref="J69:J70"/>
    <mergeCell ref="K68:L68"/>
    <mergeCell ref="A36:A37"/>
    <mergeCell ref="A38:A39"/>
    <mergeCell ref="A40:A41"/>
    <mergeCell ref="B36:B37"/>
    <mergeCell ref="B38:B39"/>
    <mergeCell ref="B67:G67"/>
    <mergeCell ref="B40:B41"/>
    <mergeCell ref="B66:G66"/>
    <mergeCell ref="B60:G60"/>
    <mergeCell ref="A65:G65"/>
    <mergeCell ref="B64:L64"/>
    <mergeCell ref="C68:G68"/>
    <mergeCell ref="K29:K31"/>
    <mergeCell ref="G40:G41"/>
    <mergeCell ref="G38:G39"/>
    <mergeCell ref="G36:G37"/>
    <mergeCell ref="K45:K47"/>
    <mergeCell ref="H29:H31"/>
    <mergeCell ref="I29:I31"/>
    <mergeCell ref="G29:G31"/>
    <mergeCell ref="G34:G35"/>
    <mergeCell ref="G32:G33"/>
    <mergeCell ref="J32:J41"/>
    <mergeCell ref="J45:J47"/>
    <mergeCell ref="I45:I47"/>
    <mergeCell ref="K22:L22"/>
    <mergeCell ref="K23:L23"/>
    <mergeCell ref="M23:M25"/>
    <mergeCell ref="O23:O25"/>
    <mergeCell ref="K24:L24"/>
    <mergeCell ref="K25:L25"/>
    <mergeCell ref="B45:B47"/>
    <mergeCell ref="C45:D47"/>
    <mergeCell ref="F45:F47"/>
    <mergeCell ref="B48:B50"/>
    <mergeCell ref="B22:H22"/>
    <mergeCell ref="B29:B31"/>
    <mergeCell ref="B34:B35"/>
    <mergeCell ref="B32:B33"/>
    <mergeCell ref="C48:C50"/>
    <mergeCell ref="E48:E50"/>
    <mergeCell ref="G45:G47"/>
    <mergeCell ref="H45:H47"/>
    <mergeCell ref="G48:G50"/>
    <mergeCell ref="H48:H50"/>
    <mergeCell ref="O59:U59"/>
    <mergeCell ref="O58:U58"/>
    <mergeCell ref="O57:U57"/>
    <mergeCell ref="L45:L47"/>
    <mergeCell ref="K48:K50"/>
  </mergeCells>
  <phoneticPr fontId="0" type="noConversion"/>
  <printOptions horizontalCentered="1"/>
  <pageMargins left="0.511811023622047" right="0.23622047244094499" top="0.511811023622047" bottom="0.23622047244094499" header="0.23622047244094499" footer="0.23622047244094499"/>
  <pageSetup paperSize="9" scale="69" orientation="portrait" horizontalDpi="4294967293" verticalDpi="4294967293" r:id="rId1"/>
  <headerFooter>
    <oddHeader>&amp;R&amp;"-,Regular"&amp;8T.LP 014-18/REV:1</oddHeader>
    <oddFooter>&amp;R&amp;8&amp;K00-048Software BPM 18.5.2022</oddFooter>
  </headerFooter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3F47-E093-481C-B6A0-C974BC17665A}">
  <sheetPr codeName="Sheet24">
    <tabColor rgb="FF00FF00"/>
  </sheetPr>
  <dimension ref="A1:IQ216"/>
  <sheetViews>
    <sheetView showGridLines="0" view="pageBreakPreview" topLeftCell="A4" zoomScaleNormal="100" zoomScaleSheetLayoutView="100" workbookViewId="0">
      <selection activeCell="K16" sqref="K16"/>
    </sheetView>
  </sheetViews>
  <sheetFormatPr defaultColWidth="9.21875" defaultRowHeight="15.6" x14ac:dyDescent="0.3"/>
  <cols>
    <col min="1" max="1" width="5.44140625" style="296" customWidth="1"/>
    <col min="2" max="2" width="4" style="268" customWidth="1"/>
    <col min="3" max="3" width="18.77734375" style="268" customWidth="1"/>
    <col min="4" max="4" width="0.5546875" style="268" hidden="1" customWidth="1"/>
    <col min="5" max="5" width="1.44140625" style="268" customWidth="1"/>
    <col min="6" max="7" width="7.77734375" style="268" customWidth="1"/>
    <col min="8" max="8" width="14.21875" style="268" customWidth="1"/>
    <col min="9" max="9" width="11" style="268" customWidth="1"/>
    <col min="10" max="11" width="13.77734375" style="268" customWidth="1"/>
    <col min="12" max="12" width="13.21875" style="268" customWidth="1"/>
    <col min="13" max="13" width="16.21875" style="268" customWidth="1"/>
    <col min="14" max="15" width="16" style="268" customWidth="1"/>
    <col min="16" max="226" width="9.21875" style="268" customWidth="1"/>
    <col min="227" max="250" width="10.21875" style="268" customWidth="1"/>
    <col min="251" max="251" width="7.5546875" style="268" customWidth="1"/>
    <col min="252" max="258" width="8.77734375" style="268" customWidth="1"/>
    <col min="259" max="16384" width="9.21875" style="268"/>
  </cols>
  <sheetData>
    <row r="1" spans="1:251" ht="17.399999999999999" x14ac:dyDescent="0.3">
      <c r="A1" s="1434" t="s">
        <v>202</v>
      </c>
      <c r="B1" s="1434"/>
      <c r="C1" s="1434"/>
      <c r="D1" s="1434"/>
      <c r="E1" s="1434"/>
      <c r="F1" s="1434"/>
      <c r="G1" s="1434"/>
      <c r="H1" s="1434"/>
      <c r="I1" s="1434"/>
      <c r="J1" s="1434"/>
      <c r="K1" s="1434"/>
      <c r="L1" s="1434"/>
      <c r="M1" s="1434"/>
      <c r="N1" s="1434"/>
      <c r="O1" s="1069"/>
      <c r="P1" s="1070"/>
      <c r="Q1" s="1070"/>
      <c r="R1" s="1070"/>
      <c r="S1" s="923"/>
      <c r="T1" s="923"/>
      <c r="U1" s="923"/>
      <c r="V1" s="486"/>
      <c r="W1" s="486"/>
      <c r="X1" s="486"/>
      <c r="Y1" s="486"/>
      <c r="Z1" s="486"/>
      <c r="AA1" s="486"/>
      <c r="AB1" s="486"/>
      <c r="AC1" s="486"/>
      <c r="AD1" s="486"/>
      <c r="AE1" s="486"/>
      <c r="AF1" s="486"/>
      <c r="AG1" s="486"/>
      <c r="AH1" s="486"/>
      <c r="AI1" s="486"/>
      <c r="AJ1" s="486"/>
      <c r="AK1" s="486"/>
      <c r="AL1" s="486"/>
      <c r="AM1" s="486"/>
      <c r="AN1" s="486"/>
      <c r="AO1" s="486"/>
      <c r="AP1" s="486"/>
      <c r="AQ1" s="486"/>
      <c r="AR1" s="486"/>
      <c r="AS1" s="486"/>
      <c r="AT1" s="486"/>
      <c r="AU1" s="486"/>
      <c r="AV1" s="486"/>
      <c r="AW1" s="486"/>
      <c r="AX1" s="486"/>
      <c r="AY1" s="486"/>
      <c r="AZ1" s="486"/>
      <c r="BA1" s="486"/>
      <c r="BB1" s="486"/>
      <c r="BC1" s="486"/>
      <c r="BD1" s="486"/>
      <c r="BE1" s="486"/>
      <c r="BF1" s="486"/>
      <c r="BG1" s="486"/>
      <c r="BH1" s="486"/>
      <c r="BI1" s="486"/>
      <c r="BJ1" s="486"/>
      <c r="BK1" s="486"/>
      <c r="BL1" s="486"/>
      <c r="BM1" s="486"/>
      <c r="BN1" s="486"/>
      <c r="BO1" s="486"/>
      <c r="BP1" s="486"/>
      <c r="BQ1" s="486"/>
      <c r="BR1" s="486"/>
      <c r="BS1" s="486"/>
      <c r="BT1" s="486"/>
      <c r="BU1" s="486"/>
      <c r="BV1" s="486"/>
      <c r="BW1" s="486"/>
      <c r="BX1" s="486"/>
      <c r="BY1" s="486"/>
      <c r="BZ1" s="486"/>
      <c r="CA1" s="486"/>
      <c r="CB1" s="486"/>
      <c r="CC1" s="486"/>
      <c r="CD1" s="486"/>
      <c r="CE1" s="486"/>
      <c r="CF1" s="486"/>
      <c r="CG1" s="486"/>
      <c r="CH1" s="486"/>
      <c r="CI1" s="486"/>
      <c r="CJ1" s="486"/>
      <c r="CK1" s="486"/>
      <c r="CL1" s="486"/>
      <c r="CM1" s="486"/>
      <c r="CN1" s="486"/>
      <c r="CO1" s="486"/>
      <c r="CP1" s="486"/>
      <c r="CQ1" s="486"/>
      <c r="CR1" s="486"/>
      <c r="CS1" s="486"/>
      <c r="CT1" s="486"/>
      <c r="CU1" s="486"/>
      <c r="CV1" s="486"/>
      <c r="CW1" s="486"/>
      <c r="CX1" s="486"/>
      <c r="CY1" s="486"/>
      <c r="CZ1" s="486"/>
      <c r="DA1" s="486"/>
      <c r="DB1" s="486"/>
      <c r="DC1" s="486"/>
      <c r="DD1" s="486"/>
      <c r="DE1" s="486"/>
      <c r="DF1" s="486"/>
      <c r="DG1" s="486"/>
      <c r="DH1" s="486"/>
      <c r="DI1" s="486"/>
      <c r="DJ1" s="486"/>
      <c r="DK1" s="486"/>
      <c r="DL1" s="486"/>
      <c r="DM1" s="486"/>
      <c r="DN1" s="486"/>
      <c r="DO1" s="486"/>
      <c r="DP1" s="486"/>
      <c r="DQ1" s="486"/>
      <c r="DR1" s="486"/>
      <c r="DS1" s="486"/>
      <c r="DT1" s="486"/>
      <c r="DU1" s="486"/>
      <c r="DV1" s="486"/>
      <c r="DW1" s="486"/>
      <c r="DX1" s="486"/>
      <c r="DY1" s="486"/>
      <c r="DZ1" s="486"/>
      <c r="EA1" s="486"/>
      <c r="EB1" s="486"/>
      <c r="EC1" s="486"/>
      <c r="ED1" s="486"/>
      <c r="EE1" s="486"/>
      <c r="EF1" s="486"/>
      <c r="EG1" s="486"/>
      <c r="EH1" s="486"/>
      <c r="EI1" s="486"/>
      <c r="EJ1" s="486"/>
      <c r="EK1" s="486"/>
      <c r="EL1" s="486"/>
      <c r="EM1" s="486"/>
      <c r="EN1" s="486"/>
      <c r="EO1" s="486"/>
      <c r="EP1" s="486"/>
      <c r="EQ1" s="486"/>
      <c r="ER1" s="486"/>
      <c r="ES1" s="486"/>
      <c r="ET1" s="486"/>
      <c r="EU1" s="486"/>
      <c r="EV1" s="486"/>
      <c r="EW1" s="486"/>
      <c r="EX1" s="486"/>
      <c r="EY1" s="486"/>
      <c r="EZ1" s="486"/>
      <c r="FA1" s="486"/>
      <c r="FB1" s="486"/>
      <c r="FC1" s="486"/>
      <c r="FD1" s="486"/>
      <c r="FE1" s="486"/>
      <c r="FF1" s="486"/>
      <c r="FG1" s="486"/>
      <c r="FH1" s="486"/>
      <c r="FI1" s="486"/>
      <c r="FJ1" s="486"/>
      <c r="FK1" s="486"/>
      <c r="FL1" s="486"/>
      <c r="FM1" s="486"/>
      <c r="FN1" s="486"/>
      <c r="FO1" s="486"/>
      <c r="FP1" s="486"/>
      <c r="FQ1" s="486"/>
      <c r="FR1" s="486"/>
      <c r="FS1" s="486"/>
      <c r="FT1" s="486"/>
      <c r="FU1" s="486"/>
      <c r="FV1" s="486"/>
      <c r="FW1" s="486"/>
      <c r="FX1" s="486"/>
      <c r="FY1" s="486"/>
      <c r="FZ1" s="486"/>
      <c r="GA1" s="486"/>
      <c r="GB1" s="486"/>
      <c r="GC1" s="486"/>
      <c r="GD1" s="486"/>
      <c r="GE1" s="486"/>
      <c r="GF1" s="486"/>
      <c r="GG1" s="486"/>
      <c r="GH1" s="486"/>
      <c r="GI1" s="486"/>
      <c r="GJ1" s="486"/>
      <c r="GK1" s="486"/>
      <c r="GL1" s="486"/>
      <c r="GM1" s="486"/>
      <c r="GN1" s="486"/>
      <c r="GO1" s="486"/>
      <c r="GP1" s="486"/>
      <c r="GQ1" s="486"/>
      <c r="GR1" s="486"/>
      <c r="GS1" s="486"/>
      <c r="GT1" s="486"/>
      <c r="GU1" s="486"/>
      <c r="GV1" s="486"/>
      <c r="GW1" s="486"/>
      <c r="GX1" s="486"/>
      <c r="GY1" s="486"/>
      <c r="GZ1" s="486"/>
      <c r="HA1" s="486"/>
      <c r="HB1" s="486"/>
      <c r="HC1" s="486"/>
      <c r="HD1" s="486"/>
      <c r="HE1" s="486"/>
      <c r="HF1" s="486"/>
      <c r="HG1" s="486"/>
      <c r="HH1" s="486"/>
      <c r="HI1" s="486"/>
      <c r="HJ1" s="486"/>
      <c r="HK1" s="486"/>
      <c r="HL1" s="486"/>
      <c r="HM1" s="486"/>
      <c r="HN1" s="486"/>
      <c r="HO1" s="486"/>
      <c r="HP1" s="486"/>
      <c r="HQ1" s="486"/>
      <c r="HR1" s="486"/>
      <c r="HS1" s="486"/>
      <c r="HT1" s="486"/>
      <c r="HU1" s="486"/>
      <c r="HV1" s="486"/>
      <c r="HW1" s="486"/>
      <c r="HX1" s="486"/>
      <c r="HY1" s="486"/>
      <c r="HZ1" s="486"/>
      <c r="IA1" s="486"/>
      <c r="IB1" s="486"/>
      <c r="IC1" s="486"/>
      <c r="ID1" s="486"/>
      <c r="IE1" s="486"/>
      <c r="IF1" s="486"/>
      <c r="IG1" s="486"/>
      <c r="IH1" s="486"/>
      <c r="II1" s="486"/>
      <c r="IJ1" s="486"/>
      <c r="IK1" s="486"/>
      <c r="IL1" s="486"/>
      <c r="IM1" s="486"/>
      <c r="IN1" s="486"/>
      <c r="IO1" s="486"/>
      <c r="IP1" s="486"/>
      <c r="IQ1" s="486"/>
    </row>
    <row r="2" spans="1:251" ht="16.8" x14ac:dyDescent="0.3">
      <c r="A2" s="1433" t="str">
        <f>PENYELIA!A2</f>
        <v>Nomor surat keterangan : 9 / M - 2 / II - 20 / E - 015.38 DL</v>
      </c>
      <c r="B2" s="1433"/>
      <c r="C2" s="1433"/>
      <c r="D2" s="1433"/>
      <c r="E2" s="1433"/>
      <c r="F2" s="1433"/>
      <c r="G2" s="1433"/>
      <c r="H2" s="1433"/>
      <c r="I2" s="1433"/>
      <c r="J2" s="1433"/>
      <c r="K2" s="1433"/>
      <c r="L2" s="1433"/>
      <c r="M2" s="1433"/>
      <c r="N2" s="1433"/>
      <c r="O2" s="1071"/>
      <c r="P2" s="923"/>
      <c r="Q2" s="923"/>
      <c r="R2" s="923"/>
      <c r="S2" s="923"/>
      <c r="T2" s="923"/>
      <c r="U2" s="923"/>
      <c r="V2" s="486"/>
      <c r="W2" s="486"/>
      <c r="X2" s="486"/>
      <c r="Y2" s="486"/>
      <c r="Z2" s="486"/>
      <c r="AA2" s="486"/>
      <c r="AB2" s="486"/>
      <c r="AC2" s="486"/>
      <c r="AD2" s="486"/>
      <c r="AE2" s="486"/>
      <c r="AF2" s="486"/>
      <c r="AG2" s="486"/>
      <c r="AH2" s="486"/>
      <c r="AI2" s="486"/>
      <c r="AJ2" s="486"/>
      <c r="AK2" s="486"/>
      <c r="AL2" s="486"/>
      <c r="AM2" s="486"/>
      <c r="AN2" s="486"/>
      <c r="AO2" s="486"/>
      <c r="AP2" s="486"/>
      <c r="AQ2" s="486"/>
      <c r="AR2" s="486"/>
      <c r="AS2" s="486"/>
      <c r="AT2" s="486"/>
      <c r="AU2" s="486"/>
      <c r="AV2" s="486"/>
      <c r="AW2" s="486"/>
      <c r="AX2" s="486"/>
      <c r="AY2" s="486"/>
      <c r="AZ2" s="486"/>
      <c r="BA2" s="486"/>
      <c r="BB2" s="486"/>
      <c r="BC2" s="486"/>
      <c r="BD2" s="486"/>
      <c r="BE2" s="486"/>
      <c r="BF2" s="486"/>
      <c r="BG2" s="486"/>
      <c r="BH2" s="486"/>
      <c r="BI2" s="486"/>
      <c r="BJ2" s="486"/>
      <c r="BK2" s="486"/>
      <c r="BL2" s="486"/>
      <c r="BM2" s="486"/>
      <c r="BN2" s="486"/>
      <c r="BO2" s="486"/>
      <c r="BP2" s="486"/>
      <c r="BQ2" s="486"/>
      <c r="BR2" s="486"/>
      <c r="BS2" s="486"/>
      <c r="BT2" s="486"/>
      <c r="BU2" s="486"/>
      <c r="BV2" s="486"/>
      <c r="BW2" s="486"/>
      <c r="BX2" s="486"/>
      <c r="BY2" s="486"/>
      <c r="BZ2" s="486"/>
      <c r="CA2" s="486"/>
      <c r="CB2" s="486"/>
      <c r="CC2" s="486"/>
      <c r="CD2" s="486"/>
      <c r="CE2" s="486"/>
      <c r="CF2" s="486"/>
      <c r="CG2" s="486"/>
      <c r="CH2" s="486"/>
      <c r="CI2" s="486"/>
      <c r="CJ2" s="486"/>
      <c r="CK2" s="486"/>
      <c r="CL2" s="486"/>
      <c r="CM2" s="486"/>
      <c r="CN2" s="486"/>
      <c r="CO2" s="486"/>
      <c r="CP2" s="486"/>
      <c r="CQ2" s="486"/>
      <c r="CR2" s="486"/>
      <c r="CS2" s="486"/>
      <c r="CT2" s="486"/>
      <c r="CU2" s="486"/>
      <c r="CV2" s="486"/>
      <c r="CW2" s="486"/>
      <c r="CX2" s="486"/>
      <c r="CY2" s="486"/>
      <c r="CZ2" s="486"/>
      <c r="DA2" s="486"/>
      <c r="DB2" s="486"/>
      <c r="DC2" s="486"/>
      <c r="DD2" s="486"/>
      <c r="DE2" s="486"/>
      <c r="DF2" s="486"/>
      <c r="DG2" s="486"/>
      <c r="DH2" s="486"/>
      <c r="DI2" s="486"/>
      <c r="DJ2" s="486"/>
      <c r="DK2" s="486"/>
      <c r="DL2" s="486"/>
      <c r="DM2" s="486"/>
      <c r="DN2" s="486"/>
      <c r="DO2" s="486"/>
      <c r="DP2" s="486"/>
      <c r="DQ2" s="486"/>
      <c r="DR2" s="486"/>
      <c r="DS2" s="486"/>
      <c r="DT2" s="486"/>
      <c r="DU2" s="486"/>
      <c r="DV2" s="486"/>
      <c r="DW2" s="486"/>
      <c r="DX2" s="486"/>
      <c r="DY2" s="486"/>
      <c r="DZ2" s="486"/>
      <c r="EA2" s="486"/>
      <c r="EB2" s="486"/>
      <c r="EC2" s="486"/>
      <c r="ED2" s="486"/>
      <c r="EE2" s="486"/>
      <c r="EF2" s="486"/>
      <c r="EG2" s="486"/>
      <c r="EH2" s="486"/>
      <c r="EI2" s="486"/>
      <c r="EJ2" s="486"/>
      <c r="EK2" s="486"/>
      <c r="EL2" s="486"/>
      <c r="EM2" s="486"/>
      <c r="EN2" s="486"/>
      <c r="EO2" s="486"/>
      <c r="EP2" s="486"/>
      <c r="EQ2" s="486"/>
      <c r="ER2" s="486"/>
      <c r="ES2" s="486"/>
      <c r="ET2" s="486"/>
      <c r="EU2" s="486"/>
      <c r="EV2" s="486"/>
      <c r="EW2" s="486"/>
      <c r="EX2" s="486"/>
      <c r="EY2" s="486"/>
      <c r="EZ2" s="486"/>
      <c r="FA2" s="486"/>
      <c r="FB2" s="486"/>
      <c r="FC2" s="486"/>
      <c r="FD2" s="486"/>
      <c r="FE2" s="486"/>
      <c r="FF2" s="486"/>
      <c r="FG2" s="486"/>
      <c r="FH2" s="486"/>
      <c r="FI2" s="486"/>
      <c r="FJ2" s="486"/>
      <c r="FK2" s="486"/>
      <c r="FL2" s="486"/>
      <c r="FM2" s="486"/>
      <c r="FN2" s="486"/>
      <c r="FO2" s="486"/>
      <c r="FP2" s="486"/>
      <c r="FQ2" s="486"/>
      <c r="FR2" s="486"/>
      <c r="FS2" s="486"/>
      <c r="FT2" s="486"/>
      <c r="FU2" s="486"/>
      <c r="FV2" s="486"/>
      <c r="FW2" s="486"/>
      <c r="FX2" s="486"/>
      <c r="FY2" s="486"/>
      <c r="FZ2" s="486"/>
      <c r="GA2" s="486"/>
      <c r="GB2" s="486"/>
      <c r="GC2" s="486"/>
      <c r="GD2" s="486"/>
      <c r="GE2" s="486"/>
      <c r="GF2" s="486"/>
      <c r="GG2" s="486"/>
      <c r="GH2" s="486"/>
      <c r="GI2" s="486"/>
      <c r="GJ2" s="486"/>
      <c r="GK2" s="486"/>
      <c r="GL2" s="486"/>
      <c r="GM2" s="486"/>
      <c r="GN2" s="486"/>
      <c r="GO2" s="486"/>
      <c r="GP2" s="486"/>
      <c r="GQ2" s="486"/>
      <c r="GR2" s="486"/>
      <c r="GS2" s="486"/>
      <c r="GT2" s="486"/>
      <c r="GU2" s="486"/>
      <c r="GV2" s="486"/>
      <c r="GW2" s="486"/>
      <c r="GX2" s="486"/>
      <c r="GY2" s="486"/>
      <c r="GZ2" s="486"/>
      <c r="HA2" s="486"/>
      <c r="HB2" s="486"/>
      <c r="HC2" s="486"/>
      <c r="HD2" s="486"/>
      <c r="HE2" s="486"/>
      <c r="HF2" s="486"/>
      <c r="HG2" s="486"/>
      <c r="HH2" s="486"/>
      <c r="HI2" s="486"/>
      <c r="HJ2" s="486"/>
      <c r="HK2" s="486"/>
      <c r="HL2" s="486"/>
      <c r="HM2" s="486"/>
      <c r="HN2" s="486"/>
      <c r="HO2" s="486"/>
      <c r="HP2" s="486"/>
      <c r="HQ2" s="486"/>
      <c r="HR2" s="486"/>
      <c r="HS2" s="486"/>
      <c r="HT2" s="486"/>
      <c r="HU2" s="486"/>
      <c r="HV2" s="486"/>
      <c r="HW2" s="486"/>
      <c r="HX2" s="486"/>
      <c r="HY2" s="486"/>
      <c r="HZ2" s="486"/>
      <c r="IA2" s="486"/>
      <c r="IB2" s="486"/>
      <c r="IC2" s="486"/>
      <c r="ID2" s="486"/>
      <c r="IE2" s="486"/>
      <c r="IF2" s="486"/>
      <c r="IG2" s="486"/>
      <c r="IH2" s="486"/>
      <c r="II2" s="486"/>
      <c r="IJ2" s="486"/>
      <c r="IK2" s="486"/>
      <c r="IL2" s="486"/>
      <c r="IM2" s="486"/>
      <c r="IN2" s="486"/>
      <c r="IO2" s="486"/>
      <c r="IP2" s="486"/>
      <c r="IQ2" s="486" t="s">
        <v>203</v>
      </c>
    </row>
    <row r="3" spans="1:251" s="269" customFormat="1" ht="9" customHeight="1" x14ac:dyDescent="0.3">
      <c r="A3" s="287"/>
      <c r="B3" s="287"/>
      <c r="C3" s="287"/>
      <c r="D3" s="287"/>
      <c r="E3" s="287"/>
      <c r="F3" s="287"/>
      <c r="G3" s="287"/>
      <c r="H3" s="287"/>
      <c r="I3" s="287"/>
      <c r="J3" s="287"/>
      <c r="K3" s="287"/>
      <c r="L3" s="287"/>
      <c r="M3" s="287"/>
      <c r="N3" s="287"/>
      <c r="O3" s="1072"/>
      <c r="P3" s="1072"/>
      <c r="Q3" s="1072"/>
      <c r="R3" s="1072"/>
      <c r="S3" s="1072"/>
      <c r="T3" s="1072"/>
      <c r="U3" s="1072"/>
    </row>
    <row r="4" spans="1:251" x14ac:dyDescent="0.3">
      <c r="A4" s="1397" t="str">
        <f>ID!B4</f>
        <v>Merek</v>
      </c>
      <c r="B4" s="1397"/>
      <c r="C4" s="1397"/>
      <c r="D4" s="270" t="s">
        <v>7</v>
      </c>
      <c r="E4" s="270" t="s">
        <v>7</v>
      </c>
      <c r="F4" s="287" t="str">
        <f>ID!E4</f>
        <v>OMRON</v>
      </c>
      <c r="G4" s="270"/>
      <c r="H4" s="270"/>
      <c r="J4" s="287"/>
      <c r="K4" s="287"/>
      <c r="L4" s="287"/>
      <c r="M4" s="271"/>
      <c r="N4" s="271"/>
      <c r="O4" s="923"/>
      <c r="P4" s="923"/>
      <c r="Q4" s="923"/>
      <c r="R4" s="923"/>
      <c r="S4" s="923"/>
      <c r="T4" s="923"/>
      <c r="U4" s="923"/>
      <c r="V4" s="486"/>
      <c r="W4" s="486"/>
      <c r="X4" s="486"/>
      <c r="Y4" s="486"/>
      <c r="Z4" s="486"/>
      <c r="AA4" s="486"/>
      <c r="AB4" s="486"/>
      <c r="AC4" s="486"/>
      <c r="AD4" s="486"/>
      <c r="AE4" s="486"/>
      <c r="AF4" s="486"/>
      <c r="AG4" s="486"/>
      <c r="AH4" s="486"/>
      <c r="AI4" s="486"/>
      <c r="AJ4" s="486"/>
      <c r="AK4" s="486"/>
      <c r="AL4" s="486"/>
      <c r="AM4" s="486"/>
      <c r="AN4" s="486"/>
      <c r="AO4" s="486"/>
      <c r="AP4" s="486"/>
      <c r="AQ4" s="486"/>
      <c r="AR4" s="486"/>
      <c r="AS4" s="486"/>
      <c r="AT4" s="486"/>
      <c r="AU4" s="486"/>
      <c r="AV4" s="486"/>
      <c r="AW4" s="486"/>
      <c r="AX4" s="486"/>
      <c r="AY4" s="486"/>
      <c r="AZ4" s="486"/>
      <c r="BA4" s="486"/>
      <c r="BB4" s="486"/>
      <c r="BC4" s="486"/>
      <c r="BD4" s="486"/>
      <c r="BE4" s="486"/>
      <c r="BF4" s="486"/>
      <c r="BG4" s="486"/>
      <c r="BH4" s="486"/>
      <c r="BI4" s="486"/>
      <c r="BJ4" s="486"/>
      <c r="BK4" s="486"/>
      <c r="BL4" s="486"/>
      <c r="BM4" s="486"/>
      <c r="BN4" s="486"/>
      <c r="BO4" s="486"/>
      <c r="BP4" s="486"/>
      <c r="BQ4" s="486"/>
      <c r="BR4" s="486"/>
      <c r="BS4" s="486"/>
      <c r="BT4" s="486"/>
      <c r="BU4" s="486"/>
      <c r="BV4" s="486"/>
      <c r="BW4" s="486"/>
      <c r="BX4" s="486"/>
      <c r="BY4" s="486"/>
      <c r="BZ4" s="486"/>
      <c r="CA4" s="486"/>
      <c r="CB4" s="486"/>
      <c r="CC4" s="486"/>
      <c r="CD4" s="486"/>
      <c r="CE4" s="486"/>
      <c r="CF4" s="486"/>
      <c r="CG4" s="486"/>
      <c r="CH4" s="486"/>
      <c r="CI4" s="486"/>
      <c r="CJ4" s="486"/>
      <c r="CK4" s="486"/>
      <c r="CL4" s="486"/>
      <c r="CM4" s="486"/>
      <c r="CN4" s="486"/>
      <c r="CO4" s="486"/>
      <c r="CP4" s="486"/>
      <c r="CQ4" s="486"/>
      <c r="CR4" s="486"/>
      <c r="CS4" s="486"/>
      <c r="CT4" s="486"/>
      <c r="CU4" s="486"/>
      <c r="CV4" s="486"/>
      <c r="CW4" s="486"/>
      <c r="CX4" s="486"/>
      <c r="CY4" s="486"/>
      <c r="CZ4" s="486"/>
      <c r="DA4" s="486"/>
      <c r="DB4" s="486"/>
      <c r="DC4" s="486"/>
      <c r="DD4" s="486"/>
      <c r="DE4" s="486"/>
      <c r="DF4" s="486"/>
      <c r="DG4" s="486"/>
      <c r="DH4" s="486"/>
      <c r="DI4" s="486"/>
      <c r="DJ4" s="486"/>
      <c r="DK4" s="486"/>
      <c r="DL4" s="486"/>
      <c r="DM4" s="486"/>
      <c r="DN4" s="486"/>
      <c r="DO4" s="486"/>
      <c r="DP4" s="486"/>
      <c r="DQ4" s="486"/>
      <c r="DR4" s="486"/>
      <c r="DS4" s="486"/>
      <c r="DT4" s="486"/>
      <c r="DU4" s="486"/>
      <c r="DV4" s="486"/>
      <c r="DW4" s="486"/>
      <c r="DX4" s="486"/>
      <c r="DY4" s="486"/>
      <c r="DZ4" s="486"/>
      <c r="EA4" s="486"/>
      <c r="EB4" s="486"/>
      <c r="EC4" s="486"/>
      <c r="ED4" s="486"/>
      <c r="EE4" s="486"/>
      <c r="EF4" s="486"/>
      <c r="EG4" s="486"/>
      <c r="EH4" s="486"/>
      <c r="EI4" s="486"/>
      <c r="EJ4" s="486"/>
      <c r="EK4" s="486"/>
      <c r="EL4" s="486"/>
      <c r="EM4" s="486"/>
      <c r="EN4" s="486"/>
      <c r="EO4" s="486"/>
      <c r="EP4" s="486"/>
      <c r="EQ4" s="486"/>
      <c r="ER4" s="486"/>
      <c r="ES4" s="486"/>
      <c r="ET4" s="486"/>
      <c r="EU4" s="486"/>
      <c r="EV4" s="486"/>
      <c r="EW4" s="486"/>
      <c r="EX4" s="486"/>
      <c r="EY4" s="486"/>
      <c r="EZ4" s="486"/>
      <c r="FA4" s="486"/>
      <c r="FB4" s="486"/>
      <c r="FC4" s="486"/>
      <c r="FD4" s="486"/>
      <c r="FE4" s="486"/>
      <c r="FF4" s="486"/>
      <c r="FG4" s="486"/>
      <c r="FH4" s="486"/>
      <c r="FI4" s="486"/>
      <c r="FJ4" s="486"/>
      <c r="FK4" s="486"/>
      <c r="FL4" s="486"/>
      <c r="FM4" s="486"/>
      <c r="FN4" s="486"/>
      <c r="FO4" s="486"/>
      <c r="FP4" s="486"/>
      <c r="FQ4" s="486"/>
      <c r="FR4" s="486"/>
      <c r="FS4" s="486"/>
      <c r="FT4" s="486"/>
      <c r="FU4" s="486"/>
      <c r="FV4" s="486"/>
      <c r="FW4" s="486"/>
      <c r="FX4" s="486"/>
      <c r="FY4" s="486"/>
      <c r="FZ4" s="486"/>
      <c r="GA4" s="486"/>
      <c r="GB4" s="486"/>
      <c r="GC4" s="486"/>
      <c r="GD4" s="486"/>
      <c r="GE4" s="486"/>
      <c r="GF4" s="486"/>
      <c r="GG4" s="486"/>
      <c r="GH4" s="486"/>
      <c r="GI4" s="486"/>
      <c r="GJ4" s="486"/>
      <c r="GK4" s="486"/>
      <c r="GL4" s="486"/>
      <c r="GM4" s="486"/>
      <c r="GN4" s="486"/>
      <c r="GO4" s="486"/>
      <c r="GP4" s="486"/>
      <c r="GQ4" s="486"/>
      <c r="GR4" s="486"/>
      <c r="GS4" s="486"/>
      <c r="GT4" s="486"/>
      <c r="GU4" s="486"/>
      <c r="GV4" s="486"/>
      <c r="GW4" s="486"/>
      <c r="GX4" s="486"/>
      <c r="GY4" s="486"/>
      <c r="GZ4" s="486"/>
      <c r="HA4" s="486"/>
      <c r="HB4" s="486"/>
      <c r="HC4" s="486"/>
      <c r="HD4" s="486"/>
      <c r="HE4" s="486"/>
      <c r="HF4" s="486"/>
      <c r="HG4" s="486"/>
      <c r="HH4" s="486"/>
      <c r="HI4" s="486"/>
      <c r="HJ4" s="486"/>
      <c r="HK4" s="486"/>
      <c r="HL4" s="486"/>
      <c r="HM4" s="486"/>
      <c r="HN4" s="486"/>
      <c r="HO4" s="486"/>
      <c r="HP4" s="486"/>
      <c r="HQ4" s="486"/>
      <c r="HR4" s="486"/>
      <c r="HS4" s="486"/>
      <c r="HT4" s="486"/>
      <c r="HU4" s="486"/>
      <c r="HV4" s="486"/>
      <c r="HW4" s="486"/>
      <c r="HX4" s="486"/>
      <c r="HY4" s="486"/>
      <c r="HZ4" s="486"/>
      <c r="IA4" s="486"/>
      <c r="IB4" s="486"/>
      <c r="IC4" s="486"/>
      <c r="ID4" s="486"/>
      <c r="IE4" s="486"/>
      <c r="IF4" s="486"/>
      <c r="IG4" s="486"/>
      <c r="IH4" s="486"/>
      <c r="II4" s="486"/>
      <c r="IJ4" s="486"/>
      <c r="IK4" s="486"/>
      <c r="IL4" s="486"/>
      <c r="IM4" s="486"/>
      <c r="IN4" s="486"/>
      <c r="IO4" s="486"/>
      <c r="IP4" s="486"/>
      <c r="IQ4" s="486" t="s">
        <v>204</v>
      </c>
    </row>
    <row r="5" spans="1:251" x14ac:dyDescent="0.3">
      <c r="A5" s="1397" t="str">
        <f>ID!B5</f>
        <v>Model/ tipe</v>
      </c>
      <c r="B5" s="1397"/>
      <c r="C5" s="1397"/>
      <c r="D5" s="270" t="s">
        <v>7</v>
      </c>
      <c r="E5" s="270" t="s">
        <v>7</v>
      </c>
      <c r="F5" s="287" t="str">
        <f>ID!E5</f>
        <v>HEM-8712</v>
      </c>
      <c r="G5" s="270"/>
      <c r="H5" s="270"/>
      <c r="J5" s="287"/>
      <c r="K5" s="287"/>
      <c r="L5" s="287"/>
      <c r="M5" s="271"/>
      <c r="N5" s="271"/>
      <c r="O5" s="923"/>
      <c r="P5" s="923"/>
      <c r="Q5" s="923"/>
      <c r="R5" s="923"/>
      <c r="S5" s="923"/>
      <c r="T5" s="923"/>
      <c r="U5" s="923"/>
      <c r="V5" s="486"/>
      <c r="W5" s="486"/>
      <c r="X5" s="486"/>
      <c r="Y5" s="486"/>
      <c r="Z5" s="486"/>
      <c r="AA5" s="486"/>
      <c r="AB5" s="486"/>
      <c r="AC5" s="486"/>
      <c r="AD5" s="486"/>
      <c r="AE5" s="486"/>
      <c r="AF5" s="486"/>
      <c r="AG5" s="486"/>
      <c r="AH5" s="486"/>
      <c r="AI5" s="486"/>
      <c r="AJ5" s="486"/>
      <c r="AK5" s="486"/>
      <c r="AL5" s="486"/>
      <c r="AM5" s="486"/>
      <c r="AN5" s="486"/>
      <c r="AO5" s="486"/>
      <c r="AP5" s="486"/>
      <c r="AQ5" s="486"/>
      <c r="AR5" s="486"/>
      <c r="AS5" s="486"/>
      <c r="AT5" s="486"/>
      <c r="AU5" s="486"/>
      <c r="AV5" s="486"/>
      <c r="AW5" s="486"/>
      <c r="AX5" s="486"/>
      <c r="AY5" s="486"/>
      <c r="AZ5" s="486"/>
      <c r="BA5" s="486"/>
      <c r="BB5" s="486"/>
      <c r="BC5" s="486"/>
      <c r="BD5" s="486"/>
      <c r="BE5" s="486"/>
      <c r="BF5" s="486"/>
      <c r="BG5" s="486"/>
      <c r="BH5" s="486"/>
      <c r="BI5" s="486"/>
      <c r="BJ5" s="486"/>
      <c r="BK5" s="486"/>
      <c r="BL5" s="486"/>
      <c r="BM5" s="486"/>
      <c r="BN5" s="486"/>
      <c r="BO5" s="486"/>
      <c r="BP5" s="486"/>
      <c r="BQ5" s="486"/>
      <c r="BR5" s="486"/>
      <c r="BS5" s="486"/>
      <c r="BT5" s="486"/>
      <c r="BU5" s="486"/>
      <c r="BV5" s="486"/>
      <c r="BW5" s="486"/>
      <c r="BX5" s="486"/>
      <c r="BY5" s="486"/>
      <c r="BZ5" s="486"/>
      <c r="CA5" s="486"/>
      <c r="CB5" s="486"/>
      <c r="CC5" s="486"/>
      <c r="CD5" s="486"/>
      <c r="CE5" s="486"/>
      <c r="CF5" s="486"/>
      <c r="CG5" s="486"/>
      <c r="CH5" s="486"/>
      <c r="CI5" s="486"/>
      <c r="CJ5" s="486"/>
      <c r="CK5" s="486"/>
      <c r="CL5" s="486"/>
      <c r="CM5" s="486"/>
      <c r="CN5" s="486"/>
      <c r="CO5" s="486"/>
      <c r="CP5" s="486"/>
      <c r="CQ5" s="486"/>
      <c r="CR5" s="486"/>
      <c r="CS5" s="486"/>
      <c r="CT5" s="486"/>
      <c r="CU5" s="486"/>
      <c r="CV5" s="486"/>
      <c r="CW5" s="486"/>
      <c r="CX5" s="486"/>
      <c r="CY5" s="486"/>
      <c r="CZ5" s="486"/>
      <c r="DA5" s="486"/>
      <c r="DB5" s="486"/>
      <c r="DC5" s="486"/>
      <c r="DD5" s="486"/>
      <c r="DE5" s="486"/>
      <c r="DF5" s="486"/>
      <c r="DG5" s="486"/>
      <c r="DH5" s="486"/>
      <c r="DI5" s="486"/>
      <c r="DJ5" s="486"/>
      <c r="DK5" s="486"/>
      <c r="DL5" s="486"/>
      <c r="DM5" s="486"/>
      <c r="DN5" s="486"/>
      <c r="DO5" s="486"/>
      <c r="DP5" s="486"/>
      <c r="DQ5" s="486"/>
      <c r="DR5" s="486"/>
      <c r="DS5" s="486"/>
      <c r="DT5" s="486"/>
      <c r="DU5" s="486"/>
      <c r="DV5" s="486"/>
      <c r="DW5" s="486"/>
      <c r="DX5" s="486"/>
      <c r="DY5" s="486"/>
      <c r="DZ5" s="486"/>
      <c r="EA5" s="486"/>
      <c r="EB5" s="486"/>
      <c r="EC5" s="486"/>
      <c r="ED5" s="486"/>
      <c r="EE5" s="486"/>
      <c r="EF5" s="486"/>
      <c r="EG5" s="486"/>
      <c r="EH5" s="486"/>
      <c r="EI5" s="486"/>
      <c r="EJ5" s="486"/>
      <c r="EK5" s="486"/>
      <c r="EL5" s="486"/>
      <c r="EM5" s="486"/>
      <c r="EN5" s="486"/>
      <c r="EO5" s="486"/>
      <c r="EP5" s="486"/>
      <c r="EQ5" s="486"/>
      <c r="ER5" s="486"/>
      <c r="ES5" s="486"/>
      <c r="ET5" s="486"/>
      <c r="EU5" s="486"/>
      <c r="EV5" s="486"/>
      <c r="EW5" s="486"/>
      <c r="EX5" s="486"/>
      <c r="EY5" s="486"/>
      <c r="EZ5" s="486"/>
      <c r="FA5" s="486"/>
      <c r="FB5" s="486"/>
      <c r="FC5" s="486"/>
      <c r="FD5" s="486"/>
      <c r="FE5" s="486"/>
      <c r="FF5" s="486"/>
      <c r="FG5" s="486"/>
      <c r="FH5" s="486"/>
      <c r="FI5" s="486"/>
      <c r="FJ5" s="486"/>
      <c r="FK5" s="486"/>
      <c r="FL5" s="486"/>
      <c r="FM5" s="486"/>
      <c r="FN5" s="486"/>
      <c r="FO5" s="486"/>
      <c r="FP5" s="486"/>
      <c r="FQ5" s="486"/>
      <c r="FR5" s="486"/>
      <c r="FS5" s="486"/>
      <c r="FT5" s="486"/>
      <c r="FU5" s="486"/>
      <c r="FV5" s="486"/>
      <c r="FW5" s="486"/>
      <c r="FX5" s="486"/>
      <c r="FY5" s="486"/>
      <c r="FZ5" s="486"/>
      <c r="GA5" s="486"/>
      <c r="GB5" s="486"/>
      <c r="GC5" s="486"/>
      <c r="GD5" s="486"/>
      <c r="GE5" s="486"/>
      <c r="GF5" s="486"/>
      <c r="GG5" s="486"/>
      <c r="GH5" s="486"/>
      <c r="GI5" s="486"/>
      <c r="GJ5" s="486"/>
      <c r="GK5" s="486"/>
      <c r="GL5" s="486"/>
      <c r="GM5" s="486"/>
      <c r="GN5" s="486"/>
      <c r="GO5" s="486"/>
      <c r="GP5" s="486"/>
      <c r="GQ5" s="486"/>
      <c r="GR5" s="486"/>
      <c r="GS5" s="486"/>
      <c r="GT5" s="486"/>
      <c r="GU5" s="486"/>
      <c r="GV5" s="486"/>
      <c r="GW5" s="486"/>
      <c r="GX5" s="486"/>
      <c r="GY5" s="486"/>
      <c r="GZ5" s="486"/>
      <c r="HA5" s="486"/>
      <c r="HB5" s="486"/>
      <c r="HC5" s="486"/>
      <c r="HD5" s="486"/>
      <c r="HE5" s="486"/>
      <c r="HF5" s="486"/>
      <c r="HG5" s="486"/>
      <c r="HH5" s="486"/>
      <c r="HI5" s="486"/>
      <c r="HJ5" s="486"/>
      <c r="HK5" s="486"/>
      <c r="HL5" s="486"/>
      <c r="HM5" s="486"/>
      <c r="HN5" s="486"/>
      <c r="HO5" s="486"/>
      <c r="HP5" s="486"/>
      <c r="HQ5" s="486"/>
      <c r="HR5" s="486"/>
      <c r="HS5" s="486"/>
      <c r="HT5" s="486"/>
      <c r="HU5" s="486"/>
      <c r="HV5" s="486"/>
      <c r="HW5" s="486"/>
      <c r="HX5" s="486"/>
      <c r="HY5" s="486"/>
      <c r="HZ5" s="486"/>
      <c r="IA5" s="486"/>
      <c r="IB5" s="486"/>
      <c r="IC5" s="486"/>
      <c r="ID5" s="486"/>
      <c r="IE5" s="486"/>
      <c r="IF5" s="486"/>
      <c r="IG5" s="486"/>
      <c r="IH5" s="486"/>
      <c r="II5" s="486"/>
      <c r="IJ5" s="486"/>
      <c r="IK5" s="486"/>
      <c r="IL5" s="486"/>
      <c r="IM5" s="486"/>
      <c r="IN5" s="486"/>
      <c r="IO5" s="486"/>
      <c r="IP5" s="486"/>
      <c r="IQ5" s="486"/>
    </row>
    <row r="6" spans="1:251" x14ac:dyDescent="0.3">
      <c r="A6" s="1397" t="str">
        <f>ID!B6</f>
        <v>Nomor seri</v>
      </c>
      <c r="B6" s="1397"/>
      <c r="C6" s="1397"/>
      <c r="D6" s="270" t="s">
        <v>7</v>
      </c>
      <c r="E6" s="270" t="s">
        <v>7</v>
      </c>
      <c r="F6" s="287" t="str">
        <f>ID!E6</f>
        <v>-</v>
      </c>
      <c r="G6" s="270"/>
      <c r="H6" s="270"/>
      <c r="J6" s="287"/>
      <c r="K6" s="287"/>
      <c r="L6" s="287"/>
      <c r="M6" s="271"/>
      <c r="N6" s="271"/>
      <c r="O6" s="923"/>
      <c r="P6" s="923"/>
      <c r="Q6" s="923"/>
      <c r="R6" s="923"/>
      <c r="S6" s="923"/>
      <c r="T6" s="923"/>
      <c r="U6" s="923"/>
      <c r="V6" s="486"/>
      <c r="W6" s="486"/>
      <c r="X6" s="486"/>
      <c r="Y6" s="486"/>
      <c r="Z6" s="486"/>
      <c r="AA6" s="486"/>
      <c r="AB6" s="486"/>
      <c r="AC6" s="486"/>
      <c r="AD6" s="486"/>
      <c r="AE6" s="486"/>
      <c r="AF6" s="486"/>
      <c r="AG6" s="486"/>
      <c r="AH6" s="486"/>
      <c r="AI6" s="486"/>
      <c r="AJ6" s="486"/>
      <c r="AK6" s="486"/>
      <c r="AL6" s="486"/>
      <c r="AM6" s="486"/>
      <c r="AN6" s="486"/>
      <c r="AO6" s="486"/>
      <c r="AP6" s="486"/>
      <c r="AQ6" s="486"/>
      <c r="AR6" s="486"/>
      <c r="AS6" s="486"/>
      <c r="AT6" s="486"/>
      <c r="AU6" s="486"/>
      <c r="AV6" s="486"/>
      <c r="AW6" s="486"/>
      <c r="AX6" s="486"/>
      <c r="AY6" s="486"/>
      <c r="AZ6" s="486"/>
      <c r="BA6" s="486"/>
      <c r="BB6" s="486"/>
      <c r="BC6" s="486"/>
      <c r="BD6" s="486"/>
      <c r="BE6" s="486"/>
      <c r="BF6" s="486"/>
      <c r="BG6" s="486"/>
      <c r="BH6" s="486"/>
      <c r="BI6" s="486"/>
      <c r="BJ6" s="486"/>
      <c r="BK6" s="486"/>
      <c r="BL6" s="486"/>
      <c r="BM6" s="486"/>
      <c r="BN6" s="486"/>
      <c r="BO6" s="486"/>
      <c r="BP6" s="486"/>
      <c r="BQ6" s="486"/>
      <c r="BR6" s="486"/>
      <c r="BS6" s="486"/>
      <c r="BT6" s="486"/>
      <c r="BU6" s="486"/>
      <c r="BV6" s="486"/>
      <c r="BW6" s="486"/>
      <c r="BX6" s="486"/>
      <c r="BY6" s="486"/>
      <c r="BZ6" s="486"/>
      <c r="CA6" s="486"/>
      <c r="CB6" s="486"/>
      <c r="CC6" s="486"/>
      <c r="CD6" s="486"/>
      <c r="CE6" s="486"/>
      <c r="CF6" s="486"/>
      <c r="CG6" s="486"/>
      <c r="CH6" s="486"/>
      <c r="CI6" s="486"/>
      <c r="CJ6" s="486"/>
      <c r="CK6" s="486"/>
      <c r="CL6" s="486"/>
      <c r="CM6" s="486"/>
      <c r="CN6" s="486"/>
      <c r="CO6" s="486"/>
      <c r="CP6" s="486"/>
      <c r="CQ6" s="486"/>
      <c r="CR6" s="486"/>
      <c r="CS6" s="486"/>
      <c r="CT6" s="486"/>
      <c r="CU6" s="486"/>
      <c r="CV6" s="486"/>
      <c r="CW6" s="486"/>
      <c r="CX6" s="486"/>
      <c r="CY6" s="486"/>
      <c r="CZ6" s="486"/>
      <c r="DA6" s="486"/>
      <c r="DB6" s="486"/>
      <c r="DC6" s="486"/>
      <c r="DD6" s="486"/>
      <c r="DE6" s="486"/>
      <c r="DF6" s="486"/>
      <c r="DG6" s="486"/>
      <c r="DH6" s="486"/>
      <c r="DI6" s="486"/>
      <c r="DJ6" s="486"/>
      <c r="DK6" s="486"/>
      <c r="DL6" s="486"/>
      <c r="DM6" s="486"/>
      <c r="DN6" s="486"/>
      <c r="DO6" s="486"/>
      <c r="DP6" s="486"/>
      <c r="DQ6" s="486"/>
      <c r="DR6" s="486"/>
      <c r="DS6" s="486"/>
      <c r="DT6" s="486"/>
      <c r="DU6" s="486"/>
      <c r="DV6" s="486"/>
      <c r="DW6" s="486"/>
      <c r="DX6" s="486"/>
      <c r="DY6" s="486"/>
      <c r="DZ6" s="486"/>
      <c r="EA6" s="486"/>
      <c r="EB6" s="486"/>
      <c r="EC6" s="486"/>
      <c r="ED6" s="486"/>
      <c r="EE6" s="486"/>
      <c r="EF6" s="486"/>
      <c r="EG6" s="486"/>
      <c r="EH6" s="486"/>
      <c r="EI6" s="486"/>
      <c r="EJ6" s="486"/>
      <c r="EK6" s="486"/>
      <c r="EL6" s="486"/>
      <c r="EM6" s="486"/>
      <c r="EN6" s="486"/>
      <c r="EO6" s="486"/>
      <c r="EP6" s="486"/>
      <c r="EQ6" s="486"/>
      <c r="ER6" s="486"/>
      <c r="ES6" s="486"/>
      <c r="ET6" s="486"/>
      <c r="EU6" s="486"/>
      <c r="EV6" s="486"/>
      <c r="EW6" s="486"/>
      <c r="EX6" s="486"/>
      <c r="EY6" s="486"/>
      <c r="EZ6" s="486"/>
      <c r="FA6" s="486"/>
      <c r="FB6" s="486"/>
      <c r="FC6" s="486"/>
      <c r="FD6" s="486"/>
      <c r="FE6" s="486"/>
      <c r="FF6" s="486"/>
      <c r="FG6" s="486"/>
      <c r="FH6" s="486"/>
      <c r="FI6" s="486"/>
      <c r="FJ6" s="486"/>
      <c r="FK6" s="486"/>
      <c r="FL6" s="486"/>
      <c r="FM6" s="486"/>
      <c r="FN6" s="486"/>
      <c r="FO6" s="486"/>
      <c r="FP6" s="486"/>
      <c r="FQ6" s="486"/>
      <c r="FR6" s="486"/>
      <c r="FS6" s="486"/>
      <c r="FT6" s="486"/>
      <c r="FU6" s="486"/>
      <c r="FV6" s="486"/>
      <c r="FW6" s="486"/>
      <c r="FX6" s="486"/>
      <c r="FY6" s="486"/>
      <c r="FZ6" s="486"/>
      <c r="GA6" s="486"/>
      <c r="GB6" s="486"/>
      <c r="GC6" s="486"/>
      <c r="GD6" s="486"/>
      <c r="GE6" s="486"/>
      <c r="GF6" s="486"/>
      <c r="GG6" s="486"/>
      <c r="GH6" s="486"/>
      <c r="GI6" s="486"/>
      <c r="GJ6" s="486"/>
      <c r="GK6" s="486"/>
      <c r="GL6" s="486"/>
      <c r="GM6" s="486"/>
      <c r="GN6" s="486"/>
      <c r="GO6" s="486"/>
      <c r="GP6" s="486"/>
      <c r="GQ6" s="486"/>
      <c r="GR6" s="486"/>
      <c r="GS6" s="486"/>
      <c r="GT6" s="486"/>
      <c r="GU6" s="486"/>
      <c r="GV6" s="486"/>
      <c r="GW6" s="486"/>
      <c r="GX6" s="486"/>
      <c r="GY6" s="486"/>
      <c r="GZ6" s="486"/>
      <c r="HA6" s="486"/>
      <c r="HB6" s="486"/>
      <c r="HC6" s="486"/>
      <c r="HD6" s="486"/>
      <c r="HE6" s="486"/>
      <c r="HF6" s="486"/>
      <c r="HG6" s="486"/>
      <c r="HH6" s="486"/>
      <c r="HI6" s="486"/>
      <c r="HJ6" s="486"/>
      <c r="HK6" s="486"/>
      <c r="HL6" s="486"/>
      <c r="HM6" s="486"/>
      <c r="HN6" s="486"/>
      <c r="HO6" s="486"/>
      <c r="HP6" s="486"/>
      <c r="HQ6" s="486"/>
      <c r="HR6" s="486"/>
      <c r="HS6" s="486"/>
      <c r="HT6" s="486"/>
      <c r="HU6" s="486"/>
      <c r="HV6" s="486"/>
      <c r="HW6" s="486"/>
      <c r="HX6" s="486"/>
      <c r="HY6" s="486"/>
      <c r="HZ6" s="486"/>
      <c r="IA6" s="486"/>
      <c r="IB6" s="486"/>
      <c r="IC6" s="486"/>
      <c r="ID6" s="486"/>
      <c r="IE6" s="486"/>
      <c r="IF6" s="486"/>
      <c r="IG6" s="486"/>
      <c r="IH6" s="486"/>
      <c r="II6" s="486"/>
      <c r="IJ6" s="486"/>
      <c r="IK6" s="486"/>
      <c r="IL6" s="486"/>
      <c r="IM6" s="486"/>
      <c r="IN6" s="486"/>
      <c r="IO6" s="486"/>
      <c r="IP6" s="486"/>
      <c r="IQ6" s="486"/>
    </row>
    <row r="7" spans="1:251" x14ac:dyDescent="0.3">
      <c r="A7" s="287" t="str">
        <f>PENYELIA!A7</f>
        <v>Tanggal penerimaan alat</v>
      </c>
      <c r="B7" s="287"/>
      <c r="C7" s="287"/>
      <c r="D7" s="270"/>
      <c r="E7" s="270" t="s">
        <v>7</v>
      </c>
      <c r="F7" s="1432" t="str">
        <f>PENYELIA!F7</f>
        <v>3 Januari 2023</v>
      </c>
      <c r="G7" s="1432"/>
      <c r="H7" s="1432"/>
      <c r="J7" s="287"/>
      <c r="K7" s="287"/>
      <c r="L7" s="287"/>
      <c r="M7" s="271"/>
      <c r="N7" s="271"/>
      <c r="O7" s="923"/>
      <c r="P7" s="923"/>
      <c r="Q7" s="923"/>
      <c r="R7" s="923"/>
      <c r="S7" s="923"/>
      <c r="T7" s="923"/>
      <c r="U7" s="923"/>
      <c r="V7" s="486"/>
      <c r="W7" s="486"/>
      <c r="X7" s="486"/>
      <c r="Y7" s="486"/>
      <c r="Z7" s="486"/>
      <c r="AA7" s="486"/>
      <c r="AB7" s="486"/>
      <c r="AC7" s="486"/>
      <c r="AD7" s="486"/>
      <c r="AE7" s="486"/>
      <c r="AF7" s="486"/>
      <c r="AG7" s="486"/>
      <c r="AH7" s="486"/>
      <c r="AI7" s="486"/>
      <c r="AJ7" s="486"/>
      <c r="AK7" s="486"/>
      <c r="AL7" s="486"/>
      <c r="AM7" s="486"/>
      <c r="AN7" s="486"/>
      <c r="AO7" s="486"/>
      <c r="AP7" s="486"/>
      <c r="AQ7" s="486"/>
      <c r="AR7" s="486"/>
      <c r="AS7" s="486"/>
      <c r="AT7" s="486"/>
      <c r="AU7" s="486"/>
      <c r="AV7" s="486"/>
      <c r="AW7" s="486"/>
      <c r="AX7" s="486"/>
      <c r="AY7" s="486"/>
      <c r="AZ7" s="486"/>
      <c r="BA7" s="486"/>
      <c r="BB7" s="486"/>
      <c r="BC7" s="486"/>
      <c r="BD7" s="486"/>
      <c r="BE7" s="486"/>
      <c r="BF7" s="486"/>
      <c r="BG7" s="486"/>
      <c r="BH7" s="486"/>
      <c r="BI7" s="486"/>
      <c r="BJ7" s="486"/>
      <c r="BK7" s="486"/>
      <c r="BL7" s="486"/>
      <c r="BM7" s="486"/>
      <c r="BN7" s="486"/>
      <c r="BO7" s="486"/>
      <c r="BP7" s="486"/>
      <c r="BQ7" s="486"/>
      <c r="BR7" s="486"/>
      <c r="BS7" s="486"/>
      <c r="BT7" s="486"/>
      <c r="BU7" s="486"/>
      <c r="BV7" s="486"/>
      <c r="BW7" s="486"/>
      <c r="BX7" s="486"/>
      <c r="BY7" s="486"/>
      <c r="BZ7" s="486"/>
      <c r="CA7" s="486"/>
      <c r="CB7" s="486"/>
      <c r="CC7" s="486"/>
      <c r="CD7" s="486"/>
      <c r="CE7" s="486"/>
      <c r="CF7" s="486"/>
      <c r="CG7" s="486"/>
      <c r="CH7" s="486"/>
      <c r="CI7" s="486"/>
      <c r="CJ7" s="486"/>
      <c r="CK7" s="486"/>
      <c r="CL7" s="486"/>
      <c r="CM7" s="486"/>
      <c r="CN7" s="486"/>
      <c r="CO7" s="486"/>
      <c r="CP7" s="486"/>
      <c r="CQ7" s="486"/>
      <c r="CR7" s="486"/>
      <c r="CS7" s="486"/>
      <c r="CT7" s="486"/>
      <c r="CU7" s="486"/>
      <c r="CV7" s="486"/>
      <c r="CW7" s="486"/>
      <c r="CX7" s="486"/>
      <c r="CY7" s="486"/>
      <c r="CZ7" s="486"/>
      <c r="DA7" s="486"/>
      <c r="DB7" s="486"/>
      <c r="DC7" s="486"/>
      <c r="DD7" s="486"/>
      <c r="DE7" s="486"/>
      <c r="DF7" s="486"/>
      <c r="DG7" s="486"/>
      <c r="DH7" s="486"/>
      <c r="DI7" s="486"/>
      <c r="DJ7" s="486"/>
      <c r="DK7" s="486"/>
      <c r="DL7" s="486"/>
      <c r="DM7" s="486"/>
      <c r="DN7" s="486"/>
      <c r="DO7" s="486"/>
      <c r="DP7" s="486"/>
      <c r="DQ7" s="486"/>
      <c r="DR7" s="486"/>
      <c r="DS7" s="486"/>
      <c r="DT7" s="486"/>
      <c r="DU7" s="486"/>
      <c r="DV7" s="486"/>
      <c r="DW7" s="486"/>
      <c r="DX7" s="486"/>
      <c r="DY7" s="486"/>
      <c r="DZ7" s="486"/>
      <c r="EA7" s="486"/>
      <c r="EB7" s="486"/>
      <c r="EC7" s="486"/>
      <c r="ED7" s="486"/>
      <c r="EE7" s="486"/>
      <c r="EF7" s="486"/>
      <c r="EG7" s="486"/>
      <c r="EH7" s="486"/>
      <c r="EI7" s="486"/>
      <c r="EJ7" s="486"/>
      <c r="EK7" s="486"/>
      <c r="EL7" s="486"/>
      <c r="EM7" s="486"/>
      <c r="EN7" s="486"/>
      <c r="EO7" s="486"/>
      <c r="EP7" s="486"/>
      <c r="EQ7" s="486"/>
      <c r="ER7" s="486"/>
      <c r="ES7" s="486"/>
      <c r="ET7" s="486"/>
      <c r="EU7" s="486"/>
      <c r="EV7" s="486"/>
      <c r="EW7" s="486"/>
      <c r="EX7" s="486"/>
      <c r="EY7" s="486"/>
      <c r="EZ7" s="486"/>
      <c r="FA7" s="486"/>
      <c r="FB7" s="486"/>
      <c r="FC7" s="486"/>
      <c r="FD7" s="486"/>
      <c r="FE7" s="486"/>
      <c r="FF7" s="486"/>
      <c r="FG7" s="486"/>
      <c r="FH7" s="486"/>
      <c r="FI7" s="486"/>
      <c r="FJ7" s="486"/>
      <c r="FK7" s="486"/>
      <c r="FL7" s="486"/>
      <c r="FM7" s="486"/>
      <c r="FN7" s="486"/>
      <c r="FO7" s="486"/>
      <c r="FP7" s="486"/>
      <c r="FQ7" s="486"/>
      <c r="FR7" s="486"/>
      <c r="FS7" s="486"/>
      <c r="FT7" s="486"/>
      <c r="FU7" s="486"/>
      <c r="FV7" s="486"/>
      <c r="FW7" s="486"/>
      <c r="FX7" s="486"/>
      <c r="FY7" s="486"/>
      <c r="FZ7" s="486"/>
      <c r="GA7" s="486"/>
      <c r="GB7" s="486"/>
      <c r="GC7" s="486"/>
      <c r="GD7" s="486"/>
      <c r="GE7" s="486"/>
      <c r="GF7" s="486"/>
      <c r="GG7" s="486"/>
      <c r="GH7" s="486"/>
      <c r="GI7" s="486"/>
      <c r="GJ7" s="486"/>
      <c r="GK7" s="486"/>
      <c r="GL7" s="486"/>
      <c r="GM7" s="486"/>
      <c r="GN7" s="486"/>
      <c r="GO7" s="486"/>
      <c r="GP7" s="486"/>
      <c r="GQ7" s="486"/>
      <c r="GR7" s="486"/>
      <c r="GS7" s="486"/>
      <c r="GT7" s="486"/>
      <c r="GU7" s="486"/>
      <c r="GV7" s="486"/>
      <c r="GW7" s="486"/>
      <c r="GX7" s="486"/>
      <c r="GY7" s="486"/>
      <c r="GZ7" s="486"/>
      <c r="HA7" s="486"/>
      <c r="HB7" s="486"/>
      <c r="HC7" s="486"/>
      <c r="HD7" s="486"/>
      <c r="HE7" s="486"/>
      <c r="HF7" s="486"/>
      <c r="HG7" s="486"/>
      <c r="HH7" s="486"/>
      <c r="HI7" s="486"/>
      <c r="HJ7" s="486"/>
      <c r="HK7" s="486"/>
      <c r="HL7" s="486"/>
      <c r="HM7" s="486"/>
      <c r="HN7" s="486"/>
      <c r="HO7" s="486"/>
      <c r="HP7" s="486"/>
      <c r="HQ7" s="486"/>
      <c r="HR7" s="486"/>
      <c r="HS7" s="486"/>
      <c r="HT7" s="486"/>
      <c r="HU7" s="486"/>
      <c r="HV7" s="486"/>
      <c r="HW7" s="486"/>
      <c r="HX7" s="486"/>
      <c r="HY7" s="486"/>
      <c r="HZ7" s="486"/>
      <c r="IA7" s="486"/>
      <c r="IB7" s="486"/>
      <c r="IC7" s="486"/>
      <c r="ID7" s="486"/>
      <c r="IE7" s="486"/>
      <c r="IF7" s="486"/>
      <c r="IG7" s="486"/>
      <c r="IH7" s="486"/>
      <c r="II7" s="486"/>
      <c r="IJ7" s="486"/>
      <c r="IK7" s="486"/>
      <c r="IL7" s="486"/>
      <c r="IM7" s="486"/>
      <c r="IN7" s="486"/>
      <c r="IO7" s="486"/>
      <c r="IP7" s="486"/>
      <c r="IQ7" s="486"/>
    </row>
    <row r="8" spans="1:251" x14ac:dyDescent="0.3">
      <c r="A8" s="287" t="str">
        <f>ID!B8</f>
        <v>Tanggal kalibrasi</v>
      </c>
      <c r="B8" s="287"/>
      <c r="C8" s="287"/>
      <c r="D8" s="270"/>
      <c r="E8" s="270" t="s">
        <v>7</v>
      </c>
      <c r="F8" s="1432" t="str">
        <f>PENYELIA!F8</f>
        <v>3 Januari 2023</v>
      </c>
      <c r="G8" s="1432"/>
      <c r="H8" s="1432"/>
      <c r="J8" s="270"/>
      <c r="K8" s="270"/>
      <c r="L8" s="270"/>
      <c r="M8" s="271"/>
      <c r="N8" s="271"/>
      <c r="O8" s="923"/>
      <c r="P8" s="923"/>
      <c r="Q8" s="923"/>
      <c r="R8" s="923"/>
      <c r="S8" s="923"/>
      <c r="T8" s="923"/>
      <c r="U8" s="923"/>
      <c r="V8" s="486"/>
      <c r="W8" s="486"/>
      <c r="X8" s="486"/>
      <c r="Y8" s="486"/>
      <c r="Z8" s="486"/>
      <c r="AA8" s="486"/>
      <c r="AB8" s="486"/>
      <c r="AC8" s="486"/>
      <c r="AD8" s="486"/>
      <c r="AE8" s="486"/>
      <c r="AF8" s="486"/>
      <c r="AG8" s="486"/>
      <c r="AH8" s="486"/>
      <c r="AI8" s="486"/>
      <c r="AJ8" s="486"/>
      <c r="AK8" s="486"/>
      <c r="AL8" s="486"/>
      <c r="AM8" s="486"/>
      <c r="AN8" s="486"/>
      <c r="AO8" s="486"/>
      <c r="AP8" s="486"/>
      <c r="AQ8" s="486"/>
      <c r="AR8" s="486"/>
      <c r="AS8" s="486"/>
      <c r="AT8" s="486"/>
      <c r="AU8" s="486"/>
      <c r="AV8" s="486"/>
      <c r="AW8" s="486"/>
      <c r="AX8" s="486"/>
      <c r="AY8" s="486"/>
      <c r="AZ8" s="486"/>
      <c r="BA8" s="486"/>
      <c r="BB8" s="486"/>
      <c r="BC8" s="486"/>
      <c r="BD8" s="486"/>
      <c r="BE8" s="486"/>
      <c r="BF8" s="486"/>
      <c r="BG8" s="486"/>
      <c r="BH8" s="486"/>
      <c r="BI8" s="486"/>
      <c r="BJ8" s="486"/>
      <c r="BK8" s="486"/>
      <c r="BL8" s="486"/>
      <c r="BM8" s="486"/>
      <c r="BN8" s="486"/>
      <c r="BO8" s="486"/>
      <c r="BP8" s="486"/>
      <c r="BQ8" s="486"/>
      <c r="BR8" s="486"/>
      <c r="BS8" s="486"/>
      <c r="BT8" s="486"/>
      <c r="BU8" s="486"/>
      <c r="BV8" s="486"/>
      <c r="BW8" s="486"/>
      <c r="BX8" s="486"/>
      <c r="BY8" s="486"/>
      <c r="BZ8" s="486"/>
      <c r="CA8" s="486"/>
      <c r="CB8" s="486"/>
      <c r="CC8" s="486"/>
      <c r="CD8" s="486"/>
      <c r="CE8" s="486"/>
      <c r="CF8" s="486"/>
      <c r="CG8" s="486"/>
      <c r="CH8" s="486"/>
      <c r="CI8" s="486"/>
      <c r="CJ8" s="486"/>
      <c r="CK8" s="486"/>
      <c r="CL8" s="486"/>
      <c r="CM8" s="486"/>
      <c r="CN8" s="486"/>
      <c r="CO8" s="486"/>
      <c r="CP8" s="486"/>
      <c r="CQ8" s="486"/>
      <c r="CR8" s="486"/>
      <c r="CS8" s="486"/>
      <c r="CT8" s="486"/>
      <c r="CU8" s="486"/>
      <c r="CV8" s="486"/>
      <c r="CW8" s="486"/>
      <c r="CX8" s="486"/>
      <c r="CY8" s="486"/>
      <c r="CZ8" s="486"/>
      <c r="DA8" s="486"/>
      <c r="DB8" s="486"/>
      <c r="DC8" s="486"/>
      <c r="DD8" s="486"/>
      <c r="DE8" s="486"/>
      <c r="DF8" s="486"/>
      <c r="DG8" s="486"/>
      <c r="DH8" s="486"/>
      <c r="DI8" s="486"/>
      <c r="DJ8" s="486"/>
      <c r="DK8" s="486"/>
      <c r="DL8" s="486"/>
      <c r="DM8" s="486"/>
      <c r="DN8" s="486"/>
      <c r="DO8" s="486"/>
      <c r="DP8" s="486"/>
      <c r="DQ8" s="486"/>
      <c r="DR8" s="486"/>
      <c r="DS8" s="486"/>
      <c r="DT8" s="486"/>
      <c r="DU8" s="486"/>
      <c r="DV8" s="486"/>
      <c r="DW8" s="486"/>
      <c r="DX8" s="486"/>
      <c r="DY8" s="486"/>
      <c r="DZ8" s="486"/>
      <c r="EA8" s="486"/>
      <c r="EB8" s="486"/>
      <c r="EC8" s="486"/>
      <c r="ED8" s="486"/>
      <c r="EE8" s="486"/>
      <c r="EF8" s="486"/>
      <c r="EG8" s="486"/>
      <c r="EH8" s="486"/>
      <c r="EI8" s="486"/>
      <c r="EJ8" s="486"/>
      <c r="EK8" s="486"/>
      <c r="EL8" s="486"/>
      <c r="EM8" s="486"/>
      <c r="EN8" s="486"/>
      <c r="EO8" s="486"/>
      <c r="EP8" s="486"/>
      <c r="EQ8" s="486"/>
      <c r="ER8" s="486"/>
      <c r="ES8" s="486"/>
      <c r="ET8" s="486"/>
      <c r="EU8" s="486"/>
      <c r="EV8" s="486"/>
      <c r="EW8" s="486"/>
      <c r="EX8" s="486"/>
      <c r="EY8" s="486"/>
      <c r="EZ8" s="486"/>
      <c r="FA8" s="486"/>
      <c r="FB8" s="486"/>
      <c r="FC8" s="486"/>
      <c r="FD8" s="486"/>
      <c r="FE8" s="486"/>
      <c r="FF8" s="486"/>
      <c r="FG8" s="486"/>
      <c r="FH8" s="486"/>
      <c r="FI8" s="486"/>
      <c r="FJ8" s="486"/>
      <c r="FK8" s="486"/>
      <c r="FL8" s="486"/>
      <c r="FM8" s="486"/>
      <c r="FN8" s="486"/>
      <c r="FO8" s="486"/>
      <c r="FP8" s="486"/>
      <c r="FQ8" s="486"/>
      <c r="FR8" s="486"/>
      <c r="FS8" s="486"/>
      <c r="FT8" s="486"/>
      <c r="FU8" s="486"/>
      <c r="FV8" s="486"/>
      <c r="FW8" s="486"/>
      <c r="FX8" s="486"/>
      <c r="FY8" s="486"/>
      <c r="FZ8" s="486"/>
      <c r="GA8" s="486"/>
      <c r="GB8" s="486"/>
      <c r="GC8" s="486"/>
      <c r="GD8" s="486"/>
      <c r="GE8" s="486"/>
      <c r="GF8" s="486"/>
      <c r="GG8" s="486"/>
      <c r="GH8" s="486"/>
      <c r="GI8" s="486"/>
      <c r="GJ8" s="486"/>
      <c r="GK8" s="486"/>
      <c r="GL8" s="486"/>
      <c r="GM8" s="486"/>
      <c r="GN8" s="486"/>
      <c r="GO8" s="486"/>
      <c r="GP8" s="486"/>
      <c r="GQ8" s="486"/>
      <c r="GR8" s="486"/>
      <c r="GS8" s="486"/>
      <c r="GT8" s="486"/>
      <c r="GU8" s="486"/>
      <c r="GV8" s="486"/>
      <c r="GW8" s="486"/>
      <c r="GX8" s="486"/>
      <c r="GY8" s="486"/>
      <c r="GZ8" s="486"/>
      <c r="HA8" s="486"/>
      <c r="HB8" s="486"/>
      <c r="HC8" s="486"/>
      <c r="HD8" s="486"/>
      <c r="HE8" s="486"/>
      <c r="HF8" s="486"/>
      <c r="HG8" s="486"/>
      <c r="HH8" s="486"/>
      <c r="HI8" s="486"/>
      <c r="HJ8" s="486"/>
      <c r="HK8" s="486"/>
      <c r="HL8" s="486"/>
      <c r="HM8" s="486"/>
      <c r="HN8" s="486"/>
      <c r="HO8" s="486"/>
      <c r="HP8" s="486"/>
      <c r="HQ8" s="486"/>
      <c r="HR8" s="486"/>
      <c r="HS8" s="486"/>
      <c r="HT8" s="486"/>
      <c r="HU8" s="486"/>
      <c r="HV8" s="486"/>
      <c r="HW8" s="486"/>
      <c r="HX8" s="486"/>
      <c r="HY8" s="486"/>
      <c r="HZ8" s="486"/>
      <c r="IA8" s="486"/>
      <c r="IB8" s="486"/>
      <c r="IC8" s="486"/>
      <c r="ID8" s="486"/>
      <c r="IE8" s="486"/>
      <c r="IF8" s="486"/>
      <c r="IG8" s="486"/>
      <c r="IH8" s="486"/>
      <c r="II8" s="486"/>
      <c r="IJ8" s="486"/>
      <c r="IK8" s="486"/>
      <c r="IL8" s="486"/>
      <c r="IM8" s="486"/>
      <c r="IN8" s="486"/>
      <c r="IO8" s="486"/>
      <c r="IP8" s="486"/>
      <c r="IQ8" s="486"/>
    </row>
    <row r="9" spans="1:251" x14ac:dyDescent="0.3">
      <c r="A9" s="1397" t="str">
        <f>ID!B9</f>
        <v>Tempat kalibrasi</v>
      </c>
      <c r="B9" s="1397"/>
      <c r="C9" s="1397"/>
      <c r="D9" s="270" t="s">
        <v>7</v>
      </c>
      <c r="E9" s="270" t="s">
        <v>7</v>
      </c>
      <c r="F9" s="287" t="str">
        <f>ID!E9</f>
        <v>-</v>
      </c>
      <c r="G9" s="270"/>
      <c r="H9" s="270"/>
      <c r="J9" s="270"/>
      <c r="K9" s="270"/>
      <c r="L9" s="270"/>
      <c r="M9" s="271"/>
      <c r="N9" s="271"/>
      <c r="O9" s="923"/>
      <c r="P9" s="923"/>
      <c r="Q9" s="923"/>
      <c r="R9" s="923"/>
      <c r="S9" s="923"/>
      <c r="T9" s="923"/>
      <c r="U9" s="923"/>
      <c r="V9" s="486"/>
      <c r="W9" s="486"/>
      <c r="X9" s="486"/>
      <c r="Y9" s="486"/>
      <c r="Z9" s="486"/>
      <c r="AA9" s="486"/>
      <c r="AB9" s="486"/>
      <c r="AC9" s="486"/>
      <c r="AD9" s="486"/>
      <c r="AE9" s="486"/>
      <c r="AF9" s="486"/>
      <c r="AG9" s="486"/>
      <c r="AH9" s="486"/>
      <c r="AI9" s="486"/>
      <c r="AJ9" s="486"/>
      <c r="AK9" s="486"/>
      <c r="AL9" s="486"/>
      <c r="AM9" s="486"/>
      <c r="AN9" s="486"/>
      <c r="AO9" s="486"/>
      <c r="AP9" s="486"/>
      <c r="AQ9" s="486"/>
      <c r="AR9" s="486"/>
      <c r="AS9" s="486"/>
      <c r="AT9" s="486"/>
      <c r="AU9" s="486"/>
      <c r="AV9" s="486"/>
      <c r="AW9" s="486"/>
      <c r="AX9" s="486"/>
      <c r="AY9" s="486"/>
      <c r="AZ9" s="486"/>
      <c r="BA9" s="486"/>
      <c r="BB9" s="486"/>
      <c r="BC9" s="486"/>
      <c r="BD9" s="486"/>
      <c r="BE9" s="486"/>
      <c r="BF9" s="486"/>
      <c r="BG9" s="486"/>
      <c r="BH9" s="486"/>
      <c r="BI9" s="486"/>
      <c r="BJ9" s="486"/>
      <c r="BK9" s="486"/>
      <c r="BL9" s="486"/>
      <c r="BM9" s="486"/>
      <c r="BN9" s="486"/>
      <c r="BO9" s="486"/>
      <c r="BP9" s="486"/>
      <c r="BQ9" s="486"/>
      <c r="BR9" s="486"/>
      <c r="BS9" s="486"/>
      <c r="BT9" s="486"/>
      <c r="BU9" s="486"/>
      <c r="BV9" s="486"/>
      <c r="BW9" s="486"/>
      <c r="BX9" s="486"/>
      <c r="BY9" s="486"/>
      <c r="BZ9" s="486"/>
      <c r="CA9" s="486"/>
      <c r="CB9" s="486"/>
      <c r="CC9" s="486"/>
      <c r="CD9" s="486"/>
      <c r="CE9" s="486"/>
      <c r="CF9" s="486"/>
      <c r="CG9" s="486"/>
      <c r="CH9" s="486"/>
      <c r="CI9" s="486"/>
      <c r="CJ9" s="486"/>
      <c r="CK9" s="486"/>
      <c r="CL9" s="486"/>
      <c r="CM9" s="486"/>
      <c r="CN9" s="486"/>
      <c r="CO9" s="486"/>
      <c r="CP9" s="486"/>
      <c r="CQ9" s="486"/>
      <c r="CR9" s="486"/>
      <c r="CS9" s="486"/>
      <c r="CT9" s="486"/>
      <c r="CU9" s="486"/>
      <c r="CV9" s="486"/>
      <c r="CW9" s="486"/>
      <c r="CX9" s="486"/>
      <c r="CY9" s="486"/>
      <c r="CZ9" s="486"/>
      <c r="DA9" s="486"/>
      <c r="DB9" s="486"/>
      <c r="DC9" s="486"/>
      <c r="DD9" s="486"/>
      <c r="DE9" s="486"/>
      <c r="DF9" s="486"/>
      <c r="DG9" s="486"/>
      <c r="DH9" s="486"/>
      <c r="DI9" s="486"/>
      <c r="DJ9" s="486"/>
      <c r="DK9" s="486"/>
      <c r="DL9" s="486"/>
      <c r="DM9" s="486"/>
      <c r="DN9" s="486"/>
      <c r="DO9" s="486"/>
      <c r="DP9" s="486"/>
      <c r="DQ9" s="486"/>
      <c r="DR9" s="486"/>
      <c r="DS9" s="486"/>
      <c r="DT9" s="486"/>
      <c r="DU9" s="486"/>
      <c r="DV9" s="486"/>
      <c r="DW9" s="486"/>
      <c r="DX9" s="486"/>
      <c r="DY9" s="486"/>
      <c r="DZ9" s="486"/>
      <c r="EA9" s="486"/>
      <c r="EB9" s="486"/>
      <c r="EC9" s="486"/>
      <c r="ED9" s="486"/>
      <c r="EE9" s="486"/>
      <c r="EF9" s="486"/>
      <c r="EG9" s="486"/>
      <c r="EH9" s="486"/>
      <c r="EI9" s="486"/>
      <c r="EJ9" s="486"/>
      <c r="EK9" s="486"/>
      <c r="EL9" s="486"/>
      <c r="EM9" s="486"/>
      <c r="EN9" s="486"/>
      <c r="EO9" s="486"/>
      <c r="EP9" s="486"/>
      <c r="EQ9" s="486"/>
      <c r="ER9" s="486"/>
      <c r="ES9" s="486"/>
      <c r="ET9" s="486"/>
      <c r="EU9" s="486"/>
      <c r="EV9" s="486"/>
      <c r="EW9" s="486"/>
      <c r="EX9" s="486"/>
      <c r="EY9" s="486"/>
      <c r="EZ9" s="486"/>
      <c r="FA9" s="486"/>
      <c r="FB9" s="486"/>
      <c r="FC9" s="486"/>
      <c r="FD9" s="486"/>
      <c r="FE9" s="486"/>
      <c r="FF9" s="486"/>
      <c r="FG9" s="486"/>
      <c r="FH9" s="486"/>
      <c r="FI9" s="486"/>
      <c r="FJ9" s="486"/>
      <c r="FK9" s="486"/>
      <c r="FL9" s="486"/>
      <c r="FM9" s="486"/>
      <c r="FN9" s="486"/>
      <c r="FO9" s="486"/>
      <c r="FP9" s="486"/>
      <c r="FQ9" s="486"/>
      <c r="FR9" s="486"/>
      <c r="FS9" s="486"/>
      <c r="FT9" s="486"/>
      <c r="FU9" s="486"/>
      <c r="FV9" s="486"/>
      <c r="FW9" s="486"/>
      <c r="FX9" s="486"/>
      <c r="FY9" s="486"/>
      <c r="FZ9" s="486"/>
      <c r="GA9" s="486"/>
      <c r="GB9" s="486"/>
      <c r="GC9" s="486"/>
      <c r="GD9" s="486"/>
      <c r="GE9" s="486"/>
      <c r="GF9" s="486"/>
      <c r="GG9" s="486"/>
      <c r="GH9" s="486"/>
      <c r="GI9" s="486"/>
      <c r="GJ9" s="486"/>
      <c r="GK9" s="486"/>
      <c r="GL9" s="486"/>
      <c r="GM9" s="486"/>
      <c r="GN9" s="486"/>
      <c r="GO9" s="486"/>
      <c r="GP9" s="486"/>
      <c r="GQ9" s="486"/>
      <c r="GR9" s="486"/>
      <c r="GS9" s="486"/>
      <c r="GT9" s="486"/>
      <c r="GU9" s="486"/>
      <c r="GV9" s="486"/>
      <c r="GW9" s="486"/>
      <c r="GX9" s="486"/>
      <c r="GY9" s="486"/>
      <c r="GZ9" s="486"/>
      <c r="HA9" s="486"/>
      <c r="HB9" s="486"/>
      <c r="HC9" s="486"/>
      <c r="HD9" s="486"/>
      <c r="HE9" s="486"/>
      <c r="HF9" s="486"/>
      <c r="HG9" s="486"/>
      <c r="HH9" s="486"/>
      <c r="HI9" s="486"/>
      <c r="HJ9" s="486"/>
      <c r="HK9" s="486"/>
      <c r="HL9" s="486"/>
      <c r="HM9" s="486"/>
      <c r="HN9" s="486"/>
      <c r="HO9" s="486"/>
      <c r="HP9" s="486"/>
      <c r="HQ9" s="486"/>
      <c r="HR9" s="486"/>
      <c r="HS9" s="486"/>
      <c r="HT9" s="486"/>
      <c r="HU9" s="486"/>
      <c r="HV9" s="486"/>
      <c r="HW9" s="486"/>
      <c r="HX9" s="486"/>
      <c r="HY9" s="486"/>
      <c r="HZ9" s="486"/>
      <c r="IA9" s="486"/>
      <c r="IB9" s="486"/>
      <c r="IC9" s="486"/>
      <c r="ID9" s="486"/>
      <c r="IE9" s="486"/>
      <c r="IF9" s="486"/>
      <c r="IG9" s="486"/>
      <c r="IH9" s="486"/>
      <c r="II9" s="486"/>
      <c r="IJ9" s="486"/>
      <c r="IK9" s="486"/>
      <c r="IL9" s="486"/>
      <c r="IM9" s="486"/>
      <c r="IN9" s="486"/>
      <c r="IO9" s="486"/>
      <c r="IP9" s="486"/>
      <c r="IQ9" s="486"/>
    </row>
    <row r="10" spans="1:251" x14ac:dyDescent="0.3">
      <c r="A10" s="287" t="str">
        <f>ID!B10</f>
        <v>Nama ruang</v>
      </c>
      <c r="B10" s="287"/>
      <c r="C10" s="287"/>
      <c r="D10" s="270"/>
      <c r="E10" s="270" t="s">
        <v>7</v>
      </c>
      <c r="F10" s="287" t="str">
        <f>ID!E10</f>
        <v>-</v>
      </c>
      <c r="G10" s="270"/>
      <c r="H10" s="270"/>
      <c r="J10" s="270"/>
      <c r="K10" s="270"/>
      <c r="L10" s="270"/>
      <c r="M10" s="271"/>
      <c r="N10" s="271"/>
      <c r="O10" s="923"/>
      <c r="P10" s="923"/>
      <c r="Q10" s="923"/>
      <c r="R10" s="923"/>
      <c r="S10" s="923"/>
      <c r="T10" s="923"/>
      <c r="U10" s="923"/>
      <c r="V10" s="486"/>
      <c r="W10" s="486"/>
      <c r="X10" s="486"/>
      <c r="Y10" s="486"/>
      <c r="Z10" s="486"/>
      <c r="AA10" s="486"/>
      <c r="AB10" s="486"/>
      <c r="AC10" s="486"/>
      <c r="AD10" s="486"/>
      <c r="AE10" s="486"/>
      <c r="AF10" s="486"/>
      <c r="AG10" s="486"/>
      <c r="AH10" s="486"/>
      <c r="AI10" s="486"/>
      <c r="AJ10" s="486"/>
      <c r="AK10" s="486"/>
      <c r="AL10" s="486"/>
      <c r="AM10" s="486"/>
      <c r="AN10" s="486"/>
      <c r="AO10" s="486"/>
      <c r="AP10" s="486"/>
      <c r="AQ10" s="486"/>
      <c r="AR10" s="486"/>
      <c r="AS10" s="486"/>
      <c r="AT10" s="486"/>
      <c r="AU10" s="486"/>
      <c r="AV10" s="486"/>
      <c r="AW10" s="486"/>
      <c r="AX10" s="486"/>
      <c r="AY10" s="486"/>
      <c r="AZ10" s="486"/>
      <c r="BA10" s="486"/>
      <c r="BB10" s="486"/>
      <c r="BC10" s="486"/>
      <c r="BD10" s="486"/>
      <c r="BE10" s="486"/>
      <c r="BF10" s="486"/>
      <c r="BG10" s="486"/>
      <c r="BH10" s="486"/>
      <c r="BI10" s="486"/>
      <c r="BJ10" s="486"/>
      <c r="BK10" s="486"/>
      <c r="BL10" s="486"/>
      <c r="BM10" s="486"/>
      <c r="BN10" s="486"/>
      <c r="BO10" s="486"/>
      <c r="BP10" s="486"/>
      <c r="BQ10" s="486"/>
      <c r="BR10" s="486"/>
      <c r="BS10" s="486"/>
      <c r="BT10" s="486"/>
      <c r="BU10" s="486"/>
      <c r="BV10" s="486"/>
      <c r="BW10" s="486"/>
      <c r="BX10" s="486"/>
      <c r="BY10" s="486"/>
      <c r="BZ10" s="486"/>
      <c r="CA10" s="486"/>
      <c r="CB10" s="486"/>
      <c r="CC10" s="486"/>
      <c r="CD10" s="486"/>
      <c r="CE10" s="486"/>
      <c r="CF10" s="486"/>
      <c r="CG10" s="486"/>
      <c r="CH10" s="486"/>
      <c r="CI10" s="486"/>
      <c r="CJ10" s="486"/>
      <c r="CK10" s="486"/>
      <c r="CL10" s="486"/>
      <c r="CM10" s="486"/>
      <c r="CN10" s="486"/>
      <c r="CO10" s="486"/>
      <c r="CP10" s="486"/>
      <c r="CQ10" s="486"/>
      <c r="CR10" s="486"/>
      <c r="CS10" s="486"/>
      <c r="CT10" s="486"/>
      <c r="CU10" s="486"/>
      <c r="CV10" s="486"/>
      <c r="CW10" s="486"/>
      <c r="CX10" s="486"/>
      <c r="CY10" s="486"/>
      <c r="CZ10" s="486"/>
      <c r="DA10" s="486"/>
      <c r="DB10" s="486"/>
      <c r="DC10" s="486"/>
      <c r="DD10" s="486"/>
      <c r="DE10" s="486"/>
      <c r="DF10" s="486"/>
      <c r="DG10" s="486"/>
      <c r="DH10" s="486"/>
      <c r="DI10" s="486"/>
      <c r="DJ10" s="486"/>
      <c r="DK10" s="486"/>
      <c r="DL10" s="486"/>
      <c r="DM10" s="486"/>
      <c r="DN10" s="486"/>
      <c r="DO10" s="486"/>
      <c r="DP10" s="486"/>
      <c r="DQ10" s="486"/>
      <c r="DR10" s="486"/>
      <c r="DS10" s="486"/>
      <c r="DT10" s="486"/>
      <c r="DU10" s="486"/>
      <c r="DV10" s="486"/>
      <c r="DW10" s="486"/>
      <c r="DX10" s="486"/>
      <c r="DY10" s="486"/>
      <c r="DZ10" s="486"/>
      <c r="EA10" s="486"/>
      <c r="EB10" s="486"/>
      <c r="EC10" s="486"/>
      <c r="ED10" s="486"/>
      <c r="EE10" s="486"/>
      <c r="EF10" s="486"/>
      <c r="EG10" s="486"/>
      <c r="EH10" s="486"/>
      <c r="EI10" s="486"/>
      <c r="EJ10" s="486"/>
      <c r="EK10" s="486"/>
      <c r="EL10" s="486"/>
      <c r="EM10" s="486"/>
      <c r="EN10" s="486"/>
      <c r="EO10" s="486"/>
      <c r="EP10" s="486"/>
      <c r="EQ10" s="486"/>
      <c r="ER10" s="486"/>
      <c r="ES10" s="486"/>
      <c r="ET10" s="486"/>
      <c r="EU10" s="486"/>
      <c r="EV10" s="486"/>
      <c r="EW10" s="486"/>
      <c r="EX10" s="486"/>
      <c r="EY10" s="486"/>
      <c r="EZ10" s="486"/>
      <c r="FA10" s="486"/>
      <c r="FB10" s="486"/>
      <c r="FC10" s="486"/>
      <c r="FD10" s="486"/>
      <c r="FE10" s="486"/>
      <c r="FF10" s="486"/>
      <c r="FG10" s="486"/>
      <c r="FH10" s="486"/>
      <c r="FI10" s="486"/>
      <c r="FJ10" s="486"/>
      <c r="FK10" s="486"/>
      <c r="FL10" s="486"/>
      <c r="FM10" s="486"/>
      <c r="FN10" s="486"/>
      <c r="FO10" s="486"/>
      <c r="FP10" s="486"/>
      <c r="FQ10" s="486"/>
      <c r="FR10" s="486"/>
      <c r="FS10" s="486"/>
      <c r="FT10" s="486"/>
      <c r="FU10" s="486"/>
      <c r="FV10" s="486"/>
      <c r="FW10" s="486"/>
      <c r="FX10" s="486"/>
      <c r="FY10" s="486"/>
      <c r="FZ10" s="486"/>
      <c r="GA10" s="486"/>
      <c r="GB10" s="486"/>
      <c r="GC10" s="486"/>
      <c r="GD10" s="486"/>
      <c r="GE10" s="486"/>
      <c r="GF10" s="486"/>
      <c r="GG10" s="486"/>
      <c r="GH10" s="486"/>
      <c r="GI10" s="486"/>
      <c r="GJ10" s="486"/>
      <c r="GK10" s="486"/>
      <c r="GL10" s="486"/>
      <c r="GM10" s="486"/>
      <c r="GN10" s="486"/>
      <c r="GO10" s="486"/>
      <c r="GP10" s="486"/>
      <c r="GQ10" s="486"/>
      <c r="GR10" s="486"/>
      <c r="GS10" s="486"/>
      <c r="GT10" s="486"/>
      <c r="GU10" s="486"/>
      <c r="GV10" s="486"/>
      <c r="GW10" s="486"/>
      <c r="GX10" s="486"/>
      <c r="GY10" s="486"/>
      <c r="GZ10" s="486"/>
      <c r="HA10" s="486"/>
      <c r="HB10" s="486"/>
      <c r="HC10" s="486"/>
      <c r="HD10" s="486"/>
      <c r="HE10" s="486"/>
      <c r="HF10" s="486"/>
      <c r="HG10" s="486"/>
      <c r="HH10" s="486"/>
      <c r="HI10" s="486"/>
      <c r="HJ10" s="486"/>
      <c r="HK10" s="486"/>
      <c r="HL10" s="486"/>
      <c r="HM10" s="486"/>
      <c r="HN10" s="486"/>
      <c r="HO10" s="486"/>
      <c r="HP10" s="486"/>
      <c r="HQ10" s="486"/>
      <c r="HR10" s="486"/>
      <c r="HS10" s="486"/>
      <c r="HT10" s="486"/>
      <c r="HU10" s="486"/>
      <c r="HV10" s="486"/>
      <c r="HW10" s="486"/>
      <c r="HX10" s="486"/>
      <c r="HY10" s="486"/>
      <c r="HZ10" s="486"/>
      <c r="IA10" s="486"/>
      <c r="IB10" s="486"/>
      <c r="IC10" s="486"/>
      <c r="ID10" s="486"/>
      <c r="IE10" s="486"/>
      <c r="IF10" s="486"/>
      <c r="IG10" s="486"/>
      <c r="IH10" s="486"/>
      <c r="II10" s="486"/>
      <c r="IJ10" s="486"/>
      <c r="IK10" s="486"/>
      <c r="IL10" s="486"/>
      <c r="IM10" s="486"/>
      <c r="IN10" s="486"/>
      <c r="IO10" s="486"/>
      <c r="IP10" s="486"/>
      <c r="IQ10" s="486"/>
    </row>
    <row r="11" spans="1:251" x14ac:dyDescent="0.3">
      <c r="A11" s="287" t="str">
        <f>ID!B17</f>
        <v>Metode kerja</v>
      </c>
      <c r="B11" s="287"/>
      <c r="C11" s="287"/>
      <c r="D11" s="270"/>
      <c r="E11" s="270" t="s">
        <v>7</v>
      </c>
      <c r="F11" s="287" t="str">
        <f>ID!E17</f>
        <v>MK 014-18</v>
      </c>
      <c r="G11" s="270"/>
      <c r="H11" s="270"/>
      <c r="J11" s="270"/>
      <c r="K11" s="270"/>
      <c r="L11" s="270"/>
      <c r="M11" s="271"/>
      <c r="N11" s="271"/>
      <c r="O11" s="923"/>
      <c r="P11" s="923"/>
      <c r="Q11" s="923"/>
      <c r="R11" s="923"/>
      <c r="S11" s="923"/>
      <c r="T11" s="923"/>
      <c r="U11" s="923"/>
      <c r="V11" s="486"/>
      <c r="W11" s="486"/>
      <c r="X11" s="486"/>
      <c r="Y11" s="486"/>
      <c r="Z11" s="486"/>
      <c r="AA11" s="486"/>
      <c r="AB11" s="486"/>
      <c r="AC11" s="486"/>
      <c r="AD11" s="486"/>
      <c r="AE11" s="486"/>
      <c r="AF11" s="486"/>
      <c r="AG11" s="486"/>
      <c r="AH11" s="486"/>
      <c r="AI11" s="486"/>
      <c r="AJ11" s="486"/>
      <c r="AK11" s="486"/>
      <c r="AL11" s="486"/>
      <c r="AM11" s="486"/>
      <c r="AN11" s="486"/>
      <c r="AO11" s="486"/>
      <c r="AP11" s="486"/>
      <c r="AQ11" s="486"/>
      <c r="AR11" s="486"/>
      <c r="AS11" s="486"/>
      <c r="AT11" s="486"/>
      <c r="AU11" s="486"/>
      <c r="AV11" s="486"/>
      <c r="AW11" s="486"/>
      <c r="AX11" s="486"/>
      <c r="AY11" s="486"/>
      <c r="AZ11" s="486"/>
      <c r="BA11" s="486"/>
      <c r="BB11" s="486"/>
      <c r="BC11" s="486"/>
      <c r="BD11" s="486"/>
      <c r="BE11" s="486"/>
      <c r="BF11" s="486"/>
      <c r="BG11" s="486"/>
      <c r="BH11" s="486"/>
      <c r="BI11" s="486"/>
      <c r="BJ11" s="486"/>
      <c r="BK11" s="486"/>
      <c r="BL11" s="486"/>
      <c r="BM11" s="486"/>
      <c r="BN11" s="486"/>
      <c r="BO11" s="486"/>
      <c r="BP11" s="486"/>
      <c r="BQ11" s="486"/>
      <c r="BR11" s="486"/>
      <c r="BS11" s="486"/>
      <c r="BT11" s="486"/>
      <c r="BU11" s="486"/>
      <c r="BV11" s="486"/>
      <c r="BW11" s="486"/>
      <c r="BX11" s="486"/>
      <c r="BY11" s="486"/>
      <c r="BZ11" s="486"/>
      <c r="CA11" s="486"/>
      <c r="CB11" s="486"/>
      <c r="CC11" s="486"/>
      <c r="CD11" s="486"/>
      <c r="CE11" s="486"/>
      <c r="CF11" s="486"/>
      <c r="CG11" s="486"/>
      <c r="CH11" s="486"/>
      <c r="CI11" s="486"/>
      <c r="CJ11" s="486"/>
      <c r="CK11" s="486"/>
      <c r="CL11" s="486"/>
      <c r="CM11" s="486"/>
      <c r="CN11" s="486"/>
      <c r="CO11" s="486"/>
      <c r="CP11" s="486"/>
      <c r="CQ11" s="486"/>
      <c r="CR11" s="486"/>
      <c r="CS11" s="486"/>
      <c r="CT11" s="486"/>
      <c r="CU11" s="486"/>
      <c r="CV11" s="486"/>
      <c r="CW11" s="486"/>
      <c r="CX11" s="486"/>
      <c r="CY11" s="486"/>
      <c r="CZ11" s="486"/>
      <c r="DA11" s="486"/>
      <c r="DB11" s="486"/>
      <c r="DC11" s="486"/>
      <c r="DD11" s="486"/>
      <c r="DE11" s="486"/>
      <c r="DF11" s="486"/>
      <c r="DG11" s="486"/>
      <c r="DH11" s="486"/>
      <c r="DI11" s="486"/>
      <c r="DJ11" s="486"/>
      <c r="DK11" s="486"/>
      <c r="DL11" s="486"/>
      <c r="DM11" s="486"/>
      <c r="DN11" s="486"/>
      <c r="DO11" s="486"/>
      <c r="DP11" s="486"/>
      <c r="DQ11" s="486"/>
      <c r="DR11" s="486"/>
      <c r="DS11" s="486"/>
      <c r="DT11" s="486"/>
      <c r="DU11" s="486"/>
      <c r="DV11" s="486"/>
      <c r="DW11" s="486"/>
      <c r="DX11" s="486"/>
      <c r="DY11" s="486"/>
      <c r="DZ11" s="486"/>
      <c r="EA11" s="486"/>
      <c r="EB11" s="486"/>
      <c r="EC11" s="486"/>
      <c r="ED11" s="486"/>
      <c r="EE11" s="486"/>
      <c r="EF11" s="486"/>
      <c r="EG11" s="486"/>
      <c r="EH11" s="486"/>
      <c r="EI11" s="486"/>
      <c r="EJ11" s="486"/>
      <c r="EK11" s="486"/>
      <c r="EL11" s="486"/>
      <c r="EM11" s="486"/>
      <c r="EN11" s="486"/>
      <c r="EO11" s="486"/>
      <c r="EP11" s="486"/>
      <c r="EQ11" s="486"/>
      <c r="ER11" s="486"/>
      <c r="ES11" s="486"/>
      <c r="ET11" s="486"/>
      <c r="EU11" s="486"/>
      <c r="EV11" s="486"/>
      <c r="EW11" s="486"/>
      <c r="EX11" s="486"/>
      <c r="EY11" s="486"/>
      <c r="EZ11" s="486"/>
      <c r="FA11" s="486"/>
      <c r="FB11" s="486"/>
      <c r="FC11" s="486"/>
      <c r="FD11" s="486"/>
      <c r="FE11" s="486"/>
      <c r="FF11" s="486"/>
      <c r="FG11" s="486"/>
      <c r="FH11" s="486"/>
      <c r="FI11" s="486"/>
      <c r="FJ11" s="486"/>
      <c r="FK11" s="486"/>
      <c r="FL11" s="486"/>
      <c r="FM11" s="486"/>
      <c r="FN11" s="486"/>
      <c r="FO11" s="486"/>
      <c r="FP11" s="486"/>
      <c r="FQ11" s="486"/>
      <c r="FR11" s="486"/>
      <c r="FS11" s="486"/>
      <c r="FT11" s="486"/>
      <c r="FU11" s="486"/>
      <c r="FV11" s="486"/>
      <c r="FW11" s="486"/>
      <c r="FX11" s="486"/>
      <c r="FY11" s="486"/>
      <c r="FZ11" s="486"/>
      <c r="GA11" s="486"/>
      <c r="GB11" s="486"/>
      <c r="GC11" s="486"/>
      <c r="GD11" s="486"/>
      <c r="GE11" s="486"/>
      <c r="GF11" s="486"/>
      <c r="GG11" s="486"/>
      <c r="GH11" s="486"/>
      <c r="GI11" s="486"/>
      <c r="GJ11" s="486"/>
      <c r="GK11" s="486"/>
      <c r="GL11" s="486"/>
      <c r="GM11" s="486"/>
      <c r="GN11" s="486"/>
      <c r="GO11" s="486"/>
      <c r="GP11" s="486"/>
      <c r="GQ11" s="486"/>
      <c r="GR11" s="486"/>
      <c r="GS11" s="486"/>
      <c r="GT11" s="486"/>
      <c r="GU11" s="486"/>
      <c r="GV11" s="486"/>
      <c r="GW11" s="486"/>
      <c r="GX11" s="486"/>
      <c r="GY11" s="486"/>
      <c r="GZ11" s="486"/>
      <c r="HA11" s="486"/>
      <c r="HB11" s="486"/>
      <c r="HC11" s="486"/>
      <c r="HD11" s="486"/>
      <c r="HE11" s="486"/>
      <c r="HF11" s="486"/>
      <c r="HG11" s="486"/>
      <c r="HH11" s="486"/>
      <c r="HI11" s="486"/>
      <c r="HJ11" s="486"/>
      <c r="HK11" s="486"/>
      <c r="HL11" s="486"/>
      <c r="HM11" s="486"/>
      <c r="HN11" s="486"/>
      <c r="HO11" s="486"/>
      <c r="HP11" s="486"/>
      <c r="HQ11" s="486"/>
      <c r="HR11" s="486"/>
      <c r="HS11" s="486"/>
      <c r="HT11" s="486"/>
      <c r="HU11" s="486"/>
      <c r="HV11" s="486"/>
      <c r="HW11" s="486"/>
      <c r="HX11" s="486"/>
      <c r="HY11" s="486"/>
      <c r="HZ11" s="486"/>
      <c r="IA11" s="486"/>
      <c r="IB11" s="486"/>
      <c r="IC11" s="486"/>
      <c r="ID11" s="486"/>
      <c r="IE11" s="486"/>
      <c r="IF11" s="486"/>
      <c r="IG11" s="486"/>
      <c r="IH11" s="486"/>
      <c r="II11" s="486"/>
      <c r="IJ11" s="486"/>
      <c r="IK11" s="486"/>
      <c r="IL11" s="486"/>
      <c r="IM11" s="486"/>
      <c r="IN11" s="486"/>
      <c r="IO11" s="486"/>
      <c r="IP11" s="486"/>
      <c r="IQ11" s="486"/>
    </row>
    <row r="12" spans="1:251" ht="5.25" customHeight="1" x14ac:dyDescent="0.3">
      <c r="A12" s="487"/>
      <c r="B12" s="487"/>
      <c r="C12" s="487"/>
      <c r="D12" s="284"/>
      <c r="E12" s="284"/>
      <c r="F12" s="284"/>
      <c r="G12" s="284"/>
      <c r="H12" s="284"/>
      <c r="I12" s="488"/>
      <c r="J12" s="284"/>
      <c r="K12" s="284"/>
      <c r="L12" s="284"/>
      <c r="M12" s="486"/>
      <c r="N12" s="486"/>
      <c r="O12" s="923"/>
      <c r="P12" s="923"/>
      <c r="Q12" s="923"/>
      <c r="R12" s="923"/>
      <c r="S12" s="923"/>
      <c r="T12" s="923"/>
      <c r="U12" s="923"/>
      <c r="V12" s="486"/>
      <c r="W12" s="486"/>
      <c r="X12" s="486"/>
      <c r="Y12" s="486"/>
      <c r="Z12" s="486"/>
      <c r="AA12" s="486"/>
      <c r="AB12" s="486"/>
      <c r="AC12" s="486"/>
      <c r="AD12" s="486"/>
      <c r="AE12" s="486"/>
      <c r="AF12" s="486"/>
      <c r="AG12" s="486"/>
      <c r="AH12" s="486"/>
      <c r="AI12" s="486"/>
      <c r="AJ12" s="486"/>
      <c r="AK12" s="486"/>
      <c r="AL12" s="486"/>
      <c r="AM12" s="486"/>
      <c r="AN12" s="486"/>
      <c r="AO12" s="486"/>
      <c r="AP12" s="486"/>
      <c r="AQ12" s="486"/>
      <c r="AR12" s="486"/>
      <c r="AS12" s="486"/>
      <c r="AT12" s="486"/>
      <c r="AU12" s="486"/>
      <c r="AV12" s="486"/>
      <c r="AW12" s="486"/>
      <c r="AX12" s="486"/>
      <c r="AY12" s="486"/>
      <c r="AZ12" s="486"/>
      <c r="BA12" s="486"/>
      <c r="BB12" s="486"/>
      <c r="BC12" s="486"/>
      <c r="BD12" s="486"/>
      <c r="BE12" s="486"/>
      <c r="BF12" s="486"/>
      <c r="BG12" s="486"/>
      <c r="BH12" s="486"/>
      <c r="BI12" s="486"/>
      <c r="BJ12" s="486"/>
      <c r="BK12" s="486"/>
      <c r="BL12" s="486"/>
      <c r="BM12" s="486"/>
      <c r="BN12" s="486"/>
      <c r="BO12" s="486"/>
      <c r="BP12" s="486"/>
      <c r="BQ12" s="486"/>
      <c r="BR12" s="486"/>
      <c r="BS12" s="486"/>
      <c r="BT12" s="486"/>
      <c r="BU12" s="486"/>
      <c r="BV12" s="486"/>
      <c r="BW12" s="486"/>
      <c r="BX12" s="486"/>
      <c r="BY12" s="486"/>
      <c r="BZ12" s="486"/>
      <c r="CA12" s="486"/>
      <c r="CB12" s="486"/>
      <c r="CC12" s="486"/>
      <c r="CD12" s="486"/>
      <c r="CE12" s="486"/>
      <c r="CF12" s="486"/>
      <c r="CG12" s="486"/>
      <c r="CH12" s="486"/>
      <c r="CI12" s="486"/>
      <c r="CJ12" s="486"/>
      <c r="CK12" s="486"/>
      <c r="CL12" s="486"/>
      <c r="CM12" s="486"/>
      <c r="CN12" s="486"/>
      <c r="CO12" s="486"/>
      <c r="CP12" s="486"/>
      <c r="CQ12" s="486"/>
      <c r="CR12" s="486"/>
      <c r="CS12" s="486"/>
      <c r="CT12" s="486"/>
      <c r="CU12" s="486"/>
      <c r="CV12" s="486"/>
      <c r="CW12" s="486"/>
      <c r="CX12" s="486"/>
      <c r="CY12" s="486"/>
      <c r="CZ12" s="486"/>
      <c r="DA12" s="486"/>
      <c r="DB12" s="486"/>
      <c r="DC12" s="486"/>
      <c r="DD12" s="486"/>
      <c r="DE12" s="486"/>
      <c r="DF12" s="486"/>
      <c r="DG12" s="486"/>
      <c r="DH12" s="486"/>
      <c r="DI12" s="486"/>
      <c r="DJ12" s="486"/>
      <c r="DK12" s="486"/>
      <c r="DL12" s="486"/>
      <c r="DM12" s="486"/>
      <c r="DN12" s="486"/>
      <c r="DO12" s="486"/>
      <c r="DP12" s="486"/>
      <c r="DQ12" s="486"/>
      <c r="DR12" s="486"/>
      <c r="DS12" s="486"/>
      <c r="DT12" s="486"/>
      <c r="DU12" s="486"/>
      <c r="DV12" s="486"/>
      <c r="DW12" s="486"/>
      <c r="DX12" s="486"/>
      <c r="DY12" s="486"/>
      <c r="DZ12" s="486"/>
      <c r="EA12" s="486"/>
      <c r="EB12" s="486"/>
      <c r="EC12" s="486"/>
      <c r="ED12" s="486"/>
      <c r="EE12" s="486"/>
      <c r="EF12" s="486"/>
      <c r="EG12" s="486"/>
      <c r="EH12" s="486"/>
      <c r="EI12" s="486"/>
      <c r="EJ12" s="486"/>
      <c r="EK12" s="486"/>
      <c r="EL12" s="486"/>
      <c r="EM12" s="486"/>
      <c r="EN12" s="486"/>
      <c r="EO12" s="486"/>
      <c r="EP12" s="486"/>
      <c r="EQ12" s="486"/>
      <c r="ER12" s="486"/>
      <c r="ES12" s="486"/>
      <c r="ET12" s="486"/>
      <c r="EU12" s="486"/>
      <c r="EV12" s="486"/>
      <c r="EW12" s="486"/>
      <c r="EX12" s="486"/>
      <c r="EY12" s="486"/>
      <c r="EZ12" s="486"/>
      <c r="FA12" s="486"/>
      <c r="FB12" s="486"/>
      <c r="FC12" s="486"/>
      <c r="FD12" s="486"/>
      <c r="FE12" s="486"/>
      <c r="FF12" s="486"/>
      <c r="FG12" s="486"/>
      <c r="FH12" s="486"/>
      <c r="FI12" s="486"/>
      <c r="FJ12" s="486"/>
      <c r="FK12" s="486"/>
      <c r="FL12" s="486"/>
      <c r="FM12" s="486"/>
      <c r="FN12" s="486"/>
      <c r="FO12" s="486"/>
      <c r="FP12" s="486"/>
      <c r="FQ12" s="486"/>
      <c r="FR12" s="486"/>
      <c r="FS12" s="486"/>
      <c r="FT12" s="486"/>
      <c r="FU12" s="486"/>
      <c r="FV12" s="486"/>
      <c r="FW12" s="486"/>
      <c r="FX12" s="486"/>
      <c r="FY12" s="486"/>
      <c r="FZ12" s="486"/>
      <c r="GA12" s="486"/>
      <c r="GB12" s="486"/>
      <c r="GC12" s="486"/>
      <c r="GD12" s="486"/>
      <c r="GE12" s="486"/>
      <c r="GF12" s="486"/>
      <c r="GG12" s="486"/>
      <c r="GH12" s="486"/>
      <c r="GI12" s="486"/>
      <c r="GJ12" s="486"/>
      <c r="GK12" s="486"/>
      <c r="GL12" s="486"/>
      <c r="GM12" s="486"/>
      <c r="GN12" s="486"/>
      <c r="GO12" s="486"/>
      <c r="GP12" s="486"/>
      <c r="GQ12" s="486"/>
      <c r="GR12" s="486"/>
      <c r="GS12" s="486"/>
      <c r="GT12" s="486"/>
      <c r="GU12" s="486"/>
      <c r="GV12" s="486"/>
      <c r="GW12" s="486"/>
      <c r="GX12" s="486"/>
      <c r="GY12" s="486"/>
      <c r="GZ12" s="486"/>
      <c r="HA12" s="486"/>
      <c r="HB12" s="486"/>
      <c r="HC12" s="486"/>
      <c r="HD12" s="486"/>
      <c r="HE12" s="486"/>
      <c r="HF12" s="486"/>
      <c r="HG12" s="486"/>
      <c r="HH12" s="486"/>
      <c r="HI12" s="486"/>
      <c r="HJ12" s="486"/>
      <c r="HK12" s="486"/>
      <c r="HL12" s="486"/>
      <c r="HM12" s="486"/>
      <c r="HN12" s="486"/>
      <c r="HO12" s="486"/>
      <c r="HP12" s="486"/>
      <c r="HQ12" s="486"/>
      <c r="HR12" s="486"/>
      <c r="HS12" s="486"/>
      <c r="HT12" s="486"/>
      <c r="HU12" s="486"/>
      <c r="HV12" s="486"/>
      <c r="HW12" s="486"/>
      <c r="HX12" s="486"/>
      <c r="HY12" s="486"/>
      <c r="HZ12" s="486"/>
      <c r="IA12" s="486"/>
      <c r="IB12" s="486"/>
      <c r="IC12" s="486"/>
      <c r="ID12" s="486"/>
      <c r="IE12" s="486"/>
      <c r="IF12" s="486"/>
      <c r="IG12" s="486"/>
      <c r="IH12" s="486"/>
      <c r="II12" s="486"/>
      <c r="IJ12" s="486"/>
      <c r="IK12" s="486"/>
      <c r="IL12" s="486"/>
      <c r="IM12" s="486"/>
      <c r="IN12" s="486"/>
      <c r="IO12" s="486"/>
      <c r="IP12" s="486"/>
      <c r="IQ12" s="486"/>
    </row>
    <row r="13" spans="1:251" x14ac:dyDescent="0.3">
      <c r="A13" s="462" t="s">
        <v>205</v>
      </c>
      <c r="B13" s="1396" t="s">
        <v>206</v>
      </c>
      <c r="C13" s="1396"/>
      <c r="D13" s="1396"/>
      <c r="E13" s="1396"/>
      <c r="F13" s="1396"/>
      <c r="G13" s="1396"/>
      <c r="H13" s="1396"/>
      <c r="I13" s="1396"/>
      <c r="J13" s="1396"/>
      <c r="K13" s="284"/>
      <c r="L13" s="284"/>
      <c r="M13" s="486"/>
      <c r="N13" s="486"/>
      <c r="O13" s="923"/>
      <c r="P13" s="923"/>
      <c r="Q13" s="923"/>
      <c r="R13" s="923"/>
      <c r="S13" s="923"/>
      <c r="T13" s="923"/>
      <c r="U13" s="923"/>
      <c r="V13" s="486"/>
      <c r="W13" s="486"/>
      <c r="X13" s="486"/>
      <c r="Y13" s="486"/>
      <c r="Z13" s="486"/>
      <c r="AA13" s="486"/>
      <c r="AB13" s="486"/>
      <c r="AC13" s="486"/>
      <c r="AD13" s="486"/>
      <c r="AE13" s="486"/>
      <c r="AF13" s="486"/>
      <c r="AG13" s="486"/>
      <c r="AH13" s="486"/>
      <c r="AI13" s="486"/>
      <c r="AJ13" s="486"/>
      <c r="AK13" s="486"/>
      <c r="AL13" s="486"/>
      <c r="AM13" s="486"/>
      <c r="AN13" s="486"/>
      <c r="AO13" s="486"/>
      <c r="AP13" s="486"/>
      <c r="AQ13" s="486"/>
      <c r="AR13" s="486"/>
      <c r="AS13" s="486"/>
      <c r="AT13" s="486"/>
      <c r="AU13" s="486"/>
      <c r="AV13" s="486"/>
      <c r="AW13" s="486"/>
      <c r="AX13" s="486"/>
      <c r="AY13" s="486"/>
      <c r="AZ13" s="486"/>
      <c r="BA13" s="486"/>
      <c r="BB13" s="486"/>
      <c r="BC13" s="486"/>
      <c r="BD13" s="486"/>
      <c r="BE13" s="486"/>
      <c r="BF13" s="486"/>
      <c r="BG13" s="486"/>
      <c r="BH13" s="486"/>
      <c r="BI13" s="486"/>
      <c r="BJ13" s="486"/>
      <c r="BK13" s="486"/>
      <c r="BL13" s="486"/>
      <c r="BM13" s="486"/>
      <c r="BN13" s="486"/>
      <c r="BO13" s="486"/>
      <c r="BP13" s="486"/>
      <c r="BQ13" s="486"/>
      <c r="BR13" s="486"/>
      <c r="BS13" s="486"/>
      <c r="BT13" s="486"/>
      <c r="BU13" s="486"/>
      <c r="BV13" s="486"/>
      <c r="BW13" s="486"/>
      <c r="BX13" s="486"/>
      <c r="BY13" s="486"/>
      <c r="BZ13" s="486"/>
      <c r="CA13" s="486"/>
      <c r="CB13" s="486"/>
      <c r="CC13" s="486"/>
      <c r="CD13" s="486"/>
      <c r="CE13" s="486"/>
      <c r="CF13" s="486"/>
      <c r="CG13" s="486"/>
      <c r="CH13" s="486"/>
      <c r="CI13" s="486"/>
      <c r="CJ13" s="486"/>
      <c r="CK13" s="486"/>
      <c r="CL13" s="486"/>
      <c r="CM13" s="486"/>
      <c r="CN13" s="486"/>
      <c r="CO13" s="486"/>
      <c r="CP13" s="486"/>
      <c r="CQ13" s="486"/>
      <c r="CR13" s="486"/>
      <c r="CS13" s="486"/>
      <c r="CT13" s="486"/>
      <c r="CU13" s="486"/>
      <c r="CV13" s="486"/>
      <c r="CW13" s="486"/>
      <c r="CX13" s="486"/>
      <c r="CY13" s="486"/>
      <c r="CZ13" s="486"/>
      <c r="DA13" s="486"/>
      <c r="DB13" s="486"/>
      <c r="DC13" s="486"/>
      <c r="DD13" s="486"/>
      <c r="DE13" s="486"/>
      <c r="DF13" s="486"/>
      <c r="DG13" s="486"/>
      <c r="DH13" s="486"/>
      <c r="DI13" s="486"/>
      <c r="DJ13" s="486"/>
      <c r="DK13" s="486"/>
      <c r="DL13" s="486"/>
      <c r="DM13" s="486"/>
      <c r="DN13" s="486"/>
      <c r="DO13" s="486"/>
      <c r="DP13" s="486"/>
      <c r="DQ13" s="486"/>
      <c r="DR13" s="486"/>
      <c r="DS13" s="486"/>
      <c r="DT13" s="486"/>
      <c r="DU13" s="486"/>
      <c r="DV13" s="486"/>
      <c r="DW13" s="486"/>
      <c r="DX13" s="486"/>
      <c r="DY13" s="486"/>
      <c r="DZ13" s="486"/>
      <c r="EA13" s="486"/>
      <c r="EB13" s="486"/>
      <c r="EC13" s="486"/>
      <c r="ED13" s="486"/>
      <c r="EE13" s="486"/>
      <c r="EF13" s="486"/>
      <c r="EG13" s="486"/>
      <c r="EH13" s="486"/>
      <c r="EI13" s="486"/>
      <c r="EJ13" s="486"/>
      <c r="EK13" s="486"/>
      <c r="EL13" s="486"/>
      <c r="EM13" s="486"/>
      <c r="EN13" s="486"/>
      <c r="EO13" s="486"/>
      <c r="EP13" s="486"/>
      <c r="EQ13" s="486"/>
      <c r="ER13" s="486"/>
      <c r="ES13" s="486"/>
      <c r="ET13" s="486"/>
      <c r="EU13" s="486"/>
      <c r="EV13" s="486"/>
      <c r="EW13" s="486"/>
      <c r="EX13" s="486"/>
      <c r="EY13" s="486"/>
      <c r="EZ13" s="486"/>
      <c r="FA13" s="486"/>
      <c r="FB13" s="486"/>
      <c r="FC13" s="486"/>
      <c r="FD13" s="486"/>
      <c r="FE13" s="486"/>
      <c r="FF13" s="486"/>
      <c r="FG13" s="486"/>
      <c r="FH13" s="486"/>
      <c r="FI13" s="486"/>
      <c r="FJ13" s="486"/>
      <c r="FK13" s="486"/>
      <c r="FL13" s="486"/>
      <c r="FM13" s="486"/>
      <c r="FN13" s="486"/>
      <c r="FO13" s="486"/>
      <c r="FP13" s="486"/>
      <c r="FQ13" s="486"/>
      <c r="FR13" s="486"/>
      <c r="FS13" s="486"/>
      <c r="FT13" s="486"/>
      <c r="FU13" s="486"/>
      <c r="FV13" s="486"/>
      <c r="FW13" s="486"/>
      <c r="FX13" s="486"/>
      <c r="FY13" s="486"/>
      <c r="FZ13" s="486"/>
      <c r="GA13" s="486"/>
      <c r="GB13" s="486"/>
      <c r="GC13" s="486"/>
      <c r="GD13" s="486"/>
      <c r="GE13" s="486"/>
      <c r="GF13" s="486"/>
      <c r="GG13" s="486"/>
      <c r="GH13" s="486"/>
      <c r="GI13" s="486"/>
      <c r="GJ13" s="486"/>
      <c r="GK13" s="486"/>
      <c r="GL13" s="486"/>
      <c r="GM13" s="486"/>
      <c r="GN13" s="486"/>
      <c r="GO13" s="486"/>
      <c r="GP13" s="486"/>
      <c r="GQ13" s="486"/>
      <c r="GR13" s="486"/>
      <c r="GS13" s="486"/>
      <c r="GT13" s="486"/>
      <c r="GU13" s="486"/>
      <c r="GV13" s="486"/>
      <c r="GW13" s="486"/>
      <c r="GX13" s="486"/>
      <c r="GY13" s="486"/>
      <c r="GZ13" s="486"/>
      <c r="HA13" s="486"/>
      <c r="HB13" s="486"/>
      <c r="HC13" s="486"/>
      <c r="HD13" s="486"/>
      <c r="HE13" s="486"/>
      <c r="HF13" s="486"/>
      <c r="HG13" s="486"/>
      <c r="HH13" s="486"/>
      <c r="HI13" s="486"/>
      <c r="HJ13" s="486"/>
      <c r="HK13" s="486"/>
      <c r="HL13" s="486"/>
      <c r="HM13" s="486"/>
      <c r="HN13" s="486"/>
      <c r="HO13" s="486"/>
      <c r="HP13" s="486"/>
      <c r="HQ13" s="486"/>
      <c r="HR13" s="486"/>
      <c r="HS13" s="486"/>
      <c r="HT13" s="486"/>
      <c r="HU13" s="486"/>
      <c r="HV13" s="486"/>
      <c r="HW13" s="486"/>
      <c r="HX13" s="486"/>
      <c r="HY13" s="486"/>
      <c r="HZ13" s="486"/>
      <c r="IA13" s="486"/>
      <c r="IB13" s="486"/>
      <c r="IC13" s="486"/>
      <c r="ID13" s="486"/>
      <c r="IE13" s="486"/>
      <c r="IF13" s="486"/>
      <c r="IG13" s="486"/>
      <c r="IH13" s="486"/>
      <c r="II13" s="486"/>
      <c r="IJ13" s="486"/>
      <c r="IK13" s="486"/>
      <c r="IL13" s="486"/>
      <c r="IM13" s="486"/>
      <c r="IN13" s="486"/>
      <c r="IO13" s="486"/>
      <c r="IP13" s="486"/>
      <c r="IQ13" s="486"/>
    </row>
    <row r="14" spans="1:251" x14ac:dyDescent="0.3">
      <c r="A14" s="287"/>
      <c r="B14" s="1397" t="s">
        <v>207</v>
      </c>
      <c r="C14" s="1397"/>
      <c r="D14" s="270" t="s">
        <v>7</v>
      </c>
      <c r="E14" s="270" t="s">
        <v>7</v>
      </c>
      <c r="F14" s="1078">
        <f>PENYELIA!F14</f>
        <v>22.9</v>
      </c>
      <c r="G14" s="685" t="s">
        <v>730</v>
      </c>
      <c r="H14" s="963">
        <f>PENYELIA!H14</f>
        <v>0.4</v>
      </c>
      <c r="I14" s="684" t="str">
        <f>PENYELIA!I14</f>
        <v xml:space="preserve"> °C</v>
      </c>
      <c r="M14" s="486"/>
      <c r="N14" s="486"/>
      <c r="O14" s="923"/>
      <c r="P14" s="923"/>
      <c r="Q14" s="923"/>
      <c r="R14" s="923"/>
      <c r="S14" s="923"/>
      <c r="T14" s="923"/>
      <c r="U14" s="923"/>
      <c r="V14" s="486"/>
      <c r="W14" s="486"/>
      <c r="X14" s="486"/>
      <c r="Y14" s="486"/>
      <c r="Z14" s="486"/>
      <c r="AA14" s="486"/>
      <c r="AB14" s="486"/>
      <c r="AC14" s="486"/>
      <c r="AD14" s="486"/>
      <c r="AE14" s="486"/>
      <c r="AF14" s="486"/>
      <c r="AG14" s="486"/>
      <c r="AH14" s="486"/>
      <c r="AI14" s="486"/>
      <c r="AJ14" s="486"/>
      <c r="AK14" s="486"/>
      <c r="AL14" s="486"/>
      <c r="AM14" s="486"/>
      <c r="AN14" s="486"/>
      <c r="AO14" s="486"/>
      <c r="AP14" s="486"/>
      <c r="AQ14" s="486"/>
      <c r="AR14" s="486"/>
      <c r="AS14" s="486"/>
      <c r="AT14" s="486"/>
      <c r="AU14" s="486"/>
      <c r="AV14" s="486"/>
      <c r="AW14" s="486"/>
      <c r="AX14" s="486"/>
      <c r="AY14" s="486"/>
      <c r="AZ14" s="486"/>
      <c r="BA14" s="486"/>
      <c r="BB14" s="486"/>
      <c r="BC14" s="486"/>
      <c r="BD14" s="486"/>
      <c r="BE14" s="486"/>
      <c r="BF14" s="486"/>
      <c r="BG14" s="486"/>
      <c r="BH14" s="486"/>
      <c r="BI14" s="486"/>
      <c r="BJ14" s="486"/>
      <c r="BK14" s="486"/>
      <c r="BL14" s="486"/>
      <c r="BM14" s="486"/>
      <c r="BN14" s="486"/>
      <c r="BO14" s="486"/>
      <c r="BP14" s="486"/>
      <c r="BQ14" s="486"/>
      <c r="BR14" s="486"/>
      <c r="BS14" s="486"/>
      <c r="BT14" s="486"/>
      <c r="BU14" s="486"/>
      <c r="BV14" s="486"/>
      <c r="BW14" s="486"/>
      <c r="BX14" s="486"/>
      <c r="BY14" s="486"/>
      <c r="BZ14" s="486"/>
      <c r="CA14" s="486"/>
      <c r="CB14" s="486"/>
      <c r="CC14" s="486"/>
      <c r="CD14" s="486"/>
      <c r="CE14" s="486"/>
      <c r="CF14" s="486"/>
      <c r="CG14" s="486"/>
      <c r="CH14" s="486"/>
      <c r="CI14" s="486"/>
      <c r="CJ14" s="486"/>
      <c r="CK14" s="486"/>
      <c r="CL14" s="486"/>
      <c r="CM14" s="486"/>
      <c r="CN14" s="486"/>
      <c r="CO14" s="486"/>
      <c r="CP14" s="486"/>
      <c r="CQ14" s="486"/>
      <c r="CR14" s="486"/>
      <c r="CS14" s="486"/>
      <c r="CT14" s="486"/>
      <c r="CU14" s="486"/>
      <c r="CV14" s="486"/>
      <c r="CW14" s="486"/>
      <c r="CX14" s="486"/>
      <c r="CY14" s="486"/>
      <c r="CZ14" s="486"/>
      <c r="DA14" s="486"/>
      <c r="DB14" s="486"/>
      <c r="DC14" s="486"/>
      <c r="DD14" s="486"/>
      <c r="DE14" s="486"/>
      <c r="DF14" s="486"/>
      <c r="DG14" s="486"/>
      <c r="DH14" s="486"/>
      <c r="DI14" s="486"/>
      <c r="DJ14" s="486"/>
      <c r="DK14" s="486"/>
      <c r="DL14" s="486"/>
      <c r="DM14" s="486"/>
      <c r="DN14" s="486"/>
      <c r="DO14" s="486"/>
      <c r="DP14" s="486"/>
      <c r="DQ14" s="486"/>
      <c r="DR14" s="486"/>
      <c r="DS14" s="486"/>
      <c r="DT14" s="486"/>
      <c r="DU14" s="486"/>
      <c r="DV14" s="486"/>
      <c r="DW14" s="486"/>
      <c r="DX14" s="486"/>
      <c r="DY14" s="486"/>
      <c r="DZ14" s="486"/>
      <c r="EA14" s="486"/>
      <c r="EB14" s="486"/>
      <c r="EC14" s="486"/>
      <c r="ED14" s="486"/>
      <c r="EE14" s="486"/>
      <c r="EF14" s="486"/>
      <c r="EG14" s="486"/>
      <c r="EH14" s="486"/>
      <c r="EI14" s="486"/>
      <c r="EJ14" s="486"/>
      <c r="EK14" s="486"/>
      <c r="EL14" s="486"/>
      <c r="EM14" s="486"/>
      <c r="EN14" s="486"/>
      <c r="EO14" s="486"/>
      <c r="EP14" s="486"/>
      <c r="EQ14" s="486"/>
      <c r="ER14" s="486"/>
      <c r="ES14" s="486"/>
      <c r="ET14" s="486"/>
      <c r="EU14" s="486"/>
      <c r="EV14" s="486"/>
      <c r="EW14" s="486"/>
      <c r="EX14" s="486"/>
      <c r="EY14" s="486"/>
      <c r="EZ14" s="486"/>
      <c r="FA14" s="486"/>
      <c r="FB14" s="486"/>
      <c r="FC14" s="486"/>
      <c r="FD14" s="486"/>
      <c r="FE14" s="486"/>
      <c r="FF14" s="486"/>
      <c r="FG14" s="486"/>
      <c r="FH14" s="486"/>
      <c r="FI14" s="486"/>
      <c r="FJ14" s="486"/>
      <c r="FK14" s="486"/>
      <c r="FL14" s="486"/>
      <c r="FM14" s="486"/>
      <c r="FN14" s="486"/>
      <c r="FO14" s="486"/>
      <c r="FP14" s="486"/>
      <c r="FQ14" s="486"/>
      <c r="FR14" s="486"/>
      <c r="FS14" s="486"/>
      <c r="FT14" s="486"/>
      <c r="FU14" s="486"/>
      <c r="FV14" s="486"/>
      <c r="FW14" s="486"/>
      <c r="FX14" s="486"/>
      <c r="FY14" s="486"/>
      <c r="FZ14" s="486"/>
      <c r="GA14" s="486"/>
      <c r="GB14" s="486"/>
      <c r="GC14" s="486"/>
      <c r="GD14" s="486"/>
      <c r="GE14" s="486"/>
      <c r="GF14" s="486"/>
      <c r="GG14" s="486"/>
      <c r="GH14" s="486"/>
      <c r="GI14" s="486"/>
      <c r="GJ14" s="486"/>
      <c r="GK14" s="486"/>
      <c r="GL14" s="486"/>
      <c r="GM14" s="486"/>
      <c r="GN14" s="486"/>
      <c r="GO14" s="486"/>
      <c r="GP14" s="486"/>
      <c r="GQ14" s="486"/>
      <c r="GR14" s="486"/>
      <c r="GS14" s="486"/>
      <c r="GT14" s="486"/>
      <c r="GU14" s="486"/>
      <c r="GV14" s="486"/>
      <c r="GW14" s="486"/>
      <c r="GX14" s="486"/>
      <c r="GY14" s="486"/>
      <c r="GZ14" s="486"/>
      <c r="HA14" s="486"/>
      <c r="HB14" s="486"/>
      <c r="HC14" s="486"/>
      <c r="HD14" s="486"/>
      <c r="HE14" s="486"/>
      <c r="HF14" s="486"/>
      <c r="HG14" s="486"/>
      <c r="HH14" s="486"/>
      <c r="HI14" s="486"/>
      <c r="HJ14" s="486"/>
      <c r="HK14" s="486"/>
      <c r="HL14" s="486"/>
      <c r="HM14" s="486"/>
      <c r="HN14" s="486"/>
      <c r="HO14" s="486"/>
      <c r="HP14" s="486"/>
      <c r="HQ14" s="486"/>
      <c r="HR14" s="486"/>
      <c r="HS14" s="486"/>
      <c r="HT14" s="486"/>
      <c r="HU14" s="486"/>
      <c r="HV14" s="486"/>
      <c r="HW14" s="486"/>
      <c r="HX14" s="486"/>
      <c r="HY14" s="486"/>
      <c r="HZ14" s="486"/>
      <c r="IA14" s="486"/>
      <c r="IB14" s="486"/>
      <c r="IC14" s="486"/>
      <c r="ID14" s="486"/>
      <c r="IE14" s="486"/>
      <c r="IF14" s="486"/>
      <c r="IG14" s="486"/>
      <c r="IH14" s="486"/>
      <c r="II14" s="486"/>
      <c r="IJ14" s="486"/>
      <c r="IK14" s="486"/>
      <c r="IL14" s="486"/>
      <c r="IM14" s="486"/>
      <c r="IN14" s="486"/>
      <c r="IO14" s="486"/>
      <c r="IP14" s="486"/>
      <c r="IQ14" s="486"/>
    </row>
    <row r="15" spans="1:251" x14ac:dyDescent="0.3">
      <c r="A15" s="287"/>
      <c r="B15" s="1397" t="s">
        <v>208</v>
      </c>
      <c r="C15" s="1397"/>
      <c r="D15" s="270" t="s">
        <v>7</v>
      </c>
      <c r="E15" s="270" t="s">
        <v>7</v>
      </c>
      <c r="F15" s="1078">
        <f>PENYELIA!F15</f>
        <v>55.332000000000001</v>
      </c>
      <c r="G15" s="685" t="s">
        <v>730</v>
      </c>
      <c r="H15" s="1096">
        <f>PENYELIA!H15</f>
        <v>2.2000000000000002</v>
      </c>
      <c r="I15" s="684" t="str">
        <f>PENYELIA!I15</f>
        <v xml:space="preserve"> %RH</v>
      </c>
      <c r="M15" s="486"/>
      <c r="N15" s="486"/>
      <c r="O15" s="923"/>
      <c r="P15" s="923"/>
      <c r="Q15" s="923"/>
      <c r="R15" s="923"/>
      <c r="S15" s="923"/>
      <c r="T15" s="923"/>
      <c r="U15" s="923"/>
      <c r="V15" s="486"/>
      <c r="W15" s="486"/>
      <c r="X15" s="486"/>
      <c r="Y15" s="486"/>
      <c r="Z15" s="486"/>
      <c r="AA15" s="486"/>
      <c r="AB15" s="486"/>
      <c r="AC15" s="486"/>
      <c r="AD15" s="486"/>
      <c r="AE15" s="486"/>
      <c r="AF15" s="486"/>
      <c r="AG15" s="486"/>
      <c r="AH15" s="486"/>
      <c r="AI15" s="486"/>
      <c r="AJ15" s="486"/>
      <c r="AK15" s="486"/>
      <c r="AL15" s="486"/>
      <c r="AM15" s="486"/>
      <c r="AN15" s="486"/>
      <c r="AO15" s="486"/>
      <c r="AP15" s="486"/>
      <c r="AQ15" s="486"/>
      <c r="AR15" s="486"/>
      <c r="AS15" s="486"/>
      <c r="AT15" s="486"/>
      <c r="AU15" s="486"/>
      <c r="AV15" s="486"/>
      <c r="AW15" s="486"/>
      <c r="AX15" s="486"/>
      <c r="AY15" s="486"/>
      <c r="AZ15" s="486"/>
      <c r="BA15" s="486"/>
      <c r="BB15" s="486"/>
      <c r="BC15" s="486"/>
      <c r="BD15" s="486"/>
      <c r="BE15" s="486"/>
      <c r="BF15" s="486"/>
      <c r="BG15" s="486"/>
      <c r="BH15" s="486"/>
      <c r="BI15" s="486"/>
      <c r="BJ15" s="486"/>
      <c r="BK15" s="486"/>
      <c r="BL15" s="486"/>
      <c r="BM15" s="486"/>
      <c r="BN15" s="486"/>
      <c r="BO15" s="486"/>
      <c r="BP15" s="486"/>
      <c r="BQ15" s="486"/>
      <c r="BR15" s="486"/>
      <c r="BS15" s="486"/>
      <c r="BT15" s="486"/>
      <c r="BU15" s="486"/>
      <c r="BV15" s="486"/>
      <c r="BW15" s="486"/>
      <c r="BX15" s="486"/>
      <c r="BY15" s="486"/>
      <c r="BZ15" s="486"/>
      <c r="CA15" s="486"/>
      <c r="CB15" s="486"/>
      <c r="CC15" s="486"/>
      <c r="CD15" s="486"/>
      <c r="CE15" s="486"/>
      <c r="CF15" s="486"/>
      <c r="CG15" s="486"/>
      <c r="CH15" s="486"/>
      <c r="CI15" s="486"/>
      <c r="CJ15" s="486"/>
      <c r="CK15" s="486"/>
      <c r="CL15" s="486"/>
      <c r="CM15" s="486"/>
      <c r="CN15" s="486"/>
      <c r="CO15" s="486"/>
      <c r="CP15" s="486"/>
      <c r="CQ15" s="486"/>
      <c r="CR15" s="486"/>
      <c r="CS15" s="486"/>
      <c r="CT15" s="486"/>
      <c r="CU15" s="486"/>
      <c r="CV15" s="486"/>
      <c r="CW15" s="486"/>
      <c r="CX15" s="486"/>
      <c r="CY15" s="486"/>
      <c r="CZ15" s="486"/>
      <c r="DA15" s="486"/>
      <c r="DB15" s="486"/>
      <c r="DC15" s="486"/>
      <c r="DD15" s="486"/>
      <c r="DE15" s="486"/>
      <c r="DF15" s="486"/>
      <c r="DG15" s="486"/>
      <c r="DH15" s="486"/>
      <c r="DI15" s="486"/>
      <c r="DJ15" s="486"/>
      <c r="DK15" s="486"/>
      <c r="DL15" s="486"/>
      <c r="DM15" s="486"/>
      <c r="DN15" s="486"/>
      <c r="DO15" s="486"/>
      <c r="DP15" s="486"/>
      <c r="DQ15" s="486"/>
      <c r="DR15" s="486"/>
      <c r="DS15" s="486"/>
      <c r="DT15" s="486"/>
      <c r="DU15" s="486"/>
      <c r="DV15" s="486"/>
      <c r="DW15" s="486"/>
      <c r="DX15" s="486"/>
      <c r="DY15" s="486"/>
      <c r="DZ15" s="486"/>
      <c r="EA15" s="486"/>
      <c r="EB15" s="486"/>
      <c r="EC15" s="486"/>
      <c r="ED15" s="486"/>
      <c r="EE15" s="486"/>
      <c r="EF15" s="486"/>
      <c r="EG15" s="486"/>
      <c r="EH15" s="486"/>
      <c r="EI15" s="486"/>
      <c r="EJ15" s="486"/>
      <c r="EK15" s="486"/>
      <c r="EL15" s="486"/>
      <c r="EM15" s="486"/>
      <c r="EN15" s="486"/>
      <c r="EO15" s="486"/>
      <c r="EP15" s="486"/>
      <c r="EQ15" s="486"/>
      <c r="ER15" s="486"/>
      <c r="ES15" s="486"/>
      <c r="ET15" s="486"/>
      <c r="EU15" s="486"/>
      <c r="EV15" s="486"/>
      <c r="EW15" s="486"/>
      <c r="EX15" s="486"/>
      <c r="EY15" s="486"/>
      <c r="EZ15" s="486"/>
      <c r="FA15" s="486"/>
      <c r="FB15" s="486"/>
      <c r="FC15" s="486"/>
      <c r="FD15" s="486"/>
      <c r="FE15" s="486"/>
      <c r="FF15" s="486"/>
      <c r="FG15" s="486"/>
      <c r="FH15" s="486"/>
      <c r="FI15" s="486"/>
      <c r="FJ15" s="486"/>
      <c r="FK15" s="486"/>
      <c r="FL15" s="486"/>
      <c r="FM15" s="486"/>
      <c r="FN15" s="486"/>
      <c r="FO15" s="486"/>
      <c r="FP15" s="486"/>
      <c r="FQ15" s="486"/>
      <c r="FR15" s="486"/>
      <c r="FS15" s="486"/>
      <c r="FT15" s="486"/>
      <c r="FU15" s="486"/>
      <c r="FV15" s="486"/>
      <c r="FW15" s="486"/>
      <c r="FX15" s="486"/>
      <c r="FY15" s="486"/>
      <c r="FZ15" s="486"/>
      <c r="GA15" s="486"/>
      <c r="GB15" s="486"/>
      <c r="GC15" s="486"/>
      <c r="GD15" s="486"/>
      <c r="GE15" s="486"/>
      <c r="GF15" s="486"/>
      <c r="GG15" s="486"/>
      <c r="GH15" s="486"/>
      <c r="GI15" s="486"/>
      <c r="GJ15" s="486"/>
      <c r="GK15" s="486"/>
      <c r="GL15" s="486"/>
      <c r="GM15" s="486"/>
      <c r="GN15" s="486"/>
      <c r="GO15" s="486"/>
      <c r="GP15" s="486"/>
      <c r="GQ15" s="486"/>
      <c r="GR15" s="486"/>
      <c r="GS15" s="486"/>
      <c r="GT15" s="486"/>
      <c r="GU15" s="486"/>
      <c r="GV15" s="486"/>
      <c r="GW15" s="486"/>
      <c r="GX15" s="486"/>
      <c r="GY15" s="486"/>
      <c r="GZ15" s="486"/>
      <c r="HA15" s="486"/>
      <c r="HB15" s="486"/>
      <c r="HC15" s="486"/>
      <c r="HD15" s="486"/>
      <c r="HE15" s="486"/>
      <c r="HF15" s="486"/>
      <c r="HG15" s="486"/>
      <c r="HH15" s="486"/>
      <c r="HI15" s="486"/>
      <c r="HJ15" s="486"/>
      <c r="HK15" s="486"/>
      <c r="HL15" s="486"/>
      <c r="HM15" s="486"/>
      <c r="HN15" s="486"/>
      <c r="HO15" s="486"/>
      <c r="HP15" s="486"/>
      <c r="HQ15" s="486"/>
      <c r="HR15" s="486"/>
      <c r="HS15" s="486"/>
      <c r="HT15" s="486"/>
      <c r="HU15" s="486"/>
      <c r="HV15" s="486"/>
      <c r="HW15" s="486"/>
      <c r="HX15" s="486"/>
      <c r="HY15" s="486"/>
      <c r="HZ15" s="486"/>
      <c r="IA15" s="486"/>
      <c r="IB15" s="486"/>
      <c r="IC15" s="486"/>
      <c r="ID15" s="486"/>
      <c r="IE15" s="486"/>
      <c r="IF15" s="486"/>
      <c r="IG15" s="486"/>
      <c r="IH15" s="486"/>
      <c r="II15" s="486"/>
      <c r="IJ15" s="486"/>
      <c r="IK15" s="486"/>
      <c r="IL15" s="486"/>
      <c r="IM15" s="486"/>
      <c r="IN15" s="486"/>
      <c r="IO15" s="486"/>
      <c r="IP15" s="486"/>
      <c r="IQ15" s="486"/>
    </row>
    <row r="16" spans="1:251" ht="16.5" customHeight="1" x14ac:dyDescent="0.3">
      <c r="A16" s="287"/>
      <c r="B16" s="287" t="str">
        <f>PENYELIA!B16</f>
        <v>3. Tegangan jala jala</v>
      </c>
      <c r="C16" s="287"/>
      <c r="D16" s="270"/>
      <c r="E16" s="270" t="s">
        <v>7</v>
      </c>
      <c r="F16" s="1079" t="str">
        <f>PENYELIA!F16</f>
        <v>-</v>
      </c>
      <c r="G16" s="685" t="str">
        <f>PENYELIA!G16</f>
        <v/>
      </c>
      <c r="H16" s="683" t="str">
        <f>PENYELIA!H16</f>
        <v/>
      </c>
      <c r="I16" s="684" t="str">
        <f>PENYELIA!I16</f>
        <v/>
      </c>
      <c r="M16" s="486"/>
      <c r="N16" s="486"/>
      <c r="O16" s="923"/>
      <c r="P16" s="923"/>
      <c r="Q16" s="923"/>
      <c r="R16" s="923"/>
      <c r="S16" s="923"/>
      <c r="T16" s="923"/>
      <c r="U16" s="923"/>
      <c r="V16" s="486"/>
      <c r="W16" s="486"/>
      <c r="X16" s="486"/>
      <c r="Y16" s="486"/>
      <c r="Z16" s="486"/>
      <c r="AA16" s="486"/>
      <c r="AB16" s="486"/>
      <c r="AC16" s="486"/>
      <c r="AD16" s="486"/>
      <c r="AE16" s="486"/>
      <c r="AF16" s="486"/>
      <c r="AG16" s="486"/>
      <c r="AH16" s="486"/>
      <c r="AI16" s="486"/>
      <c r="AJ16" s="486"/>
      <c r="AK16" s="486"/>
      <c r="AL16" s="486"/>
      <c r="AM16" s="486"/>
      <c r="AN16" s="486"/>
      <c r="AO16" s="486"/>
      <c r="AP16" s="486"/>
      <c r="AQ16" s="486"/>
      <c r="AR16" s="486"/>
      <c r="AS16" s="486"/>
      <c r="AT16" s="486"/>
      <c r="AU16" s="486"/>
      <c r="AV16" s="486"/>
      <c r="AW16" s="486"/>
      <c r="AX16" s="486"/>
      <c r="AY16" s="486"/>
      <c r="AZ16" s="486"/>
      <c r="BA16" s="486"/>
      <c r="BB16" s="486"/>
      <c r="BC16" s="486"/>
      <c r="BD16" s="486"/>
      <c r="BE16" s="486"/>
      <c r="BF16" s="486"/>
      <c r="BG16" s="486"/>
      <c r="BH16" s="486"/>
      <c r="BI16" s="486"/>
      <c r="BJ16" s="486"/>
      <c r="BK16" s="486"/>
      <c r="BL16" s="486"/>
      <c r="BM16" s="486"/>
      <c r="BN16" s="486"/>
      <c r="BO16" s="486"/>
      <c r="BP16" s="486"/>
      <c r="BQ16" s="486"/>
      <c r="BR16" s="486"/>
      <c r="BS16" s="486"/>
      <c r="BT16" s="486"/>
      <c r="BU16" s="486"/>
      <c r="BV16" s="486"/>
      <c r="BW16" s="486"/>
      <c r="BX16" s="486"/>
      <c r="BY16" s="486"/>
      <c r="BZ16" s="486"/>
      <c r="CA16" s="486"/>
      <c r="CB16" s="486"/>
      <c r="CC16" s="486"/>
      <c r="CD16" s="486"/>
      <c r="CE16" s="486"/>
      <c r="CF16" s="486"/>
      <c r="CG16" s="486"/>
      <c r="CH16" s="486"/>
      <c r="CI16" s="486"/>
      <c r="CJ16" s="486"/>
      <c r="CK16" s="486"/>
      <c r="CL16" s="486"/>
      <c r="CM16" s="486"/>
      <c r="CN16" s="486"/>
      <c r="CO16" s="486"/>
      <c r="CP16" s="486"/>
      <c r="CQ16" s="486"/>
      <c r="CR16" s="486"/>
      <c r="CS16" s="486"/>
      <c r="CT16" s="486"/>
      <c r="CU16" s="486"/>
      <c r="CV16" s="486"/>
      <c r="CW16" s="486"/>
      <c r="CX16" s="486"/>
      <c r="CY16" s="486"/>
      <c r="CZ16" s="486"/>
      <c r="DA16" s="486"/>
      <c r="DB16" s="486"/>
      <c r="DC16" s="486"/>
      <c r="DD16" s="486"/>
      <c r="DE16" s="486"/>
      <c r="DF16" s="486"/>
      <c r="DG16" s="486"/>
      <c r="DH16" s="486"/>
      <c r="DI16" s="486"/>
      <c r="DJ16" s="486"/>
      <c r="DK16" s="486"/>
      <c r="DL16" s="486"/>
      <c r="DM16" s="486"/>
      <c r="DN16" s="486"/>
      <c r="DO16" s="486"/>
      <c r="DP16" s="486"/>
      <c r="DQ16" s="486"/>
      <c r="DR16" s="486"/>
      <c r="DS16" s="486"/>
      <c r="DT16" s="486"/>
      <c r="DU16" s="486"/>
      <c r="DV16" s="486"/>
      <c r="DW16" s="486"/>
      <c r="DX16" s="486"/>
      <c r="DY16" s="486"/>
      <c r="DZ16" s="486"/>
      <c r="EA16" s="486"/>
      <c r="EB16" s="486"/>
      <c r="EC16" s="486"/>
      <c r="ED16" s="486"/>
      <c r="EE16" s="486"/>
      <c r="EF16" s="486"/>
      <c r="EG16" s="486"/>
      <c r="EH16" s="486"/>
      <c r="EI16" s="486"/>
      <c r="EJ16" s="486"/>
      <c r="EK16" s="486"/>
      <c r="EL16" s="486"/>
      <c r="EM16" s="486"/>
      <c r="EN16" s="486"/>
      <c r="EO16" s="486"/>
      <c r="EP16" s="486"/>
      <c r="EQ16" s="486"/>
      <c r="ER16" s="486"/>
      <c r="ES16" s="486"/>
      <c r="ET16" s="486"/>
      <c r="EU16" s="486"/>
      <c r="EV16" s="486"/>
      <c r="EW16" s="486"/>
      <c r="EX16" s="486"/>
      <c r="EY16" s="486"/>
      <c r="EZ16" s="486"/>
      <c r="FA16" s="486"/>
      <c r="FB16" s="486"/>
      <c r="FC16" s="486"/>
      <c r="FD16" s="486"/>
      <c r="FE16" s="486"/>
      <c r="FF16" s="486"/>
      <c r="FG16" s="486"/>
      <c r="FH16" s="486"/>
      <c r="FI16" s="486"/>
      <c r="FJ16" s="486"/>
      <c r="FK16" s="486"/>
      <c r="FL16" s="486"/>
      <c r="FM16" s="486"/>
      <c r="FN16" s="486"/>
      <c r="FO16" s="486"/>
      <c r="FP16" s="486"/>
      <c r="FQ16" s="486"/>
      <c r="FR16" s="486"/>
      <c r="FS16" s="486"/>
      <c r="FT16" s="486"/>
      <c r="FU16" s="486"/>
      <c r="FV16" s="486"/>
      <c r="FW16" s="486"/>
      <c r="FX16" s="486"/>
      <c r="FY16" s="486"/>
      <c r="FZ16" s="486"/>
      <c r="GA16" s="486"/>
      <c r="GB16" s="486"/>
      <c r="GC16" s="486"/>
      <c r="GD16" s="486"/>
      <c r="GE16" s="486"/>
      <c r="GF16" s="486"/>
      <c r="GG16" s="486"/>
      <c r="GH16" s="486"/>
      <c r="GI16" s="486"/>
      <c r="GJ16" s="486"/>
      <c r="GK16" s="486"/>
      <c r="GL16" s="486"/>
      <c r="GM16" s="486"/>
      <c r="GN16" s="486"/>
      <c r="GO16" s="486"/>
      <c r="GP16" s="486"/>
      <c r="GQ16" s="486"/>
      <c r="GR16" s="486"/>
      <c r="GS16" s="486"/>
      <c r="GT16" s="486"/>
      <c r="GU16" s="486"/>
      <c r="GV16" s="486"/>
      <c r="GW16" s="486"/>
      <c r="GX16" s="486"/>
      <c r="GY16" s="486"/>
      <c r="GZ16" s="486"/>
      <c r="HA16" s="486"/>
      <c r="HB16" s="486"/>
      <c r="HC16" s="486"/>
      <c r="HD16" s="486"/>
      <c r="HE16" s="486"/>
      <c r="HF16" s="486"/>
      <c r="HG16" s="486"/>
      <c r="HH16" s="486"/>
      <c r="HI16" s="486"/>
      <c r="HJ16" s="486"/>
      <c r="HK16" s="486"/>
      <c r="HL16" s="486"/>
      <c r="HM16" s="486"/>
      <c r="HN16" s="486"/>
      <c r="HO16" s="486"/>
      <c r="HP16" s="486"/>
      <c r="HQ16" s="486"/>
      <c r="HR16" s="486"/>
      <c r="HS16" s="486"/>
      <c r="HT16" s="486"/>
      <c r="HU16" s="486"/>
      <c r="HV16" s="486"/>
      <c r="HW16" s="486"/>
      <c r="HX16" s="486"/>
      <c r="HY16" s="486"/>
      <c r="HZ16" s="486"/>
      <c r="IA16" s="486"/>
      <c r="IB16" s="486"/>
      <c r="IC16" s="486"/>
      <c r="ID16" s="486"/>
      <c r="IE16" s="486"/>
      <c r="IF16" s="486"/>
      <c r="IG16" s="486"/>
      <c r="IH16" s="486"/>
      <c r="II16" s="486"/>
      <c r="IJ16" s="486"/>
      <c r="IK16" s="486"/>
      <c r="IL16" s="486"/>
      <c r="IM16" s="486"/>
      <c r="IN16" s="486"/>
      <c r="IO16" s="486"/>
      <c r="IP16" s="486"/>
      <c r="IQ16" s="486"/>
    </row>
    <row r="17" spans="1:251" x14ac:dyDescent="0.3">
      <c r="A17" s="273" t="s">
        <v>33</v>
      </c>
      <c r="B17" s="274" t="s">
        <v>34</v>
      </c>
      <c r="C17" s="274"/>
      <c r="D17" s="274"/>
      <c r="E17" s="274"/>
      <c r="F17" s="274"/>
      <c r="G17" s="274"/>
      <c r="H17" s="274"/>
      <c r="I17" s="274"/>
      <c r="J17" s="274"/>
      <c r="K17" s="899"/>
      <c r="L17" s="269"/>
      <c r="M17" s="486"/>
      <c r="N17" s="486"/>
      <c r="O17" s="923"/>
      <c r="P17" s="923"/>
      <c r="Q17" s="923"/>
      <c r="R17" s="923"/>
      <c r="S17" s="923"/>
      <c r="T17" s="923"/>
      <c r="U17" s="923"/>
      <c r="V17" s="486"/>
      <c r="W17" s="486"/>
      <c r="X17" s="486"/>
      <c r="Y17" s="486"/>
      <c r="Z17" s="486"/>
      <c r="AA17" s="486"/>
      <c r="AB17" s="486"/>
      <c r="AC17" s="486"/>
      <c r="AD17" s="486"/>
      <c r="AE17" s="486"/>
      <c r="AF17" s="486"/>
      <c r="AG17" s="486"/>
      <c r="AH17" s="486"/>
      <c r="AI17" s="486"/>
      <c r="AJ17" s="486"/>
      <c r="AK17" s="486"/>
      <c r="AL17" s="486"/>
      <c r="AM17" s="486"/>
      <c r="AN17" s="486"/>
      <c r="AO17" s="486"/>
      <c r="AP17" s="486"/>
      <c r="AQ17" s="486"/>
      <c r="AR17" s="486"/>
      <c r="AS17" s="486"/>
      <c r="AT17" s="486"/>
      <c r="AU17" s="486"/>
      <c r="AV17" s="486"/>
      <c r="AW17" s="486"/>
      <c r="AX17" s="486"/>
      <c r="AY17" s="486"/>
      <c r="AZ17" s="486"/>
      <c r="BA17" s="486"/>
      <c r="BB17" s="486"/>
      <c r="BC17" s="486"/>
      <c r="BD17" s="486"/>
      <c r="BE17" s="486"/>
      <c r="BF17" s="486"/>
      <c r="BG17" s="486"/>
      <c r="BH17" s="486"/>
      <c r="BI17" s="486"/>
      <c r="BJ17" s="486"/>
      <c r="BK17" s="486"/>
      <c r="BL17" s="486"/>
      <c r="BM17" s="486"/>
      <c r="BN17" s="486"/>
      <c r="BO17" s="486"/>
      <c r="BP17" s="486"/>
      <c r="BQ17" s="486"/>
      <c r="BR17" s="486"/>
      <c r="BS17" s="486"/>
      <c r="BT17" s="486"/>
      <c r="BU17" s="486"/>
      <c r="BV17" s="486"/>
      <c r="BW17" s="486"/>
      <c r="BX17" s="486"/>
      <c r="BY17" s="486"/>
      <c r="BZ17" s="486"/>
      <c r="CA17" s="486"/>
      <c r="CB17" s="486"/>
      <c r="CC17" s="486"/>
      <c r="CD17" s="486"/>
      <c r="CE17" s="486"/>
      <c r="CF17" s="486"/>
      <c r="CG17" s="486"/>
      <c r="CH17" s="486"/>
      <c r="CI17" s="486"/>
      <c r="CJ17" s="486"/>
      <c r="CK17" s="486"/>
      <c r="CL17" s="486"/>
      <c r="CM17" s="486"/>
      <c r="CN17" s="486"/>
      <c r="CO17" s="486"/>
      <c r="CP17" s="486"/>
      <c r="CQ17" s="486"/>
      <c r="CR17" s="486"/>
      <c r="CS17" s="486"/>
      <c r="CT17" s="486"/>
      <c r="CU17" s="486"/>
      <c r="CV17" s="486"/>
      <c r="CW17" s="486"/>
      <c r="CX17" s="486"/>
      <c r="CY17" s="486"/>
      <c r="CZ17" s="486"/>
      <c r="DA17" s="486"/>
      <c r="DB17" s="486"/>
      <c r="DC17" s="486"/>
      <c r="DD17" s="486"/>
      <c r="DE17" s="486"/>
      <c r="DF17" s="486"/>
      <c r="DG17" s="486"/>
      <c r="DH17" s="486"/>
      <c r="DI17" s="486"/>
      <c r="DJ17" s="486"/>
      <c r="DK17" s="486"/>
      <c r="DL17" s="486"/>
      <c r="DM17" s="486"/>
      <c r="DN17" s="486"/>
      <c r="DO17" s="486"/>
      <c r="DP17" s="486"/>
      <c r="DQ17" s="486"/>
      <c r="DR17" s="486"/>
      <c r="DS17" s="486"/>
      <c r="DT17" s="486"/>
      <c r="DU17" s="486"/>
      <c r="DV17" s="486"/>
      <c r="DW17" s="486"/>
      <c r="DX17" s="486"/>
      <c r="DY17" s="486"/>
      <c r="DZ17" s="486"/>
      <c r="EA17" s="486"/>
      <c r="EB17" s="486"/>
      <c r="EC17" s="486"/>
      <c r="ED17" s="486"/>
      <c r="EE17" s="486"/>
      <c r="EF17" s="486"/>
      <c r="EG17" s="486"/>
      <c r="EH17" s="486"/>
      <c r="EI17" s="486"/>
      <c r="EJ17" s="486"/>
      <c r="EK17" s="486"/>
      <c r="EL17" s="486"/>
      <c r="EM17" s="486"/>
      <c r="EN17" s="486"/>
      <c r="EO17" s="486"/>
      <c r="EP17" s="486"/>
      <c r="EQ17" s="486"/>
      <c r="ER17" s="486"/>
      <c r="ES17" s="486"/>
      <c r="ET17" s="486"/>
      <c r="EU17" s="486"/>
      <c r="EV17" s="486"/>
      <c r="EW17" s="486"/>
      <c r="EX17" s="486"/>
      <c r="EY17" s="486"/>
      <c r="EZ17" s="486"/>
      <c r="FA17" s="486"/>
      <c r="FB17" s="486"/>
      <c r="FC17" s="486"/>
      <c r="FD17" s="486"/>
      <c r="FE17" s="486"/>
      <c r="FF17" s="486"/>
      <c r="FG17" s="486"/>
      <c r="FH17" s="486"/>
      <c r="FI17" s="486"/>
      <c r="FJ17" s="486"/>
      <c r="FK17" s="486"/>
      <c r="FL17" s="486"/>
      <c r="FM17" s="486"/>
      <c r="FN17" s="486"/>
      <c r="FO17" s="486"/>
      <c r="FP17" s="486"/>
      <c r="FQ17" s="486"/>
      <c r="FR17" s="486"/>
      <c r="FS17" s="486"/>
      <c r="FT17" s="486"/>
      <c r="FU17" s="486"/>
      <c r="FV17" s="486"/>
      <c r="FW17" s="486"/>
      <c r="FX17" s="486"/>
      <c r="FY17" s="486"/>
      <c r="FZ17" s="486"/>
      <c r="GA17" s="486"/>
      <c r="GB17" s="486"/>
      <c r="GC17" s="486"/>
      <c r="GD17" s="486"/>
      <c r="GE17" s="486"/>
      <c r="GF17" s="486"/>
      <c r="GG17" s="486"/>
      <c r="GH17" s="486"/>
      <c r="GI17" s="486"/>
      <c r="GJ17" s="486"/>
      <c r="GK17" s="486"/>
      <c r="GL17" s="486"/>
      <c r="GM17" s="486"/>
      <c r="GN17" s="486"/>
      <c r="GO17" s="486"/>
      <c r="GP17" s="486"/>
      <c r="GQ17" s="486"/>
      <c r="GR17" s="486"/>
      <c r="GS17" s="486"/>
      <c r="GT17" s="486"/>
      <c r="GU17" s="486"/>
      <c r="GV17" s="486"/>
      <c r="GW17" s="486"/>
      <c r="GX17" s="486"/>
      <c r="GY17" s="486"/>
      <c r="GZ17" s="486"/>
      <c r="HA17" s="486"/>
      <c r="HB17" s="486"/>
      <c r="HC17" s="486"/>
      <c r="HD17" s="486"/>
      <c r="HE17" s="486"/>
      <c r="HF17" s="486"/>
      <c r="HG17" s="486"/>
      <c r="HH17" s="486"/>
      <c r="HI17" s="486"/>
      <c r="HJ17" s="486"/>
      <c r="HK17" s="486"/>
      <c r="HL17" s="486"/>
      <c r="HM17" s="486"/>
      <c r="HN17" s="486"/>
      <c r="HO17" s="486"/>
      <c r="HP17" s="486"/>
      <c r="HQ17" s="486"/>
      <c r="HR17" s="486"/>
      <c r="HS17" s="486"/>
      <c r="HT17" s="486"/>
      <c r="HU17" s="486"/>
      <c r="HV17" s="486"/>
      <c r="HW17" s="486"/>
      <c r="HX17" s="486"/>
      <c r="HY17" s="486"/>
      <c r="HZ17" s="486"/>
      <c r="IA17" s="486"/>
      <c r="IB17" s="486"/>
      <c r="IC17" s="486"/>
      <c r="ID17" s="486"/>
      <c r="IE17" s="486"/>
      <c r="IF17" s="486"/>
      <c r="IG17" s="486"/>
      <c r="IH17" s="486"/>
      <c r="II17" s="486"/>
      <c r="IJ17" s="486"/>
      <c r="IK17" s="486"/>
      <c r="IL17" s="486"/>
      <c r="IM17" s="486"/>
      <c r="IN17" s="486"/>
      <c r="IO17" s="486"/>
      <c r="IP17" s="486"/>
      <c r="IQ17" s="486"/>
    </row>
    <row r="18" spans="1:251" x14ac:dyDescent="0.3">
      <c r="A18" s="276"/>
      <c r="B18" s="271" t="str">
        <f>PENYELIA!B18</f>
        <v>1. Pemeriksaan fisik</v>
      </c>
      <c r="C18" s="271"/>
      <c r="D18" s="271" t="s">
        <v>212</v>
      </c>
      <c r="E18" s="271" t="s">
        <v>7</v>
      </c>
      <c r="F18" s="964" t="str">
        <f>ID!D37</f>
        <v>Baik</v>
      </c>
      <c r="G18" s="271"/>
      <c r="H18" s="271"/>
      <c r="J18" s="271"/>
      <c r="K18" s="486"/>
      <c r="L18" s="486"/>
      <c r="M18" s="486"/>
      <c r="N18" s="486"/>
      <c r="O18" s="923"/>
      <c r="P18" s="923"/>
      <c r="Q18" s="923"/>
      <c r="R18" s="923"/>
      <c r="S18" s="923"/>
      <c r="T18" s="923"/>
      <c r="U18" s="923"/>
    </row>
    <row r="19" spans="1:251" x14ac:dyDescent="0.3">
      <c r="A19" s="276"/>
      <c r="B19" s="271" t="str">
        <f>PENYELIA!B19</f>
        <v>2. Pengujian fungsi</v>
      </c>
      <c r="C19" s="271"/>
      <c r="D19" s="271" t="s">
        <v>212</v>
      </c>
      <c r="E19" s="271" t="s">
        <v>7</v>
      </c>
      <c r="F19" s="964" t="str">
        <f>ID!D38</f>
        <v>Baik</v>
      </c>
      <c r="G19" s="271"/>
      <c r="H19" s="271"/>
      <c r="J19" s="271"/>
      <c r="K19" s="486"/>
      <c r="L19" s="486"/>
      <c r="M19" s="486"/>
      <c r="N19" s="486"/>
      <c r="O19" s="923"/>
      <c r="P19" s="923"/>
      <c r="Q19" s="923"/>
      <c r="R19" s="923"/>
      <c r="S19" s="923"/>
      <c r="T19" s="923"/>
      <c r="U19" s="923"/>
    </row>
    <row r="20" spans="1:251" ht="5.25" customHeight="1" x14ac:dyDescent="0.3">
      <c r="A20" s="1395"/>
      <c r="B20" s="1395"/>
      <c r="C20" s="1395"/>
      <c r="D20" s="1395"/>
      <c r="E20" s="1395"/>
      <c r="F20" s="1395"/>
      <c r="G20" s="1395"/>
      <c r="H20" s="1395"/>
      <c r="I20" s="1395"/>
      <c r="J20" s="1395"/>
      <c r="K20" s="284"/>
      <c r="L20" s="284"/>
      <c r="M20" s="486"/>
      <c r="N20" s="486"/>
      <c r="O20" s="923"/>
      <c r="P20" s="923"/>
      <c r="Q20" s="923"/>
      <c r="R20" s="923"/>
      <c r="S20" s="923"/>
      <c r="T20" s="923"/>
      <c r="U20" s="923"/>
    </row>
    <row r="21" spans="1:251" s="105" customFormat="1" x14ac:dyDescent="0.25">
      <c r="A21" s="277" t="s">
        <v>215</v>
      </c>
      <c r="B21" s="277" t="s">
        <v>216</v>
      </c>
      <c r="C21" s="175"/>
      <c r="D21" s="175"/>
      <c r="E21" s="175"/>
      <c r="F21" s="175"/>
      <c r="G21" s="175"/>
      <c r="H21" s="175"/>
      <c r="I21" s="175"/>
      <c r="J21" s="175"/>
      <c r="K21" s="152"/>
      <c r="L21" s="175"/>
      <c r="M21" s="454"/>
      <c r="N21" s="170"/>
      <c r="O21" s="141"/>
      <c r="P21" s="141"/>
      <c r="Q21" s="141"/>
      <c r="R21" s="1073"/>
      <c r="S21" s="1074"/>
      <c r="T21" s="1074"/>
      <c r="U21" s="248"/>
    </row>
    <row r="22" spans="1:251" s="124" customFormat="1" ht="33" customHeight="1" x14ac:dyDescent="0.25">
      <c r="A22" s="149"/>
      <c r="B22" s="1148" t="s">
        <v>23</v>
      </c>
      <c r="C22" s="1149"/>
      <c r="D22" s="1149"/>
      <c r="E22" s="1149"/>
      <c r="F22" s="1149"/>
      <c r="G22" s="1149"/>
      <c r="H22" s="1149"/>
      <c r="I22" s="1150"/>
      <c r="J22" s="455" t="s">
        <v>40</v>
      </c>
      <c r="K22" s="1148" t="s">
        <v>41</v>
      </c>
      <c r="L22" s="1150"/>
      <c r="O22" s="197"/>
    </row>
    <row r="23" spans="1:251" s="124" customFormat="1" ht="15" x14ac:dyDescent="0.25">
      <c r="A23" s="149"/>
      <c r="B23" s="150" t="str">
        <f>PENYELIA!B23</f>
        <v>Resistansi isolasi</v>
      </c>
      <c r="C23" s="151"/>
      <c r="D23" s="151"/>
      <c r="E23" s="151"/>
      <c r="F23" s="151"/>
      <c r="G23" s="151"/>
      <c r="H23" s="151"/>
      <c r="I23" s="151"/>
      <c r="J23" s="965" t="str">
        <f>PENYELIA!I23</f>
        <v>-</v>
      </c>
      <c r="K23" s="1142" t="str">
        <f>PENYELIA!J23</f>
        <v>&gt; 2 MΩ</v>
      </c>
      <c r="L23" s="1144"/>
      <c r="O23" s="1075"/>
    </row>
    <row r="24" spans="1:251" s="124" customFormat="1" ht="15" x14ac:dyDescent="0.25">
      <c r="A24" s="149"/>
      <c r="B24" s="967" t="str">
        <f>PENYELIA!B24</f>
        <v>Resistansi pembumian protektif (kabel dapat dilepas)</v>
      </c>
      <c r="C24" s="151"/>
      <c r="D24" s="151"/>
      <c r="E24" s="151"/>
      <c r="F24" s="151"/>
      <c r="G24" s="151"/>
      <c r="H24" s="151"/>
      <c r="I24" s="151"/>
      <c r="J24" s="966" t="str">
        <f>PENYELIA!I24</f>
        <v>-</v>
      </c>
      <c r="K24" s="1142" t="str">
        <f>PENYELIA!J24</f>
        <v>≤ 0.2 Ω</v>
      </c>
      <c r="L24" s="1144"/>
      <c r="O24" s="1075"/>
    </row>
    <row r="25" spans="1:251" s="124" customFormat="1" ht="15" x14ac:dyDescent="0.25">
      <c r="A25" s="149"/>
      <c r="B25" s="967" t="str">
        <f>PENYELIA!B25</f>
        <v xml:space="preserve">Arus bocor peralatan untuk peralatan elektromedik kelas I </v>
      </c>
      <c r="C25" s="151"/>
      <c r="D25" s="151"/>
      <c r="E25" s="151"/>
      <c r="F25" s="151"/>
      <c r="G25" s="151"/>
      <c r="H25" s="151"/>
      <c r="I25" s="151"/>
      <c r="J25" s="965" t="str">
        <f>PENYELIA!I25</f>
        <v>-</v>
      </c>
      <c r="K25" s="1142" t="str">
        <f>PENYELIA!J25</f>
        <v>≤ 500 μA</v>
      </c>
      <c r="L25" s="1144"/>
      <c r="O25" s="1075"/>
    </row>
    <row r="26" spans="1:251" s="105" customFormat="1" ht="6.75" customHeight="1" x14ac:dyDescent="0.25">
      <c r="A26" s="106"/>
      <c r="B26" s="106"/>
      <c r="C26" s="278"/>
      <c r="D26" s="278"/>
      <c r="E26" s="278"/>
      <c r="F26" s="278"/>
      <c r="G26" s="278"/>
      <c r="H26" s="278"/>
      <c r="I26" s="278"/>
      <c r="J26" s="278"/>
      <c r="K26" s="278"/>
      <c r="L26" s="278"/>
      <c r="M26" s="464"/>
      <c r="N26" s="171"/>
      <c r="O26" s="141"/>
      <c r="P26" s="141"/>
      <c r="Q26" s="141"/>
      <c r="R26" s="1073"/>
      <c r="S26" s="1074"/>
      <c r="T26" s="1074"/>
      <c r="U26" s="248"/>
    </row>
    <row r="27" spans="1:251" s="105" customFormat="1" x14ac:dyDescent="0.25">
      <c r="A27" s="187" t="s">
        <v>217</v>
      </c>
      <c r="B27" s="187" t="s">
        <v>247</v>
      </c>
      <c r="C27" s="187"/>
      <c r="D27" s="187"/>
      <c r="E27" s="187"/>
      <c r="F27" s="187"/>
      <c r="G27" s="187"/>
      <c r="H27" s="187"/>
      <c r="I27" s="187"/>
      <c r="J27" s="187"/>
      <c r="K27" s="187"/>
      <c r="L27" s="152"/>
      <c r="M27" s="152"/>
      <c r="N27" s="152"/>
      <c r="O27" s="149"/>
      <c r="P27" s="248"/>
      <c r="Q27" s="248"/>
      <c r="R27" s="1076"/>
      <c r="S27" s="1074"/>
      <c r="T27" s="1074"/>
      <c r="U27" s="248"/>
    </row>
    <row r="28" spans="1:251" s="105" customFormat="1" x14ac:dyDescent="0.25">
      <c r="A28" s="187"/>
      <c r="B28" s="279" t="str">
        <f>PENYELIA!B28</f>
        <v xml:space="preserve">A. Blood pressure monitor </v>
      </c>
      <c r="C28" s="279"/>
      <c r="D28" s="279"/>
      <c r="E28" s="279"/>
      <c r="F28" s="279"/>
      <c r="G28" s="279"/>
      <c r="H28" s="279"/>
      <c r="I28" s="279"/>
      <c r="J28" s="279"/>
      <c r="K28" s="279"/>
      <c r="L28" s="152"/>
      <c r="M28" s="152"/>
      <c r="N28" s="152"/>
      <c r="O28" s="152"/>
      <c r="P28" s="106"/>
      <c r="Q28" s="106"/>
      <c r="R28" s="463"/>
      <c r="S28" s="199"/>
      <c r="T28" s="199"/>
    </row>
    <row r="29" spans="1:251" s="105" customFormat="1" ht="9" customHeight="1" x14ac:dyDescent="0.25">
      <c r="A29" s="1388"/>
      <c r="B29" s="1426" t="s">
        <v>39</v>
      </c>
      <c r="C29" s="1385" t="str">
        <f>PENYELIA!C29</f>
        <v>Parameter</v>
      </c>
      <c r="D29" s="1400"/>
      <c r="E29" s="1430"/>
      <c r="F29" s="1385" t="str">
        <f>PENYELIA!F29</f>
        <v>Setting standar (mmHg)</v>
      </c>
      <c r="G29" s="1386"/>
      <c r="H29" s="1099" t="str">
        <f>PENYELIA!G29</f>
        <v>Setting heart rate (bpm)</v>
      </c>
      <c r="I29" s="1099"/>
      <c r="J29" s="1426" t="str">
        <f>PENYELIA!H29</f>
        <v xml:space="preserve">Penunjukan alat                           (mmHg)                     </v>
      </c>
      <c r="K29" s="1426" t="str">
        <f>PENYELIA!I29</f>
        <v xml:space="preserve">Koreksi    (mmHg)                          </v>
      </c>
      <c r="L29" s="1100" t="str">
        <f>PENYELIA!J29</f>
        <v>Toleransi (mmHg)</v>
      </c>
      <c r="M29" s="1426" t="str">
        <f>PENYELIA!K29</f>
        <v xml:space="preserve">Ketidakpastian pengukuran    ±(mmHg)                       </v>
      </c>
      <c r="O29" s="152"/>
      <c r="P29" s="106"/>
      <c r="Q29" s="106"/>
      <c r="R29" s="106"/>
      <c r="S29" s="106"/>
      <c r="T29" s="106"/>
    </row>
    <row r="30" spans="1:251" s="105" customFormat="1" ht="12" customHeight="1" x14ac:dyDescent="0.25">
      <c r="A30" s="1388"/>
      <c r="B30" s="1427"/>
      <c r="C30" s="1387"/>
      <c r="D30" s="1402"/>
      <c r="E30" s="1417"/>
      <c r="F30" s="1387"/>
      <c r="G30" s="1388"/>
      <c r="H30" s="1099"/>
      <c r="I30" s="1099"/>
      <c r="J30" s="1427"/>
      <c r="K30" s="1427"/>
      <c r="L30" s="1137"/>
      <c r="M30" s="1427"/>
      <c r="O30" s="152"/>
      <c r="P30" s="106"/>
      <c r="Q30" s="106"/>
      <c r="R30" s="106"/>
      <c r="S30" s="106"/>
      <c r="T30" s="106"/>
    </row>
    <row r="31" spans="1:251" s="105" customFormat="1" ht="24" customHeight="1" x14ac:dyDescent="0.25">
      <c r="A31" s="1388"/>
      <c r="B31" s="1428"/>
      <c r="C31" s="1389"/>
      <c r="D31" s="1404"/>
      <c r="E31" s="1431"/>
      <c r="F31" s="1389"/>
      <c r="G31" s="1390"/>
      <c r="H31" s="1099"/>
      <c r="I31" s="1099"/>
      <c r="J31" s="1428"/>
      <c r="K31" s="1428"/>
      <c r="L31" s="1429"/>
      <c r="M31" s="1428"/>
      <c r="O31" s="152"/>
      <c r="P31" s="106"/>
      <c r="Q31" s="106"/>
      <c r="R31" s="106"/>
      <c r="S31" s="106"/>
      <c r="T31" s="106"/>
    </row>
    <row r="32" spans="1:251" s="105" customFormat="1" x14ac:dyDescent="0.25">
      <c r="A32" s="1417"/>
      <c r="B32" s="1418">
        <v>1</v>
      </c>
      <c r="C32" s="280" t="str">
        <f>PENYELIA!C32</f>
        <v xml:space="preserve">Sistole </v>
      </c>
      <c r="D32" s="281"/>
      <c r="E32" s="282"/>
      <c r="F32" s="1393">
        <f>PENYELIA!F32</f>
        <v>35</v>
      </c>
      <c r="G32" s="1394"/>
      <c r="H32" s="1382">
        <f>PENYELIA!G32</f>
        <v>80</v>
      </c>
      <c r="I32" s="1382"/>
      <c r="J32" s="968">
        <f>ID!L51</f>
        <v>76.992800000000003</v>
      </c>
      <c r="K32" s="969">
        <f>ID!O51</f>
        <v>-41.992800000000003</v>
      </c>
      <c r="L32" s="1420" t="s">
        <v>62</v>
      </c>
      <c r="M32" s="965">
        <f>ID!P51</f>
        <v>0.72657111540404895</v>
      </c>
      <c r="O32" s="152"/>
      <c r="P32" s="106"/>
      <c r="Q32" s="106"/>
      <c r="R32" s="106"/>
      <c r="S32" s="106"/>
      <c r="T32" s="106"/>
    </row>
    <row r="33" spans="1:20" s="105" customFormat="1" x14ac:dyDescent="0.25">
      <c r="A33" s="1417"/>
      <c r="B33" s="1419"/>
      <c r="C33" s="280" t="str">
        <f>PENYELIA!C33</f>
        <v>Diastole</v>
      </c>
      <c r="D33" s="281"/>
      <c r="E33" s="282"/>
      <c r="F33" s="1393">
        <f>PENYELIA!F33</f>
        <v>15</v>
      </c>
      <c r="G33" s="1394"/>
      <c r="H33" s="1382"/>
      <c r="I33" s="1382"/>
      <c r="J33" s="968">
        <f>ID!L52</f>
        <v>49.294000019880002</v>
      </c>
      <c r="K33" s="969">
        <f>ID!O52</f>
        <v>-34.294000019880002</v>
      </c>
      <c r="L33" s="1421"/>
      <c r="M33" s="965">
        <f>ID!P52</f>
        <v>0.58889639603889332</v>
      </c>
      <c r="O33" s="152"/>
      <c r="P33" s="106"/>
      <c r="Q33" s="106"/>
      <c r="R33" s="106"/>
      <c r="S33" s="106"/>
      <c r="T33" s="106"/>
    </row>
    <row r="34" spans="1:20" s="105" customFormat="1" x14ac:dyDescent="0.25">
      <c r="A34" s="1417"/>
      <c r="B34" s="1418">
        <v>2</v>
      </c>
      <c r="C34" s="280" t="str">
        <f>PENYELIA!C34</f>
        <v xml:space="preserve">Sistole </v>
      </c>
      <c r="D34" s="281"/>
      <c r="E34" s="282"/>
      <c r="F34" s="1393">
        <f>PENYELIA!F34</f>
        <v>60</v>
      </c>
      <c r="G34" s="1394"/>
      <c r="H34" s="1382">
        <f>PENYELIA!G34</f>
        <v>80</v>
      </c>
      <c r="I34" s="1382"/>
      <c r="J34" s="968">
        <f>ID!L53</f>
        <v>98.904799999999994</v>
      </c>
      <c r="K34" s="969">
        <f>ID!O53</f>
        <v>-38.904799999999994</v>
      </c>
      <c r="L34" s="1421"/>
      <c r="M34" s="965">
        <f>ID!P53</f>
        <v>0.72657111540404895</v>
      </c>
      <c r="O34" s="454"/>
      <c r="P34" s="106"/>
      <c r="Q34" s="464"/>
      <c r="R34" s="106"/>
      <c r="S34" s="1416"/>
      <c r="T34" s="1416"/>
    </row>
    <row r="35" spans="1:20" s="105" customFormat="1" x14ac:dyDescent="0.25">
      <c r="A35" s="1417"/>
      <c r="B35" s="1419"/>
      <c r="C35" s="280" t="str">
        <f>PENYELIA!C35</f>
        <v>Diastole</v>
      </c>
      <c r="D35" s="281"/>
      <c r="E35" s="282"/>
      <c r="F35" s="1393">
        <f>PENYELIA!F35</f>
        <v>30</v>
      </c>
      <c r="G35" s="1394"/>
      <c r="H35" s="1382"/>
      <c r="I35" s="1382"/>
      <c r="J35" s="968">
        <f>ID!L54</f>
        <v>63.447200000000002</v>
      </c>
      <c r="K35" s="969">
        <f>ID!O54</f>
        <v>-33.447200000000002</v>
      </c>
      <c r="L35" s="1421"/>
      <c r="M35" s="965">
        <f>ID!P54</f>
        <v>0.72657111540404895</v>
      </c>
      <c r="O35" s="283"/>
      <c r="P35" s="106"/>
      <c r="Q35" s="464"/>
      <c r="R35" s="106"/>
      <c r="S35" s="489"/>
      <c r="T35" s="489"/>
    </row>
    <row r="36" spans="1:20" s="105" customFormat="1" x14ac:dyDescent="0.3">
      <c r="A36" s="1417"/>
      <c r="B36" s="1418">
        <v>3</v>
      </c>
      <c r="C36" s="280" t="str">
        <f>PENYELIA!C36</f>
        <v xml:space="preserve">Sistole </v>
      </c>
      <c r="D36" s="281"/>
      <c r="E36" s="282"/>
      <c r="F36" s="1393">
        <f>PENYELIA!F36</f>
        <v>80</v>
      </c>
      <c r="G36" s="1394"/>
      <c r="H36" s="1382">
        <f>PENYELIA!G36</f>
        <v>80</v>
      </c>
      <c r="I36" s="1382"/>
      <c r="J36" s="968">
        <f>ID!L55</f>
        <v>117.86440035599999</v>
      </c>
      <c r="K36" s="969">
        <f>ID!O55</f>
        <v>-37.86440035599999</v>
      </c>
      <c r="L36" s="1421"/>
      <c r="M36" s="965">
        <f>ID!P55</f>
        <v>0.72657111540404895</v>
      </c>
      <c r="O36" s="152"/>
      <c r="P36" s="106"/>
      <c r="Q36" s="106"/>
      <c r="R36" s="106"/>
      <c r="S36" s="488"/>
      <c r="T36" s="488"/>
    </row>
    <row r="37" spans="1:20" s="105" customFormat="1" x14ac:dyDescent="0.3">
      <c r="A37" s="1417"/>
      <c r="B37" s="1419"/>
      <c r="C37" s="280" t="str">
        <f>PENYELIA!C37</f>
        <v>Diastole</v>
      </c>
      <c r="D37" s="281"/>
      <c r="E37" s="282"/>
      <c r="F37" s="1393">
        <f>PENYELIA!F37</f>
        <v>50</v>
      </c>
      <c r="G37" s="1394"/>
      <c r="H37" s="1382"/>
      <c r="I37" s="1382"/>
      <c r="J37" s="968">
        <f>ID!L56</f>
        <v>78.188000000000002</v>
      </c>
      <c r="K37" s="969">
        <f>ID!O56</f>
        <v>-28.188000000000002</v>
      </c>
      <c r="L37" s="1421"/>
      <c r="M37" s="965">
        <f>ID!P56</f>
        <v>0.58889639603889332</v>
      </c>
      <c r="O37" s="152"/>
      <c r="P37" s="106"/>
      <c r="Q37" s="116"/>
      <c r="R37" s="106"/>
      <c r="S37" s="884"/>
      <c r="T37" s="116"/>
    </row>
    <row r="38" spans="1:20" s="105" customFormat="1" x14ac:dyDescent="0.25">
      <c r="A38" s="1417"/>
      <c r="B38" s="1418">
        <v>4</v>
      </c>
      <c r="C38" s="280" t="str">
        <f>PENYELIA!C38</f>
        <v xml:space="preserve">Sistole </v>
      </c>
      <c r="D38" s="281"/>
      <c r="E38" s="282"/>
      <c r="F38" s="1393">
        <f>PENYELIA!F38</f>
        <v>100</v>
      </c>
      <c r="G38" s="1394"/>
      <c r="H38" s="1382">
        <f>PENYELIA!G38</f>
        <v>80</v>
      </c>
      <c r="I38" s="1382"/>
      <c r="J38" s="968">
        <f>ID!L57</f>
        <v>146.00800092</v>
      </c>
      <c r="K38" s="969">
        <f>ID!O57</f>
        <v>-46.008000920000001</v>
      </c>
      <c r="L38" s="1421"/>
      <c r="M38" s="965">
        <f>ID!P57</f>
        <v>0.58889639603889332</v>
      </c>
      <c r="O38" s="152"/>
      <c r="P38" s="106"/>
      <c r="Q38" s="106"/>
      <c r="R38" s="106"/>
      <c r="S38" s="106"/>
      <c r="T38" s="106"/>
    </row>
    <row r="39" spans="1:20" s="105" customFormat="1" x14ac:dyDescent="0.25">
      <c r="A39" s="1417"/>
      <c r="B39" s="1419"/>
      <c r="C39" s="280" t="str">
        <f>PENYELIA!C39</f>
        <v>Diastole</v>
      </c>
      <c r="D39" s="281"/>
      <c r="E39" s="282"/>
      <c r="F39" s="1393">
        <f>PENYELIA!F39</f>
        <v>70</v>
      </c>
      <c r="G39" s="1394"/>
      <c r="H39" s="1382"/>
      <c r="I39" s="1382"/>
      <c r="J39" s="968">
        <f>ID!L58</f>
        <v>97.908799999999999</v>
      </c>
      <c r="K39" s="969">
        <f>ID!O58</f>
        <v>-27.908799999999999</v>
      </c>
      <c r="L39" s="1421"/>
      <c r="M39" s="965">
        <f>ID!P58</f>
        <v>0.72657111540404895</v>
      </c>
      <c r="O39" s="152"/>
      <c r="P39" s="106"/>
      <c r="Q39" s="490"/>
      <c r="R39" s="106"/>
      <c r="S39" s="106"/>
      <c r="T39" s="106"/>
    </row>
    <row r="40" spans="1:20" s="105" customFormat="1" x14ac:dyDescent="0.25">
      <c r="A40" s="1417"/>
      <c r="B40" s="1423" t="str">
        <f>PENYELIA!B40</f>
        <v/>
      </c>
      <c r="C40" s="824" t="str">
        <f>PENYELIA!C40</f>
        <v/>
      </c>
      <c r="D40" s="825"/>
      <c r="E40" s="826"/>
      <c r="F40" s="1391" t="str">
        <f>PENYELIA!F40</f>
        <v/>
      </c>
      <c r="G40" s="1392"/>
      <c r="H40" s="1425" t="str">
        <f>PENYELIA!G40</f>
        <v/>
      </c>
      <c r="I40" s="1425"/>
      <c r="J40" s="970" t="str">
        <f>IF(AND(ID!$E$16="Bayi"),"",IF(AND(ID!$E$16="Anak"),"",ID!L59))</f>
        <v/>
      </c>
      <c r="K40" s="971" t="str">
        <f>PENYELIA!I40</f>
        <v/>
      </c>
      <c r="L40" s="1421"/>
      <c r="M40" s="972" t="str">
        <f>PENYELIA!K40</f>
        <v/>
      </c>
      <c r="O40" s="152"/>
      <c r="P40" s="106"/>
      <c r="Q40" s="106"/>
      <c r="R40" s="106"/>
      <c r="S40" s="106"/>
      <c r="T40" s="106"/>
    </row>
    <row r="41" spans="1:20" s="105" customFormat="1" x14ac:dyDescent="0.25">
      <c r="A41" s="1417"/>
      <c r="B41" s="1424"/>
      <c r="C41" s="824" t="str">
        <f>PENYELIA!C41</f>
        <v/>
      </c>
      <c r="D41" s="825"/>
      <c r="E41" s="826"/>
      <c r="F41" s="1391" t="str">
        <f>PENYELIA!F41</f>
        <v/>
      </c>
      <c r="G41" s="1392"/>
      <c r="H41" s="1425"/>
      <c r="I41" s="1425"/>
      <c r="J41" s="970" t="str">
        <f>IF(AND(ID!$E$16="Bayi"),"",IF(AND(ID!$E$16="Anak"),"",ID!L60))</f>
        <v/>
      </c>
      <c r="K41" s="971" t="str">
        <f>PENYELIA!I41</f>
        <v/>
      </c>
      <c r="L41" s="1422"/>
      <c r="M41" s="972" t="str">
        <f>PENYELIA!K41</f>
        <v/>
      </c>
      <c r="N41" s="901"/>
      <c r="O41" s="152"/>
      <c r="P41" s="106"/>
      <c r="Q41" s="106"/>
      <c r="R41" s="106"/>
      <c r="S41" s="106"/>
      <c r="T41" s="106"/>
    </row>
    <row r="42" spans="1:20" ht="17.25" customHeight="1" x14ac:dyDescent="0.3">
      <c r="A42" s="284"/>
      <c r="B42" s="491"/>
      <c r="C42" s="491"/>
      <c r="D42" s="491"/>
      <c r="E42" s="491"/>
      <c r="F42" s="491"/>
      <c r="G42" s="491"/>
      <c r="H42" s="491"/>
      <c r="I42" s="491"/>
      <c r="J42" s="491"/>
      <c r="K42" s="492"/>
      <c r="L42" s="492"/>
      <c r="M42" s="493"/>
      <c r="N42" s="486"/>
      <c r="O42" s="486"/>
      <c r="P42" s="486"/>
      <c r="Q42" s="488"/>
      <c r="R42" s="488"/>
      <c r="S42" s="488"/>
      <c r="T42" s="488"/>
    </row>
    <row r="43" spans="1:20" ht="17.25" customHeight="1" x14ac:dyDescent="0.3">
      <c r="A43" s="284"/>
      <c r="B43" s="187" t="s">
        <v>70</v>
      </c>
      <c r="C43" s="140"/>
      <c r="D43" s="141"/>
      <c r="E43" s="141"/>
      <c r="F43" s="141"/>
      <c r="G43" s="141"/>
      <c r="H43" s="141"/>
      <c r="I43" s="142"/>
      <c r="J43" s="250"/>
      <c r="K43" s="143"/>
      <c r="L43" s="494"/>
      <c r="M43" s="486"/>
      <c r="N43" s="486"/>
      <c r="O43" s="486"/>
      <c r="P43" s="486"/>
      <c r="Q43" s="488"/>
      <c r="R43" s="488"/>
      <c r="S43" s="488"/>
      <c r="T43" s="488"/>
    </row>
    <row r="44" spans="1:20" ht="3" customHeight="1" x14ac:dyDescent="0.3">
      <c r="A44" s="284"/>
      <c r="B44" s="250"/>
      <c r="C44" s="140"/>
      <c r="D44" s="141"/>
      <c r="E44" s="141"/>
      <c r="F44" s="141"/>
      <c r="G44" s="141"/>
      <c r="H44" s="141"/>
      <c r="I44" s="142"/>
      <c r="J44" s="250"/>
      <c r="K44" s="143"/>
      <c r="L44" s="494"/>
      <c r="M44" s="486"/>
      <c r="N44" s="486"/>
      <c r="O44" s="486"/>
      <c r="P44" s="486"/>
      <c r="Q44" s="488"/>
      <c r="R44" s="488"/>
      <c r="S44" s="488"/>
      <c r="T44" s="488"/>
    </row>
    <row r="45" spans="1:20" ht="15.75" customHeight="1" x14ac:dyDescent="0.3">
      <c r="A45" s="284"/>
      <c r="B45" s="1104" t="s">
        <v>39</v>
      </c>
      <c r="C45" s="1405" t="s">
        <v>23</v>
      </c>
      <c r="D45" s="1406"/>
      <c r="E45" s="285"/>
      <c r="F45" s="1131" t="str">
        <f>PENYELIA!F45</f>
        <v>Setting standar (bpm)</v>
      </c>
      <c r="G45" s="1133"/>
      <c r="H45" s="1099" t="s">
        <v>140</v>
      </c>
      <c r="I45" s="1099"/>
      <c r="J45" s="1099" t="s">
        <v>141</v>
      </c>
      <c r="K45" s="1398" t="str">
        <f>PENYELIA!I45</f>
        <v>Penunjukan alat               (bpm)</v>
      </c>
      <c r="L45" s="1411" t="str">
        <f>PENYELIA!J45</f>
        <v>Koreksi relatif (%)</v>
      </c>
      <c r="M45" s="1099" t="str">
        <f>PENYELIA!K45</f>
        <v>Toleransi                         (%)</v>
      </c>
      <c r="N45" s="1398" t="str">
        <f>PENYELIA!L45</f>
        <v xml:space="preserve">Ketidakpastian pengukuran                         (%)                          </v>
      </c>
      <c r="P45" s="486"/>
      <c r="Q45" s="486"/>
      <c r="R45" s="486"/>
      <c r="S45" s="486"/>
      <c r="T45" s="486"/>
    </row>
    <row r="46" spans="1:20" ht="15.75" customHeight="1" x14ac:dyDescent="0.3">
      <c r="A46" s="284"/>
      <c r="B46" s="1105"/>
      <c r="C46" s="1407"/>
      <c r="D46" s="1408"/>
      <c r="E46" s="286"/>
      <c r="F46" s="1138"/>
      <c r="G46" s="1140"/>
      <c r="H46" s="1099"/>
      <c r="I46" s="1099"/>
      <c r="J46" s="1099"/>
      <c r="K46" s="1398"/>
      <c r="L46" s="1411"/>
      <c r="M46" s="1099"/>
      <c r="N46" s="1398"/>
      <c r="P46" s="486"/>
      <c r="Q46" s="486"/>
      <c r="R46" s="486"/>
      <c r="S46" s="486"/>
      <c r="T46" s="486"/>
    </row>
    <row r="47" spans="1:20" ht="15.75" customHeight="1" x14ac:dyDescent="0.3">
      <c r="A47" s="284"/>
      <c r="B47" s="1106"/>
      <c r="C47" s="1409"/>
      <c r="D47" s="1410"/>
      <c r="E47" s="286"/>
      <c r="F47" s="1134"/>
      <c r="G47" s="1136"/>
      <c r="H47" s="1099"/>
      <c r="I47" s="1099"/>
      <c r="J47" s="1099"/>
      <c r="K47" s="1398"/>
      <c r="L47" s="1411"/>
      <c r="M47" s="1099"/>
      <c r="N47" s="1398"/>
      <c r="P47" s="486"/>
      <c r="Q47" s="486"/>
      <c r="R47" s="486"/>
      <c r="S47" s="486"/>
      <c r="T47" s="486"/>
    </row>
    <row r="48" spans="1:20" ht="17.25" customHeight="1" x14ac:dyDescent="0.3">
      <c r="A48" s="284"/>
      <c r="B48" s="1104">
        <v>1</v>
      </c>
      <c r="C48" s="1399" t="s">
        <v>80</v>
      </c>
      <c r="D48" s="1400"/>
      <c r="E48" s="1400"/>
      <c r="F48" s="1382">
        <f>ID!D67</f>
        <v>60</v>
      </c>
      <c r="G48" s="1382"/>
      <c r="H48" s="1383">
        <f>ID!E67</f>
        <v>120</v>
      </c>
      <c r="I48" s="1384"/>
      <c r="J48" s="1384">
        <f>ID!F67</f>
        <v>80</v>
      </c>
      <c r="K48" s="973">
        <f>PENYELIA!I48</f>
        <v>60</v>
      </c>
      <c r="L48" s="974">
        <f>PENYELIA!J48</f>
        <v>0</v>
      </c>
      <c r="M48" s="1412" t="s">
        <v>248</v>
      </c>
      <c r="N48" s="974">
        <f>PENYELIA!L48</f>
        <v>0.96636845337887511</v>
      </c>
      <c r="P48" s="486"/>
      <c r="Q48" s="486"/>
      <c r="R48" s="486"/>
      <c r="S48" s="486"/>
      <c r="T48" s="486"/>
    </row>
    <row r="49" spans="1:29" ht="17.25" customHeight="1" x14ac:dyDescent="0.3">
      <c r="A49" s="284"/>
      <c r="B49" s="1105"/>
      <c r="C49" s="1401"/>
      <c r="D49" s="1402"/>
      <c r="E49" s="1402"/>
      <c r="F49" s="1382">
        <f>ID!D68</f>
        <v>120</v>
      </c>
      <c r="G49" s="1382"/>
      <c r="H49" s="1383"/>
      <c r="I49" s="1384"/>
      <c r="J49" s="1384"/>
      <c r="K49" s="973">
        <f>PENYELIA!I49</f>
        <v>120</v>
      </c>
      <c r="L49" s="974">
        <f>PENYELIA!J49</f>
        <v>0</v>
      </c>
      <c r="M49" s="1413"/>
      <c r="N49" s="974">
        <f>PENYELIA!L49</f>
        <v>0.48318422668943756</v>
      </c>
      <c r="P49" s="486"/>
      <c r="Q49" s="486"/>
      <c r="R49" s="486"/>
      <c r="S49" s="486"/>
      <c r="T49" s="486"/>
    </row>
    <row r="50" spans="1:29" ht="17.25" customHeight="1" x14ac:dyDescent="0.3">
      <c r="A50" s="284"/>
      <c r="B50" s="1106"/>
      <c r="C50" s="1403"/>
      <c r="D50" s="1404"/>
      <c r="E50" s="1404"/>
      <c r="F50" s="1382">
        <f>ID!D69</f>
        <v>180</v>
      </c>
      <c r="G50" s="1382"/>
      <c r="H50" s="1383"/>
      <c r="I50" s="1384"/>
      <c r="J50" s="1384"/>
      <c r="K50" s="973">
        <f>PENYELIA!I50</f>
        <v>179</v>
      </c>
      <c r="L50" s="974">
        <f>PENYELIA!J50</f>
        <v>0.55555555555555558</v>
      </c>
      <c r="M50" s="1414"/>
      <c r="N50" s="974">
        <f>PENYELIA!L50</f>
        <v>0.32392238660744421</v>
      </c>
      <c r="P50" s="486"/>
      <c r="R50" s="486"/>
      <c r="S50" s="486"/>
      <c r="T50" s="486"/>
      <c r="U50" s="486"/>
      <c r="V50" s="486"/>
      <c r="W50" s="486"/>
      <c r="X50" s="486"/>
      <c r="Y50" s="486"/>
      <c r="Z50" s="486"/>
      <c r="AA50" s="486"/>
      <c r="AB50" s="486"/>
      <c r="AC50" s="486"/>
    </row>
    <row r="51" spans="1:29" ht="6.75" customHeight="1" x14ac:dyDescent="0.3">
      <c r="A51" s="284"/>
      <c r="B51" s="284"/>
      <c r="C51" s="284"/>
      <c r="D51" s="284"/>
      <c r="E51" s="284"/>
      <c r="F51" s="491"/>
      <c r="G51" s="491"/>
      <c r="H51" s="284"/>
      <c r="I51" s="284"/>
      <c r="J51" s="284"/>
      <c r="K51" s="494"/>
      <c r="L51" s="494"/>
      <c r="M51" s="486"/>
      <c r="N51" s="486"/>
      <c r="O51" s="486"/>
      <c r="P51" s="486"/>
      <c r="Q51" s="486"/>
      <c r="R51" s="486"/>
      <c r="S51" s="486"/>
      <c r="T51" s="486"/>
      <c r="U51" s="486"/>
      <c r="V51" s="486"/>
      <c r="W51" s="486"/>
      <c r="X51" s="486"/>
      <c r="Y51" s="486"/>
      <c r="Z51" s="486"/>
      <c r="AA51" s="486"/>
      <c r="AB51" s="486"/>
      <c r="AC51" s="486"/>
    </row>
    <row r="52" spans="1:29" x14ac:dyDescent="0.3">
      <c r="A52" s="462" t="s">
        <v>232</v>
      </c>
      <c r="B52" s="462" t="s">
        <v>233</v>
      </c>
      <c r="C52" s="885"/>
      <c r="D52" s="886"/>
      <c r="E52" s="886"/>
      <c r="F52" s="886"/>
      <c r="G52" s="886"/>
      <c r="H52" s="886"/>
      <c r="I52" s="886"/>
      <c r="J52" s="886"/>
      <c r="K52" s="887"/>
      <c r="L52" s="887"/>
      <c r="M52" s="271"/>
      <c r="N52" s="271"/>
      <c r="O52" s="486"/>
      <c r="P52" s="486"/>
      <c r="R52" s="486"/>
      <c r="S52" s="486"/>
      <c r="T52" s="486"/>
      <c r="U52" s="486"/>
      <c r="V52" s="486"/>
      <c r="W52" s="486"/>
      <c r="X52" s="486"/>
      <c r="Y52" s="486"/>
      <c r="Z52" s="486"/>
      <c r="AA52" s="486"/>
      <c r="AB52" s="486"/>
      <c r="AC52" s="486"/>
    </row>
    <row r="53" spans="1:29" x14ac:dyDescent="0.3">
      <c r="A53" s="287"/>
      <c r="B53" s="841" t="str">
        <f>IF(ID!B82="Vital Signs Simulator, Merek : FLUKE, Model : ProSim8, SN : 5353015","","Ketidakpastian Pengukuran Sistole dan diastole pada Tingkat Kepercayaan 95 % dengan k = 2")</f>
        <v>Ketidakpastian Pengukuran Sistole dan diastole pada Tingkat Kepercayaan 95 % dengan k = 2</v>
      </c>
      <c r="C53" s="886"/>
      <c r="D53" s="886"/>
      <c r="E53" s="886"/>
      <c r="F53" s="886"/>
      <c r="G53" s="886"/>
      <c r="H53" s="886"/>
      <c r="I53" s="886"/>
      <c r="J53" s="886"/>
      <c r="K53" s="887"/>
      <c r="L53" s="887"/>
      <c r="M53" s="271"/>
      <c r="N53" s="271"/>
      <c r="O53" s="486"/>
      <c r="R53" s="486"/>
      <c r="S53" s="486"/>
      <c r="T53" s="486"/>
      <c r="U53" s="486"/>
      <c r="V53" s="486"/>
      <c r="W53" s="486"/>
      <c r="X53" s="486"/>
      <c r="Y53" s="486"/>
      <c r="Z53" s="486"/>
      <c r="AA53" s="486"/>
      <c r="AB53" s="486"/>
      <c r="AC53" s="486"/>
    </row>
    <row r="54" spans="1:29" x14ac:dyDescent="0.3">
      <c r="A54" s="287"/>
      <c r="B54" s="149" t="s">
        <v>250</v>
      </c>
      <c r="C54" s="886"/>
      <c r="D54" s="886"/>
      <c r="E54" s="886"/>
      <c r="F54" s="886"/>
      <c r="G54" s="886"/>
      <c r="H54" s="886"/>
      <c r="I54" s="886"/>
      <c r="J54" s="886"/>
      <c r="K54" s="887"/>
      <c r="L54" s="887"/>
      <c r="M54" s="271"/>
      <c r="N54" s="271"/>
      <c r="O54" s="486"/>
      <c r="P54" s="486"/>
      <c r="Q54" s="486"/>
      <c r="R54" s="486"/>
      <c r="S54" s="486"/>
      <c r="T54" s="486"/>
      <c r="U54" s="486"/>
      <c r="V54" s="486"/>
      <c r="W54" s="486"/>
      <c r="X54" s="486"/>
      <c r="Y54" s="486"/>
      <c r="Z54" s="486"/>
      <c r="AA54" s="486"/>
      <c r="AB54" s="486"/>
      <c r="AC54" s="486"/>
    </row>
    <row r="55" spans="1:29" s="272" customFormat="1" x14ac:dyDescent="0.3">
      <c r="A55" s="888"/>
      <c r="B55" s="889" t="str">
        <f>PENYELIA!B55</f>
        <v>Hasil pengujian kinerja blood pressure monitor tertelusur ke satuan SI melalui PT. KALIMAN</v>
      </c>
      <c r="C55" s="890"/>
      <c r="D55" s="890"/>
      <c r="E55" s="890"/>
      <c r="F55" s="890"/>
      <c r="G55" s="890"/>
      <c r="H55" s="890"/>
      <c r="I55" s="890"/>
      <c r="J55" s="890"/>
      <c r="K55" s="891"/>
      <c r="L55" s="891"/>
      <c r="M55" s="853"/>
      <c r="N55" s="853"/>
      <c r="O55" s="488"/>
      <c r="P55" s="488"/>
      <c r="Q55" s="488"/>
      <c r="R55" s="488"/>
      <c r="S55" s="488"/>
      <c r="T55" s="488"/>
      <c r="U55" s="488"/>
      <c r="V55" s="488"/>
      <c r="W55" s="488"/>
      <c r="X55" s="488"/>
      <c r="Y55" s="488"/>
      <c r="Z55" s="488"/>
      <c r="AA55" s="488"/>
      <c r="AB55" s="488"/>
      <c r="AC55" s="488"/>
    </row>
    <row r="56" spans="1:29" s="272" customFormat="1" x14ac:dyDescent="0.3">
      <c r="A56" s="888"/>
      <c r="B56" s="822" t="str">
        <f>PENYELIA!B56</f>
        <v/>
      </c>
      <c r="C56" s="892"/>
      <c r="D56" s="892"/>
      <c r="E56" s="892"/>
      <c r="F56" s="892"/>
      <c r="G56" s="892"/>
      <c r="H56" s="892"/>
      <c r="I56" s="892"/>
      <c r="J56" s="892"/>
      <c r="K56" s="893"/>
      <c r="L56" s="893"/>
      <c r="M56" s="853"/>
      <c r="N56" s="853"/>
      <c r="O56" s="488"/>
      <c r="P56" s="488"/>
      <c r="Q56" s="488"/>
      <c r="R56" s="488"/>
      <c r="S56" s="488"/>
      <c r="T56" s="488"/>
      <c r="U56" s="488"/>
      <c r="V56" s="488"/>
      <c r="W56" s="488"/>
      <c r="X56" s="488"/>
      <c r="Y56" s="488"/>
      <c r="Z56" s="488"/>
      <c r="AA56" s="488"/>
      <c r="AB56" s="488"/>
      <c r="AC56" s="488"/>
    </row>
    <row r="57" spans="1:29" s="272" customFormat="1" x14ac:dyDescent="0.3">
      <c r="A57" s="888"/>
      <c r="B57" s="975" t="str">
        <f>PENYELIA!B57</f>
        <v>Catu daya menggunakan baterai</v>
      </c>
      <c r="C57" s="892"/>
      <c r="D57" s="892"/>
      <c r="E57" s="892"/>
      <c r="F57" s="892"/>
      <c r="G57" s="892"/>
      <c r="H57" s="892"/>
      <c r="I57" s="892"/>
      <c r="J57" s="892"/>
      <c r="K57" s="893"/>
      <c r="L57" s="893"/>
      <c r="M57" s="853"/>
      <c r="N57" s="853"/>
      <c r="O57" s="488"/>
      <c r="P57" s="488"/>
      <c r="Q57" s="488"/>
      <c r="R57" s="488"/>
      <c r="S57" s="488"/>
      <c r="T57" s="488"/>
      <c r="U57" s="488"/>
      <c r="V57" s="488"/>
      <c r="W57" s="488"/>
      <c r="X57" s="488"/>
      <c r="Y57" s="488"/>
      <c r="Z57" s="488"/>
      <c r="AA57" s="488"/>
      <c r="AB57" s="488"/>
      <c r="AC57" s="488"/>
    </row>
    <row r="58" spans="1:29" s="272" customFormat="1" ht="15" customHeight="1" x14ac:dyDescent="0.3">
      <c r="A58" s="888"/>
      <c r="B58" s="823" t="str">
        <f>PENYELIA!B58</f>
        <v/>
      </c>
      <c r="C58" s="892"/>
      <c r="D58" s="892"/>
      <c r="E58" s="892"/>
      <c r="F58" s="892"/>
      <c r="G58" s="892"/>
      <c r="H58" s="892"/>
      <c r="I58" s="892"/>
      <c r="J58" s="892"/>
      <c r="K58" s="893"/>
      <c r="L58" s="893"/>
      <c r="M58" s="853"/>
      <c r="N58" s="853"/>
      <c r="O58" s="488"/>
      <c r="P58" s="488"/>
      <c r="Q58" s="488"/>
      <c r="R58" s="488"/>
      <c r="S58" s="488"/>
      <c r="T58" s="488"/>
      <c r="U58" s="488"/>
      <c r="V58" s="488"/>
      <c r="W58" s="488"/>
      <c r="X58" s="488"/>
      <c r="Y58" s="488"/>
      <c r="Z58" s="488"/>
      <c r="AA58" s="488"/>
      <c r="AB58" s="488"/>
      <c r="AC58" s="488"/>
    </row>
    <row r="59" spans="1:29" s="272" customFormat="1" ht="8.25" customHeight="1" x14ac:dyDescent="0.3">
      <c r="A59" s="888"/>
      <c r="B59" s="117"/>
      <c r="C59" s="890"/>
      <c r="D59" s="890"/>
      <c r="E59" s="890"/>
      <c r="F59" s="890"/>
      <c r="G59" s="890"/>
      <c r="H59" s="890"/>
      <c r="I59" s="890"/>
      <c r="J59" s="890"/>
      <c r="K59" s="891"/>
      <c r="L59" s="891"/>
      <c r="M59" s="853"/>
      <c r="N59" s="853"/>
      <c r="O59" s="488"/>
      <c r="P59" s="488"/>
      <c r="Q59" s="488"/>
      <c r="R59" s="488"/>
      <c r="S59" s="488"/>
      <c r="T59" s="488"/>
      <c r="U59" s="488"/>
      <c r="V59" s="488"/>
      <c r="W59" s="488"/>
      <c r="X59" s="488"/>
      <c r="Y59" s="488"/>
      <c r="Z59" s="488"/>
      <c r="AA59" s="488"/>
      <c r="AB59" s="488"/>
      <c r="AC59" s="488"/>
    </row>
    <row r="60" spans="1:29" x14ac:dyDescent="0.3">
      <c r="A60" s="462" t="s">
        <v>236</v>
      </c>
      <c r="B60" s="1396" t="s">
        <v>146</v>
      </c>
      <c r="C60" s="1396"/>
      <c r="D60" s="1396"/>
      <c r="E60" s="1396"/>
      <c r="F60" s="1396"/>
      <c r="G60" s="1396"/>
      <c r="H60" s="1396"/>
      <c r="I60" s="1396"/>
      <c r="J60" s="1396"/>
      <c r="K60" s="270"/>
      <c r="L60" s="270"/>
      <c r="M60" s="271"/>
      <c r="N60" s="271"/>
      <c r="O60" s="486"/>
      <c r="P60" s="486"/>
      <c r="Q60" s="486"/>
      <c r="R60" s="486"/>
      <c r="S60" s="486"/>
      <c r="T60" s="486"/>
      <c r="U60" s="486"/>
      <c r="V60" s="486"/>
      <c r="W60" s="486"/>
      <c r="X60" s="486"/>
      <c r="Y60" s="486"/>
      <c r="Z60" s="486"/>
      <c r="AA60" s="486"/>
      <c r="AB60" s="486"/>
      <c r="AC60" s="486"/>
    </row>
    <row r="61" spans="1:29" x14ac:dyDescent="0.3">
      <c r="A61" s="287"/>
      <c r="B61" s="976" t="str">
        <f>ID!B82</f>
        <v>Vital Sign Simulator, Merek : RIGEL, Model : UNI-SiM, SN : 05J-0804</v>
      </c>
      <c r="C61" s="270"/>
      <c r="D61" s="270"/>
      <c r="E61" s="270"/>
      <c r="F61" s="270"/>
      <c r="G61" s="270"/>
      <c r="H61" s="270"/>
      <c r="I61" s="886"/>
      <c r="J61" s="886"/>
      <c r="K61" s="887"/>
      <c r="L61" s="887"/>
      <c r="M61" s="271"/>
      <c r="N61" s="271"/>
      <c r="O61" s="486"/>
      <c r="P61" s="486"/>
      <c r="Q61" s="486"/>
      <c r="R61" s="486"/>
      <c r="S61" s="486"/>
      <c r="T61" s="496"/>
      <c r="U61" s="496"/>
      <c r="V61" s="496"/>
      <c r="W61" s="496"/>
      <c r="X61" s="496"/>
      <c r="Y61" s="496"/>
      <c r="Z61" s="496"/>
      <c r="AA61" s="496"/>
      <c r="AB61" s="496"/>
      <c r="AC61" s="496"/>
    </row>
    <row r="62" spans="1:29" ht="10.5" customHeight="1" x14ac:dyDescent="0.3">
      <c r="A62" s="287"/>
      <c r="B62" s="894" t="str">
        <f>PENYELIA!B62</f>
        <v>Electrical Safety Analyzer, Merek : Fluke, Model : ESA 620, SN : 1837056</v>
      </c>
      <c r="C62" s="270"/>
      <c r="D62" s="270"/>
      <c r="E62" s="270"/>
      <c r="F62" s="270"/>
      <c r="G62" s="270"/>
      <c r="H62" s="270"/>
      <c r="I62" s="270"/>
      <c r="J62" s="270"/>
      <c r="K62" s="270"/>
      <c r="L62" s="270"/>
      <c r="M62" s="271"/>
      <c r="N62" s="271"/>
      <c r="O62" s="486"/>
      <c r="P62" s="486"/>
      <c r="Q62" s="486"/>
      <c r="R62" s="486"/>
      <c r="S62" s="486"/>
      <c r="T62" s="496"/>
      <c r="U62" s="496"/>
      <c r="V62" s="496"/>
      <c r="W62" s="496"/>
      <c r="X62" s="496"/>
      <c r="Y62" s="496"/>
      <c r="Z62" s="496"/>
      <c r="AA62" s="496"/>
      <c r="AB62" s="496"/>
      <c r="AC62" s="496"/>
    </row>
    <row r="63" spans="1:29" x14ac:dyDescent="0.3">
      <c r="A63" s="462" t="s">
        <v>238</v>
      </c>
      <c r="B63" s="895" t="s">
        <v>239</v>
      </c>
      <c r="C63" s="895"/>
      <c r="D63" s="270"/>
      <c r="E63" s="270"/>
      <c r="F63" s="270"/>
      <c r="G63" s="270"/>
      <c r="H63" s="270"/>
      <c r="I63" s="270"/>
      <c r="J63" s="270"/>
      <c r="K63" s="270"/>
      <c r="L63" s="270"/>
      <c r="M63" s="271"/>
      <c r="N63" s="271"/>
      <c r="O63" s="486"/>
      <c r="P63" s="486"/>
      <c r="Q63" s="486"/>
      <c r="R63" s="486"/>
      <c r="S63" s="486"/>
      <c r="T63" s="486"/>
      <c r="U63" s="486"/>
      <c r="V63" s="486"/>
      <c r="W63" s="486"/>
      <c r="X63" s="486"/>
      <c r="Y63" s="486"/>
      <c r="Z63" s="486"/>
      <c r="AA63" s="486"/>
      <c r="AB63" s="486"/>
      <c r="AC63" s="486"/>
    </row>
    <row r="64" spans="1:29" ht="30.75" customHeight="1" x14ac:dyDescent="0.3">
      <c r="A64" s="270"/>
      <c r="B64" s="1415" t="str">
        <f>PENYELIA!B64</f>
        <v>Alat yang dikalibrasi melebihi batas toleransi dan dinyatakan TIDAK LAIK PAKAI, dimana hasil atau skor akhir dibawah 70% berdasarkan Keputusan Direktur Jenderal Pelayanan Kesehatan No : HK.02.02/V/0412/2020</v>
      </c>
      <c r="C64" s="1415"/>
      <c r="D64" s="1415"/>
      <c r="E64" s="1415"/>
      <c r="F64" s="1415"/>
      <c r="G64" s="1415"/>
      <c r="H64" s="1415"/>
      <c r="I64" s="1415"/>
      <c r="J64" s="1415"/>
      <c r="K64" s="1415"/>
      <c r="L64" s="1415"/>
      <c r="M64" s="1415"/>
      <c r="N64" s="1415"/>
      <c r="O64" s="900"/>
      <c r="P64" s="486"/>
      <c r="Q64" s="486"/>
      <c r="R64" s="486"/>
      <c r="S64" s="486"/>
      <c r="T64" s="486"/>
      <c r="U64" s="486"/>
      <c r="V64" s="486"/>
      <c r="W64" s="486"/>
      <c r="X64" s="486"/>
      <c r="Y64" s="486"/>
      <c r="Z64" s="486"/>
      <c r="AA64" s="486"/>
      <c r="AB64" s="486"/>
      <c r="AC64" s="486"/>
    </row>
    <row r="65" spans="1:29" ht="8.25" customHeight="1" x14ac:dyDescent="0.3">
      <c r="A65" s="1395"/>
      <c r="B65" s="1395"/>
      <c r="C65" s="1395"/>
      <c r="D65" s="1395"/>
      <c r="E65" s="1395"/>
      <c r="F65" s="1395"/>
      <c r="G65" s="1395"/>
      <c r="H65" s="1395"/>
      <c r="I65" s="1395"/>
      <c r="J65" s="1395"/>
      <c r="K65" s="270"/>
      <c r="L65" s="270"/>
      <c r="M65" s="271"/>
      <c r="N65" s="271"/>
      <c r="O65" s="486"/>
      <c r="P65" s="486"/>
      <c r="Q65" s="486"/>
      <c r="R65" s="486"/>
      <c r="S65" s="486"/>
      <c r="T65" s="486"/>
      <c r="U65" s="486"/>
      <c r="V65" s="486"/>
      <c r="W65" s="486"/>
      <c r="X65" s="486"/>
      <c r="Y65" s="486"/>
      <c r="Z65" s="486"/>
      <c r="AA65" s="486"/>
      <c r="AB65" s="486"/>
      <c r="AC65" s="486"/>
    </row>
    <row r="66" spans="1:29" x14ac:dyDescent="0.3">
      <c r="A66" s="462" t="s">
        <v>240</v>
      </c>
      <c r="B66" s="1396" t="str">
        <f>PENYELIA!B66</f>
        <v>Petugas kalibrasi</v>
      </c>
      <c r="C66" s="1396"/>
      <c r="D66" s="1396"/>
      <c r="E66" s="1396"/>
      <c r="F66" s="1396"/>
      <c r="G66" s="1396"/>
      <c r="H66" s="1396"/>
      <c r="I66" s="1396"/>
      <c r="J66" s="1396"/>
      <c r="K66" s="270"/>
      <c r="L66" s="270"/>
      <c r="M66" s="271"/>
      <c r="N66" s="271"/>
      <c r="O66" s="486"/>
      <c r="P66" s="486"/>
      <c r="Q66" s="284"/>
      <c r="R66" s="486"/>
      <c r="S66" s="486"/>
      <c r="T66" s="486"/>
      <c r="U66" s="486"/>
      <c r="V66" s="486"/>
      <c r="W66" s="486"/>
      <c r="X66" s="486"/>
      <c r="Y66" s="486"/>
      <c r="Z66" s="486"/>
      <c r="AA66" s="486"/>
      <c r="AB66" s="486"/>
      <c r="AC66" s="486"/>
    </row>
    <row r="67" spans="1:29" x14ac:dyDescent="0.3">
      <c r="A67" s="287"/>
      <c r="B67" s="1397" t="str">
        <f>ID!E15</f>
        <v>Muhammad Alpian Hadi</v>
      </c>
      <c r="C67" s="1397"/>
      <c r="D67" s="1397"/>
      <c r="E67" s="1397"/>
      <c r="F67" s="1397"/>
      <c r="G67" s="1397"/>
      <c r="H67" s="1397"/>
      <c r="I67" s="1397"/>
      <c r="J67" s="1397"/>
      <c r="K67" s="270"/>
      <c r="L67" s="270"/>
      <c r="M67" s="271"/>
      <c r="N67" s="271"/>
      <c r="O67" s="486"/>
      <c r="P67" s="486"/>
      <c r="Q67" s="284"/>
      <c r="R67" s="486"/>
      <c r="S67" s="486"/>
      <c r="T67" s="486"/>
      <c r="U67" s="486"/>
    </row>
    <row r="68" spans="1:29" ht="7.5" customHeight="1" x14ac:dyDescent="0.3">
      <c r="A68" s="287"/>
      <c r="B68" s="287"/>
      <c r="C68" s="287"/>
      <c r="D68" s="287"/>
      <c r="E68" s="287"/>
      <c r="F68" s="287"/>
      <c r="G68" s="287"/>
      <c r="H68" s="287"/>
      <c r="I68" s="287"/>
      <c r="J68" s="287"/>
      <c r="K68" s="270"/>
      <c r="L68" s="270"/>
      <c r="M68" s="271"/>
      <c r="N68" s="271"/>
      <c r="O68" s="486"/>
      <c r="P68" s="486"/>
      <c r="Q68" s="284"/>
      <c r="R68" s="486"/>
      <c r="S68" s="486"/>
      <c r="T68" s="486"/>
      <c r="U68" s="486"/>
    </row>
    <row r="69" spans="1:29" x14ac:dyDescent="0.3">
      <c r="A69" s="287"/>
      <c r="B69" s="287"/>
      <c r="C69" s="287"/>
      <c r="D69" s="287"/>
      <c r="E69" s="287"/>
      <c r="F69" s="287"/>
      <c r="G69" s="287"/>
      <c r="H69" s="287"/>
      <c r="I69" s="287"/>
      <c r="J69" s="287"/>
      <c r="K69" s="270"/>
      <c r="L69" s="149" t="s">
        <v>251</v>
      </c>
      <c r="M69" s="271"/>
      <c r="N69" s="271"/>
      <c r="O69" s="486"/>
      <c r="P69" s="486"/>
      <c r="Q69" s="284"/>
      <c r="R69" s="486"/>
      <c r="S69" s="486"/>
      <c r="T69" s="486"/>
      <c r="U69" s="486"/>
    </row>
    <row r="70" spans="1:29" x14ac:dyDescent="0.3">
      <c r="A70" s="287"/>
      <c r="B70" s="287"/>
      <c r="C70" s="287"/>
      <c r="D70" s="287"/>
      <c r="E70" s="287"/>
      <c r="F70" s="287"/>
      <c r="G70" s="287"/>
      <c r="H70" s="287"/>
      <c r="I70" s="287"/>
      <c r="J70" s="287"/>
      <c r="K70" s="270"/>
      <c r="L70" s="149" t="s">
        <v>252</v>
      </c>
      <c r="M70" s="149"/>
      <c r="N70" s="271"/>
      <c r="O70" s="486"/>
      <c r="P70" s="486"/>
      <c r="Q70" s="284"/>
      <c r="R70" s="486"/>
      <c r="S70" s="486"/>
      <c r="T70" s="486"/>
      <c r="U70" s="486"/>
    </row>
    <row r="71" spans="1:29" x14ac:dyDescent="0.3">
      <c r="A71" s="287"/>
      <c r="B71" s="287"/>
      <c r="C71" s="287"/>
      <c r="D71" s="287"/>
      <c r="E71" s="287"/>
      <c r="F71" s="287"/>
      <c r="G71" s="287"/>
      <c r="H71" s="287"/>
      <c r="I71" s="287"/>
      <c r="J71" s="287"/>
      <c r="K71" s="270"/>
      <c r="L71" s="149" t="s">
        <v>253</v>
      </c>
      <c r="M71" s="149"/>
      <c r="N71" s="271"/>
      <c r="O71" s="486"/>
      <c r="P71" s="486"/>
      <c r="Q71" s="284"/>
      <c r="R71" s="486"/>
      <c r="S71" s="486"/>
      <c r="T71" s="486"/>
      <c r="U71" s="486"/>
    </row>
    <row r="72" spans="1:29" x14ac:dyDescent="0.3">
      <c r="A72" s="287"/>
      <c r="B72" s="287"/>
      <c r="C72" s="287"/>
      <c r="D72" s="287"/>
      <c r="E72" s="287"/>
      <c r="F72" s="287"/>
      <c r="G72" s="287"/>
      <c r="H72" s="287"/>
      <c r="I72" s="287"/>
      <c r="J72" s="287"/>
      <c r="K72" s="270"/>
      <c r="L72" s="149"/>
      <c r="M72" s="149"/>
      <c r="N72" s="271"/>
      <c r="O72" s="486"/>
      <c r="P72" s="486"/>
      <c r="Q72" s="284"/>
      <c r="R72" s="486"/>
      <c r="S72" s="486"/>
      <c r="T72" s="486"/>
      <c r="U72" s="486"/>
    </row>
    <row r="73" spans="1:29" x14ac:dyDescent="0.3">
      <c r="A73" s="287"/>
      <c r="B73" s="287"/>
      <c r="C73" s="287"/>
      <c r="D73" s="287"/>
      <c r="E73" s="287"/>
      <c r="F73" s="287"/>
      <c r="G73" s="287"/>
      <c r="H73" s="287"/>
      <c r="I73" s="287"/>
      <c r="J73" s="287"/>
      <c r="K73" s="270"/>
      <c r="L73" s="149"/>
      <c r="M73" s="149"/>
      <c r="N73" s="271"/>
      <c r="O73" s="486"/>
      <c r="P73" s="486"/>
      <c r="Q73" s="284"/>
      <c r="R73" s="486"/>
      <c r="S73" s="486"/>
      <c r="T73" s="486"/>
      <c r="U73" s="486"/>
    </row>
    <row r="74" spans="1:29" x14ac:dyDescent="0.3">
      <c r="A74" s="287"/>
      <c r="B74" s="287"/>
      <c r="C74" s="287"/>
      <c r="D74" s="287"/>
      <c r="E74" s="287"/>
      <c r="F74" s="287"/>
      <c r="G74" s="287"/>
      <c r="H74" s="287"/>
      <c r="I74" s="287"/>
      <c r="J74" s="287"/>
      <c r="K74" s="270"/>
      <c r="L74" s="149"/>
      <c r="M74" s="149"/>
      <c r="N74" s="271"/>
      <c r="O74" s="486"/>
      <c r="P74" s="486"/>
      <c r="Q74" s="284"/>
      <c r="R74" s="486"/>
      <c r="S74" s="486"/>
      <c r="T74" s="486"/>
      <c r="U74" s="486"/>
    </row>
    <row r="75" spans="1:29" x14ac:dyDescent="0.3">
      <c r="A75" s="287"/>
      <c r="B75" s="287"/>
      <c r="C75" s="287"/>
      <c r="D75" s="287"/>
      <c r="E75" s="287"/>
      <c r="F75" s="287"/>
      <c r="G75" s="287"/>
      <c r="H75" s="287"/>
      <c r="I75" s="287"/>
      <c r="J75" s="287"/>
      <c r="K75" s="270"/>
      <c r="L75" s="188"/>
      <c r="M75" s="149"/>
      <c r="N75" s="271"/>
      <c r="O75" s="486"/>
      <c r="P75" s="486"/>
      <c r="Q75" s="284"/>
      <c r="R75" s="486"/>
      <c r="S75" s="486"/>
      <c r="T75" s="275"/>
      <c r="U75" s="288"/>
    </row>
    <row r="76" spans="1:29" x14ac:dyDescent="0.3">
      <c r="A76" s="287"/>
      <c r="B76" s="287"/>
      <c r="C76" s="287"/>
      <c r="D76" s="287"/>
      <c r="E76" s="287"/>
      <c r="F76" s="287"/>
      <c r="G76" s="287"/>
      <c r="H76" s="287"/>
      <c r="I76" s="287"/>
      <c r="J76" s="287"/>
      <c r="K76" s="270"/>
      <c r="L76" s="896" t="s">
        <v>408</v>
      </c>
      <c r="M76" s="149"/>
      <c r="N76" s="271"/>
      <c r="O76" s="486"/>
      <c r="P76" s="486"/>
      <c r="Q76" s="486"/>
      <c r="R76" s="486"/>
      <c r="S76" s="486"/>
      <c r="T76" s="289"/>
      <c r="U76" s="288"/>
    </row>
    <row r="77" spans="1:29" x14ac:dyDescent="0.3">
      <c r="A77" s="287"/>
      <c r="B77" s="287"/>
      <c r="C77" s="287"/>
      <c r="D77" s="287"/>
      <c r="E77" s="287"/>
      <c r="F77" s="287"/>
      <c r="G77" s="287"/>
      <c r="H77" s="287"/>
      <c r="I77" s="287"/>
      <c r="J77" s="287"/>
      <c r="K77" s="270"/>
      <c r="L77" s="290" t="s">
        <v>254</v>
      </c>
      <c r="M77" s="291"/>
      <c r="N77" s="291"/>
      <c r="O77" s="486"/>
      <c r="P77" s="486"/>
      <c r="Q77" s="486"/>
      <c r="R77" s="486"/>
      <c r="S77" s="486"/>
      <c r="T77" s="486"/>
      <c r="U77" s="486"/>
    </row>
    <row r="78" spans="1:29" ht="18" x14ac:dyDescent="0.35">
      <c r="A78" s="287"/>
      <c r="B78" s="287"/>
      <c r="C78" s="287"/>
      <c r="D78" s="287"/>
      <c r="E78" s="287"/>
      <c r="F78" s="287"/>
      <c r="G78" s="287"/>
      <c r="H78" s="287"/>
      <c r="I78" s="486"/>
      <c r="J78" s="287"/>
      <c r="K78" s="270"/>
      <c r="L78" s="486"/>
      <c r="M78" s="291"/>
      <c r="N78" s="291"/>
      <c r="O78" s="292"/>
      <c r="P78" s="486"/>
      <c r="Q78" s="1065"/>
      <c r="R78" s="486"/>
      <c r="S78" s="486"/>
      <c r="T78" s="486"/>
      <c r="U78" s="486"/>
    </row>
    <row r="79" spans="1:29" x14ac:dyDescent="0.3">
      <c r="A79" s="287"/>
      <c r="B79" s="287"/>
      <c r="C79" s="287"/>
      <c r="D79" s="287"/>
      <c r="E79" s="287"/>
      <c r="F79" s="287"/>
      <c r="G79" s="287"/>
      <c r="H79" s="287"/>
      <c r="I79" s="898"/>
      <c r="J79" s="287"/>
      <c r="K79" s="270"/>
      <c r="L79" s="486"/>
      <c r="M79" s="291"/>
      <c r="N79" s="291"/>
      <c r="O79" s="486"/>
      <c r="P79" s="486"/>
      <c r="Q79" s="106"/>
      <c r="R79" s="486"/>
      <c r="S79" s="486"/>
      <c r="T79" s="486"/>
      <c r="U79" s="486"/>
    </row>
    <row r="80" spans="1:29" x14ac:dyDescent="0.3">
      <c r="A80" s="287"/>
      <c r="B80" s="287"/>
      <c r="C80" s="287"/>
      <c r="D80" s="287"/>
      <c r="E80" s="287"/>
      <c r="F80" s="287"/>
      <c r="G80" s="287"/>
      <c r="H80" s="287"/>
      <c r="I80" s="143"/>
      <c r="J80" s="287"/>
      <c r="K80" s="270"/>
      <c r="L80" s="486"/>
      <c r="M80" s="291"/>
      <c r="N80" s="291"/>
      <c r="O80" s="486"/>
      <c r="P80" s="486"/>
      <c r="Q80" s="106"/>
      <c r="R80" s="486"/>
      <c r="S80" s="486"/>
      <c r="T80" s="486"/>
      <c r="U80" s="486"/>
    </row>
    <row r="81" spans="1:21" x14ac:dyDescent="0.3">
      <c r="A81" s="287"/>
      <c r="B81" s="287"/>
      <c r="C81" s="287"/>
      <c r="D81" s="287"/>
      <c r="E81" s="287"/>
      <c r="F81" s="287"/>
      <c r="G81" s="287"/>
      <c r="H81" s="287"/>
      <c r="I81" s="898"/>
      <c r="J81" s="287"/>
      <c r="K81" s="270"/>
      <c r="L81" s="486"/>
      <c r="M81" s="291"/>
      <c r="N81" s="291"/>
      <c r="O81" s="486"/>
      <c r="P81" s="486"/>
      <c r="Q81" s="106"/>
      <c r="R81" s="486"/>
      <c r="S81" s="486"/>
      <c r="T81" s="486"/>
      <c r="U81" s="486"/>
    </row>
    <row r="82" spans="1:21" ht="18" x14ac:dyDescent="0.35">
      <c r="A82" s="287"/>
      <c r="B82" s="287"/>
      <c r="C82" s="287"/>
      <c r="D82" s="287"/>
      <c r="E82" s="287"/>
      <c r="F82" s="287"/>
      <c r="G82" s="287"/>
      <c r="H82" s="287"/>
      <c r="I82" s="293"/>
      <c r="J82" s="287"/>
      <c r="K82" s="270"/>
      <c r="L82" s="290"/>
      <c r="M82" s="291"/>
      <c r="N82" s="119"/>
      <c r="O82" s="486"/>
      <c r="P82" s="486"/>
      <c r="Q82" s="897"/>
      <c r="R82" s="486"/>
      <c r="S82" s="486"/>
      <c r="T82" s="486"/>
      <c r="U82" s="486"/>
    </row>
    <row r="83" spans="1:21" x14ac:dyDescent="0.3">
      <c r="A83" s="287"/>
      <c r="B83" s="287"/>
      <c r="C83" s="287"/>
      <c r="D83" s="287"/>
      <c r="E83" s="287"/>
      <c r="F83" s="287"/>
      <c r="G83" s="287"/>
      <c r="H83" s="287"/>
      <c r="I83" s="294"/>
      <c r="J83" s="287"/>
      <c r="K83" s="270"/>
      <c r="L83" s="290"/>
      <c r="M83" s="291"/>
      <c r="N83" s="486"/>
      <c r="O83" s="292"/>
      <c r="P83" s="120"/>
      <c r="Q83" s="120"/>
    </row>
    <row r="84" spans="1:21" x14ac:dyDescent="0.3">
      <c r="A84" s="487"/>
      <c r="B84" s="487"/>
      <c r="C84" s="487"/>
      <c r="D84" s="487"/>
      <c r="E84" s="487"/>
      <c r="F84" s="487"/>
      <c r="G84" s="487"/>
      <c r="H84" s="487"/>
      <c r="I84" s="295"/>
      <c r="J84" s="487"/>
      <c r="K84" s="284"/>
      <c r="L84" s="288"/>
      <c r="M84" s="248"/>
      <c r="N84" s="486"/>
      <c r="O84" s="486"/>
      <c r="P84" s="486"/>
      <c r="Q84" s="284"/>
    </row>
    <row r="85" spans="1:21" x14ac:dyDescent="0.3">
      <c r="A85" s="487"/>
      <c r="B85" s="487"/>
      <c r="C85" s="487"/>
      <c r="D85" s="487"/>
      <c r="E85" s="487"/>
      <c r="F85" s="487"/>
      <c r="G85" s="487"/>
      <c r="H85" s="487"/>
      <c r="I85" s="487"/>
      <c r="J85" s="487"/>
      <c r="K85" s="284"/>
      <c r="L85" s="284"/>
      <c r="M85" s="486"/>
      <c r="N85" s="120"/>
      <c r="O85" s="486"/>
      <c r="P85" s="486"/>
      <c r="Q85" s="284"/>
    </row>
    <row r="86" spans="1:21" x14ac:dyDescent="0.3">
      <c r="A86" s="486"/>
      <c r="B86" s="486"/>
      <c r="C86" s="486"/>
      <c r="D86" s="486"/>
      <c r="E86" s="486"/>
      <c r="F86" s="486"/>
      <c r="G86" s="486"/>
      <c r="H86" s="486"/>
      <c r="I86" s="486"/>
      <c r="J86" s="486"/>
      <c r="K86" s="486"/>
      <c r="L86" s="486"/>
      <c r="M86" s="486"/>
      <c r="N86" s="120"/>
      <c r="O86" s="486"/>
      <c r="P86" s="486"/>
      <c r="Q86" s="486"/>
    </row>
    <row r="87" spans="1:21" x14ac:dyDescent="0.3">
      <c r="A87" s="269"/>
      <c r="B87" s="486"/>
      <c r="C87" s="486"/>
      <c r="D87" s="486"/>
      <c r="E87" s="486"/>
      <c r="F87" s="486"/>
      <c r="G87" s="486"/>
      <c r="H87" s="486"/>
      <c r="I87" s="486"/>
      <c r="J87" s="486"/>
      <c r="K87" s="486"/>
      <c r="L87" s="486"/>
      <c r="M87" s="486"/>
      <c r="N87" s="486"/>
      <c r="O87" s="486"/>
      <c r="P87" s="486"/>
      <c r="Q87" s="486"/>
    </row>
    <row r="88" spans="1:21" x14ac:dyDescent="0.3">
      <c r="A88" s="269"/>
      <c r="B88" s="486"/>
      <c r="C88" s="486"/>
      <c r="D88" s="486"/>
      <c r="E88" s="486"/>
      <c r="F88" s="486"/>
      <c r="G88" s="486"/>
      <c r="H88" s="486"/>
      <c r="I88" s="486"/>
      <c r="J88" s="486"/>
      <c r="K88" s="486"/>
      <c r="L88" s="486"/>
      <c r="M88" s="486"/>
      <c r="N88" s="120"/>
      <c r="O88" s="486"/>
      <c r="P88" s="486"/>
      <c r="Q88" s="486"/>
    </row>
    <row r="89" spans="1:21" x14ac:dyDescent="0.3">
      <c r="A89" s="269"/>
      <c r="B89" s="486"/>
      <c r="C89" s="486"/>
      <c r="D89" s="486"/>
      <c r="E89" s="486"/>
      <c r="F89" s="486"/>
      <c r="G89" s="486"/>
      <c r="H89" s="486"/>
      <c r="I89" s="486"/>
      <c r="J89" s="486"/>
      <c r="K89" s="486"/>
      <c r="L89" s="486"/>
      <c r="M89" s="486"/>
      <c r="N89" s="120"/>
      <c r="O89" s="486"/>
      <c r="P89" s="486"/>
      <c r="Q89" s="486"/>
    </row>
    <row r="216" spans="1:9" x14ac:dyDescent="0.3">
      <c r="A216" s="486"/>
      <c r="B216" s="486"/>
      <c r="C216" s="486"/>
      <c r="D216" s="486"/>
      <c r="E216" s="486"/>
      <c r="F216" s="486"/>
      <c r="G216" s="486"/>
      <c r="H216" s="486"/>
      <c r="I216" s="497"/>
    </row>
  </sheetData>
  <sheetProtection formatCells="0" formatColumns="0" formatRows="0" insertColumns="0" insertRows="0" deleteColumns="0" deleteRows="0"/>
  <mergeCells count="77">
    <mergeCell ref="F8:H8"/>
    <mergeCell ref="F7:H7"/>
    <mergeCell ref="B22:I22"/>
    <mergeCell ref="A2:N2"/>
    <mergeCell ref="A1:N1"/>
    <mergeCell ref="A9:C9"/>
    <mergeCell ref="B13:J13"/>
    <mergeCell ref="B14:C14"/>
    <mergeCell ref="B15:C15"/>
    <mergeCell ref="A20:J20"/>
    <mergeCell ref="A4:C4"/>
    <mergeCell ref="A5:C5"/>
    <mergeCell ref="A6:C6"/>
    <mergeCell ref="A29:A31"/>
    <mergeCell ref="B29:B31"/>
    <mergeCell ref="C29:C31"/>
    <mergeCell ref="D29:D31"/>
    <mergeCell ref="E29:E31"/>
    <mergeCell ref="K29:K31"/>
    <mergeCell ref="M29:M31"/>
    <mergeCell ref="B34:B35"/>
    <mergeCell ref="H32:I33"/>
    <mergeCell ref="H29:I31"/>
    <mergeCell ref="J29:J31"/>
    <mergeCell ref="L29:L31"/>
    <mergeCell ref="B32:B33"/>
    <mergeCell ref="S34:T34"/>
    <mergeCell ref="A36:A37"/>
    <mergeCell ref="B36:B37"/>
    <mergeCell ref="A38:A39"/>
    <mergeCell ref="B38:B39"/>
    <mergeCell ref="H36:I37"/>
    <mergeCell ref="H34:I35"/>
    <mergeCell ref="L32:L41"/>
    <mergeCell ref="A32:A33"/>
    <mergeCell ref="A34:A35"/>
    <mergeCell ref="A40:A41"/>
    <mergeCell ref="B40:B41"/>
    <mergeCell ref="F33:G33"/>
    <mergeCell ref="F32:G32"/>
    <mergeCell ref="H40:I41"/>
    <mergeCell ref="H38:I39"/>
    <mergeCell ref="A65:J65"/>
    <mergeCell ref="B66:J66"/>
    <mergeCell ref="B67:J67"/>
    <mergeCell ref="M45:M47"/>
    <mergeCell ref="N45:N47"/>
    <mergeCell ref="B48:B50"/>
    <mergeCell ref="C48:E50"/>
    <mergeCell ref="B45:B47"/>
    <mergeCell ref="C45:D47"/>
    <mergeCell ref="K45:K47"/>
    <mergeCell ref="L45:L47"/>
    <mergeCell ref="M48:M50"/>
    <mergeCell ref="B64:N64"/>
    <mergeCell ref="B60:J60"/>
    <mergeCell ref="F38:G38"/>
    <mergeCell ref="F37:G37"/>
    <mergeCell ref="F36:G36"/>
    <mergeCell ref="F35:G35"/>
    <mergeCell ref="F34:G34"/>
    <mergeCell ref="K25:L25"/>
    <mergeCell ref="K24:L24"/>
    <mergeCell ref="K23:L23"/>
    <mergeCell ref="K22:L22"/>
    <mergeCell ref="F50:G50"/>
    <mergeCell ref="F49:G49"/>
    <mergeCell ref="F48:G48"/>
    <mergeCell ref="F45:G47"/>
    <mergeCell ref="H48:I50"/>
    <mergeCell ref="H45:I47"/>
    <mergeCell ref="J45:J47"/>
    <mergeCell ref="J48:J50"/>
    <mergeCell ref="F29:G31"/>
    <mergeCell ref="F41:G41"/>
    <mergeCell ref="F40:G40"/>
    <mergeCell ref="F39:G39"/>
  </mergeCells>
  <printOptions horizontalCentered="1"/>
  <pageMargins left="0.511811023622047" right="0.23622047244094499" top="0.511811023622047" bottom="0.39370078740157499" header="0.23622047244094499" footer="0.23622047244094499"/>
  <pageSetup paperSize="9" scale="64" orientation="portrait" horizontalDpi="4294967293" r:id="rId1"/>
  <headerFooter scaleWithDoc="0" alignWithMargins="0">
    <oddHeader>&amp;R&amp;6T.LHK 014-18/ Rev:1</oddHeader>
    <oddFooter xml:space="preserve">&amp;C&amp;6Dilarang keras mengutip/memperbanyak dan atau mempublikasikan isi sertifikat ini tanpa seijin LPFK Banjarbaru
Sertifikat ini sah apabila dibubuhi cap LPFK Banjarbaru dan ditandatangani pejabat yang berwenang&amp;R&amp;6
Halaman 2 dari 2 halaman&amp;10
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B18EA-EE78-435C-97DC-E56A7C4F3325}">
  <sheetPr codeName="Sheet25">
    <tabColor rgb="FF00B050"/>
  </sheetPr>
  <dimension ref="A1:O61"/>
  <sheetViews>
    <sheetView zoomScaleNormal="100" zoomScaleSheetLayoutView="90" workbookViewId="0">
      <selection activeCell="D38" sqref="D38"/>
    </sheetView>
  </sheetViews>
  <sheetFormatPr defaultColWidth="9.21875" defaultRowHeight="13.2" x14ac:dyDescent="0.25"/>
  <cols>
    <col min="1" max="1" width="18.21875" style="686" customWidth="1"/>
    <col min="2" max="2" width="26.21875" style="686" customWidth="1"/>
    <col min="3" max="3" width="3.21875" style="686" customWidth="1"/>
    <col min="4" max="4" width="11.5546875" style="686" customWidth="1"/>
    <col min="5" max="5" width="9.44140625" style="686" customWidth="1"/>
    <col min="6" max="6" width="22.5546875" style="686" customWidth="1"/>
    <col min="7" max="7" width="9.21875" style="686"/>
    <col min="8" max="8" width="18.77734375" style="686" customWidth="1"/>
    <col min="9" max="9" width="12.21875" style="686" customWidth="1"/>
    <col min="10" max="16384" width="9.21875" style="686"/>
  </cols>
  <sheetData>
    <row r="1" spans="1:15" x14ac:dyDescent="0.25">
      <c r="H1" s="687"/>
      <c r="I1" s="688"/>
      <c r="J1" s="688"/>
    </row>
    <row r="2" spans="1:15" ht="30" x14ac:dyDescent="0.25">
      <c r="A2" s="1454" t="str">
        <f>B46</f>
        <v>SERTIFIKAT KALIBRASI</v>
      </c>
      <c r="B2" s="1454"/>
      <c r="C2" s="1454"/>
      <c r="D2" s="1454"/>
      <c r="E2" s="1454"/>
      <c r="F2" s="1454"/>
      <c r="H2" s="689"/>
      <c r="I2" s="1455"/>
      <c r="J2" s="1456"/>
    </row>
    <row r="3" spans="1:15" ht="13.8" x14ac:dyDescent="0.25">
      <c r="A3" s="1457" t="str">
        <f>"Nomor : 9 /"&amp;" "&amp;ID!I2</f>
        <v>Nomor : 9 / 2 / II - 20 / E - 015.38 DL</v>
      </c>
      <c r="B3" s="1457"/>
      <c r="C3" s="1457"/>
      <c r="D3" s="1457"/>
      <c r="E3" s="1457"/>
      <c r="F3" s="1457"/>
    </row>
    <row r="4" spans="1:15" x14ac:dyDescent="0.25">
      <c r="C4" s="686" t="s">
        <v>477</v>
      </c>
      <c r="D4" s="1458" t="s">
        <v>756</v>
      </c>
      <c r="E4" s="1458"/>
      <c r="F4" s="1458"/>
      <c r="H4" s="690"/>
      <c r="I4" s="690"/>
      <c r="J4" s="690"/>
    </row>
    <row r="5" spans="1:15" ht="14.4" x14ac:dyDescent="0.3">
      <c r="H5" s="1459"/>
      <c r="I5" s="1459"/>
      <c r="J5" s="1459"/>
    </row>
    <row r="6" spans="1:15" ht="13.8" x14ac:dyDescent="0.25">
      <c r="A6" s="691" t="s">
        <v>479</v>
      </c>
      <c r="B6" s="692" t="s">
        <v>531</v>
      </c>
      <c r="C6" s="693"/>
      <c r="D6" s="1441" t="s">
        <v>481</v>
      </c>
      <c r="E6" s="1442"/>
      <c r="F6" s="694" t="str">
        <f>MID(A3,SEARCH("E - ",A3),LEN(A3))</f>
        <v>E - 015.38 DL</v>
      </c>
    </row>
    <row r="7" spans="1:15" ht="13.8" x14ac:dyDescent="0.25">
      <c r="A7" s="695"/>
      <c r="B7" s="695"/>
      <c r="C7" s="695"/>
    </row>
    <row r="8" spans="1:15" ht="13.8" x14ac:dyDescent="0.25">
      <c r="A8" s="1436" t="s">
        <v>6</v>
      </c>
      <c r="B8" s="1436"/>
      <c r="C8" s="696" t="s">
        <v>7</v>
      </c>
      <c r="D8" s="1436" t="str">
        <f>LH!F4</f>
        <v>OMRON</v>
      </c>
      <c r="E8" s="1436"/>
      <c r="F8" s="1436"/>
      <c r="I8" s="1451"/>
      <c r="J8" s="1451"/>
    </row>
    <row r="9" spans="1:15" ht="13.8" x14ac:dyDescent="0.25">
      <c r="A9" s="1436" t="s">
        <v>482</v>
      </c>
      <c r="B9" s="1436"/>
      <c r="C9" s="696" t="s">
        <v>7</v>
      </c>
      <c r="D9" s="1436" t="str">
        <f>LH!F5</f>
        <v>HEM-8712</v>
      </c>
      <c r="E9" s="1436"/>
      <c r="F9" s="1436"/>
      <c r="I9" s="1451"/>
      <c r="J9" s="1451"/>
    </row>
    <row r="10" spans="1:15" ht="14.4" x14ac:dyDescent="0.3">
      <c r="A10" s="1436" t="s">
        <v>483</v>
      </c>
      <c r="B10" s="1436"/>
      <c r="C10" s="696" t="s">
        <v>7</v>
      </c>
      <c r="D10" s="1436" t="str">
        <f>LH!F6</f>
        <v>-</v>
      </c>
      <c r="E10" s="1436"/>
      <c r="F10" s="1436"/>
      <c r="I10" s="1452"/>
      <c r="J10" s="1443"/>
      <c r="O10" s="697"/>
    </row>
    <row r="11" spans="1:15" s="688" customFormat="1" ht="14.4" hidden="1" x14ac:dyDescent="0.3">
      <c r="A11" s="1453" t="s">
        <v>484</v>
      </c>
      <c r="B11" s="1453"/>
      <c r="C11" s="698" t="s">
        <v>7</v>
      </c>
      <c r="D11" s="699"/>
      <c r="E11" s="699"/>
      <c r="F11" s="700"/>
      <c r="I11" s="701"/>
      <c r="J11" s="702"/>
      <c r="O11" s="702"/>
    </row>
    <row r="12" spans="1:15" s="688" customFormat="1" ht="14.4" hidden="1" x14ac:dyDescent="0.3">
      <c r="A12" s="1453" t="s">
        <v>485</v>
      </c>
      <c r="B12" s="1453"/>
      <c r="C12" s="698" t="s">
        <v>7</v>
      </c>
      <c r="D12" s="703"/>
      <c r="E12" s="703"/>
      <c r="F12" s="700"/>
      <c r="I12" s="704"/>
      <c r="J12" s="702"/>
      <c r="O12" s="702"/>
    </row>
    <row r="13" spans="1:15" ht="14.4" x14ac:dyDescent="0.3">
      <c r="A13" s="705"/>
      <c r="B13" s="705"/>
      <c r="C13" s="695"/>
      <c r="I13" s="1450"/>
      <c r="J13" s="1450"/>
      <c r="O13" s="697"/>
    </row>
    <row r="14" spans="1:15" ht="28.5" customHeight="1" x14ac:dyDescent="0.3">
      <c r="A14" s="706" t="s">
        <v>486</v>
      </c>
      <c r="B14" s="707"/>
      <c r="C14" s="695"/>
      <c r="D14" s="1441" t="s">
        <v>487</v>
      </c>
      <c r="E14" s="1442"/>
      <c r="F14" s="708"/>
      <c r="I14" s="1443"/>
      <c r="J14" s="1443"/>
      <c r="O14" s="697"/>
    </row>
    <row r="15" spans="1:15" ht="14.4" x14ac:dyDescent="0.25">
      <c r="A15" s="709"/>
      <c r="B15" s="695"/>
      <c r="C15" s="695"/>
      <c r="D15" s="695"/>
      <c r="E15" s="695"/>
      <c r="I15" s="1444"/>
      <c r="J15" s="1444"/>
    </row>
    <row r="16" spans="1:15" s="688" customFormat="1" ht="42.75" customHeight="1" x14ac:dyDescent="0.3">
      <c r="A16" s="1445" t="s">
        <v>488</v>
      </c>
      <c r="B16" s="1445"/>
      <c r="C16" s="710" t="s">
        <v>7</v>
      </c>
      <c r="D16" s="1446" t="s">
        <v>742</v>
      </c>
      <c r="E16" s="1446"/>
      <c r="F16" s="1446"/>
      <c r="H16" s="711"/>
      <c r="I16" s="1447"/>
      <c r="J16" s="1448"/>
    </row>
    <row r="17" spans="1:10" ht="14.4" x14ac:dyDescent="0.3">
      <c r="A17" s="1436" t="str">
        <f>"Nama Ruang "&amp;B50</f>
        <v>Nama Ruang Kalibrasi</v>
      </c>
      <c r="B17" s="1436"/>
      <c r="C17" s="696" t="s">
        <v>7</v>
      </c>
      <c r="D17" s="1438" t="str">
        <f>LH!F10</f>
        <v>-</v>
      </c>
      <c r="E17" s="1438"/>
      <c r="F17" s="1438"/>
      <c r="H17" s="1449"/>
      <c r="I17" s="1449"/>
      <c r="J17" s="1449"/>
    </row>
    <row r="18" spans="1:10" ht="14.4" x14ac:dyDescent="0.3">
      <c r="A18" s="1436" t="s">
        <v>489</v>
      </c>
      <c r="B18" s="1436"/>
      <c r="C18" s="696" t="s">
        <v>7</v>
      </c>
      <c r="D18" s="1440" t="str">
        <f>LH!F7</f>
        <v>3 Januari 2023</v>
      </c>
      <c r="E18" s="1440"/>
      <c r="F18" s="1440"/>
      <c r="I18" s="711"/>
      <c r="J18" s="711"/>
    </row>
    <row r="19" spans="1:10" ht="14.25" customHeight="1" x14ac:dyDescent="0.25">
      <c r="A19" s="1436" t="str">
        <f>"Tanggal "&amp;B50</f>
        <v>Tanggal Kalibrasi</v>
      </c>
      <c r="B19" s="1436"/>
      <c r="C19" s="696" t="s">
        <v>7</v>
      </c>
      <c r="D19" s="1440" t="str">
        <f>LH!F8</f>
        <v>3 Januari 2023</v>
      </c>
      <c r="E19" s="1440"/>
      <c r="F19" s="1440"/>
    </row>
    <row r="20" spans="1:10" ht="13.8" x14ac:dyDescent="0.25">
      <c r="A20" s="1436" t="str">
        <f>"Penanggungjawab "&amp;B50</f>
        <v>Penanggungjawab Kalibrasi</v>
      </c>
      <c r="B20" s="1436"/>
      <c r="C20" s="696" t="s">
        <v>7</v>
      </c>
      <c r="D20" s="1436" t="str">
        <f>LH!B67</f>
        <v>Muhammad Alpian Hadi</v>
      </c>
      <c r="E20" s="1436"/>
      <c r="F20" s="1436"/>
    </row>
    <row r="21" spans="1:10" ht="14.4" x14ac:dyDescent="0.3">
      <c r="A21" s="1436" t="str">
        <f>"Lokasi "&amp;B50</f>
        <v>Lokasi Kalibrasi</v>
      </c>
      <c r="B21" s="1436"/>
      <c r="C21" s="696" t="s">
        <v>7</v>
      </c>
      <c r="D21" s="1438" t="str">
        <f>LH!F9</f>
        <v>-</v>
      </c>
      <c r="E21" s="1438"/>
      <c r="F21" s="1438"/>
      <c r="H21" s="712"/>
    </row>
    <row r="22" spans="1:10" ht="31.5" customHeight="1" x14ac:dyDescent="0.25">
      <c r="A22" s="1438" t="str">
        <f>"Hasil "&amp;B50</f>
        <v>Hasil Kalibrasi</v>
      </c>
      <c r="B22" s="1438"/>
      <c r="C22" s="713" t="s">
        <v>7</v>
      </c>
      <c r="D22" s="1439" t="str">
        <f>B57</f>
        <v xml:space="preserve">Laik Pakai, disarankan untuk dikalibrasi ulang pada tanggal </v>
      </c>
      <c r="E22" s="1439"/>
      <c r="F22" s="1439"/>
    </row>
    <row r="23" spans="1:10" ht="13.8" x14ac:dyDescent="0.25">
      <c r="A23" s="1436" t="s">
        <v>491</v>
      </c>
      <c r="B23" s="1436"/>
      <c r="C23" s="696" t="s">
        <v>7</v>
      </c>
      <c r="D23" s="1436" t="str">
        <f>LH!F11</f>
        <v>MK 014-18</v>
      </c>
      <c r="E23" s="1436"/>
      <c r="F23" s="1436"/>
    </row>
    <row r="26" spans="1:10" ht="26.25" customHeight="1" x14ac:dyDescent="0.25">
      <c r="D26" s="714" t="s">
        <v>492</v>
      </c>
      <c r="E26" s="1437">
        <f ca="1">TODAY()</f>
        <v>45307</v>
      </c>
      <c r="F26" s="1437"/>
    </row>
    <row r="27" spans="1:10" ht="13.8" x14ac:dyDescent="0.25">
      <c r="D27" s="1436" t="s">
        <v>493</v>
      </c>
      <c r="E27" s="1436"/>
      <c r="F27" s="1436"/>
    </row>
    <row r="28" spans="1:10" ht="13.8" x14ac:dyDescent="0.25">
      <c r="D28" s="1436" t="s">
        <v>494</v>
      </c>
      <c r="E28" s="1436"/>
      <c r="F28" s="1436"/>
    </row>
    <row r="29" spans="1:10" ht="13.8" x14ac:dyDescent="0.25">
      <c r="D29" s="715"/>
      <c r="E29" s="715"/>
    </row>
    <row r="30" spans="1:10" ht="13.8" x14ac:dyDescent="0.25">
      <c r="D30" s="715"/>
      <c r="E30" s="715"/>
    </row>
    <row r="31" spans="1:10" ht="13.8" x14ac:dyDescent="0.25">
      <c r="D31" s="715"/>
      <c r="E31" s="715"/>
    </row>
    <row r="32" spans="1:10" ht="13.8" x14ac:dyDescent="0.25">
      <c r="D32" s="1436" t="s">
        <v>495</v>
      </c>
      <c r="E32" s="1436"/>
      <c r="F32" s="1436"/>
    </row>
    <row r="33" spans="1:6" ht="13.8" x14ac:dyDescent="0.25">
      <c r="D33" s="1435" t="s">
        <v>496</v>
      </c>
      <c r="E33" s="1435"/>
      <c r="F33" s="1435"/>
    </row>
    <row r="36" spans="1:6" x14ac:dyDescent="0.25">
      <c r="A36" s="716"/>
      <c r="B36" s="716"/>
      <c r="C36" s="716"/>
      <c r="D36" s="716"/>
      <c r="E36" s="716"/>
      <c r="F36" s="716"/>
    </row>
    <row r="42" spans="1:6" ht="13.8" thickBot="1" x14ac:dyDescent="0.3"/>
    <row r="43" spans="1:6" ht="31.5" customHeight="1" x14ac:dyDescent="0.25">
      <c r="A43" s="717" t="s">
        <v>743</v>
      </c>
      <c r="B43" s="718" t="str">
        <f>MID(ID!I2,SEARCH("E - ",ID!I2),LEN(ID!I2))</f>
        <v>E - 015.38 DL</v>
      </c>
    </row>
    <row r="44" spans="1:6" x14ac:dyDescent="0.25">
      <c r="A44" s="719"/>
      <c r="B44" s="720"/>
    </row>
    <row r="45" spans="1:6" ht="24" customHeight="1" x14ac:dyDescent="0.25">
      <c r="A45" s="721" t="s">
        <v>744</v>
      </c>
      <c r="B45" s="722" t="str">
        <f>ID!A1</f>
        <v>INPUT DATA KALIBRASI BLOOD PRESSURE MONITOR</v>
      </c>
    </row>
    <row r="46" spans="1:6" ht="39" customHeight="1" x14ac:dyDescent="0.25">
      <c r="A46" s="721" t="s">
        <v>745</v>
      </c>
      <c r="B46" s="723" t="str">
        <f>IF(B45="INPUT DATA KALIBRASI Blood Pressure Monitor",B47,B48)</f>
        <v>SERTIFIKAT KALIBRASI</v>
      </c>
    </row>
    <row r="47" spans="1:6" ht="22.5" customHeight="1" x14ac:dyDescent="0.25">
      <c r="A47" s="721" t="s">
        <v>746</v>
      </c>
      <c r="B47" s="720" t="s">
        <v>475</v>
      </c>
    </row>
    <row r="48" spans="1:6" x14ac:dyDescent="0.25">
      <c r="A48" s="719"/>
      <c r="B48" s="720" t="s">
        <v>747</v>
      </c>
    </row>
    <row r="49" spans="1:2" x14ac:dyDescent="0.25">
      <c r="A49" s="719"/>
      <c r="B49" s="720"/>
    </row>
    <row r="50" spans="1:2" ht="48" customHeight="1" x14ac:dyDescent="0.25">
      <c r="A50" s="721" t="s">
        <v>748</v>
      </c>
      <c r="B50" s="720" t="str">
        <f>IF(RIGHT(A2,10)=" KALIBRASI","Kalibrasi","Pengujian")</f>
        <v>Kalibrasi</v>
      </c>
    </row>
    <row r="51" spans="1:2" x14ac:dyDescent="0.25">
      <c r="A51" s="719"/>
      <c r="B51" s="720"/>
    </row>
    <row r="52" spans="1:2" s="725" customFormat="1" ht="34.5" customHeight="1" x14ac:dyDescent="0.25">
      <c r="A52" s="721" t="s">
        <v>749</v>
      </c>
      <c r="B52" s="724" t="s">
        <v>490</v>
      </c>
    </row>
    <row r="53" spans="1:2" x14ac:dyDescent="0.25">
      <c r="A53" s="719"/>
      <c r="B53" s="720"/>
    </row>
    <row r="54" spans="1:2" ht="50.25" customHeight="1" x14ac:dyDescent="0.25">
      <c r="A54" s="726" t="s">
        <v>750</v>
      </c>
      <c r="B54" s="727"/>
    </row>
    <row r="55" spans="1:2" ht="27" customHeight="1" x14ac:dyDescent="0.25">
      <c r="A55" s="721" t="s">
        <v>751</v>
      </c>
      <c r="B55" s="728"/>
    </row>
    <row r="56" spans="1:2" x14ac:dyDescent="0.25">
      <c r="A56" s="719"/>
      <c r="B56" s="720"/>
    </row>
    <row r="57" spans="1:2" ht="30" customHeight="1" x14ac:dyDescent="0.25">
      <c r="A57" s="726" t="s">
        <v>752</v>
      </c>
      <c r="B57" s="729" t="str">
        <f>IF(B46=B47,B58,B59)</f>
        <v xml:space="preserve">Laik Pakai, disarankan untuk dikalibrasi ulang pada tanggal </v>
      </c>
    </row>
    <row r="58" spans="1:2" ht="27.6" x14ac:dyDescent="0.25">
      <c r="A58" s="719" t="s">
        <v>753</v>
      </c>
      <c r="B58" s="730" t="str">
        <f>CONCATENATE(B60,B55)</f>
        <v xml:space="preserve">Laik Pakai, disarankan untuk dikalibrasi ulang pada tanggal </v>
      </c>
    </row>
    <row r="59" spans="1:2" ht="27.6" x14ac:dyDescent="0.25">
      <c r="A59" s="719"/>
      <c r="B59" s="730" t="str">
        <f>CONCATENATE(B61,B55)</f>
        <v xml:space="preserve">Laik Pakai, disarankan untuk diuji ulang pada tanggal </v>
      </c>
    </row>
    <row r="60" spans="1:2" ht="42" customHeight="1" x14ac:dyDescent="0.25">
      <c r="A60" s="731" t="s">
        <v>746</v>
      </c>
      <c r="B60" s="730" t="s">
        <v>754</v>
      </c>
    </row>
    <row r="61" spans="1:2" ht="39.75" customHeight="1" thickBot="1" x14ac:dyDescent="0.3">
      <c r="A61" s="732"/>
      <c r="B61" s="733" t="s">
        <v>755</v>
      </c>
    </row>
  </sheetData>
  <sheetProtection formatRows="0"/>
  <mergeCells count="44">
    <mergeCell ref="D6:E6"/>
    <mergeCell ref="A2:F2"/>
    <mergeCell ref="I2:J2"/>
    <mergeCell ref="A3:F3"/>
    <mergeCell ref="D4:F4"/>
    <mergeCell ref="H5:J5"/>
    <mergeCell ref="I13:J13"/>
    <mergeCell ref="A8:B8"/>
    <mergeCell ref="D8:F8"/>
    <mergeCell ref="I8:J8"/>
    <mergeCell ref="A9:B9"/>
    <mergeCell ref="D9:F9"/>
    <mergeCell ref="I9:J9"/>
    <mergeCell ref="A10:B10"/>
    <mergeCell ref="D10:F10"/>
    <mergeCell ref="I10:J10"/>
    <mergeCell ref="A11:B11"/>
    <mergeCell ref="A12:B12"/>
    <mergeCell ref="A19:B19"/>
    <mergeCell ref="D19:F19"/>
    <mergeCell ref="D14:E14"/>
    <mergeCell ref="I14:J14"/>
    <mergeCell ref="I15:J15"/>
    <mergeCell ref="A16:B16"/>
    <mergeCell ref="D16:F16"/>
    <mergeCell ref="I16:J16"/>
    <mergeCell ref="A17:B17"/>
    <mergeCell ref="D17:F17"/>
    <mergeCell ref="H17:J17"/>
    <mergeCell ref="A18:B18"/>
    <mergeCell ref="D18:F18"/>
    <mergeCell ref="A20:B20"/>
    <mergeCell ref="D20:F20"/>
    <mergeCell ref="A21:B21"/>
    <mergeCell ref="D21:F21"/>
    <mergeCell ref="A22:B22"/>
    <mergeCell ref="D22:F22"/>
    <mergeCell ref="D33:F33"/>
    <mergeCell ref="A23:B23"/>
    <mergeCell ref="D23:F23"/>
    <mergeCell ref="E26:F26"/>
    <mergeCell ref="D27:F27"/>
    <mergeCell ref="D28:F28"/>
    <mergeCell ref="D32:F32"/>
  </mergeCells>
  <dataValidations count="3">
    <dataValidation type="list" allowBlank="1" showInputMessage="1" showErrorMessage="1" sqref="A2:F2" xr:uid="{CEF680BD-31DE-44A2-A3CE-854246FD37C0}">
      <formula1>"SERTIFIKAT KALIBRASI,SERTIFIKAT PENGUJIAN"</formula1>
    </dataValidation>
    <dataValidation type="list" allowBlank="1" showInputMessage="1" showErrorMessage="1" sqref="J11" xr:uid="{86726F30-325E-491F-A324-D48ADEE49E4C}">
      <formula1>$M$2:$M$22</formula1>
    </dataValidation>
    <dataValidation type="list" allowBlank="1" showInputMessage="1" showErrorMessage="1" sqref="J12" xr:uid="{C3F999AD-9DD1-4B96-A028-831A779A5DDA}">
      <formula1>$O$9:$O$14</formula1>
    </dataValidation>
  </dataValidations>
  <pageMargins left="0.6" right="0.3" top="1.57" bottom="0" header="0.5" footer="0.6"/>
  <pageSetup paperSize="9" orientation="portrait" horizontalDpi="0" verticalDpi="0" r:id="rId1"/>
  <headerFooter>
    <oddFooter>&amp;L&amp;"Times New Roman,Bold"Sertifikat ini terdiri dari 2 halaman</oddFooter>
  </headerFooter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7C122-AE5E-4530-82A7-E8469545227F}">
  <sheetPr codeName="Sheet21"/>
  <dimension ref="A1:O73"/>
  <sheetViews>
    <sheetView topLeftCell="C1" workbookViewId="0">
      <selection activeCell="F17" sqref="F17"/>
    </sheetView>
  </sheetViews>
  <sheetFormatPr defaultColWidth="9.21875" defaultRowHeight="13.2" x14ac:dyDescent="0.25"/>
  <cols>
    <col min="1" max="1" width="9.21875" style="659"/>
    <col min="2" max="2" width="30.21875" style="659" bestFit="1" customWidth="1"/>
    <col min="3" max="3" width="24.5546875" style="659" bestFit="1" customWidth="1"/>
    <col min="4" max="4" width="32.5546875" style="659" bestFit="1" customWidth="1"/>
    <col min="5" max="5" width="9.77734375" style="659" customWidth="1"/>
    <col min="6" max="6" width="30.21875" style="659" bestFit="1" customWidth="1"/>
    <col min="7" max="7" width="9.21875" style="659"/>
    <col min="8" max="8" width="15.44140625" style="659" bestFit="1" customWidth="1"/>
    <col min="9" max="9" width="9.21875" style="659"/>
    <col min="10" max="10" width="11.77734375" style="659" bestFit="1" customWidth="1"/>
    <col min="11" max="16384" width="9.21875" style="659"/>
  </cols>
  <sheetData>
    <row r="1" spans="1:15" ht="13.8" x14ac:dyDescent="0.25">
      <c r="A1" s="660" t="s">
        <v>39</v>
      </c>
      <c r="B1" s="660" t="s">
        <v>497</v>
      </c>
      <c r="C1" s="660" t="s">
        <v>498</v>
      </c>
      <c r="D1" s="661" t="s">
        <v>499</v>
      </c>
      <c r="E1" s="662"/>
      <c r="F1" s="663" t="s">
        <v>476</v>
      </c>
      <c r="H1" s="662"/>
      <c r="J1" s="662"/>
    </row>
    <row r="2" spans="1:15" ht="13.8" x14ac:dyDescent="0.25">
      <c r="A2" s="664">
        <v>1</v>
      </c>
      <c r="B2" s="664" t="s">
        <v>500</v>
      </c>
      <c r="C2" s="664" t="s">
        <v>501</v>
      </c>
      <c r="D2" s="665" t="s">
        <v>502</v>
      </c>
      <c r="F2" s="666" t="s">
        <v>503</v>
      </c>
    </row>
    <row r="3" spans="1:15" ht="13.8" x14ac:dyDescent="0.25">
      <c r="A3" s="664">
        <v>2</v>
      </c>
      <c r="B3" s="664" t="s">
        <v>504</v>
      </c>
      <c r="C3" s="664" t="s">
        <v>505</v>
      </c>
      <c r="D3" s="664" t="s">
        <v>506</v>
      </c>
      <c r="F3" s="666" t="s">
        <v>507</v>
      </c>
    </row>
    <row r="4" spans="1:15" ht="13.8" x14ac:dyDescent="0.25">
      <c r="A4" s="664">
        <v>3</v>
      </c>
      <c r="B4" s="664" t="s">
        <v>508</v>
      </c>
      <c r="C4" s="664" t="s">
        <v>509</v>
      </c>
      <c r="D4" s="664" t="s">
        <v>510</v>
      </c>
      <c r="F4" s="666" t="s">
        <v>511</v>
      </c>
    </row>
    <row r="5" spans="1:15" ht="13.8" x14ac:dyDescent="0.25">
      <c r="A5" s="664">
        <v>4</v>
      </c>
      <c r="B5" s="664" t="s">
        <v>512</v>
      </c>
      <c r="C5" s="664" t="s">
        <v>513</v>
      </c>
      <c r="D5" s="665" t="s">
        <v>514</v>
      </c>
      <c r="F5" s="666" t="s">
        <v>515</v>
      </c>
      <c r="H5" s="667"/>
    </row>
    <row r="6" spans="1:15" ht="13.8" x14ac:dyDescent="0.25">
      <c r="A6" s="664">
        <v>5</v>
      </c>
      <c r="B6" s="664" t="s">
        <v>516</v>
      </c>
      <c r="C6" s="664" t="s">
        <v>517</v>
      </c>
      <c r="D6" s="665" t="s">
        <v>518</v>
      </c>
      <c r="F6" s="666" t="s">
        <v>519</v>
      </c>
    </row>
    <row r="7" spans="1:15" ht="13.8" x14ac:dyDescent="0.25">
      <c r="A7" s="664">
        <v>6</v>
      </c>
      <c r="B7" s="664" t="s">
        <v>520</v>
      </c>
      <c r="C7" s="664" t="s">
        <v>521</v>
      </c>
      <c r="D7" s="665" t="s">
        <v>522</v>
      </c>
      <c r="F7" s="666" t="s">
        <v>523</v>
      </c>
    </row>
    <row r="8" spans="1:15" ht="13.8" x14ac:dyDescent="0.25">
      <c r="A8" s="664">
        <v>7</v>
      </c>
      <c r="B8" s="664" t="s">
        <v>524</v>
      </c>
      <c r="C8" s="664" t="s">
        <v>525</v>
      </c>
      <c r="D8" s="665" t="s">
        <v>526</v>
      </c>
      <c r="F8" s="666" t="s">
        <v>527</v>
      </c>
    </row>
    <row r="9" spans="1:15" ht="13.8" x14ac:dyDescent="0.25">
      <c r="A9" s="664">
        <v>8</v>
      </c>
      <c r="B9" s="664" t="s">
        <v>528</v>
      </c>
      <c r="C9" s="664" t="s">
        <v>529</v>
      </c>
      <c r="D9" s="664" t="s">
        <v>530</v>
      </c>
      <c r="F9" s="666" t="s">
        <v>478</v>
      </c>
    </row>
    <row r="10" spans="1:15" ht="13.8" x14ac:dyDescent="0.25">
      <c r="A10" s="664">
        <v>9</v>
      </c>
      <c r="B10" s="664" t="s">
        <v>531</v>
      </c>
      <c r="C10" s="664" t="s">
        <v>532</v>
      </c>
      <c r="D10" s="665" t="s">
        <v>533</v>
      </c>
      <c r="F10" s="666" t="s">
        <v>534</v>
      </c>
      <c r="H10" s="667"/>
    </row>
    <row r="11" spans="1:15" ht="13.8" x14ac:dyDescent="0.25">
      <c r="A11" s="664">
        <v>10</v>
      </c>
      <c r="B11" s="664" t="s">
        <v>535</v>
      </c>
      <c r="C11" s="664" t="s">
        <v>536</v>
      </c>
      <c r="D11" s="664" t="s">
        <v>537</v>
      </c>
      <c r="F11" s="666" t="s">
        <v>538</v>
      </c>
      <c r="L11" s="668"/>
      <c r="M11" s="669"/>
      <c r="N11" s="668"/>
      <c r="O11" s="669"/>
    </row>
    <row r="12" spans="1:15" ht="13.8" x14ac:dyDescent="0.25">
      <c r="A12" s="664">
        <v>11</v>
      </c>
      <c r="B12" s="664" t="s">
        <v>539</v>
      </c>
      <c r="C12" s="664" t="s">
        <v>536</v>
      </c>
      <c r="D12" s="664" t="s">
        <v>537</v>
      </c>
      <c r="F12" s="666" t="s">
        <v>540</v>
      </c>
      <c r="H12" s="670"/>
    </row>
    <row r="13" spans="1:15" ht="13.8" x14ac:dyDescent="0.25">
      <c r="A13" s="664">
        <v>12</v>
      </c>
      <c r="B13" s="664" t="s">
        <v>541</v>
      </c>
      <c r="C13" s="664" t="s">
        <v>542</v>
      </c>
      <c r="D13" s="665" t="s">
        <v>543</v>
      </c>
      <c r="F13" s="666" t="s">
        <v>544</v>
      </c>
    </row>
    <row r="14" spans="1:15" ht="13.8" x14ac:dyDescent="0.25">
      <c r="A14" s="664">
        <v>13</v>
      </c>
      <c r="B14" s="664" t="s">
        <v>545</v>
      </c>
      <c r="C14" s="664" t="s">
        <v>546</v>
      </c>
      <c r="D14" s="665" t="s">
        <v>547</v>
      </c>
    </row>
    <row r="15" spans="1:15" ht="13.8" x14ac:dyDescent="0.25">
      <c r="A15" s="664">
        <v>14</v>
      </c>
      <c r="B15" s="664" t="s">
        <v>548</v>
      </c>
      <c r="C15" s="664" t="s">
        <v>549</v>
      </c>
      <c r="D15" s="665" t="s">
        <v>550</v>
      </c>
      <c r="L15" s="668"/>
      <c r="M15" s="668"/>
      <c r="N15" s="668"/>
      <c r="O15" s="669"/>
    </row>
    <row r="16" spans="1:15" ht="13.8" x14ac:dyDescent="0.25">
      <c r="A16" s="664">
        <v>15</v>
      </c>
      <c r="B16" s="664" t="s">
        <v>551</v>
      </c>
      <c r="C16" s="664" t="s">
        <v>552</v>
      </c>
      <c r="D16" s="665" t="s">
        <v>553</v>
      </c>
      <c r="L16" s="668"/>
      <c r="M16" s="668"/>
    </row>
    <row r="17" spans="1:14" ht="13.8" x14ac:dyDescent="0.25">
      <c r="A17" s="664">
        <v>16</v>
      </c>
      <c r="B17" s="664" t="s">
        <v>554</v>
      </c>
      <c r="C17" s="664" t="s">
        <v>549</v>
      </c>
      <c r="D17" s="665" t="s">
        <v>550</v>
      </c>
    </row>
    <row r="18" spans="1:14" ht="13.8" x14ac:dyDescent="0.25">
      <c r="A18" s="664">
        <v>17</v>
      </c>
      <c r="B18" s="664" t="s">
        <v>555</v>
      </c>
      <c r="C18" s="664" t="s">
        <v>556</v>
      </c>
      <c r="D18" s="664" t="s">
        <v>557</v>
      </c>
    </row>
    <row r="19" spans="1:14" ht="13.8" x14ac:dyDescent="0.25">
      <c r="A19" s="664">
        <v>18</v>
      </c>
      <c r="B19" s="664" t="s">
        <v>558</v>
      </c>
      <c r="C19" s="664" t="s">
        <v>559</v>
      </c>
      <c r="D19" s="665" t="s">
        <v>560</v>
      </c>
    </row>
    <row r="20" spans="1:14" ht="13.8" x14ac:dyDescent="0.25">
      <c r="A20" s="664">
        <v>19</v>
      </c>
      <c r="B20" s="664" t="s">
        <v>561</v>
      </c>
      <c r="C20" s="664" t="s">
        <v>562</v>
      </c>
      <c r="D20" s="665" t="s">
        <v>563</v>
      </c>
    </row>
    <row r="21" spans="1:14" ht="13.8" x14ac:dyDescent="0.25">
      <c r="A21" s="664">
        <v>20</v>
      </c>
      <c r="B21" s="664" t="s">
        <v>564</v>
      </c>
      <c r="C21" s="664" t="s">
        <v>565</v>
      </c>
      <c r="D21" s="664" t="s">
        <v>566</v>
      </c>
    </row>
    <row r="22" spans="1:14" ht="13.8" x14ac:dyDescent="0.25">
      <c r="A22" s="664">
        <v>21</v>
      </c>
      <c r="B22" s="664" t="s">
        <v>567</v>
      </c>
      <c r="C22" s="664" t="s">
        <v>568</v>
      </c>
      <c r="D22" s="664" t="s">
        <v>569</v>
      </c>
    </row>
    <row r="23" spans="1:14" ht="13.8" x14ac:dyDescent="0.25">
      <c r="A23" s="664">
        <v>22</v>
      </c>
      <c r="B23" s="664" t="s">
        <v>570</v>
      </c>
      <c r="C23" s="664" t="s">
        <v>571</v>
      </c>
      <c r="D23" s="665" t="s">
        <v>572</v>
      </c>
    </row>
    <row r="24" spans="1:14" ht="13.8" x14ac:dyDescent="0.25">
      <c r="A24" s="664">
        <v>23</v>
      </c>
      <c r="B24" s="664" t="s">
        <v>573</v>
      </c>
      <c r="C24" s="664" t="s">
        <v>574</v>
      </c>
      <c r="D24" s="665" t="s">
        <v>575</v>
      </c>
    </row>
    <row r="25" spans="1:14" ht="13.8" x14ac:dyDescent="0.25">
      <c r="A25" s="664">
        <v>24</v>
      </c>
      <c r="B25" s="664" t="s">
        <v>576</v>
      </c>
      <c r="C25" s="664" t="s">
        <v>577</v>
      </c>
      <c r="D25" s="665" t="s">
        <v>578</v>
      </c>
      <c r="G25" s="669"/>
      <c r="K25" s="668"/>
      <c r="L25" s="669"/>
      <c r="M25" s="668"/>
      <c r="N25" s="669"/>
    </row>
    <row r="26" spans="1:14" ht="13.8" x14ac:dyDescent="0.25">
      <c r="A26" s="664">
        <v>25</v>
      </c>
      <c r="B26" s="664" t="s">
        <v>579</v>
      </c>
      <c r="C26" s="664" t="s">
        <v>580</v>
      </c>
      <c r="D26" s="664" t="s">
        <v>581</v>
      </c>
    </row>
    <row r="27" spans="1:14" ht="13.8" x14ac:dyDescent="0.25">
      <c r="A27" s="664">
        <v>26</v>
      </c>
      <c r="B27" s="664" t="s">
        <v>582</v>
      </c>
      <c r="C27" s="664" t="s">
        <v>583</v>
      </c>
      <c r="D27" s="664" t="s">
        <v>584</v>
      </c>
      <c r="F27" s="668"/>
      <c r="G27" s="669"/>
    </row>
    <row r="28" spans="1:14" ht="13.8" x14ac:dyDescent="0.25">
      <c r="A28" s="664">
        <v>27</v>
      </c>
      <c r="B28" s="664" t="s">
        <v>585</v>
      </c>
      <c r="C28" s="664"/>
      <c r="D28" s="664"/>
    </row>
    <row r="29" spans="1:14" ht="13.8" x14ac:dyDescent="0.25">
      <c r="A29" s="664">
        <v>28</v>
      </c>
      <c r="B29" s="664" t="s">
        <v>586</v>
      </c>
      <c r="C29" s="664" t="s">
        <v>587</v>
      </c>
      <c r="D29" s="665" t="s">
        <v>588</v>
      </c>
    </row>
    <row r="30" spans="1:14" ht="13.8" x14ac:dyDescent="0.25">
      <c r="A30" s="664">
        <v>29</v>
      </c>
      <c r="B30" s="664" t="s">
        <v>589</v>
      </c>
      <c r="C30" s="664" t="s">
        <v>590</v>
      </c>
      <c r="D30" s="665" t="s">
        <v>591</v>
      </c>
      <c r="F30" s="668"/>
      <c r="G30" s="669"/>
    </row>
    <row r="31" spans="1:14" ht="13.8" x14ac:dyDescent="0.25">
      <c r="A31" s="664">
        <v>30</v>
      </c>
      <c r="B31" s="664" t="s">
        <v>592</v>
      </c>
      <c r="C31" s="664" t="s">
        <v>593</v>
      </c>
      <c r="D31" s="664" t="s">
        <v>594</v>
      </c>
      <c r="G31" s="668"/>
    </row>
    <row r="32" spans="1:14" ht="13.8" x14ac:dyDescent="0.25">
      <c r="A32" s="664">
        <v>31</v>
      </c>
      <c r="B32" s="664" t="s">
        <v>595</v>
      </c>
      <c r="C32" s="664" t="s">
        <v>596</v>
      </c>
      <c r="D32" s="664" t="s">
        <v>597</v>
      </c>
      <c r="G32" s="668"/>
    </row>
    <row r="33" spans="1:7" ht="13.8" x14ac:dyDescent="0.25">
      <c r="A33" s="664">
        <v>32</v>
      </c>
      <c r="B33" s="664" t="s">
        <v>598</v>
      </c>
      <c r="C33" s="664" t="s">
        <v>599</v>
      </c>
      <c r="D33" s="664" t="s">
        <v>600</v>
      </c>
      <c r="F33" s="668"/>
      <c r="G33" s="668"/>
    </row>
    <row r="34" spans="1:7" ht="13.8" x14ac:dyDescent="0.25">
      <c r="A34" s="664">
        <v>33</v>
      </c>
      <c r="B34" s="664" t="s">
        <v>601</v>
      </c>
      <c r="C34" s="664" t="s">
        <v>602</v>
      </c>
      <c r="D34" s="665" t="s">
        <v>603</v>
      </c>
      <c r="F34" s="668"/>
      <c r="G34" s="668"/>
    </row>
    <row r="35" spans="1:7" ht="13.8" x14ac:dyDescent="0.25">
      <c r="A35" s="664">
        <v>34</v>
      </c>
      <c r="B35" s="664" t="s">
        <v>604</v>
      </c>
      <c r="C35" s="664" t="s">
        <v>605</v>
      </c>
      <c r="D35" s="664" t="s">
        <v>606</v>
      </c>
      <c r="G35" s="668"/>
    </row>
    <row r="36" spans="1:7" ht="13.8" x14ac:dyDescent="0.25">
      <c r="A36" s="664">
        <v>35</v>
      </c>
      <c r="B36" s="664" t="s">
        <v>607</v>
      </c>
      <c r="C36" s="664" t="s">
        <v>608</v>
      </c>
      <c r="D36" s="665" t="s">
        <v>609</v>
      </c>
      <c r="G36" s="668"/>
    </row>
    <row r="37" spans="1:7" ht="13.8" x14ac:dyDescent="0.25">
      <c r="A37" s="664">
        <v>36</v>
      </c>
      <c r="B37" s="664" t="s">
        <v>610</v>
      </c>
      <c r="C37" s="664" t="s">
        <v>611</v>
      </c>
      <c r="D37" s="664" t="s">
        <v>612</v>
      </c>
      <c r="G37" s="668"/>
    </row>
    <row r="38" spans="1:7" ht="13.8" x14ac:dyDescent="0.25">
      <c r="A38" s="664">
        <v>37</v>
      </c>
      <c r="B38" s="664" t="s">
        <v>613</v>
      </c>
      <c r="C38" s="664" t="s">
        <v>614</v>
      </c>
      <c r="D38" s="664" t="s">
        <v>615</v>
      </c>
      <c r="G38" s="668"/>
    </row>
    <row r="39" spans="1:7" ht="13.8" x14ac:dyDescent="0.25">
      <c r="A39" s="664">
        <v>38</v>
      </c>
      <c r="B39" s="664" t="s">
        <v>616</v>
      </c>
      <c r="C39" s="664" t="s">
        <v>617</v>
      </c>
      <c r="D39" s="665" t="s">
        <v>618</v>
      </c>
      <c r="F39" s="668"/>
      <c r="G39" s="669"/>
    </row>
    <row r="40" spans="1:7" ht="13.8" x14ac:dyDescent="0.25">
      <c r="A40" s="664">
        <v>39</v>
      </c>
      <c r="B40" s="664" t="s">
        <v>619</v>
      </c>
      <c r="C40" s="664" t="s">
        <v>620</v>
      </c>
      <c r="D40" s="664" t="s">
        <v>621</v>
      </c>
    </row>
    <row r="41" spans="1:7" ht="13.8" x14ac:dyDescent="0.25">
      <c r="A41" s="664">
        <v>40</v>
      </c>
      <c r="B41" s="664" t="s">
        <v>622</v>
      </c>
      <c r="C41" s="664" t="s">
        <v>623</v>
      </c>
      <c r="D41" s="664" t="s">
        <v>624</v>
      </c>
    </row>
    <row r="42" spans="1:7" ht="13.8" x14ac:dyDescent="0.25">
      <c r="A42" s="664">
        <v>41</v>
      </c>
      <c r="B42" s="664" t="s">
        <v>625</v>
      </c>
      <c r="C42" s="664" t="s">
        <v>626</v>
      </c>
      <c r="D42" s="664" t="s">
        <v>627</v>
      </c>
    </row>
    <row r="43" spans="1:7" ht="13.8" x14ac:dyDescent="0.25">
      <c r="A43" s="664">
        <v>42</v>
      </c>
      <c r="B43" s="664" t="s">
        <v>628</v>
      </c>
      <c r="C43" s="664" t="s">
        <v>629</v>
      </c>
      <c r="D43" s="664" t="s">
        <v>630</v>
      </c>
    </row>
    <row r="44" spans="1:7" ht="13.8" x14ac:dyDescent="0.25">
      <c r="A44" s="664">
        <v>43</v>
      </c>
      <c r="B44" s="664" t="s">
        <v>631</v>
      </c>
      <c r="C44" s="664"/>
      <c r="D44" s="664"/>
    </row>
    <row r="45" spans="1:7" ht="13.8" x14ac:dyDescent="0.25">
      <c r="A45" s="664">
        <v>44</v>
      </c>
      <c r="B45" s="664" t="s">
        <v>632</v>
      </c>
      <c r="C45" s="664" t="s">
        <v>633</v>
      </c>
      <c r="D45" s="665" t="s">
        <v>634</v>
      </c>
    </row>
    <row r="46" spans="1:7" ht="13.8" x14ac:dyDescent="0.25">
      <c r="A46" s="664">
        <v>45</v>
      </c>
      <c r="B46" s="664" t="s">
        <v>635</v>
      </c>
      <c r="C46" s="664" t="s">
        <v>636</v>
      </c>
      <c r="D46" s="665" t="s">
        <v>637</v>
      </c>
    </row>
    <row r="47" spans="1:7" ht="13.8" x14ac:dyDescent="0.25">
      <c r="A47" s="664">
        <v>46</v>
      </c>
      <c r="B47" s="664" t="s">
        <v>638</v>
      </c>
      <c r="C47" s="664" t="s">
        <v>639</v>
      </c>
      <c r="D47" s="664" t="s">
        <v>640</v>
      </c>
    </row>
    <row r="48" spans="1:7" ht="13.8" x14ac:dyDescent="0.25">
      <c r="A48" s="664">
        <v>47</v>
      </c>
      <c r="B48" s="664" t="s">
        <v>641</v>
      </c>
      <c r="C48" s="664" t="s">
        <v>642</v>
      </c>
      <c r="D48" s="665" t="s">
        <v>643</v>
      </c>
    </row>
    <row r="49" spans="1:7" ht="13.8" x14ac:dyDescent="0.25">
      <c r="A49" s="664">
        <v>48</v>
      </c>
      <c r="B49" s="664" t="s">
        <v>644</v>
      </c>
      <c r="C49" s="664"/>
      <c r="D49" s="664"/>
    </row>
    <row r="50" spans="1:7" ht="13.8" x14ac:dyDescent="0.25">
      <c r="A50" s="664">
        <v>49</v>
      </c>
      <c r="B50" s="664" t="s">
        <v>645</v>
      </c>
      <c r="C50" s="664" t="s">
        <v>646</v>
      </c>
      <c r="D50" s="665" t="s">
        <v>647</v>
      </c>
      <c r="F50" s="668"/>
      <c r="G50" s="669"/>
    </row>
    <row r="51" spans="1:7" ht="13.8" x14ac:dyDescent="0.25">
      <c r="A51" s="664">
        <v>50</v>
      </c>
      <c r="B51" s="664" t="s">
        <v>648</v>
      </c>
      <c r="C51" s="664" t="s">
        <v>649</v>
      </c>
      <c r="D51" s="664" t="s">
        <v>650</v>
      </c>
    </row>
    <row r="52" spans="1:7" ht="13.8" x14ac:dyDescent="0.25">
      <c r="A52" s="664">
        <v>51</v>
      </c>
      <c r="B52" s="664" t="s">
        <v>651</v>
      </c>
      <c r="C52" s="664" t="s">
        <v>652</v>
      </c>
      <c r="D52" s="665" t="s">
        <v>653</v>
      </c>
      <c r="F52" s="668"/>
      <c r="G52" s="669"/>
    </row>
    <row r="53" spans="1:7" ht="13.8" x14ac:dyDescent="0.25">
      <c r="A53" s="664">
        <v>52</v>
      </c>
      <c r="B53" s="664" t="s">
        <v>654</v>
      </c>
      <c r="C53" s="664" t="s">
        <v>655</v>
      </c>
      <c r="D53" s="665" t="s">
        <v>656</v>
      </c>
    </row>
    <row r="54" spans="1:7" ht="13.8" x14ac:dyDescent="0.25">
      <c r="A54" s="664">
        <v>53</v>
      </c>
      <c r="B54" s="664" t="s">
        <v>657</v>
      </c>
      <c r="C54" s="664" t="s">
        <v>658</v>
      </c>
      <c r="D54" s="664" t="s">
        <v>659</v>
      </c>
    </row>
    <row r="55" spans="1:7" ht="13.8" x14ac:dyDescent="0.25">
      <c r="A55" s="664">
        <v>54</v>
      </c>
      <c r="B55" s="664" t="s">
        <v>660</v>
      </c>
      <c r="C55" s="664" t="s">
        <v>658</v>
      </c>
      <c r="D55" s="664" t="s">
        <v>659</v>
      </c>
    </row>
    <row r="56" spans="1:7" ht="13.8" x14ac:dyDescent="0.25">
      <c r="A56" s="664">
        <v>55</v>
      </c>
      <c r="B56" s="664" t="s">
        <v>661</v>
      </c>
      <c r="C56" s="664" t="s">
        <v>568</v>
      </c>
      <c r="D56" s="664" t="s">
        <v>662</v>
      </c>
    </row>
    <row r="57" spans="1:7" ht="13.8" x14ac:dyDescent="0.25">
      <c r="A57" s="664">
        <v>56</v>
      </c>
      <c r="B57" s="664" t="s">
        <v>663</v>
      </c>
      <c r="C57" s="664" t="s">
        <v>664</v>
      </c>
      <c r="D57" s="665" t="s">
        <v>665</v>
      </c>
      <c r="F57" s="668"/>
      <c r="G57" s="669"/>
    </row>
    <row r="58" spans="1:7" ht="13.8" x14ac:dyDescent="0.25">
      <c r="A58" s="664">
        <v>57</v>
      </c>
      <c r="B58" s="664" t="s">
        <v>666</v>
      </c>
      <c r="C58" s="664"/>
      <c r="D58" s="664"/>
    </row>
    <row r="59" spans="1:7" ht="13.8" x14ac:dyDescent="0.25">
      <c r="A59" s="664">
        <v>58</v>
      </c>
      <c r="B59" s="664" t="s">
        <v>667</v>
      </c>
      <c r="C59" s="664" t="s">
        <v>668</v>
      </c>
      <c r="D59" s="664" t="s">
        <v>669</v>
      </c>
    </row>
    <row r="60" spans="1:7" ht="13.8" x14ac:dyDescent="0.25">
      <c r="A60" s="664">
        <v>59</v>
      </c>
      <c r="B60" s="664" t="s">
        <v>670</v>
      </c>
      <c r="C60" s="664"/>
      <c r="D60" s="664"/>
    </row>
    <row r="61" spans="1:7" ht="13.8" x14ac:dyDescent="0.25">
      <c r="A61" s="664">
        <v>60</v>
      </c>
      <c r="B61" s="664" t="s">
        <v>671</v>
      </c>
      <c r="C61" s="664" t="s">
        <v>672</v>
      </c>
      <c r="D61" s="665" t="s">
        <v>673</v>
      </c>
    </row>
    <row r="62" spans="1:7" ht="13.8" x14ac:dyDescent="0.25">
      <c r="A62" s="664">
        <v>61</v>
      </c>
      <c r="B62" s="664" t="s">
        <v>674</v>
      </c>
      <c r="C62" s="664" t="s">
        <v>675</v>
      </c>
      <c r="D62" s="664" t="s">
        <v>676</v>
      </c>
    </row>
    <row r="63" spans="1:7" ht="13.8" x14ac:dyDescent="0.25">
      <c r="A63" s="664">
        <v>62</v>
      </c>
      <c r="B63" s="664" t="s">
        <v>677</v>
      </c>
      <c r="C63" s="664" t="s">
        <v>678</v>
      </c>
      <c r="D63" s="665" t="s">
        <v>679</v>
      </c>
    </row>
    <row r="64" spans="1:7" ht="13.8" x14ac:dyDescent="0.25">
      <c r="A64" s="664">
        <v>63</v>
      </c>
      <c r="B64" s="664" t="s">
        <v>680</v>
      </c>
      <c r="C64" s="664" t="s">
        <v>681</v>
      </c>
      <c r="D64" s="664" t="s">
        <v>682</v>
      </c>
    </row>
    <row r="65" spans="1:4" ht="13.8" x14ac:dyDescent="0.25">
      <c r="A65" s="664">
        <v>64</v>
      </c>
      <c r="B65" s="664" t="s">
        <v>683</v>
      </c>
      <c r="C65" s="664"/>
      <c r="D65" s="664"/>
    </row>
    <row r="66" spans="1:4" ht="13.8" x14ac:dyDescent="0.25">
      <c r="A66" s="664">
        <v>65</v>
      </c>
      <c r="B66" s="664" t="s">
        <v>684</v>
      </c>
      <c r="C66" s="664"/>
      <c r="D66" s="664"/>
    </row>
    <row r="67" spans="1:4" ht="13.8" x14ac:dyDescent="0.25">
      <c r="A67" s="664">
        <v>66</v>
      </c>
      <c r="B67" s="664" t="s">
        <v>685</v>
      </c>
      <c r="C67" s="664"/>
      <c r="D67" s="664"/>
    </row>
    <row r="68" spans="1:4" ht="13.8" x14ac:dyDescent="0.25">
      <c r="A68" s="664">
        <v>67</v>
      </c>
      <c r="B68" s="664" t="s">
        <v>686</v>
      </c>
      <c r="C68" s="664"/>
      <c r="D68" s="664"/>
    </row>
    <row r="69" spans="1:4" ht="13.8" x14ac:dyDescent="0.25">
      <c r="A69" s="664">
        <v>68</v>
      </c>
      <c r="B69" s="664" t="s">
        <v>687</v>
      </c>
      <c r="C69" s="664" t="s">
        <v>688</v>
      </c>
      <c r="D69" s="664" t="s">
        <v>689</v>
      </c>
    </row>
    <row r="70" spans="1:4" ht="14.4" x14ac:dyDescent="0.3">
      <c r="A70" s="664">
        <v>71</v>
      </c>
      <c r="B70" s="664" t="s">
        <v>690</v>
      </c>
      <c r="C70" s="664" t="s">
        <v>552</v>
      </c>
      <c r="D70" s="665" t="s">
        <v>553</v>
      </c>
    </row>
    <row r="71" spans="1:4" ht="13.8" x14ac:dyDescent="0.25">
      <c r="A71" s="664">
        <v>70</v>
      </c>
      <c r="B71" s="664" t="s">
        <v>691</v>
      </c>
      <c r="C71" s="664" t="s">
        <v>692</v>
      </c>
      <c r="D71" s="664" t="s">
        <v>553</v>
      </c>
    </row>
    <row r="72" spans="1:4" ht="13.8" x14ac:dyDescent="0.25">
      <c r="A72" s="664">
        <v>76</v>
      </c>
      <c r="B72" s="664" t="s">
        <v>693</v>
      </c>
      <c r="C72" s="664" t="s">
        <v>694</v>
      </c>
      <c r="D72" s="665" t="s">
        <v>695</v>
      </c>
    </row>
    <row r="73" spans="1:4" ht="13.8" x14ac:dyDescent="0.25">
      <c r="A73" s="664">
        <v>78</v>
      </c>
      <c r="B73" s="664" t="s">
        <v>480</v>
      </c>
      <c r="C73" s="664" t="s">
        <v>696</v>
      </c>
      <c r="D73" s="664" t="s">
        <v>697</v>
      </c>
    </row>
  </sheetData>
  <sheetProtection algorithmName="SHA-512" hashValue="wetwAUMwdMCrHP/a7eONzwTjWpMSy092+hCcJWGecgr6piTf6MIBwkyVf9DpkuZ2MK7T9wHq4c3dcPnH5GR/EA==" saltValue="p0bU38W9TrzglC77hSfQV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4"/>
  <dimension ref="B2:S100"/>
  <sheetViews>
    <sheetView workbookViewId="0">
      <pane xSplit="3" topLeftCell="I1" activePane="topRight" state="frozen"/>
      <selection activeCell="G141" sqref="G141"/>
      <selection pane="topRight" activeCell="O17" sqref="O17"/>
    </sheetView>
  </sheetViews>
  <sheetFormatPr defaultRowHeight="13.2" x14ac:dyDescent="0.25"/>
  <cols>
    <col min="6" max="6" width="64.77734375" customWidth="1"/>
    <col min="7" max="7" width="58" customWidth="1"/>
    <col min="15" max="15" width="11.5546875" bestFit="1" customWidth="1"/>
    <col min="17" max="17" width="93.77734375" customWidth="1"/>
    <col min="19" max="19" width="77.21875" customWidth="1"/>
  </cols>
  <sheetData>
    <row r="2" spans="2:19" x14ac:dyDescent="0.25">
      <c r="M2" s="11"/>
      <c r="N2" s="11"/>
      <c r="O2" s="11"/>
      <c r="P2" s="11"/>
      <c r="Q2" s="11"/>
      <c r="R2" s="11"/>
      <c r="S2" s="12" t="s">
        <v>266</v>
      </c>
    </row>
    <row r="3" spans="2:19" x14ac:dyDescent="0.25">
      <c r="M3" s="11"/>
      <c r="N3" s="11"/>
      <c r="O3" s="11"/>
      <c r="P3" s="11"/>
      <c r="Q3" s="11"/>
      <c r="R3" s="11"/>
      <c r="S3" s="24" t="s">
        <v>255</v>
      </c>
    </row>
    <row r="4" spans="2:19" x14ac:dyDescent="0.25">
      <c r="M4" s="11"/>
      <c r="N4" s="11"/>
      <c r="O4" s="11"/>
      <c r="P4" s="11"/>
      <c r="Q4" s="11"/>
      <c r="R4" s="11"/>
      <c r="S4" s="24" t="s">
        <v>256</v>
      </c>
    </row>
    <row r="5" spans="2:19" x14ac:dyDescent="0.25">
      <c r="M5" s="11"/>
      <c r="N5" s="11"/>
      <c r="O5" s="11"/>
      <c r="P5" s="11"/>
      <c r="Q5" s="11"/>
      <c r="R5" s="11"/>
      <c r="S5" s="24" t="s">
        <v>257</v>
      </c>
    </row>
    <row r="6" spans="2:19" x14ac:dyDescent="0.25">
      <c r="M6" s="11"/>
      <c r="N6" s="11"/>
      <c r="O6" s="11"/>
      <c r="P6" s="11"/>
      <c r="Q6" s="11"/>
      <c r="R6" s="11"/>
      <c r="S6" s="24" t="s">
        <v>147</v>
      </c>
    </row>
    <row r="7" spans="2:19" x14ac:dyDescent="0.25">
      <c r="B7" s="347" t="s">
        <v>271</v>
      </c>
      <c r="C7" s="348" t="s">
        <v>272</v>
      </c>
      <c r="D7" s="535" t="s">
        <v>364</v>
      </c>
      <c r="E7" s="536" t="s">
        <v>273</v>
      </c>
      <c r="F7" s="46" t="s">
        <v>274</v>
      </c>
      <c r="G7" s="2" t="s">
        <v>266</v>
      </c>
      <c r="H7" s="25" t="s">
        <v>275</v>
      </c>
      <c r="I7" s="25" t="s">
        <v>276</v>
      </c>
      <c r="J7" s="25" t="s">
        <v>277</v>
      </c>
      <c r="M7" s="348" t="s">
        <v>271</v>
      </c>
      <c r="N7" s="348" t="s">
        <v>272</v>
      </c>
      <c r="O7" s="535" t="s">
        <v>364</v>
      </c>
      <c r="P7" s="349" t="s">
        <v>273</v>
      </c>
      <c r="Q7" s="46" t="s">
        <v>274</v>
      </c>
      <c r="R7" s="11"/>
      <c r="S7" s="24" t="s">
        <v>258</v>
      </c>
    </row>
    <row r="8" spans="2:19" ht="13.8" x14ac:dyDescent="0.25">
      <c r="B8" s="350">
        <v>0</v>
      </c>
      <c r="C8" s="537">
        <v>0</v>
      </c>
      <c r="D8" s="538">
        <f>1.2%*B8</f>
        <v>0</v>
      </c>
      <c r="E8" s="352" t="s">
        <v>417</v>
      </c>
      <c r="F8" s="353" t="s">
        <v>418</v>
      </c>
      <c r="G8" s="539" t="s">
        <v>255</v>
      </c>
      <c r="H8" s="37">
        <f>ROWS(G$8:$G8)</f>
        <v>1</v>
      </c>
      <c r="I8" s="14" t="str">
        <f>IF(ID!$B$84=G8,H8,"")</f>
        <v/>
      </c>
      <c r="J8" s="14" t="str">
        <f>IFERROR(SMALL($I$8:$I$100,ROWS(I$8:$I8)),"")</f>
        <v/>
      </c>
      <c r="M8" s="14" t="str">
        <f>IFERROR(INDEX($B$8:$F$100,$J8,COLUMNS(L$8:$L8)),"")</f>
        <v/>
      </c>
      <c r="N8" s="557" t="str">
        <f>IFERROR(INDEX($B$8:$F$100,$J8,COLUMNS($L$8:M8)),"")</f>
        <v/>
      </c>
      <c r="O8" s="557" t="str">
        <f>IFERROR(INDEX($B$8:$F$100,$J8,COLUMNS($L$8:N8)),"")</f>
        <v/>
      </c>
      <c r="P8" s="14" t="str">
        <f>IFERROR(INDEX($B$8:$F$100,$J8,COLUMNS($L$8:O8)),"")</f>
        <v/>
      </c>
      <c r="Q8" s="14" t="str">
        <f>IFERROR(INDEX($B$8:$F$100,$J8,COLUMNS($L$8:P8)),"")</f>
        <v/>
      </c>
      <c r="R8" s="11"/>
      <c r="S8" s="24" t="s">
        <v>260</v>
      </c>
    </row>
    <row r="9" spans="2:19" ht="13.8" x14ac:dyDescent="0.25">
      <c r="B9" s="354">
        <v>150</v>
      </c>
      <c r="C9" s="355">
        <v>0.31</v>
      </c>
      <c r="D9" s="538">
        <f t="shared" ref="D9:D15" si="0">1.2%*B9</f>
        <v>1.8</v>
      </c>
      <c r="E9" s="352"/>
      <c r="F9" s="356"/>
      <c r="G9" s="539" t="s">
        <v>255</v>
      </c>
      <c r="H9" s="37">
        <f>ROWS(G$8:$G9)</f>
        <v>2</v>
      </c>
      <c r="I9" s="14" t="str">
        <f>IF(ID!$B$84=G9,H9,"")</f>
        <v/>
      </c>
      <c r="J9" s="14" t="str">
        <f>IFERROR(SMALL($I$8:$I$100,ROWS(I$8:$I9)),"")</f>
        <v/>
      </c>
      <c r="M9" s="14" t="str">
        <f>IFERROR(INDEX($B$8:$F$100,$J9,COLUMNS(L$8:$L9)),"")</f>
        <v/>
      </c>
      <c r="N9" s="557" t="str">
        <f>IFERROR(INDEX($B$8:$F$100,$J9,COLUMNS($L$8:M9)),"")</f>
        <v/>
      </c>
      <c r="O9" s="557" t="str">
        <f>IFERROR(INDEX($B$8:$F$100,$J9,COLUMNS($L$8:N9)),"")</f>
        <v/>
      </c>
      <c r="P9" s="14"/>
      <c r="Q9" s="14"/>
      <c r="R9" s="11"/>
      <c r="S9" s="24" t="s">
        <v>261</v>
      </c>
    </row>
    <row r="10" spans="2:19" ht="13.8" x14ac:dyDescent="0.25">
      <c r="B10" s="354">
        <v>180</v>
      </c>
      <c r="C10" s="355">
        <v>0.1</v>
      </c>
      <c r="D10" s="538">
        <f t="shared" si="0"/>
        <v>2.16</v>
      </c>
      <c r="E10" s="352"/>
      <c r="F10" s="356"/>
      <c r="G10" s="539" t="s">
        <v>255</v>
      </c>
      <c r="H10" s="37">
        <f>ROWS(G$8:$G10)</f>
        <v>3</v>
      </c>
      <c r="I10" s="14" t="str">
        <f>IF(ID!$B$84=G10,H10,"")</f>
        <v/>
      </c>
      <c r="J10" s="14" t="str">
        <f>IFERROR(SMALL($I$8:$I$100,ROWS(I$8:$I10)),"")</f>
        <v/>
      </c>
      <c r="M10" s="14" t="str">
        <f>IFERROR(INDEX($B$8:$F$100,$J10,COLUMNS(L$8:$L10)),"")</f>
        <v/>
      </c>
      <c r="N10" s="557" t="str">
        <f>IFERROR(INDEX($B$8:$F$100,$J10,COLUMNS($L$8:M10)),"")</f>
        <v/>
      </c>
      <c r="O10" s="557" t="str">
        <f>IFERROR(INDEX($B$8:$F$100,$J10,COLUMNS($L$8:N10)),"")</f>
        <v/>
      </c>
      <c r="P10" s="14"/>
      <c r="Q10" s="14"/>
      <c r="R10" s="11"/>
      <c r="S10" s="24" t="s">
        <v>422</v>
      </c>
    </row>
    <row r="11" spans="2:19" ht="13.8" x14ac:dyDescent="0.25">
      <c r="B11" s="357">
        <v>200</v>
      </c>
      <c r="C11" s="355">
        <v>-0.04</v>
      </c>
      <c r="D11" s="538">
        <f t="shared" si="0"/>
        <v>2.4</v>
      </c>
      <c r="E11" s="352"/>
      <c r="F11" s="356"/>
      <c r="G11" s="539" t="s">
        <v>255</v>
      </c>
      <c r="H11" s="37">
        <f>ROWS(G$8:$G11)</f>
        <v>4</v>
      </c>
      <c r="I11" s="14" t="str">
        <f>IF(ID!$B$84=G11,H11,"")</f>
        <v/>
      </c>
      <c r="J11" s="14" t="str">
        <f>IFERROR(SMALL($I$8:$I$100,ROWS(I$8:$I11)),"")</f>
        <v/>
      </c>
      <c r="M11" s="14" t="str">
        <f>IFERROR(INDEX($B$8:$F$100,$J11,COLUMNS(L$8:$L11)),"")</f>
        <v/>
      </c>
      <c r="N11" s="557" t="str">
        <f>IFERROR(INDEX($B$8:$F$100,$J11,COLUMNS($L$8:M11)),"")</f>
        <v/>
      </c>
      <c r="O11" s="557" t="str">
        <f>IFERROR(INDEX($B$8:$F$100,$J11,COLUMNS($L$8:N11)),"")</f>
        <v/>
      </c>
      <c r="P11" s="14"/>
      <c r="Q11" s="14"/>
      <c r="R11" s="11"/>
      <c r="S11" s="24" t="s">
        <v>423</v>
      </c>
    </row>
    <row r="12" spans="2:19" ht="13.8" x14ac:dyDescent="0.25">
      <c r="B12" s="357">
        <v>220</v>
      </c>
      <c r="C12" s="355">
        <v>-0.28000000000000003</v>
      </c>
      <c r="D12" s="538">
        <f t="shared" si="0"/>
        <v>2.64</v>
      </c>
      <c r="E12" s="352"/>
      <c r="F12" s="356"/>
      <c r="G12" s="539" t="s">
        <v>255</v>
      </c>
      <c r="H12" s="37">
        <f>ROWS(G$8:$G12)</f>
        <v>5</v>
      </c>
      <c r="I12" s="14" t="str">
        <f>IF(ID!$B$84=G12,H12,"")</f>
        <v/>
      </c>
      <c r="J12" s="14" t="str">
        <f>IFERROR(SMALL($I$8:$I$100,ROWS(I$8:$I12)),"")</f>
        <v/>
      </c>
      <c r="M12" s="14" t="str">
        <f>IFERROR(INDEX($B$8:$F$100,$J12,COLUMNS(L$8:$L12)),"")</f>
        <v/>
      </c>
      <c r="N12" s="557" t="str">
        <f>IFERROR(INDEX($B$8:$F$100,$J12,COLUMNS($L$8:M12)),"")</f>
        <v/>
      </c>
      <c r="O12" s="557" t="str">
        <f>IFERROR(INDEX($B$8:$F$100,$J12,COLUMNS($L$8:N12)),"")</f>
        <v/>
      </c>
      <c r="P12" s="14"/>
      <c r="Q12" s="14"/>
      <c r="R12" s="11"/>
      <c r="S12" s="539" t="s">
        <v>425</v>
      </c>
    </row>
    <row r="13" spans="2:19" ht="14.4" thickBot="1" x14ac:dyDescent="0.3">
      <c r="B13" s="358">
        <v>230</v>
      </c>
      <c r="C13" s="355">
        <v>-0.2</v>
      </c>
      <c r="D13" s="538">
        <f t="shared" si="0"/>
        <v>2.7600000000000002</v>
      </c>
      <c r="E13" s="352"/>
      <c r="F13" s="356"/>
      <c r="G13" s="539" t="s">
        <v>255</v>
      </c>
      <c r="H13" s="37">
        <f>ROWS(G$8:$G13)</f>
        <v>6</v>
      </c>
      <c r="I13" s="14" t="str">
        <f>IF(ID!$B$84=G13,H13,"")</f>
        <v/>
      </c>
      <c r="J13" s="14" t="str">
        <f>IFERROR(SMALL($I$8:$I$100,ROWS(I$8:$I13)),"")</f>
        <v/>
      </c>
      <c r="M13" s="14" t="str">
        <f>IFERROR(INDEX($B$8:$F$100,$J13,COLUMNS(L$8:$L13)),"")</f>
        <v/>
      </c>
      <c r="N13" s="557" t="str">
        <f>IFERROR(INDEX($B$8:$F$100,$J13,COLUMNS($L$8:M13)),"")</f>
        <v/>
      </c>
      <c r="O13" s="557" t="str">
        <f>IFERROR(INDEX($B$8:$F$100,$J13,COLUMNS($L$8:N13)),"")</f>
        <v/>
      </c>
      <c r="P13" s="14"/>
      <c r="Q13" s="14"/>
      <c r="R13" s="11"/>
      <c r="S13" s="310" t="s">
        <v>2</v>
      </c>
    </row>
    <row r="14" spans="2:19" ht="13.8" x14ac:dyDescent="0.25">
      <c r="B14" s="540">
        <v>240</v>
      </c>
      <c r="C14" s="541">
        <v>-0.32</v>
      </c>
      <c r="D14" s="538">
        <f t="shared" si="0"/>
        <v>2.88</v>
      </c>
      <c r="E14" s="352"/>
      <c r="F14" s="356"/>
      <c r="G14" s="539" t="s">
        <v>255</v>
      </c>
      <c r="H14" s="37">
        <f>ROWS(G$8:$G14)</f>
        <v>7</v>
      </c>
      <c r="I14" s="14" t="str">
        <f>IF(ID!$B$84=G14,H14,"")</f>
        <v/>
      </c>
      <c r="J14" s="14" t="str">
        <f>IFERROR(SMALL($I$8:$I$100,ROWS(I$8:$I14)),"")</f>
        <v/>
      </c>
      <c r="M14" s="14" t="str">
        <f>IFERROR(INDEX($B$8:$F$100,$J14,COLUMNS(L$8:$L14)),"")</f>
        <v/>
      </c>
      <c r="N14" s="557" t="str">
        <f>IFERROR(INDEX($B$8:$F$100,$J14,COLUMNS($L$8:M14)),"")</f>
        <v/>
      </c>
      <c r="O14" s="557" t="str">
        <f>IFERROR(INDEX($B$8:$F$100,$J14,COLUMNS($L$8:N14)),"")</f>
        <v/>
      </c>
      <c r="P14" s="14"/>
      <c r="Q14" s="14"/>
      <c r="R14" s="11"/>
      <c r="S14" s="310" t="s">
        <v>2</v>
      </c>
    </row>
    <row r="15" spans="2:19" x14ac:dyDescent="0.25">
      <c r="B15" s="359">
        <v>250</v>
      </c>
      <c r="C15" s="360">
        <f>C14</f>
        <v>-0.32</v>
      </c>
      <c r="D15" s="538">
        <f t="shared" si="0"/>
        <v>3</v>
      </c>
      <c r="E15" s="352"/>
      <c r="F15" s="542"/>
      <c r="G15" s="543" t="s">
        <v>255</v>
      </c>
      <c r="H15" s="37">
        <f>ROWS(G$8:$G15)</f>
        <v>8</v>
      </c>
      <c r="I15" s="14" t="str">
        <f>IF(ID!$B$84=G15,H15,"")</f>
        <v/>
      </c>
      <c r="J15" s="14" t="str">
        <f>IFERROR(SMALL($I$8:$I$100,ROWS(I$8:$I15)),"")</f>
        <v/>
      </c>
      <c r="M15" s="14" t="str">
        <f>IFERROR(INDEX($B$8:$F$100,$J15,COLUMNS(L$8:$L15)),"")</f>
        <v/>
      </c>
      <c r="N15" s="557" t="str">
        <f>IFERROR(INDEX($B$8:$F$100,$J15,COLUMNS($L$8:M15)),"")</f>
        <v/>
      </c>
      <c r="O15" s="557" t="str">
        <f>IFERROR(INDEX($B$8:$F$100,$J15,COLUMNS($L$8:N15)),"")</f>
        <v/>
      </c>
      <c r="P15" s="14"/>
      <c r="Q15" s="14"/>
      <c r="R15" s="11"/>
      <c r="S15" s="365" t="s">
        <v>2</v>
      </c>
    </row>
    <row r="16" spans="2:19" x14ac:dyDescent="0.25">
      <c r="B16" s="362"/>
      <c r="C16" s="363"/>
      <c r="D16" s="544"/>
      <c r="E16" s="352"/>
      <c r="H16" s="37">
        <f>ROWS(G$8:$G16)</f>
        <v>9</v>
      </c>
      <c r="I16" s="14" t="str">
        <f>IF(ID!$B$84=G16,H16,"")</f>
        <v/>
      </c>
      <c r="J16" s="14" t="str">
        <f>IFERROR(SMALL($I$8:$I$100,ROWS(I$8:$I16)),"")</f>
        <v/>
      </c>
      <c r="M16" s="14" t="str">
        <f>IFERROR(INDEX($B$8:$F$100,$J16,COLUMNS(L$8:$L16)),"")</f>
        <v/>
      </c>
      <c r="N16" s="14" t="str">
        <f>IFERROR(INDEX($B$8:$F$100,$J16,COLUMNS($L$8:M16)),"")</f>
        <v/>
      </c>
      <c r="O16" s="14" t="str">
        <f>IFERROR(INDEX($B$8:$F$100,$J16,COLUMNS($L$8:N16)),"")</f>
        <v/>
      </c>
      <c r="P16" s="14"/>
      <c r="Q16" s="14"/>
      <c r="S16" s="310" t="s">
        <v>2</v>
      </c>
    </row>
    <row r="17" spans="2:19" x14ac:dyDescent="0.25">
      <c r="B17" s="362"/>
      <c r="C17" s="363"/>
      <c r="D17" s="544"/>
      <c r="E17" s="352"/>
      <c r="H17" s="37">
        <f>ROWS(G$8:$G17)</f>
        <v>10</v>
      </c>
      <c r="I17" s="14" t="str">
        <f>IF(ID!$B$84=G17,H17,"")</f>
        <v/>
      </c>
      <c r="J17" s="14" t="str">
        <f>IFERROR(SMALL($I$8:$I$100,ROWS(I$8:$I17)),"")</f>
        <v/>
      </c>
      <c r="M17" s="95"/>
      <c r="N17" s="95"/>
      <c r="O17" s="558">
        <f>MAX(O8:O16)</f>
        <v>0</v>
      </c>
      <c r="P17" s="95"/>
      <c r="Q17" s="95"/>
      <c r="S17" s="310" t="s">
        <v>2</v>
      </c>
    </row>
    <row r="18" spans="2:19" ht="13.8" x14ac:dyDescent="0.25">
      <c r="B18" s="366">
        <v>0</v>
      </c>
      <c r="C18" s="367">
        <v>0</v>
      </c>
      <c r="D18" s="776">
        <f>1.2%*B18</f>
        <v>0</v>
      </c>
      <c r="E18" s="368" t="s">
        <v>351</v>
      </c>
      <c r="F18" s="353" t="s">
        <v>418</v>
      </c>
      <c r="G18" s="539" t="s">
        <v>256</v>
      </c>
      <c r="H18" s="37">
        <f>ROWS(G$8:$G18)</f>
        <v>11</v>
      </c>
      <c r="I18" s="14" t="str">
        <f>IF(ID!$B$84=G18,H18,"")</f>
        <v/>
      </c>
      <c r="J18" s="14" t="str">
        <f>IFERROR(SMALL($I$8:$I$100,ROWS(I$8:$I18)),"")</f>
        <v/>
      </c>
      <c r="S18" s="310" t="s">
        <v>2</v>
      </c>
    </row>
    <row r="19" spans="2:19" ht="13.8" x14ac:dyDescent="0.3">
      <c r="B19" s="369">
        <v>150</v>
      </c>
      <c r="C19" s="367">
        <v>0.15</v>
      </c>
      <c r="D19" s="776">
        <f t="shared" ref="D19:D24" si="1">1.2%*B19</f>
        <v>1.8</v>
      </c>
      <c r="E19" s="368"/>
      <c r="F19" s="370"/>
      <c r="G19" s="539" t="s">
        <v>256</v>
      </c>
      <c r="H19" s="37">
        <f>ROWS(G$8:$G19)</f>
        <v>12</v>
      </c>
      <c r="I19" s="14" t="str">
        <f>IF(ID!$B$84=G19,H19,"")</f>
        <v/>
      </c>
      <c r="J19" s="14" t="str">
        <f>IFERROR(SMALL($I$8:$I$100,ROWS(I$8:$I19)),"")</f>
        <v/>
      </c>
    </row>
    <row r="20" spans="2:19" ht="13.8" x14ac:dyDescent="0.3">
      <c r="B20" s="369">
        <v>180</v>
      </c>
      <c r="C20" s="371">
        <v>0.12</v>
      </c>
      <c r="D20" s="776">
        <f t="shared" si="1"/>
        <v>2.16</v>
      </c>
      <c r="E20" s="368"/>
      <c r="F20" s="370"/>
      <c r="G20" s="539" t="s">
        <v>256</v>
      </c>
      <c r="H20" s="37">
        <f>ROWS(G$8:$G20)</f>
        <v>13</v>
      </c>
      <c r="I20" s="14" t="str">
        <f>IF(ID!$B$84=G20,H20,"")</f>
        <v/>
      </c>
      <c r="J20" s="14" t="str">
        <f>IFERROR(SMALL($I$8:$I$100,ROWS(I$8:$I20)),"")</f>
        <v/>
      </c>
    </row>
    <row r="21" spans="2:19" ht="13.8" x14ac:dyDescent="0.3">
      <c r="B21" s="372">
        <v>200</v>
      </c>
      <c r="C21" s="371">
        <v>0.06</v>
      </c>
      <c r="D21" s="776">
        <f t="shared" si="1"/>
        <v>2.4</v>
      </c>
      <c r="E21" s="368"/>
      <c r="F21" s="370"/>
      <c r="G21" s="539" t="s">
        <v>256</v>
      </c>
      <c r="H21" s="37">
        <f>ROWS(G$8:$G21)</f>
        <v>14</v>
      </c>
      <c r="I21" s="14" t="str">
        <f>IF(ID!$B$84=G21,H21,"")</f>
        <v/>
      </c>
      <c r="J21" s="14" t="str">
        <f>IFERROR(SMALL($I$8:$I$100,ROWS(I$8:$I21)),"")</f>
        <v/>
      </c>
    </row>
    <row r="22" spans="2:19" ht="13.8" x14ac:dyDescent="0.3">
      <c r="B22" s="372">
        <v>220</v>
      </c>
      <c r="C22" s="371">
        <v>0.05</v>
      </c>
      <c r="D22" s="776">
        <f t="shared" si="1"/>
        <v>2.64</v>
      </c>
      <c r="E22" s="368"/>
      <c r="F22" s="370"/>
      <c r="G22" s="539" t="s">
        <v>256</v>
      </c>
      <c r="H22" s="37">
        <f>ROWS(G$8:$G22)</f>
        <v>15</v>
      </c>
      <c r="I22" s="14" t="str">
        <f>IF(ID!$B$84=G22,H22,"")</f>
        <v/>
      </c>
      <c r="J22" s="14" t="str">
        <f>IFERROR(SMALL($I$8:$I$100,ROWS(I$8:$I22)),"")</f>
        <v/>
      </c>
    </row>
    <row r="23" spans="2:19" ht="13.8" x14ac:dyDescent="0.3">
      <c r="B23" s="372">
        <v>230</v>
      </c>
      <c r="C23" s="371">
        <v>0.05</v>
      </c>
      <c r="D23" s="776">
        <f t="shared" si="1"/>
        <v>2.7600000000000002</v>
      </c>
      <c r="E23" s="368"/>
      <c r="F23" s="370"/>
      <c r="G23" s="539" t="s">
        <v>256</v>
      </c>
      <c r="H23" s="37">
        <f>ROWS(G$8:$G23)</f>
        <v>16</v>
      </c>
      <c r="I23" s="14" t="str">
        <f>IF(ID!$B$84=G23,H23,"")</f>
        <v/>
      </c>
      <c r="J23" s="14" t="str">
        <f>IFERROR(SMALL($I$8:$I$100,ROWS(I$8:$I23)),"")</f>
        <v/>
      </c>
    </row>
    <row r="24" spans="2:19" ht="13.8" x14ac:dyDescent="0.3">
      <c r="B24" s="545">
        <v>250</v>
      </c>
      <c r="C24" s="546">
        <f>C23</f>
        <v>0.05</v>
      </c>
      <c r="D24" s="776">
        <f t="shared" si="1"/>
        <v>3</v>
      </c>
      <c r="E24" s="547"/>
      <c r="F24" s="548"/>
      <c r="G24" s="549" t="s">
        <v>256</v>
      </c>
      <c r="H24" s="37">
        <f>ROWS(G$8:$G24)</f>
        <v>17</v>
      </c>
      <c r="I24" s="14" t="str">
        <f>IF(ID!$B$84=G24,H24,"")</f>
        <v/>
      </c>
      <c r="J24" s="14" t="str">
        <f>IFERROR(SMALL($I$8:$I$100,ROWS(I$8:$I24)),"")</f>
        <v/>
      </c>
    </row>
    <row r="25" spans="2:19" x14ac:dyDescent="0.25">
      <c r="D25" s="550"/>
      <c r="E25" s="425"/>
      <c r="H25" s="37">
        <f>ROWS(G$8:$G25)</f>
        <v>18</v>
      </c>
      <c r="I25" s="14" t="str">
        <f>IF(ID!$B$84=G25,H25,"")</f>
        <v/>
      </c>
      <c r="J25" s="14" t="str">
        <f>IFERROR(SMALL($I$8:$I$100,ROWS(I$8:$I25)),"")</f>
        <v/>
      </c>
    </row>
    <row r="26" spans="2:19" ht="15.6" x14ac:dyDescent="0.3">
      <c r="B26" s="777" t="s">
        <v>271</v>
      </c>
      <c r="C26" s="777" t="s">
        <v>272</v>
      </c>
      <c r="D26" s="777" t="s">
        <v>364</v>
      </c>
      <c r="E26" s="778" t="s">
        <v>273</v>
      </c>
      <c r="H26" s="37">
        <f>ROWS(G$8:$G26)</f>
        <v>19</v>
      </c>
      <c r="I26" s="14" t="str">
        <f>IF(ID!$B$84=G26,H26,"")</f>
        <v/>
      </c>
      <c r="J26" s="14" t="str">
        <f>IFERROR(SMALL($I$8:$I$100,ROWS(I$8:$I26)),"")</f>
        <v/>
      </c>
    </row>
    <row r="27" spans="2:19" ht="13.8" x14ac:dyDescent="0.25">
      <c r="B27" s="350">
        <v>0</v>
      </c>
      <c r="C27" s="351">
        <v>0</v>
      </c>
      <c r="D27" s="776">
        <f>1.2%*B27</f>
        <v>0</v>
      </c>
      <c r="E27" s="368">
        <v>2022</v>
      </c>
      <c r="F27" s="353" t="s">
        <v>418</v>
      </c>
      <c r="G27" s="539" t="s">
        <v>257</v>
      </c>
      <c r="H27" s="37">
        <f>ROWS(G$8:$G27)</f>
        <v>20</v>
      </c>
      <c r="I27" s="14" t="str">
        <f>IF(ID!$B$84=G27,H27,"")</f>
        <v/>
      </c>
      <c r="J27" s="14" t="str">
        <f>IFERROR(SMALL($I$8:$I$100,ROWS(I$8:$I27)),"")</f>
        <v/>
      </c>
    </row>
    <row r="28" spans="2:19" ht="13.8" x14ac:dyDescent="0.3">
      <c r="B28" s="350">
        <v>150</v>
      </c>
      <c r="C28" s="351">
        <v>-1.43</v>
      </c>
      <c r="D28" s="776">
        <f t="shared" ref="D28:D32" si="2">1.2%*B28</f>
        <v>1.8</v>
      </c>
      <c r="E28" s="352"/>
      <c r="F28" s="370"/>
      <c r="G28" s="539" t="s">
        <v>257</v>
      </c>
      <c r="H28" s="37">
        <f>ROWS(G$8:$G28)</f>
        <v>21</v>
      </c>
      <c r="I28" s="14" t="str">
        <f>IF(ID!$B$84=G28,H28,"")</f>
        <v/>
      </c>
      <c r="J28" s="14" t="str">
        <f>IFERROR(SMALL($I$8:$I$100,ROWS(I$8:$I28)),"")</f>
        <v/>
      </c>
    </row>
    <row r="29" spans="2:19" ht="13.8" x14ac:dyDescent="0.3">
      <c r="B29" s="373">
        <v>180</v>
      </c>
      <c r="C29" s="351">
        <v>-1.81</v>
      </c>
      <c r="D29" s="776">
        <f t="shared" si="2"/>
        <v>2.16</v>
      </c>
      <c r="E29" s="352"/>
      <c r="F29" s="370"/>
      <c r="G29" s="539" t="s">
        <v>257</v>
      </c>
      <c r="H29" s="37">
        <f>ROWS(G$8:$G29)</f>
        <v>22</v>
      </c>
      <c r="I29" s="14" t="str">
        <f>IF(ID!$B$84=G29,H29,"")</f>
        <v/>
      </c>
      <c r="J29" s="14" t="str">
        <f>IFERROR(SMALL($I$8:$I$100,ROWS(I$8:$I29)),"")</f>
        <v/>
      </c>
    </row>
    <row r="30" spans="2:19" ht="13.8" x14ac:dyDescent="0.3">
      <c r="B30" s="354">
        <v>200</v>
      </c>
      <c r="C30" s="351">
        <v>-2.0499999999999998</v>
      </c>
      <c r="D30" s="776">
        <f t="shared" si="2"/>
        <v>2.4</v>
      </c>
      <c r="E30" s="352"/>
      <c r="F30" s="370"/>
      <c r="G30" s="539" t="s">
        <v>257</v>
      </c>
      <c r="H30" s="37">
        <f>ROWS(G$8:$G30)</f>
        <v>23</v>
      </c>
      <c r="I30" s="14" t="str">
        <f>IF(ID!$B$84=G30,H30,"")</f>
        <v/>
      </c>
      <c r="J30" s="14" t="str">
        <f>IFERROR(SMALL($I$8:$I$100,ROWS(I$8:$I30)),"")</f>
        <v/>
      </c>
    </row>
    <row r="31" spans="2:19" ht="13.8" x14ac:dyDescent="0.3">
      <c r="B31" s="354">
        <v>220</v>
      </c>
      <c r="C31" s="355">
        <v>-2.29</v>
      </c>
      <c r="D31" s="776">
        <f t="shared" si="2"/>
        <v>2.64</v>
      </c>
      <c r="E31" s="352"/>
      <c r="F31" s="370"/>
      <c r="G31" s="539" t="s">
        <v>257</v>
      </c>
      <c r="H31" s="37">
        <f>ROWS(G$8:$G31)</f>
        <v>24</v>
      </c>
      <c r="I31" s="14" t="str">
        <f>IF(ID!$B$84=G31,H31,"")</f>
        <v/>
      </c>
      <c r="J31" s="14" t="str">
        <f>IFERROR(SMALL($I$8:$I$100,ROWS(I$8:$I31)),"")</f>
        <v/>
      </c>
    </row>
    <row r="32" spans="2:19" ht="13.8" x14ac:dyDescent="0.3">
      <c r="B32" s="357">
        <v>230</v>
      </c>
      <c r="C32" s="355">
        <v>-11.79</v>
      </c>
      <c r="D32" s="776">
        <f t="shared" si="2"/>
        <v>2.7600000000000002</v>
      </c>
      <c r="E32" s="352"/>
      <c r="F32" s="370"/>
      <c r="G32" s="539" t="s">
        <v>257</v>
      </c>
      <c r="H32" s="37">
        <f>ROWS(G$8:$G32)</f>
        <v>25</v>
      </c>
      <c r="I32" s="14" t="str">
        <f>IF(ID!$B$84=G32,H32,"")</f>
        <v/>
      </c>
      <c r="J32" s="14" t="str">
        <f>IFERROR(SMALL($I$8:$I$100,ROWS(I$8:$I32)),"")</f>
        <v/>
      </c>
    </row>
    <row r="33" spans="2:10" ht="13.8" x14ac:dyDescent="0.3">
      <c r="B33" s="359">
        <v>250</v>
      </c>
      <c r="C33" s="360">
        <f>C32</f>
        <v>-11.79</v>
      </c>
      <c r="D33" s="360">
        <f>D32</f>
        <v>2.7600000000000002</v>
      </c>
      <c r="E33" s="352"/>
      <c r="F33" s="370"/>
      <c r="G33" s="361" t="s">
        <v>257</v>
      </c>
      <c r="H33" s="37">
        <f>ROWS(G$8:$G33)</f>
        <v>26</v>
      </c>
      <c r="I33" s="14" t="str">
        <f>IF(ID!$B$84=G33,H33,"")</f>
        <v/>
      </c>
      <c r="J33" s="14" t="str">
        <f>IFERROR(SMALL($I$8:$I$100,ROWS(I$8:$I33)),"")</f>
        <v/>
      </c>
    </row>
    <row r="34" spans="2:10" x14ac:dyDescent="0.25">
      <c r="D34" s="550"/>
      <c r="E34" s="425"/>
      <c r="H34" s="37">
        <f>ROWS(G$8:$G34)</f>
        <v>27</v>
      </c>
      <c r="I34" s="14" t="str">
        <f>IF(ID!$B$84=G34,H34,"")</f>
        <v/>
      </c>
      <c r="J34" s="14" t="str">
        <f>IFERROR(SMALL($I$8:$I$100,ROWS(I$8:$I34)),"")</f>
        <v/>
      </c>
    </row>
    <row r="35" spans="2:10" ht="15.6" x14ac:dyDescent="0.3">
      <c r="B35" s="777" t="s">
        <v>271</v>
      </c>
      <c r="C35" s="777" t="s">
        <v>272</v>
      </c>
      <c r="D35" s="777" t="s">
        <v>364</v>
      </c>
      <c r="E35" s="778" t="s">
        <v>273</v>
      </c>
      <c r="H35" s="37">
        <f>ROWS(G$8:$G35)</f>
        <v>28</v>
      </c>
      <c r="I35" s="14" t="str">
        <f>IF(ID!$B$84=G35,H35,"")</f>
        <v/>
      </c>
      <c r="J35" s="14" t="str">
        <f>IFERROR(SMALL($I$8:$I$100,ROWS(I$8:$I35)),"")</f>
        <v/>
      </c>
    </row>
    <row r="36" spans="2:10" ht="13.8" x14ac:dyDescent="0.25">
      <c r="B36" s="366">
        <v>0</v>
      </c>
      <c r="C36" s="367">
        <v>0</v>
      </c>
      <c r="D36" s="776">
        <f>1.2%*B36</f>
        <v>0</v>
      </c>
      <c r="E36" s="368" t="s">
        <v>419</v>
      </c>
      <c r="F36" s="353" t="s">
        <v>420</v>
      </c>
      <c r="G36" s="551" t="s">
        <v>147</v>
      </c>
      <c r="H36" s="37">
        <f>ROWS(G$8:$G36)</f>
        <v>29</v>
      </c>
      <c r="I36" s="14" t="str">
        <f>IF(ID!$B$84=G36,H36,"")</f>
        <v/>
      </c>
      <c r="J36" s="14" t="str">
        <f>IFERROR(SMALL($I$8:$I$100,ROWS(I$8:$I36)),"")</f>
        <v/>
      </c>
    </row>
    <row r="37" spans="2:10" ht="13.8" x14ac:dyDescent="0.3">
      <c r="B37" s="369">
        <v>150</v>
      </c>
      <c r="C37" s="367">
        <v>-0.05</v>
      </c>
      <c r="D37" s="776">
        <f t="shared" ref="D37:D42" si="3">1.2%*B37</f>
        <v>1.8</v>
      </c>
      <c r="E37" s="368"/>
      <c r="F37" s="370"/>
      <c r="G37" s="551" t="s">
        <v>147</v>
      </c>
      <c r="H37" s="37">
        <f>ROWS(G$8:$G37)</f>
        <v>30</v>
      </c>
      <c r="I37" s="14" t="str">
        <f>IF(ID!$B$84=G37,H37,"")</f>
        <v/>
      </c>
      <c r="J37" s="14" t="str">
        <f>IFERROR(SMALL($I$8:$I$100,ROWS(I$8:$I37)),"")</f>
        <v/>
      </c>
    </row>
    <row r="38" spans="2:10" ht="13.8" x14ac:dyDescent="0.3">
      <c r="B38" s="369">
        <v>180</v>
      </c>
      <c r="C38" s="371">
        <v>-0.04</v>
      </c>
      <c r="D38" s="776">
        <f t="shared" si="3"/>
        <v>2.16</v>
      </c>
      <c r="E38" s="368"/>
      <c r="F38" s="370"/>
      <c r="G38" s="551" t="s">
        <v>147</v>
      </c>
      <c r="H38" s="37">
        <f>ROWS(G$8:$G38)</f>
        <v>31</v>
      </c>
      <c r="I38" s="14" t="str">
        <f>IF(ID!$B$84=G38,H38,"")</f>
        <v/>
      </c>
      <c r="J38" s="14" t="str">
        <f>IFERROR(SMALL($I$8:$I$100,ROWS(I$8:$I38)),"")</f>
        <v/>
      </c>
    </row>
    <row r="39" spans="2:10" ht="13.8" x14ac:dyDescent="0.3">
      <c r="B39" s="372">
        <v>200</v>
      </c>
      <c r="C39" s="371">
        <v>-0.67</v>
      </c>
      <c r="D39" s="776">
        <f t="shared" si="3"/>
        <v>2.4</v>
      </c>
      <c r="E39" s="368"/>
      <c r="F39" s="370"/>
      <c r="G39" s="551" t="s">
        <v>147</v>
      </c>
      <c r="H39" s="37">
        <f>ROWS(G$8:$G39)</f>
        <v>32</v>
      </c>
      <c r="I39" s="14" t="str">
        <f>IF(ID!$B$84=G39,H39,"")</f>
        <v/>
      </c>
      <c r="J39" s="14" t="str">
        <f>IFERROR(SMALL($I$8:$I$100,ROWS(I$8:$I39)),"")</f>
        <v/>
      </c>
    </row>
    <row r="40" spans="2:10" ht="13.8" x14ac:dyDescent="0.3">
      <c r="B40" s="372">
        <v>220</v>
      </c>
      <c r="C40" s="371">
        <v>0</v>
      </c>
      <c r="D40" s="776">
        <f t="shared" si="3"/>
        <v>2.64</v>
      </c>
      <c r="E40" s="368"/>
      <c r="F40" s="370"/>
      <c r="G40" s="551" t="s">
        <v>147</v>
      </c>
      <c r="H40" s="37">
        <f>ROWS(G$8:$G40)</f>
        <v>33</v>
      </c>
      <c r="I40" s="14" t="str">
        <f>IF(ID!$B$84=G40,H40,"")</f>
        <v/>
      </c>
      <c r="J40" s="14" t="str">
        <f>IFERROR(SMALL($I$8:$I$100,ROWS(I$8:$I40)),"")</f>
        <v/>
      </c>
    </row>
    <row r="41" spans="2:10" ht="13.8" x14ac:dyDescent="0.3">
      <c r="B41" s="372">
        <v>230</v>
      </c>
      <c r="C41" s="371">
        <v>-0.11</v>
      </c>
      <c r="D41" s="776">
        <f t="shared" si="3"/>
        <v>2.7600000000000002</v>
      </c>
      <c r="E41" s="368"/>
      <c r="F41" s="370"/>
      <c r="G41" s="551" t="s">
        <v>147</v>
      </c>
      <c r="H41" s="37">
        <f>ROWS(G$8:$G41)</f>
        <v>34</v>
      </c>
      <c r="I41" s="14" t="str">
        <f>IF(ID!$B$84=G41,H41,"")</f>
        <v/>
      </c>
      <c r="J41" s="14" t="str">
        <f>IFERROR(SMALL($I$8:$I$100,ROWS(I$8:$I41)),"")</f>
        <v/>
      </c>
    </row>
    <row r="42" spans="2:10" ht="13.8" x14ac:dyDescent="0.3">
      <c r="B42" s="545">
        <v>250</v>
      </c>
      <c r="C42" s="546">
        <f>C41</f>
        <v>-0.11</v>
      </c>
      <c r="D42" s="776">
        <f t="shared" si="3"/>
        <v>3</v>
      </c>
      <c r="E42" s="552"/>
      <c r="F42" s="548"/>
      <c r="G42" s="549" t="s">
        <v>147</v>
      </c>
      <c r="H42" s="37">
        <f>ROWS(G$8:$G42)</f>
        <v>35</v>
      </c>
      <c r="I42" s="14" t="str">
        <f>IF(ID!$B$84=G42,H42,"")</f>
        <v/>
      </c>
      <c r="J42" s="14" t="str">
        <f>IFERROR(SMALL($I$8:$I$100,ROWS(I$8:$I42)),"")</f>
        <v/>
      </c>
    </row>
    <row r="43" spans="2:10" x14ac:dyDescent="0.25">
      <c r="D43" s="550"/>
      <c r="E43" s="425"/>
      <c r="H43" s="37">
        <f>ROWS(G$8:$G43)</f>
        <v>36</v>
      </c>
      <c r="I43" s="14" t="str">
        <f>IF(ID!$B$84=G43,H43,"")</f>
        <v/>
      </c>
      <c r="J43" s="14" t="str">
        <f>IFERROR(SMALL($I$8:$I$100,ROWS(I$8:$I43)),"")</f>
        <v/>
      </c>
    </row>
    <row r="44" spans="2:10" ht="15.6" x14ac:dyDescent="0.3">
      <c r="B44" s="777" t="s">
        <v>271</v>
      </c>
      <c r="C44" s="777" t="s">
        <v>272</v>
      </c>
      <c r="D44" s="777" t="s">
        <v>364</v>
      </c>
      <c r="E44" s="778" t="s">
        <v>273</v>
      </c>
      <c r="H44" s="37">
        <f>ROWS(G$8:$G44)</f>
        <v>37</v>
      </c>
      <c r="I44" s="14" t="str">
        <f>IF(ID!$B$84=G44,H44,"")</f>
        <v/>
      </c>
      <c r="J44" s="14" t="str">
        <f>IFERROR(SMALL($I$8:$I$100,ROWS(I$8:$I44)),"")</f>
        <v/>
      </c>
    </row>
    <row r="45" spans="2:10" ht="13.8" x14ac:dyDescent="0.25">
      <c r="B45" s="350">
        <v>0</v>
      </c>
      <c r="C45" s="351">
        <v>0</v>
      </c>
      <c r="D45" s="776">
        <f>1.2%*B45</f>
        <v>0</v>
      </c>
      <c r="E45" s="352" t="s">
        <v>421</v>
      </c>
      <c r="F45" s="353" t="s">
        <v>418</v>
      </c>
      <c r="G45" s="539" t="s">
        <v>258</v>
      </c>
      <c r="H45" s="37">
        <f>ROWS(G$8:$G45)</f>
        <v>38</v>
      </c>
      <c r="I45" s="14" t="str">
        <f>IF(ID!$B$84=G45,H45,"")</f>
        <v/>
      </c>
      <c r="J45" s="14" t="str">
        <f>IFERROR(SMALL($I$8:$I$100,ROWS(I$8:$I45)),"")</f>
        <v/>
      </c>
    </row>
    <row r="46" spans="2:10" ht="13.8" x14ac:dyDescent="0.3">
      <c r="B46" s="354">
        <v>150</v>
      </c>
      <c r="C46" s="351">
        <v>0.25</v>
      </c>
      <c r="D46" s="776">
        <f t="shared" ref="D46:D51" si="4">1.2%*B46</f>
        <v>1.8</v>
      </c>
      <c r="E46" s="352"/>
      <c r="F46" s="370"/>
      <c r="G46" s="539" t="s">
        <v>258</v>
      </c>
      <c r="H46" s="37">
        <f>ROWS(G$8:$G46)</f>
        <v>39</v>
      </c>
      <c r="I46" s="14" t="str">
        <f>IF(ID!$B$84=G46,H46,"")</f>
        <v/>
      </c>
      <c r="J46" s="14" t="str">
        <f>IFERROR(SMALL($I$8:$I$100,ROWS(I$8:$I46)),"")</f>
        <v/>
      </c>
    </row>
    <row r="47" spans="2:10" ht="13.8" x14ac:dyDescent="0.3">
      <c r="B47" s="354">
        <v>180</v>
      </c>
      <c r="C47" s="355">
        <v>8.9999999999999993E-3</v>
      </c>
      <c r="D47" s="776">
        <f t="shared" si="4"/>
        <v>2.16</v>
      </c>
      <c r="E47" s="352"/>
      <c r="F47" s="370"/>
      <c r="G47" s="539" t="s">
        <v>258</v>
      </c>
      <c r="H47" s="37">
        <f>ROWS(G$8:$G47)</f>
        <v>40</v>
      </c>
      <c r="I47" s="14" t="str">
        <f>IF(ID!$B$84=G47,H47,"")</f>
        <v/>
      </c>
      <c r="J47" s="14" t="str">
        <f>IFERROR(SMALL($I$8:$I$100,ROWS(I$8:$I47)),"")</f>
        <v/>
      </c>
    </row>
    <row r="48" spans="2:10" ht="13.8" x14ac:dyDescent="0.3">
      <c r="B48" s="354">
        <v>200</v>
      </c>
      <c r="C48" s="355">
        <v>0.18</v>
      </c>
      <c r="D48" s="776">
        <f t="shared" si="4"/>
        <v>2.4</v>
      </c>
      <c r="E48" s="352"/>
      <c r="F48" s="370"/>
      <c r="G48" s="539" t="s">
        <v>258</v>
      </c>
      <c r="H48" s="37">
        <f>ROWS(G$8:$G48)</f>
        <v>41</v>
      </c>
      <c r="I48" s="14" t="str">
        <f>IF(ID!$B$84=G48,H48,"")</f>
        <v/>
      </c>
      <c r="J48" s="14" t="str">
        <f>IFERROR(SMALL($I$8:$I$100,ROWS(I$8:$I48)),"")</f>
        <v/>
      </c>
    </row>
    <row r="49" spans="2:10" ht="13.8" x14ac:dyDescent="0.3">
      <c r="B49" s="357">
        <v>220</v>
      </c>
      <c r="C49" s="355">
        <v>0.56000000000000005</v>
      </c>
      <c r="D49" s="776">
        <f t="shared" si="4"/>
        <v>2.64</v>
      </c>
      <c r="E49" s="352"/>
      <c r="F49" s="370"/>
      <c r="G49" s="539" t="s">
        <v>258</v>
      </c>
      <c r="H49" s="37">
        <f>ROWS(G$8:$G49)</f>
        <v>42</v>
      </c>
      <c r="I49" s="14" t="str">
        <f>IF(ID!$B$84=G49,H49,"")</f>
        <v/>
      </c>
      <c r="J49" s="14" t="str">
        <f>IFERROR(SMALL($I$8:$I$100,ROWS(I$8:$I49)),"")</f>
        <v/>
      </c>
    </row>
    <row r="50" spans="2:10" ht="14.4" thickBot="1" x14ac:dyDescent="0.35">
      <c r="B50" s="358">
        <v>230</v>
      </c>
      <c r="C50" s="355">
        <v>0.73</v>
      </c>
      <c r="D50" s="776">
        <f t="shared" si="4"/>
        <v>2.7600000000000002</v>
      </c>
      <c r="E50" s="352"/>
      <c r="F50" s="370"/>
      <c r="G50" s="539" t="s">
        <v>258</v>
      </c>
      <c r="H50" s="37">
        <f>ROWS(G$8:$G50)</f>
        <v>43</v>
      </c>
      <c r="I50" s="14" t="str">
        <f>IF(ID!$B$84=G50,H50,"")</f>
        <v/>
      </c>
      <c r="J50" s="14" t="str">
        <f>IFERROR(SMALL($I$8:$I$100,ROWS(I$8:$I50)),"")</f>
        <v/>
      </c>
    </row>
    <row r="51" spans="2:10" ht="13.8" x14ac:dyDescent="0.3">
      <c r="B51" s="359">
        <v>250</v>
      </c>
      <c r="C51" s="360">
        <f>C50</f>
        <v>0.73</v>
      </c>
      <c r="D51" s="776">
        <f t="shared" si="4"/>
        <v>3</v>
      </c>
      <c r="E51" s="352"/>
      <c r="F51" s="370"/>
      <c r="G51" s="549" t="s">
        <v>258</v>
      </c>
      <c r="H51" s="37">
        <f>ROWS(G$8:$G51)</f>
        <v>44</v>
      </c>
      <c r="I51" s="14" t="str">
        <f>IF(ID!$B$84=G51,H51,"")</f>
        <v/>
      </c>
      <c r="J51" s="14" t="str">
        <f>IFERROR(SMALL($I$8:$I$100,ROWS(I$8:$I51)),"")</f>
        <v/>
      </c>
    </row>
    <row r="52" spans="2:10" x14ac:dyDescent="0.25">
      <c r="D52" s="550"/>
      <c r="E52" s="425"/>
      <c r="H52" s="37">
        <f>ROWS(G$8:$G52)</f>
        <v>45</v>
      </c>
      <c r="I52" s="14" t="str">
        <f>IF(ID!$B$84=G52,H52,"")</f>
        <v/>
      </c>
      <c r="J52" s="14" t="str">
        <f>IFERROR(SMALL($I$8:$I$100,ROWS(I$8:$I52)),"")</f>
        <v/>
      </c>
    </row>
    <row r="53" spans="2:10" ht="15.6" x14ac:dyDescent="0.3">
      <c r="B53" s="777" t="s">
        <v>271</v>
      </c>
      <c r="C53" s="777" t="s">
        <v>272</v>
      </c>
      <c r="D53" s="777" t="s">
        <v>364</v>
      </c>
      <c r="E53" s="778" t="s">
        <v>273</v>
      </c>
      <c r="H53" s="37">
        <f>ROWS(G$8:$G53)</f>
        <v>46</v>
      </c>
      <c r="I53" s="14" t="str">
        <f>IF(ID!$B$84=G53,H53,"")</f>
        <v/>
      </c>
      <c r="J53" s="14" t="str">
        <f>IFERROR(SMALL($I$8:$I$100,ROWS(I$8:$I53)),"")</f>
        <v/>
      </c>
    </row>
    <row r="54" spans="2:10" ht="13.8" x14ac:dyDescent="0.25">
      <c r="B54" s="350">
        <v>0</v>
      </c>
      <c r="C54" s="351">
        <v>0</v>
      </c>
      <c r="D54" s="776">
        <f>1.2%*B54</f>
        <v>0</v>
      </c>
      <c r="E54" s="368" t="s">
        <v>699</v>
      </c>
      <c r="F54" s="353" t="s">
        <v>420</v>
      </c>
      <c r="G54" s="539" t="s">
        <v>260</v>
      </c>
      <c r="H54" s="37">
        <f>ROWS(G$8:$G54)</f>
        <v>47</v>
      </c>
      <c r="I54" s="14" t="str">
        <f>IF(ID!$B$84=G54,H54,"")</f>
        <v/>
      </c>
      <c r="J54" s="14" t="str">
        <f>IFERROR(SMALL($I$8:$I$100,ROWS(I$8:$I54)),"")</f>
        <v/>
      </c>
    </row>
    <row r="55" spans="2:10" ht="13.8" x14ac:dyDescent="0.3">
      <c r="B55" s="354">
        <v>150</v>
      </c>
      <c r="C55" s="351">
        <v>0.15</v>
      </c>
      <c r="D55" s="776">
        <f t="shared" ref="D55:D60" si="5">1.2%*B55</f>
        <v>1.8</v>
      </c>
      <c r="E55" s="368"/>
      <c r="F55" s="370"/>
      <c r="G55" s="539" t="s">
        <v>260</v>
      </c>
      <c r="H55" s="37">
        <f>ROWS(G$8:$G55)</f>
        <v>48</v>
      </c>
      <c r="I55" s="14" t="str">
        <f>IF(ID!$B$84=G55,H55,"")</f>
        <v/>
      </c>
      <c r="J55" s="14" t="str">
        <f>IFERROR(SMALL($I$8:$I$100,ROWS(I$8:$I55)),"")</f>
        <v/>
      </c>
    </row>
    <row r="56" spans="2:10" ht="13.8" x14ac:dyDescent="0.3">
      <c r="B56" s="354">
        <v>180</v>
      </c>
      <c r="C56" s="355">
        <v>0.17</v>
      </c>
      <c r="D56" s="776">
        <f t="shared" si="5"/>
        <v>2.16</v>
      </c>
      <c r="E56" s="368"/>
      <c r="F56" s="370"/>
      <c r="G56" s="539" t="s">
        <v>260</v>
      </c>
      <c r="H56" s="37">
        <f>ROWS(G$8:$G56)</f>
        <v>49</v>
      </c>
      <c r="I56" s="14" t="str">
        <f>IF(ID!$B$84=G56,H56,"")</f>
        <v/>
      </c>
      <c r="J56" s="14" t="str">
        <f>IFERROR(SMALL($I$8:$I$100,ROWS(I$8:$I56)),"")</f>
        <v/>
      </c>
    </row>
    <row r="57" spans="2:10" ht="13.8" x14ac:dyDescent="0.3">
      <c r="B57" s="354">
        <v>200</v>
      </c>
      <c r="C57" s="355">
        <v>0.1</v>
      </c>
      <c r="D57" s="776">
        <f t="shared" si="5"/>
        <v>2.4</v>
      </c>
      <c r="E57" s="368"/>
      <c r="F57" s="370"/>
      <c r="G57" s="539" t="s">
        <v>260</v>
      </c>
      <c r="H57" s="37">
        <f>ROWS(G$8:$G57)</f>
        <v>50</v>
      </c>
      <c r="I57" s="14" t="str">
        <f>IF(ID!$B$84=G57,H57,"")</f>
        <v/>
      </c>
      <c r="J57" s="14" t="str">
        <f>IFERROR(SMALL($I$8:$I$100,ROWS(I$8:$I57)),"")</f>
        <v/>
      </c>
    </row>
    <row r="58" spans="2:10" ht="13.8" x14ac:dyDescent="0.3">
      <c r="B58" s="357">
        <v>220</v>
      </c>
      <c r="C58" s="355">
        <v>7.0000000000000001E-3</v>
      </c>
      <c r="D58" s="776">
        <f t="shared" si="5"/>
        <v>2.64</v>
      </c>
      <c r="E58" s="368"/>
      <c r="F58" s="370"/>
      <c r="G58" s="539" t="s">
        <v>260</v>
      </c>
      <c r="H58" s="37">
        <f>ROWS(G$8:$G58)</f>
        <v>51</v>
      </c>
      <c r="I58" s="14" t="str">
        <f>IF(ID!$B$84=G58,H58,"")</f>
        <v/>
      </c>
      <c r="J58" s="14" t="str">
        <f>IFERROR(SMALL($I$8:$I$100,ROWS(I$8:$I58)),"")</f>
        <v/>
      </c>
    </row>
    <row r="59" spans="2:10" ht="14.4" thickBot="1" x14ac:dyDescent="0.35">
      <c r="B59" s="358">
        <v>230</v>
      </c>
      <c r="C59" s="355">
        <v>8.0000000000000002E-3</v>
      </c>
      <c r="D59" s="776">
        <f t="shared" si="5"/>
        <v>2.7600000000000002</v>
      </c>
      <c r="E59" s="368"/>
      <c r="F59" s="370"/>
      <c r="G59" s="539" t="s">
        <v>260</v>
      </c>
      <c r="H59" s="37">
        <f>ROWS(G$8:$G59)</f>
        <v>52</v>
      </c>
      <c r="I59" s="14" t="str">
        <f>IF(ID!$B$84=G59,H59,"")</f>
        <v/>
      </c>
      <c r="J59" s="14" t="str">
        <f>IFERROR(SMALL($I$8:$I$100,ROWS(I$8:$I59)),"")</f>
        <v/>
      </c>
    </row>
    <row r="60" spans="2:10" ht="13.8" x14ac:dyDescent="0.3">
      <c r="B60" s="359">
        <v>250</v>
      </c>
      <c r="C60" s="360">
        <f>C59</f>
        <v>8.0000000000000002E-3</v>
      </c>
      <c r="D60" s="776">
        <f t="shared" si="5"/>
        <v>3</v>
      </c>
      <c r="E60" s="368"/>
      <c r="F60" s="370"/>
      <c r="G60" s="549" t="s">
        <v>260</v>
      </c>
      <c r="H60" s="37">
        <f>ROWS(G$8:$G60)</f>
        <v>53</v>
      </c>
      <c r="I60" s="14" t="str">
        <f>IF(ID!$B$84=G60,H60,"")</f>
        <v/>
      </c>
      <c r="J60" s="14" t="str">
        <f>IFERROR(SMALL($I$8:$I$100,ROWS(I$8:$I60)),"")</f>
        <v/>
      </c>
    </row>
    <row r="61" spans="2:10" x14ac:dyDescent="0.25">
      <c r="D61" s="550"/>
      <c r="E61" s="425"/>
      <c r="H61" s="37">
        <f>ROWS(G$8:$G61)</f>
        <v>54</v>
      </c>
      <c r="I61" s="14" t="str">
        <f>IF(ID!$B$84=G61,H61,"")</f>
        <v/>
      </c>
      <c r="J61" s="14" t="str">
        <f>IFERROR(SMALL($I$8:$I$100,ROWS(I$8:$I61)),"")</f>
        <v/>
      </c>
    </row>
    <row r="62" spans="2:10" ht="15.6" x14ac:dyDescent="0.3">
      <c r="B62" s="777" t="s">
        <v>271</v>
      </c>
      <c r="C62" s="777" t="s">
        <v>272</v>
      </c>
      <c r="D62" s="777" t="s">
        <v>364</v>
      </c>
      <c r="E62" s="778" t="s">
        <v>273</v>
      </c>
      <c r="H62" s="37">
        <f>ROWS(G$8:$G62)</f>
        <v>55</v>
      </c>
      <c r="I62" s="14" t="str">
        <f>IF(ID!$B$84=G62,H62,"")</f>
        <v/>
      </c>
      <c r="J62" s="14" t="str">
        <f>IFERROR(SMALL($I$8:$I$100,ROWS(I$8:$I62)),"")</f>
        <v/>
      </c>
    </row>
    <row r="63" spans="2:10" ht="13.8" x14ac:dyDescent="0.25">
      <c r="B63" s="350">
        <v>0</v>
      </c>
      <c r="C63" s="351">
        <v>0</v>
      </c>
      <c r="D63" s="538">
        <f>1.2%*B63</f>
        <v>0</v>
      </c>
      <c r="E63" s="352" t="s">
        <v>699</v>
      </c>
      <c r="F63" s="353" t="s">
        <v>418</v>
      </c>
      <c r="G63" s="539" t="s">
        <v>261</v>
      </c>
      <c r="H63" s="37">
        <f>ROWS(G$8:$G63)</f>
        <v>56</v>
      </c>
      <c r="I63" s="14" t="str">
        <f>IF(ID!$B$84=G63,H63,"")</f>
        <v/>
      </c>
      <c r="J63" s="14" t="str">
        <f>IFERROR(SMALL($I$8:$I$100,ROWS(I$8:$I63)),"")</f>
        <v/>
      </c>
    </row>
    <row r="64" spans="2:10" ht="13.8" x14ac:dyDescent="0.3">
      <c r="B64" s="354">
        <v>150</v>
      </c>
      <c r="C64" s="351">
        <v>0.36</v>
      </c>
      <c r="D64" s="538">
        <f t="shared" ref="D64:D70" si="6">1.2%*B64</f>
        <v>1.8</v>
      </c>
      <c r="E64" s="352"/>
      <c r="F64" s="370"/>
      <c r="G64" s="539" t="s">
        <v>261</v>
      </c>
      <c r="H64" s="37">
        <f>ROWS(G$8:$G64)</f>
        <v>57</v>
      </c>
      <c r="I64" s="14" t="str">
        <f>IF(ID!$B$84=G64,H64,"")</f>
        <v/>
      </c>
      <c r="J64" s="14" t="str">
        <f>IFERROR(SMALL($I$8:$I$100,ROWS(I$8:$I64)),"")</f>
        <v/>
      </c>
    </row>
    <row r="65" spans="2:10" ht="13.8" x14ac:dyDescent="0.3">
      <c r="B65" s="354">
        <v>180</v>
      </c>
      <c r="C65" s="355">
        <v>0.46</v>
      </c>
      <c r="D65" s="538">
        <f t="shared" si="6"/>
        <v>2.16</v>
      </c>
      <c r="E65" s="352"/>
      <c r="F65" s="370"/>
      <c r="G65" s="539" t="s">
        <v>261</v>
      </c>
      <c r="H65" s="37">
        <f>ROWS(G$8:$G65)</f>
        <v>58</v>
      </c>
      <c r="I65" s="14" t="str">
        <f>IF(ID!$B$84=G65,H65,"")</f>
        <v/>
      </c>
      <c r="J65" s="14" t="str">
        <f>IFERROR(SMALL($I$8:$I$100,ROWS(I$8:$I65)),"")</f>
        <v/>
      </c>
    </row>
    <row r="66" spans="2:10" ht="13.8" x14ac:dyDescent="0.3">
      <c r="B66" s="354">
        <v>200</v>
      </c>
      <c r="C66" s="355">
        <v>0.52</v>
      </c>
      <c r="D66" s="538">
        <f t="shared" si="6"/>
        <v>2.4</v>
      </c>
      <c r="E66" s="352"/>
      <c r="F66" s="370"/>
      <c r="G66" s="539" t="s">
        <v>261</v>
      </c>
      <c r="H66" s="37">
        <f>ROWS(G$8:$G66)</f>
        <v>59</v>
      </c>
      <c r="I66" s="14" t="str">
        <f>IF(ID!$B$84=G66,H66,"")</f>
        <v/>
      </c>
      <c r="J66" s="14" t="str">
        <f>IFERROR(SMALL($I$8:$I$100,ROWS(I$8:$I66)),"")</f>
        <v/>
      </c>
    </row>
    <row r="67" spans="2:10" ht="13.8" x14ac:dyDescent="0.3">
      <c r="B67" s="357">
        <v>220</v>
      </c>
      <c r="C67" s="355">
        <v>0.57999999999999996</v>
      </c>
      <c r="D67" s="538">
        <f t="shared" si="6"/>
        <v>2.64</v>
      </c>
      <c r="E67" s="352"/>
      <c r="F67" s="370"/>
      <c r="G67" s="539" t="s">
        <v>261</v>
      </c>
      <c r="H67" s="37">
        <f>ROWS(G$8:$G67)</f>
        <v>60</v>
      </c>
      <c r="I67" s="14" t="str">
        <f>IF(ID!$B$84=G67,H67,"")</f>
        <v/>
      </c>
      <c r="J67" s="14" t="str">
        <f>IFERROR(SMALL($I$8:$I$100,ROWS(I$8:$I67)),"")</f>
        <v/>
      </c>
    </row>
    <row r="68" spans="2:10" ht="14.4" thickBot="1" x14ac:dyDescent="0.35">
      <c r="B68" s="358">
        <v>230</v>
      </c>
      <c r="C68" s="355">
        <v>0.47</v>
      </c>
      <c r="D68" s="538">
        <f t="shared" si="6"/>
        <v>2.7600000000000002</v>
      </c>
      <c r="E68" s="352"/>
      <c r="F68" s="370"/>
      <c r="G68" s="539" t="s">
        <v>261</v>
      </c>
      <c r="H68" s="37">
        <f>ROWS(G$8:$G68)</f>
        <v>61</v>
      </c>
      <c r="I68" s="14" t="str">
        <f>IF(ID!$B$84=G68,H68,"")</f>
        <v/>
      </c>
      <c r="J68" s="14" t="str">
        <f>IFERROR(SMALL($I$8:$I$100,ROWS(I$8:$I68)),"")</f>
        <v/>
      </c>
    </row>
    <row r="69" spans="2:10" ht="13.8" x14ac:dyDescent="0.3">
      <c r="B69" s="545">
        <v>250</v>
      </c>
      <c r="C69" s="546"/>
      <c r="D69" s="538">
        <f t="shared" si="6"/>
        <v>3</v>
      </c>
      <c r="E69" s="352"/>
      <c r="F69" s="370"/>
      <c r="G69" s="539" t="s">
        <v>261</v>
      </c>
      <c r="H69" s="37">
        <f>ROWS(G$8:$G69)</f>
        <v>62</v>
      </c>
      <c r="I69" s="14" t="str">
        <f>IF(ID!$B$84=G69,H69,"")</f>
        <v/>
      </c>
      <c r="J69" s="14" t="str">
        <f>IFERROR(SMALL($I$8:$I$100,ROWS(I$8:$I69)),"")</f>
        <v/>
      </c>
    </row>
    <row r="70" spans="2:10" x14ac:dyDescent="0.25">
      <c r="B70" s="553"/>
      <c r="C70" s="554"/>
      <c r="D70" s="538">
        <f t="shared" si="6"/>
        <v>0</v>
      </c>
      <c r="E70" s="555"/>
      <c r="F70" s="556"/>
      <c r="G70" s="543" t="s">
        <v>261</v>
      </c>
      <c r="H70" s="37">
        <f>ROWS(G$8:$G70)</f>
        <v>63</v>
      </c>
      <c r="I70" s="14" t="str">
        <f>IF(ID!$B$84=G70,H70,"")</f>
        <v/>
      </c>
      <c r="J70" s="14" t="str">
        <f>IFERROR(SMALL($I$8:$I$100,ROWS(I$8:$I70)),"")</f>
        <v/>
      </c>
    </row>
    <row r="71" spans="2:10" ht="15.6" x14ac:dyDescent="0.3">
      <c r="B71" s="777" t="s">
        <v>271</v>
      </c>
      <c r="C71" s="777" t="s">
        <v>272</v>
      </c>
      <c r="D71" s="777" t="s">
        <v>364</v>
      </c>
      <c r="E71" s="778" t="s">
        <v>273</v>
      </c>
      <c r="H71" s="37">
        <f>ROWS(G$8:$G71)</f>
        <v>64</v>
      </c>
      <c r="I71" s="14" t="str">
        <f>IF(ID!$B$84=G71,H71,"")</f>
        <v/>
      </c>
      <c r="J71" s="14" t="str">
        <f>IFERROR(SMALL($I$8:$I$100,ROWS(I$8:$I71)),"")</f>
        <v/>
      </c>
    </row>
    <row r="72" spans="2:10" ht="13.8" x14ac:dyDescent="0.25">
      <c r="B72" s="350">
        <v>0</v>
      </c>
      <c r="C72" s="351">
        <v>0</v>
      </c>
      <c r="D72" s="538">
        <f>0.012*B72</f>
        <v>0</v>
      </c>
      <c r="E72" s="352" t="s">
        <v>793</v>
      </c>
      <c r="F72" s="353" t="s">
        <v>420</v>
      </c>
      <c r="G72" s="539" t="s">
        <v>422</v>
      </c>
      <c r="H72" s="37">
        <f>ROWS(G$8:$G72)</f>
        <v>65</v>
      </c>
      <c r="I72" s="14" t="str">
        <f>IF(ID!$B$84=G72,H72,"")</f>
        <v/>
      </c>
      <c r="J72" s="14" t="str">
        <f>IFERROR(SMALL($I$8:$I$100,ROWS(I$8:$I72)),"")</f>
        <v/>
      </c>
    </row>
    <row r="73" spans="2:10" ht="13.8" x14ac:dyDescent="0.3">
      <c r="B73" s="354">
        <v>150</v>
      </c>
      <c r="C73" s="351">
        <v>-0.17</v>
      </c>
      <c r="D73" s="538">
        <f t="shared" ref="D73:D78" si="7">0.012*B73</f>
        <v>1.8</v>
      </c>
      <c r="E73" s="352"/>
      <c r="F73" s="370"/>
      <c r="G73" s="539" t="s">
        <v>422</v>
      </c>
      <c r="H73" s="37">
        <f>ROWS(G$8:$G73)</f>
        <v>66</v>
      </c>
      <c r="I73" s="14" t="str">
        <f>IF(ID!$B$84=G73,H73,"")</f>
        <v/>
      </c>
      <c r="J73" s="14" t="str">
        <f>IFERROR(SMALL($I$8:$I$100,ROWS(I$8:$I73)),"")</f>
        <v/>
      </c>
    </row>
    <row r="74" spans="2:10" ht="13.8" x14ac:dyDescent="0.3">
      <c r="B74" s="354">
        <v>180</v>
      </c>
      <c r="C74" s="355">
        <v>-0.39</v>
      </c>
      <c r="D74" s="538">
        <f t="shared" si="7"/>
        <v>2.16</v>
      </c>
      <c r="E74" s="352"/>
      <c r="F74" s="370"/>
      <c r="G74" s="539" t="s">
        <v>422</v>
      </c>
      <c r="H74" s="37">
        <f>ROWS(G$8:$G74)</f>
        <v>67</v>
      </c>
      <c r="I74" s="14" t="str">
        <f>IF(ID!$B$84=G74,H74,"")</f>
        <v/>
      </c>
      <c r="J74" s="14" t="str">
        <f>IFERROR(SMALL($I$8:$I$100,ROWS(I$8:$I74)),"")</f>
        <v/>
      </c>
    </row>
    <row r="75" spans="2:10" ht="13.8" x14ac:dyDescent="0.3">
      <c r="B75" s="354">
        <v>200</v>
      </c>
      <c r="C75" s="355">
        <v>-0.23</v>
      </c>
      <c r="D75" s="538">
        <f t="shared" si="7"/>
        <v>2.4</v>
      </c>
      <c r="E75" s="352"/>
      <c r="F75" s="370"/>
      <c r="G75" s="539" t="s">
        <v>422</v>
      </c>
      <c r="H75" s="37">
        <f>ROWS(G$8:$G75)</f>
        <v>68</v>
      </c>
      <c r="I75" s="14" t="str">
        <f>IF(ID!$B$84=G75,H75,"")</f>
        <v/>
      </c>
      <c r="J75" s="14" t="str">
        <f>IFERROR(SMALL($I$8:$I$100,ROWS(I$8:$I75)),"")</f>
        <v/>
      </c>
    </row>
    <row r="76" spans="2:10" ht="13.8" x14ac:dyDescent="0.3">
      <c r="B76" s="357">
        <v>220</v>
      </c>
      <c r="C76" s="355">
        <v>-0.16</v>
      </c>
      <c r="D76" s="538">
        <f t="shared" si="7"/>
        <v>2.64</v>
      </c>
      <c r="E76" s="352"/>
      <c r="F76" s="370"/>
      <c r="G76" s="539" t="s">
        <v>422</v>
      </c>
      <c r="H76" s="37">
        <f>ROWS(G$8:$G76)</f>
        <v>69</v>
      </c>
      <c r="I76" s="14" t="str">
        <f>IF(ID!$B$84=G76,H76,"")</f>
        <v/>
      </c>
      <c r="J76" s="14" t="str">
        <f>IFERROR(SMALL($I$8:$I$100,ROWS(I$8:$I76)),"")</f>
        <v/>
      </c>
    </row>
    <row r="77" spans="2:10" ht="14.4" thickBot="1" x14ac:dyDescent="0.35">
      <c r="B77" s="358">
        <v>230</v>
      </c>
      <c r="C77" s="355">
        <v>-0.15</v>
      </c>
      <c r="D77" s="538">
        <f t="shared" si="7"/>
        <v>2.7600000000000002</v>
      </c>
      <c r="E77" s="352"/>
      <c r="F77" s="370"/>
      <c r="G77" s="539" t="s">
        <v>422</v>
      </c>
      <c r="H77" s="37">
        <f>ROWS(G$8:$G77)</f>
        <v>70</v>
      </c>
      <c r="I77" s="14" t="str">
        <f>IF(ID!$B$84=G77,H77,"")</f>
        <v/>
      </c>
      <c r="J77" s="14" t="str">
        <f>IFERROR(SMALL($I$8:$I$100,ROWS(I$8:$I77)),"")</f>
        <v/>
      </c>
    </row>
    <row r="78" spans="2:10" ht="13.8" x14ac:dyDescent="0.3">
      <c r="B78" s="359">
        <v>240</v>
      </c>
      <c r="C78" s="360">
        <f>C77</f>
        <v>-0.15</v>
      </c>
      <c r="D78" s="538">
        <f t="shared" si="7"/>
        <v>2.88</v>
      </c>
      <c r="E78" s="352"/>
      <c r="F78" s="370"/>
      <c r="G78" s="551" t="s">
        <v>422</v>
      </c>
      <c r="H78" s="37">
        <f>ROWS(G$8:$G78)</f>
        <v>71</v>
      </c>
      <c r="I78" s="14" t="str">
        <f>IF(ID!$B$84=G78,H78,"")</f>
        <v/>
      </c>
      <c r="J78" s="14" t="str">
        <f>IFERROR(SMALL($I$8:$I$100,ROWS(I$8:$I78)),"")</f>
        <v/>
      </c>
    </row>
    <row r="79" spans="2:10" x14ac:dyDescent="0.25">
      <c r="D79" s="550"/>
      <c r="E79" s="425"/>
      <c r="H79" s="37">
        <f>ROWS(G$8:$G79)</f>
        <v>72</v>
      </c>
      <c r="I79" s="14" t="str">
        <f>IF(ID!$B$84=G79,H79,"")</f>
        <v/>
      </c>
      <c r="J79" s="14" t="str">
        <f>IFERROR(SMALL($I$8:$I$100,ROWS(I$8:$I79)),"")</f>
        <v/>
      </c>
    </row>
    <row r="80" spans="2:10" ht="15.6" x14ac:dyDescent="0.3">
      <c r="B80" s="777" t="s">
        <v>271</v>
      </c>
      <c r="C80" s="777" t="s">
        <v>272</v>
      </c>
      <c r="D80" s="777" t="s">
        <v>364</v>
      </c>
      <c r="E80" s="778" t="s">
        <v>273</v>
      </c>
      <c r="H80" s="37">
        <f>ROWS(G$8:$G80)</f>
        <v>73</v>
      </c>
      <c r="I80" s="14" t="str">
        <f>IF(ID!$B$84=G80,H80,"")</f>
        <v/>
      </c>
      <c r="J80" s="14" t="str">
        <f>IFERROR(SMALL($I$8:$I$100,ROWS(I$8:$I80)),"")</f>
        <v/>
      </c>
    </row>
    <row r="81" spans="2:10" ht="13.8" x14ac:dyDescent="0.25">
      <c r="B81" s="350">
        <v>0</v>
      </c>
      <c r="C81" s="351">
        <v>0</v>
      </c>
      <c r="D81" s="538">
        <f>0.012*B81</f>
        <v>0</v>
      </c>
      <c r="E81" s="352" t="s">
        <v>699</v>
      </c>
      <c r="F81" s="353" t="s">
        <v>418</v>
      </c>
      <c r="G81" s="539" t="s">
        <v>423</v>
      </c>
      <c r="H81" s="37">
        <f>ROWS(G$8:$G81)</f>
        <v>74</v>
      </c>
      <c r="I81" s="14" t="str">
        <f>IF(ID!$B$84=G81,H81,"")</f>
        <v/>
      </c>
      <c r="J81" s="14" t="str">
        <f>IFERROR(SMALL($I$8:$I$100,ROWS(I$8:$I81)),"")</f>
        <v/>
      </c>
    </row>
    <row r="82" spans="2:10" ht="13.8" x14ac:dyDescent="0.3">
      <c r="B82" s="354">
        <v>150</v>
      </c>
      <c r="C82" s="351">
        <v>-0.08</v>
      </c>
      <c r="D82" s="538">
        <f t="shared" ref="D82:D87" si="8">0.012*B82</f>
        <v>1.8</v>
      </c>
      <c r="E82" s="352"/>
      <c r="F82" s="370"/>
      <c r="G82" s="539" t="s">
        <v>423</v>
      </c>
      <c r="H82" s="37">
        <f>ROWS(G$8:$G82)</f>
        <v>75</v>
      </c>
      <c r="I82" s="14" t="str">
        <f>IF(ID!$B$84=G82,H82,"")</f>
        <v/>
      </c>
      <c r="J82" s="14" t="str">
        <f>IFERROR(SMALL($I$8:$I$100,ROWS(I$8:$I82)),"")</f>
        <v/>
      </c>
    </row>
    <row r="83" spans="2:10" ht="13.8" x14ac:dyDescent="0.3">
      <c r="B83" s="354">
        <v>180</v>
      </c>
      <c r="C83" s="355">
        <v>-0.2</v>
      </c>
      <c r="D83" s="538">
        <f t="shared" si="8"/>
        <v>2.16</v>
      </c>
      <c r="E83" s="352"/>
      <c r="F83" s="370"/>
      <c r="G83" s="539" t="s">
        <v>423</v>
      </c>
      <c r="H83" s="37">
        <f>ROWS(G$8:$G83)</f>
        <v>76</v>
      </c>
      <c r="I83" s="14" t="str">
        <f>IF(ID!$B$84=G83,H83,"")</f>
        <v/>
      </c>
      <c r="J83" s="14" t="str">
        <f>IFERROR(SMALL($I$8:$I$100,ROWS(I$8:$I83)),"")</f>
        <v/>
      </c>
    </row>
    <row r="84" spans="2:10" ht="13.8" x14ac:dyDescent="0.3">
      <c r="B84" s="354">
        <v>200</v>
      </c>
      <c r="C84" s="355">
        <v>-0.25</v>
      </c>
      <c r="D84" s="538">
        <f t="shared" si="8"/>
        <v>2.4</v>
      </c>
      <c r="E84" s="352"/>
      <c r="F84" s="370"/>
      <c r="G84" s="539" t="s">
        <v>423</v>
      </c>
      <c r="H84" s="37">
        <f>ROWS(G$8:$G84)</f>
        <v>77</v>
      </c>
      <c r="I84" s="14" t="str">
        <f>IF(ID!$B$84=G84,H84,"")</f>
        <v/>
      </c>
      <c r="J84" s="14" t="str">
        <f>IFERROR(SMALL($I$8:$I$100,ROWS(I$8:$I84)),"")</f>
        <v/>
      </c>
    </row>
    <row r="85" spans="2:10" ht="13.8" x14ac:dyDescent="0.3">
      <c r="B85" s="357">
        <v>220</v>
      </c>
      <c r="C85" s="355">
        <v>-0.28999999999999998</v>
      </c>
      <c r="D85" s="538">
        <f t="shared" si="8"/>
        <v>2.64</v>
      </c>
      <c r="E85" s="352"/>
      <c r="F85" s="370"/>
      <c r="G85" s="539" t="s">
        <v>423</v>
      </c>
      <c r="H85" s="37">
        <f>ROWS(G$8:$G85)</f>
        <v>78</v>
      </c>
      <c r="I85" s="14" t="str">
        <f>IF(ID!$B$84=G85,H85,"")</f>
        <v/>
      </c>
      <c r="J85" s="14" t="str">
        <f>IFERROR(SMALL($I$8:$I$100,ROWS(I$8:$I85)),"")</f>
        <v/>
      </c>
    </row>
    <row r="86" spans="2:10" ht="14.4" thickBot="1" x14ac:dyDescent="0.35">
      <c r="B86" s="358">
        <v>230</v>
      </c>
      <c r="C86" s="355">
        <v>-0.34</v>
      </c>
      <c r="D86" s="538">
        <f t="shared" si="8"/>
        <v>2.7600000000000002</v>
      </c>
      <c r="E86" s="352"/>
      <c r="F86" s="370"/>
      <c r="G86" s="539" t="s">
        <v>423</v>
      </c>
      <c r="H86" s="37">
        <f>ROWS(G$8:$G86)</f>
        <v>79</v>
      </c>
      <c r="I86" s="14" t="str">
        <f>IF(ID!$B$84=G86,H86,"")</f>
        <v/>
      </c>
      <c r="J86" s="14" t="str">
        <f>IFERROR(SMALL($I$8:$I$100,ROWS(I$8:$I86)),"")</f>
        <v/>
      </c>
    </row>
    <row r="87" spans="2:10" ht="13.8" x14ac:dyDescent="0.3">
      <c r="B87" s="359">
        <v>240</v>
      </c>
      <c r="C87" s="360">
        <f>C86</f>
        <v>-0.34</v>
      </c>
      <c r="D87" s="538">
        <f t="shared" si="8"/>
        <v>2.88</v>
      </c>
      <c r="E87" s="352"/>
      <c r="F87" s="370"/>
      <c r="G87" s="551" t="s">
        <v>423</v>
      </c>
      <c r="H87" s="37">
        <f>ROWS(G$8:$G87)</f>
        <v>80</v>
      </c>
      <c r="I87" s="14" t="str">
        <f>IF(ID!$B$84=G87,H87,"")</f>
        <v/>
      </c>
      <c r="J87" s="14" t="str">
        <f>IFERROR(SMALL($I$8:$I$100,ROWS(I$8:$I87)),"")</f>
        <v/>
      </c>
    </row>
    <row r="88" spans="2:10" x14ac:dyDescent="0.25">
      <c r="D88" s="550"/>
      <c r="E88" s="425"/>
      <c r="H88" s="37">
        <f>ROWS(G$8:$G88)</f>
        <v>81</v>
      </c>
      <c r="I88" s="14" t="str">
        <f>IF(ID!$B$84=G88,H88,"")</f>
        <v/>
      </c>
      <c r="J88" s="14" t="str">
        <f>IFERROR(SMALL($I$8:$I$100,ROWS(I$8:$I88)),"")</f>
        <v/>
      </c>
    </row>
    <row r="89" spans="2:10" x14ac:dyDescent="0.25">
      <c r="D89" s="550"/>
      <c r="E89" s="425"/>
      <c r="H89" s="37">
        <f>ROWS(G$8:$G89)</f>
        <v>82</v>
      </c>
      <c r="I89" s="14" t="str">
        <f>IF(ID!$B$84=G89,H89,"")</f>
        <v/>
      </c>
      <c r="J89" s="14" t="str">
        <f>IFERROR(SMALL($I$8:$I$100,ROWS(I$8:$I89)),"")</f>
        <v/>
      </c>
    </row>
    <row r="90" spans="2:10" ht="13.8" x14ac:dyDescent="0.25">
      <c r="B90" s="350">
        <v>0</v>
      </c>
      <c r="C90" s="351">
        <v>0</v>
      </c>
      <c r="D90" s="776">
        <f>1.2%*B90</f>
        <v>0</v>
      </c>
      <c r="E90" s="547" t="s">
        <v>424</v>
      </c>
      <c r="F90" s="353" t="s">
        <v>420</v>
      </c>
      <c r="G90" s="539"/>
      <c r="H90" s="37">
        <f>ROWS(G$8:$G90)</f>
        <v>83</v>
      </c>
      <c r="I90" s="14" t="str">
        <f>IF(ID!$B$84=G90,H90,"")</f>
        <v/>
      </c>
      <c r="J90" s="14" t="str">
        <f>IFERROR(SMALL($I$8:$I$100,ROWS(I$8:$I90)),"")</f>
        <v/>
      </c>
    </row>
    <row r="91" spans="2:10" ht="13.8" x14ac:dyDescent="0.3">
      <c r="B91" s="354">
        <v>150</v>
      </c>
      <c r="C91" s="351">
        <v>-0.05</v>
      </c>
      <c r="D91" s="776">
        <f t="shared" ref="D91:D96" si="9">1.2%*B91</f>
        <v>1.8</v>
      </c>
      <c r="E91" s="368"/>
      <c r="F91" s="370"/>
      <c r="G91" s="539"/>
      <c r="H91" s="37">
        <f>ROWS(G$8:$G91)</f>
        <v>84</v>
      </c>
      <c r="I91" s="14" t="str">
        <f>IF(ID!$B$84=G91,H91,"")</f>
        <v/>
      </c>
      <c r="J91" s="14" t="str">
        <f>IFERROR(SMALL($I$8:$I$100,ROWS(I$8:$I91)),"")</f>
        <v/>
      </c>
    </row>
    <row r="92" spans="2:10" ht="13.8" x14ac:dyDescent="0.3">
      <c r="B92" s="354">
        <v>180</v>
      </c>
      <c r="C92" s="355">
        <v>-0.04</v>
      </c>
      <c r="D92" s="776">
        <f t="shared" si="9"/>
        <v>2.16</v>
      </c>
      <c r="E92" s="368"/>
      <c r="F92" s="370"/>
      <c r="G92" s="539"/>
      <c r="H92" s="37">
        <f>ROWS(G$8:$G92)</f>
        <v>85</v>
      </c>
      <c r="I92" s="14" t="str">
        <f>IF(ID!$B$84=G92,H92,"")</f>
        <v/>
      </c>
      <c r="J92" s="14" t="str">
        <f>IFERROR(SMALL($I$8:$I$100,ROWS(I$8:$I92)),"")</f>
        <v/>
      </c>
    </row>
    <row r="93" spans="2:10" ht="13.8" x14ac:dyDescent="0.3">
      <c r="B93" s="354">
        <v>200</v>
      </c>
      <c r="C93" s="355">
        <v>-0.67</v>
      </c>
      <c r="D93" s="776">
        <f t="shared" si="9"/>
        <v>2.4</v>
      </c>
      <c r="E93" s="368"/>
      <c r="F93" s="370"/>
      <c r="G93" s="539"/>
      <c r="H93" s="37">
        <f>ROWS(G$8:$G93)</f>
        <v>86</v>
      </c>
      <c r="I93" s="14" t="str">
        <f>IF(ID!$B$84=G93,H93,"")</f>
        <v/>
      </c>
      <c r="J93" s="14" t="str">
        <f>IFERROR(SMALL($I$8:$I$100,ROWS(I$8:$I93)),"")</f>
        <v/>
      </c>
    </row>
    <row r="94" spans="2:10" ht="13.8" x14ac:dyDescent="0.3">
      <c r="B94" s="357">
        <v>220</v>
      </c>
      <c r="C94" s="355">
        <v>0</v>
      </c>
      <c r="D94" s="776">
        <f t="shared" si="9"/>
        <v>2.64</v>
      </c>
      <c r="E94" s="368"/>
      <c r="F94" s="370"/>
      <c r="G94" s="539"/>
      <c r="H94" s="37">
        <f>ROWS(G$8:$G94)</f>
        <v>87</v>
      </c>
      <c r="I94" s="14" t="str">
        <f>IF(ID!$B$84=G94,H94,"")</f>
        <v/>
      </c>
      <c r="J94" s="14" t="str">
        <f>IFERROR(SMALL($I$8:$I$100,ROWS(I$8:$I94)),"")</f>
        <v/>
      </c>
    </row>
    <row r="95" spans="2:10" ht="14.4" thickBot="1" x14ac:dyDescent="0.35">
      <c r="B95" s="358">
        <v>230</v>
      </c>
      <c r="C95" s="355">
        <v>-0.11</v>
      </c>
      <c r="D95" s="776">
        <f t="shared" si="9"/>
        <v>2.7600000000000002</v>
      </c>
      <c r="E95" s="368"/>
      <c r="F95" s="370"/>
      <c r="G95" s="539"/>
      <c r="H95" s="37">
        <f>ROWS(G$8:$G95)</f>
        <v>88</v>
      </c>
      <c r="I95" s="14" t="str">
        <f>IF(ID!$B$84=G95,H95,"")</f>
        <v/>
      </c>
      <c r="J95" s="14" t="str">
        <f>IFERROR(SMALL($I$8:$I$100,ROWS(I$8:$I95)),"")</f>
        <v/>
      </c>
    </row>
    <row r="96" spans="2:10" ht="13.8" x14ac:dyDescent="0.3">
      <c r="B96" s="359">
        <v>250</v>
      </c>
      <c r="C96" s="360">
        <f>C95</f>
        <v>-0.11</v>
      </c>
      <c r="D96" s="776">
        <f t="shared" si="9"/>
        <v>3</v>
      </c>
      <c r="E96" s="368"/>
      <c r="F96" s="370"/>
      <c r="G96" s="539"/>
      <c r="H96" s="37">
        <f>ROWS(G$8:$G96)</f>
        <v>89</v>
      </c>
      <c r="I96" s="14" t="str">
        <f>IF(ID!$B$84=G96,H96,"")</f>
        <v/>
      </c>
      <c r="J96" s="14" t="str">
        <f>IFERROR(SMALL($I$8:$I$100,ROWS(I$8:$I96)),"")</f>
        <v/>
      </c>
    </row>
    <row r="97" spans="8:10" x14ac:dyDescent="0.25">
      <c r="H97" s="37">
        <f>ROWS(G$8:$G97)</f>
        <v>90</v>
      </c>
      <c r="I97" s="14" t="str">
        <f>IF(ID!$B$84=G97,H97,"")</f>
        <v/>
      </c>
      <c r="J97" s="14" t="str">
        <f>IFERROR(SMALL($I$8:$I$100,ROWS(I$8:$I97)),"")</f>
        <v/>
      </c>
    </row>
    <row r="98" spans="8:10" x14ac:dyDescent="0.25">
      <c r="H98" s="37">
        <f>ROWS(G$8:$G98)</f>
        <v>91</v>
      </c>
      <c r="I98" s="14" t="str">
        <f>IF(ID!$B$84=G98,H98,"")</f>
        <v/>
      </c>
      <c r="J98" s="14" t="str">
        <f>IFERROR(SMALL($I$8:$I$100,ROWS(I$8:$I98)),"")</f>
        <v/>
      </c>
    </row>
    <row r="99" spans="8:10" x14ac:dyDescent="0.25">
      <c r="H99" s="37">
        <f>ROWS(G$8:$G99)</f>
        <v>92</v>
      </c>
      <c r="I99" s="14" t="str">
        <f>IF(ID!$B$84=G99,H99,"")</f>
        <v/>
      </c>
      <c r="J99" s="14" t="str">
        <f>IFERROR(SMALL($I$8:$I$100,ROWS(I$8:$I99)),"")</f>
        <v/>
      </c>
    </row>
    <row r="100" spans="8:10" x14ac:dyDescent="0.25">
      <c r="H100" s="37">
        <f>ROWS(G$8:$G100)</f>
        <v>93</v>
      </c>
      <c r="I100" s="14" t="str">
        <f>IF(ID!$B$84=G100,H100,"")</f>
        <v/>
      </c>
      <c r="J100" s="14" t="str">
        <f>IFERROR(SMALL($I$8:$I$100,ROWS(I$8:$I100)),"")</f>
        <v/>
      </c>
    </row>
  </sheetData>
  <sheetProtection algorithmName="SHA-512" hashValue="Kk7wcTPXqu41Kle2402lwDKwl77iV48gar8Lm/Glmy29a/eyC6Hr8XM2YXo2QLvBuRkI3umnhn86kDiHzKZUpQ==" saltValue="V7nNz8ESROK/gnoW6XEfPg==" spinCount="100000" sheet="1" objects="1" scenarios="1"/>
  <pageMargins left="0.7" right="0.7" top="0.75" bottom="0.75" header="0.3" footer="0.3"/>
  <pageSetup orientation="portrait" horizontalDpi="90" verticalDpi="9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6"/>
  <dimension ref="B2:Q114"/>
  <sheetViews>
    <sheetView topLeftCell="A94" workbookViewId="0">
      <selection activeCell="B7" sqref="B7:E114"/>
    </sheetView>
  </sheetViews>
  <sheetFormatPr defaultColWidth="9.21875" defaultRowHeight="13.2" x14ac:dyDescent="0.25"/>
  <cols>
    <col min="5" max="5" width="67.21875" customWidth="1"/>
    <col min="15" max="15" width="65.44140625" customWidth="1"/>
  </cols>
  <sheetData>
    <row r="2" spans="2:17" x14ac:dyDescent="0.25">
      <c r="K2" s="303"/>
      <c r="L2" s="303"/>
      <c r="M2" s="303"/>
      <c r="N2" s="303"/>
      <c r="O2" s="304" t="s">
        <v>266</v>
      </c>
      <c r="P2" s="311"/>
      <c r="Q2" s="311"/>
    </row>
    <row r="3" spans="2:17" x14ac:dyDescent="0.25">
      <c r="K3" s="303"/>
      <c r="L3" s="303"/>
      <c r="M3" s="303"/>
      <c r="N3" s="303"/>
      <c r="O3" s="298" t="s">
        <v>281</v>
      </c>
    </row>
    <row r="4" spans="2:17" x14ac:dyDescent="0.25">
      <c r="K4" s="303"/>
      <c r="L4" s="303"/>
      <c r="M4" s="303"/>
      <c r="N4" s="303"/>
      <c r="O4" s="298" t="s">
        <v>281</v>
      </c>
    </row>
    <row r="5" spans="2:17" x14ac:dyDescent="0.25">
      <c r="K5" s="303"/>
      <c r="L5" s="303"/>
      <c r="M5" s="303"/>
      <c r="N5" s="303"/>
      <c r="O5" s="298" t="s">
        <v>282</v>
      </c>
    </row>
    <row r="6" spans="2:17" x14ac:dyDescent="0.25">
      <c r="K6" s="303"/>
      <c r="L6" s="303"/>
      <c r="M6" s="303"/>
      <c r="N6" s="303"/>
      <c r="O6" s="298" t="s">
        <v>283</v>
      </c>
    </row>
    <row r="7" spans="2:17" x14ac:dyDescent="0.25">
      <c r="B7" s="347" t="s">
        <v>290</v>
      </c>
      <c r="C7" s="579" t="s">
        <v>272</v>
      </c>
      <c r="D7" s="349" t="s">
        <v>273</v>
      </c>
      <c r="E7" s="2" t="s">
        <v>266</v>
      </c>
      <c r="F7" s="308" t="s">
        <v>275</v>
      </c>
      <c r="G7" s="308" t="s">
        <v>276</v>
      </c>
      <c r="H7" s="308" t="s">
        <v>277</v>
      </c>
      <c r="K7" s="305" t="s">
        <v>290</v>
      </c>
      <c r="L7" s="306" t="s">
        <v>272</v>
      </c>
      <c r="M7" s="307" t="s">
        <v>273</v>
      </c>
      <c r="N7" s="303"/>
      <c r="O7" s="298" t="s">
        <v>286</v>
      </c>
    </row>
    <row r="8" spans="2:17" ht="13.8" x14ac:dyDescent="0.25">
      <c r="B8" s="580">
        <v>0</v>
      </c>
      <c r="C8" s="798">
        <v>0</v>
      </c>
      <c r="D8" s="573">
        <v>2020</v>
      </c>
      <c r="E8" s="539" t="s">
        <v>255</v>
      </c>
      <c r="F8" s="37">
        <f>ROWS(E$8:$E8)</f>
        <v>1</v>
      </c>
      <c r="G8" s="14" t="str">
        <f>IF(ID!$B$84=E8,F8,"")</f>
        <v/>
      </c>
      <c r="H8" s="309" t="str">
        <f>IFERROR(SMALL($G$8:$G$114,ROWS(G$8:$G8)),"")</f>
        <v/>
      </c>
      <c r="K8" s="309" t="str">
        <f>IFERROR(INDEX($B$8:$D$114,$H8,COLUMNS(J$8:$J8)),"")</f>
        <v/>
      </c>
      <c r="L8" s="312" t="str">
        <f>IFERROR(INDEX($B$8:$D$114,$H8,COLUMNS($J$8:K8)),"")</f>
        <v/>
      </c>
      <c r="M8" s="309" t="str">
        <f>IFERROR(INDEX($B$8:$D$114,$H8,COLUMNS($J$8:L8)),"")</f>
        <v/>
      </c>
      <c r="N8" s="303"/>
      <c r="O8" s="298" t="s">
        <v>287</v>
      </c>
    </row>
    <row r="9" spans="2:17" x14ac:dyDescent="0.25">
      <c r="B9" s="372">
        <v>1</v>
      </c>
      <c r="C9" s="798">
        <v>0</v>
      </c>
      <c r="D9" s="573"/>
      <c r="E9" s="539" t="s">
        <v>255</v>
      </c>
      <c r="F9" s="37">
        <f>ROWS(E$8:$E9)</f>
        <v>2</v>
      </c>
      <c r="G9" s="14" t="str">
        <f>IF(ID!$B$84=E9,F9,"")</f>
        <v/>
      </c>
      <c r="H9" s="309" t="str">
        <f>IFERROR(SMALL($G$8:$G$114,ROWS(G$8:$G9)),"")</f>
        <v/>
      </c>
      <c r="K9" s="309" t="str">
        <f>IFERROR(INDEX($B$8:$D$114,$H9,COLUMNS(J$8:$J9)),"")</f>
        <v/>
      </c>
      <c r="L9" s="312" t="str">
        <f>IFERROR(INDEX($B$8:$D$114,$H9,COLUMNS($J$8:K9)),"")</f>
        <v/>
      </c>
      <c r="M9" s="309"/>
      <c r="N9" s="303"/>
      <c r="O9" s="298" t="s">
        <v>288</v>
      </c>
    </row>
    <row r="10" spans="2:17" x14ac:dyDescent="0.25">
      <c r="B10" s="372">
        <v>2</v>
      </c>
      <c r="C10" s="798">
        <v>0</v>
      </c>
      <c r="D10" s="573"/>
      <c r="E10" s="539" t="s">
        <v>255</v>
      </c>
      <c r="F10" s="37">
        <f>ROWS(E$8:$E10)</f>
        <v>3</v>
      </c>
      <c r="G10" s="14" t="str">
        <f>IF(ID!$B$84=E10,F10,"")</f>
        <v/>
      </c>
      <c r="H10" s="309" t="str">
        <f>IFERROR(SMALL($G$8:$G$114,ROWS(G$8:$G10)),"")</f>
        <v/>
      </c>
      <c r="K10" s="309" t="str">
        <f>IFERROR(INDEX($B$8:$D$114,$H10,COLUMNS(J$8:$J10)),"")</f>
        <v/>
      </c>
      <c r="L10" s="312" t="str">
        <f>IFERROR(INDEX($B$8:$D$114,$H10,COLUMNS($J$8:K10)),"")</f>
        <v/>
      </c>
      <c r="M10" s="309"/>
      <c r="N10" s="303"/>
      <c r="O10" s="310" t="s">
        <v>2</v>
      </c>
    </row>
    <row r="11" spans="2:17" x14ac:dyDescent="0.25">
      <c r="B11" s="372">
        <v>5</v>
      </c>
      <c r="C11" s="798">
        <v>0</v>
      </c>
      <c r="D11" s="573"/>
      <c r="E11" s="539" t="s">
        <v>255</v>
      </c>
      <c r="F11" s="37">
        <f>ROWS(E$8:$E11)</f>
        <v>4</v>
      </c>
      <c r="G11" s="14" t="str">
        <f>IF(ID!$B$84=E11,F11,"")</f>
        <v/>
      </c>
      <c r="H11" s="309" t="str">
        <f>IFERROR(SMALL($G$8:$G$114,ROWS(G$8:$G11)),"")</f>
        <v/>
      </c>
      <c r="K11" s="309" t="str">
        <f>IFERROR(INDEX($B$8:$D$114,$H11,COLUMNS(J$8:$J11)),"")</f>
        <v/>
      </c>
      <c r="L11" s="312" t="str">
        <f>IFERROR(INDEX($B$8:$D$114,$H11,COLUMNS($J$8:K11)),"")</f>
        <v/>
      </c>
      <c r="M11" s="309"/>
      <c r="N11" s="303"/>
      <c r="O11" s="310" t="s">
        <v>2</v>
      </c>
    </row>
    <row r="12" spans="2:17" x14ac:dyDescent="0.25">
      <c r="B12" s="372">
        <v>10</v>
      </c>
      <c r="C12" s="798">
        <v>0</v>
      </c>
      <c r="D12" s="573"/>
      <c r="E12" s="539" t="s">
        <v>255</v>
      </c>
      <c r="F12" s="37">
        <f>ROWS(E$8:$E12)</f>
        <v>5</v>
      </c>
      <c r="G12" s="14" t="str">
        <f>IF(ID!$B$84=E12,F12,"")</f>
        <v/>
      </c>
      <c r="H12" s="309" t="str">
        <f>IFERROR(SMALL($G$8:$G$114,ROWS(G$8:$G12)),"")</f>
        <v/>
      </c>
      <c r="K12" s="309" t="str">
        <f>IFERROR(INDEX($B$8:$D$114,$H12,COLUMNS(J$8:$J12)),"")</f>
        <v/>
      </c>
      <c r="L12" s="312" t="str">
        <f>IFERROR(INDEX($B$8:$D$114,$H12,COLUMNS($J$8:K12)),"")</f>
        <v/>
      </c>
      <c r="M12" s="309"/>
      <c r="N12" s="303"/>
      <c r="O12" s="310" t="s">
        <v>2</v>
      </c>
    </row>
    <row r="13" spans="2:17" x14ac:dyDescent="0.25">
      <c r="B13" s="372">
        <v>20</v>
      </c>
      <c r="C13" s="798">
        <v>0</v>
      </c>
      <c r="D13" s="573"/>
      <c r="E13" s="539" t="s">
        <v>255</v>
      </c>
      <c r="F13" s="37">
        <f>ROWS(E$8:$E13)</f>
        <v>6</v>
      </c>
      <c r="G13" s="14" t="str">
        <f>IF(ID!$B$84=E13,F13,"")</f>
        <v/>
      </c>
      <c r="H13" s="309" t="str">
        <f>IFERROR(SMALL($G$8:$G$114,ROWS(G$8:$G13)),"")</f>
        <v/>
      </c>
      <c r="K13" s="309" t="str">
        <f>IFERROR(INDEX($B$8:$D$114,$H13,COLUMNS(J$8:$J13)),"")</f>
        <v/>
      </c>
      <c r="L13" s="312" t="str">
        <f>IFERROR(INDEX($B$8:$D$114,$H13,COLUMNS($J$8:K13)),"")</f>
        <v/>
      </c>
      <c r="M13" s="309"/>
      <c r="N13" s="303"/>
      <c r="O13" s="310" t="s">
        <v>2</v>
      </c>
    </row>
    <row r="14" spans="2:17" x14ac:dyDescent="0.25">
      <c r="B14" s="372">
        <v>50</v>
      </c>
      <c r="C14" s="798">
        <v>0</v>
      </c>
      <c r="D14" s="573"/>
      <c r="E14" s="539" t="s">
        <v>255</v>
      </c>
      <c r="F14" s="37">
        <f>ROWS(E$8:$E14)</f>
        <v>7</v>
      </c>
      <c r="G14" s="14" t="str">
        <f>IF(ID!$B$84=E14,F14,"")</f>
        <v/>
      </c>
      <c r="H14" s="309" t="str">
        <f>IFERROR(SMALL($G$8:$G$114,ROWS(G$8:$G14)),"")</f>
        <v/>
      </c>
      <c r="K14" s="309" t="str">
        <f>IFERROR(INDEX($B$8:$D$114,$H14,COLUMNS(J$8:$J14)),"")</f>
        <v/>
      </c>
      <c r="L14" s="312" t="str">
        <f>IFERROR(INDEX($B$8:$D$114,$H14,COLUMNS($J$8:K14)),"")</f>
        <v/>
      </c>
      <c r="M14" s="309"/>
      <c r="N14" s="303"/>
      <c r="O14" s="310"/>
    </row>
    <row r="15" spans="2:17" x14ac:dyDescent="0.25">
      <c r="B15" s="372">
        <v>100</v>
      </c>
      <c r="C15" s="798">
        <v>0</v>
      </c>
      <c r="D15" s="573"/>
      <c r="E15" s="539" t="s">
        <v>255</v>
      </c>
      <c r="F15" s="37">
        <f>ROWS(E$8:$E15)</f>
        <v>8</v>
      </c>
      <c r="G15" s="14" t="str">
        <f>IF(ID!$B$84=E15,F15,"")</f>
        <v/>
      </c>
      <c r="H15" s="309" t="str">
        <f>IFERROR(SMALL($G$8:$G$114,ROWS(G$8:$G15)),"")</f>
        <v/>
      </c>
      <c r="K15" s="309" t="str">
        <f>IFERROR(INDEX($B$8:$D$114,$H15,COLUMNS(J$8:$J15)),"")</f>
        <v/>
      </c>
      <c r="L15" s="312" t="str">
        <f>IFERROR(INDEX($B$8:$D$114,$H15,COLUMNS($J$8:K15)),"")</f>
        <v/>
      </c>
      <c r="M15" s="309"/>
      <c r="N15" s="303"/>
      <c r="O15" s="310"/>
    </row>
    <row r="16" spans="2:17" x14ac:dyDescent="0.25">
      <c r="B16" s="581">
        <v>200</v>
      </c>
      <c r="C16" s="582">
        <f>C15</f>
        <v>0</v>
      </c>
      <c r="D16" s="583"/>
      <c r="E16" s="549" t="s">
        <v>255</v>
      </c>
      <c r="F16" s="37">
        <f>ROWS(E$8:$E16)</f>
        <v>9</v>
      </c>
      <c r="G16" s="14" t="str">
        <f>IF(ID!$B$84=E16,F16,"")</f>
        <v/>
      </c>
      <c r="H16" s="309" t="str">
        <f>IFERROR(SMALL($G$8:$G$114,ROWS(G$8:$G16)),"")</f>
        <v/>
      </c>
      <c r="K16" s="309" t="str">
        <f>IFERROR(INDEX($B$8:$D$114,$H16,COLUMNS(J$8:$J16)),"")</f>
        <v/>
      </c>
      <c r="L16" s="312" t="str">
        <f>IFERROR(INDEX($B$8:$D$114,$H16,COLUMNS($J$8:K16)),"")</f>
        <v/>
      </c>
      <c r="M16" s="309"/>
      <c r="N16" s="303"/>
      <c r="O16" s="310"/>
    </row>
    <row r="17" spans="2:15" x14ac:dyDescent="0.25">
      <c r="C17" s="759"/>
      <c r="F17" s="37">
        <f>ROWS(E$8:$E17)</f>
        <v>10</v>
      </c>
      <c r="G17" s="14" t="str">
        <f>IF(ID!$B$84=E17,F17,"")</f>
        <v/>
      </c>
      <c r="H17" s="309" t="str">
        <f>IFERROR(SMALL($G$8:$G$114,ROWS(G$8:$G17)),"")</f>
        <v/>
      </c>
      <c r="K17" s="309" t="str">
        <f>IFERROR(INDEX($B$8:$D$114,$H17,COLUMNS(J$8:$J17)),"")</f>
        <v/>
      </c>
      <c r="L17" s="312" t="str">
        <f>IFERROR(INDEX($B$8:$D$114,$H17,COLUMNS($J$8:K17)),"")</f>
        <v/>
      </c>
      <c r="M17" s="309"/>
      <c r="N17" s="303"/>
      <c r="O17" s="310" t="s">
        <v>2</v>
      </c>
    </row>
    <row r="18" spans="2:15" x14ac:dyDescent="0.25">
      <c r="B18" s="563">
        <v>0</v>
      </c>
      <c r="C18" s="799">
        <v>0</v>
      </c>
      <c r="D18" s="559">
        <v>2019</v>
      </c>
      <c r="E18" s="539" t="s">
        <v>256</v>
      </c>
      <c r="F18" s="37">
        <f>ROWS(E$8:$E18)</f>
        <v>11</v>
      </c>
      <c r="G18" s="14" t="str">
        <f>IF(ID!$B$84=E18,F18,"")</f>
        <v/>
      </c>
      <c r="H18" s="309" t="str">
        <f>IFERROR(SMALL($G$8:$G$114,ROWS(G$8:$G18)),"")</f>
        <v/>
      </c>
    </row>
    <row r="19" spans="2:15" ht="13.8" x14ac:dyDescent="0.25">
      <c r="B19" s="373">
        <v>1</v>
      </c>
      <c r="C19" s="799">
        <v>0</v>
      </c>
      <c r="D19" s="559"/>
      <c r="E19" s="539" t="s">
        <v>256</v>
      </c>
      <c r="F19" s="37">
        <f>ROWS(E$8:$E19)</f>
        <v>12</v>
      </c>
      <c r="G19" s="14" t="str">
        <f>IF(ID!$B$84=E19,F19,"")</f>
        <v/>
      </c>
      <c r="H19" s="309" t="str">
        <f>IFERROR(SMALL($G$8:$G$114,ROWS(G$8:$G19)),"")</f>
        <v/>
      </c>
    </row>
    <row r="20" spans="2:15" x14ac:dyDescent="0.25">
      <c r="B20" s="357">
        <v>2</v>
      </c>
      <c r="C20" s="800">
        <v>0</v>
      </c>
      <c r="D20" s="559"/>
      <c r="E20" s="539" t="s">
        <v>256</v>
      </c>
      <c r="F20" s="37">
        <f>ROWS(E$8:$E20)</f>
        <v>13</v>
      </c>
      <c r="G20" s="14" t="str">
        <f>IF(ID!$B$84=E20,F20,"")</f>
        <v/>
      </c>
      <c r="H20" s="309" t="str">
        <f>IFERROR(SMALL($G$8:$G$114,ROWS(G$8:$G20)),"")</f>
        <v/>
      </c>
    </row>
    <row r="21" spans="2:15" x14ac:dyDescent="0.25">
      <c r="B21" s="357">
        <v>5</v>
      </c>
      <c r="C21" s="800">
        <v>0</v>
      </c>
      <c r="D21" s="559"/>
      <c r="E21" s="539" t="s">
        <v>256</v>
      </c>
      <c r="F21" s="37">
        <f>ROWS(E$8:$E21)</f>
        <v>14</v>
      </c>
      <c r="G21" s="14" t="str">
        <f>IF(ID!$B$84=E21,F21,"")</f>
        <v/>
      </c>
      <c r="H21" s="309" t="str">
        <f>IFERROR(SMALL($G$8:$G$114,ROWS(G$8:$G21)),"")</f>
        <v/>
      </c>
    </row>
    <row r="22" spans="2:15" ht="13.8" thickBot="1" x14ac:dyDescent="0.3">
      <c r="B22" s="584">
        <v>9.9</v>
      </c>
      <c r="C22" s="759">
        <v>0.1</v>
      </c>
      <c r="D22" s="559"/>
      <c r="E22" s="539" t="s">
        <v>256</v>
      </c>
      <c r="F22" s="37">
        <f>ROWS(E$8:$E22)</f>
        <v>15</v>
      </c>
      <c r="G22" s="14" t="str">
        <f>IF(ID!$B$84=E22,F22,"")</f>
        <v/>
      </c>
      <c r="H22" s="309" t="str">
        <f>IFERROR(SMALL($G$8:$G$114,ROWS(G$8:$G22)),"")</f>
        <v/>
      </c>
    </row>
    <row r="23" spans="2:15" x14ac:dyDescent="0.25">
      <c r="B23" s="585">
        <v>19.8</v>
      </c>
      <c r="C23" s="759">
        <v>0.2</v>
      </c>
      <c r="D23" s="559"/>
      <c r="E23" s="539" t="s">
        <v>256</v>
      </c>
      <c r="F23" s="37">
        <f>ROWS(E$8:$E23)</f>
        <v>16</v>
      </c>
      <c r="G23" s="14" t="str">
        <f>IF(ID!$B$84=E23,F23,"")</f>
        <v/>
      </c>
      <c r="H23" s="309" t="str">
        <f>IFERROR(SMALL($G$8:$G$114,ROWS(G$8:$G23)),"")</f>
        <v/>
      </c>
    </row>
    <row r="24" spans="2:15" x14ac:dyDescent="0.25">
      <c r="B24" s="585">
        <v>49.7</v>
      </c>
      <c r="C24" s="759">
        <v>0.3</v>
      </c>
      <c r="D24" s="559"/>
      <c r="E24" s="539" t="s">
        <v>256</v>
      </c>
      <c r="F24" s="37">
        <f>ROWS(E$8:$E24)</f>
        <v>17</v>
      </c>
      <c r="G24" s="14" t="str">
        <f>IF(ID!$B$84=E24,F24,"")</f>
        <v/>
      </c>
      <c r="H24" s="309" t="str">
        <f>IFERROR(SMALL($G$8:$G$114,ROWS(G$8:$G24)),"")</f>
        <v/>
      </c>
    </row>
    <row r="25" spans="2:15" x14ac:dyDescent="0.25">
      <c r="B25" s="585">
        <v>99.7</v>
      </c>
      <c r="C25" s="759">
        <v>0.3</v>
      </c>
      <c r="D25" s="559"/>
      <c r="E25" s="539" t="s">
        <v>256</v>
      </c>
      <c r="F25" s="37">
        <f>ROWS(E$8:$E25)</f>
        <v>18</v>
      </c>
      <c r="G25" s="14" t="str">
        <f>IF(ID!$B$84=E25,F25,"")</f>
        <v/>
      </c>
      <c r="H25" s="309" t="str">
        <f>IFERROR(SMALL($G$8:$G$114,ROWS(G$8:$G25)),"")</f>
        <v/>
      </c>
    </row>
    <row r="26" spans="2:15" x14ac:dyDescent="0.25">
      <c r="B26" s="581">
        <v>200</v>
      </c>
      <c r="C26" s="582">
        <f>C25</f>
        <v>0.3</v>
      </c>
      <c r="E26" s="549" t="s">
        <v>256</v>
      </c>
      <c r="F26" s="37">
        <f>ROWS(E$8:$E26)</f>
        <v>19</v>
      </c>
      <c r="G26" s="14" t="str">
        <f>IF(ID!$B$84=E26,F26,"")</f>
        <v/>
      </c>
      <c r="H26" s="309" t="str">
        <f>IFERROR(SMALL($G$8:$G$114,ROWS(G$8:$G26)),"")</f>
        <v/>
      </c>
    </row>
    <row r="27" spans="2:15" ht="13.8" x14ac:dyDescent="0.25">
      <c r="B27" s="801" t="s">
        <v>290</v>
      </c>
      <c r="C27" s="802" t="s">
        <v>272</v>
      </c>
      <c r="D27" s="803" t="s">
        <v>273</v>
      </c>
      <c r="E27" s="586"/>
      <c r="F27" s="37">
        <f>ROWS(E$8:$E27)</f>
        <v>20</v>
      </c>
      <c r="G27" s="14" t="str">
        <f>IF(ID!$B$84=E27,F27,"")</f>
        <v/>
      </c>
      <c r="H27" s="309" t="str">
        <f>IFERROR(SMALL($G$8:$G$114,ROWS(G$8:$G27)),"")</f>
        <v/>
      </c>
    </row>
    <row r="28" spans="2:15" x14ac:dyDescent="0.25">
      <c r="B28" s="587">
        <v>0</v>
      </c>
      <c r="C28" s="804">
        <v>0</v>
      </c>
      <c r="D28" s="573">
        <v>2022</v>
      </c>
      <c r="E28" s="539" t="s">
        <v>257</v>
      </c>
      <c r="F28" s="37">
        <f>ROWS(E$8:$E28)</f>
        <v>21</v>
      </c>
      <c r="G28" s="14" t="str">
        <f>IF(ID!$B$84=E28,F28,"")</f>
        <v/>
      </c>
      <c r="H28" s="309" t="str">
        <f>IFERROR(SMALL($G$8:$G$114,ROWS(G$8:$G28)),"")</f>
        <v/>
      </c>
    </row>
    <row r="29" spans="2:15" ht="13.8" x14ac:dyDescent="0.25">
      <c r="B29" s="580">
        <v>1</v>
      </c>
      <c r="C29" s="588">
        <v>0</v>
      </c>
      <c r="D29" s="589"/>
      <c r="E29" s="539" t="s">
        <v>257</v>
      </c>
      <c r="F29" s="37">
        <f>ROWS(E$8:$E29)</f>
        <v>22</v>
      </c>
      <c r="G29" s="14" t="str">
        <f>IF(ID!$B$84=E29,F29,"")</f>
        <v/>
      </c>
      <c r="H29" s="309" t="str">
        <f>IFERROR(SMALL($G$8:$G$114,ROWS(G$8:$G29)),"")</f>
        <v/>
      </c>
    </row>
    <row r="30" spans="2:15" x14ac:dyDescent="0.25">
      <c r="B30" s="372">
        <v>2</v>
      </c>
      <c r="C30" s="588">
        <v>0</v>
      </c>
      <c r="D30" s="589"/>
      <c r="E30" s="539" t="s">
        <v>257</v>
      </c>
      <c r="F30" s="37">
        <f>ROWS(E$8:$E30)</f>
        <v>23</v>
      </c>
      <c r="G30" s="14" t="str">
        <f>IF(ID!$B$84=E30,F30,"")</f>
        <v/>
      </c>
      <c r="H30" s="309" t="str">
        <f>IFERROR(SMALL($G$8:$G$114,ROWS(G$8:$G30)),"")</f>
        <v/>
      </c>
    </row>
    <row r="31" spans="2:15" x14ac:dyDescent="0.25">
      <c r="B31" s="372">
        <v>5</v>
      </c>
      <c r="C31" s="588">
        <v>0</v>
      </c>
      <c r="D31" s="589"/>
      <c r="E31" s="539" t="s">
        <v>257</v>
      </c>
      <c r="F31" s="37">
        <f>ROWS(E$8:$E31)</f>
        <v>24</v>
      </c>
      <c r="G31" s="14" t="str">
        <f>IF(ID!$B$84=E31,F31,"")</f>
        <v/>
      </c>
      <c r="H31" s="309" t="str">
        <f>IFERROR(SMALL($G$8:$G$114,ROWS(G$8:$G31)),"")</f>
        <v/>
      </c>
    </row>
    <row r="32" spans="2:15" x14ac:dyDescent="0.25">
      <c r="B32" s="372">
        <v>10</v>
      </c>
      <c r="C32" s="588">
        <v>0</v>
      </c>
      <c r="D32" s="589"/>
      <c r="E32" s="539" t="s">
        <v>257</v>
      </c>
      <c r="F32" s="37">
        <f>ROWS(E$8:$E32)</f>
        <v>25</v>
      </c>
      <c r="G32" s="14" t="str">
        <f>IF(ID!$B$84=E32,F32,"")</f>
        <v/>
      </c>
      <c r="H32" s="309" t="str">
        <f>IFERROR(SMALL($G$8:$G$114,ROWS(G$8:$G32)),"")</f>
        <v/>
      </c>
    </row>
    <row r="33" spans="2:8" x14ac:dyDescent="0.25">
      <c r="B33" s="372">
        <v>20</v>
      </c>
      <c r="C33" s="588">
        <v>0</v>
      </c>
      <c r="D33" s="589"/>
      <c r="E33" s="539" t="s">
        <v>257</v>
      </c>
      <c r="F33" s="37">
        <f>ROWS(E$8:$E33)</f>
        <v>26</v>
      </c>
      <c r="G33" s="14" t="str">
        <f>IF(ID!$B$84=E33,F33,"")</f>
        <v/>
      </c>
      <c r="H33" s="309" t="str">
        <f>IFERROR(SMALL($G$8:$G$114,ROWS(G$8:$G33)),"")</f>
        <v/>
      </c>
    </row>
    <row r="34" spans="2:8" x14ac:dyDescent="0.25">
      <c r="B34" s="372">
        <v>49.9</v>
      </c>
      <c r="C34" s="588">
        <v>0.1</v>
      </c>
      <c r="D34" s="589"/>
      <c r="E34" s="539" t="s">
        <v>257</v>
      </c>
      <c r="F34" s="37">
        <f>ROWS(E$8:$E34)</f>
        <v>27</v>
      </c>
      <c r="G34" s="14" t="str">
        <f>IF(ID!$B$84=E34,F34,"")</f>
        <v/>
      </c>
      <c r="H34" s="309" t="str">
        <f>IFERROR(SMALL($G$8:$G$114,ROWS(G$8:$G34)),"")</f>
        <v/>
      </c>
    </row>
    <row r="35" spans="2:8" x14ac:dyDescent="0.25">
      <c r="B35" s="372">
        <v>99.9</v>
      </c>
      <c r="C35" s="588">
        <v>0.1</v>
      </c>
      <c r="D35" s="589"/>
      <c r="E35" s="539" t="s">
        <v>257</v>
      </c>
      <c r="F35" s="37">
        <f>ROWS(E$8:$E35)</f>
        <v>28</v>
      </c>
      <c r="G35" s="14" t="str">
        <f>IF(ID!$B$84=E35,F35,"")</f>
        <v/>
      </c>
      <c r="H35" s="309" t="str">
        <f>IFERROR(SMALL($G$8:$G$114,ROWS(G$8:$G35)),"")</f>
        <v/>
      </c>
    </row>
    <row r="36" spans="2:8" x14ac:dyDescent="0.25">
      <c r="B36" s="581">
        <v>200</v>
      </c>
      <c r="C36" s="582">
        <f>C35</f>
        <v>0.1</v>
      </c>
      <c r="D36" s="590"/>
      <c r="E36" s="549" t="s">
        <v>257</v>
      </c>
      <c r="F36" s="37">
        <f>ROWS(E$8:$E36)</f>
        <v>29</v>
      </c>
      <c r="G36" s="14" t="str">
        <f>IF(ID!$B$84=E36,F36,"")</f>
        <v/>
      </c>
      <c r="H36" s="309" t="str">
        <f>IFERROR(SMALL($G$8:$G$114,ROWS(G$8:$G36)),"")</f>
        <v/>
      </c>
    </row>
    <row r="37" spans="2:8" ht="13.8" x14ac:dyDescent="0.3">
      <c r="B37" s="779" t="s">
        <v>284</v>
      </c>
      <c r="C37" s="779" t="s">
        <v>272</v>
      </c>
      <c r="D37" s="780" t="s">
        <v>273</v>
      </c>
      <c r="E37" s="591"/>
      <c r="F37" s="37">
        <f>ROWS(E$8:$E37)</f>
        <v>30</v>
      </c>
      <c r="G37" s="14" t="str">
        <f>IF(ID!$B$84=E37,F37,"")</f>
        <v/>
      </c>
      <c r="H37" s="309" t="str">
        <f>IFERROR(SMALL($G$8:$G$114,ROWS(G$8:$G37)),"")</f>
        <v/>
      </c>
    </row>
    <row r="38" spans="2:8" x14ac:dyDescent="0.25">
      <c r="B38" s="587">
        <v>0</v>
      </c>
      <c r="C38" s="804">
        <v>0</v>
      </c>
      <c r="D38" s="573">
        <v>2021</v>
      </c>
      <c r="E38" s="551" t="s">
        <v>147</v>
      </c>
      <c r="F38" s="37">
        <f>ROWS(E$8:$E38)</f>
        <v>31</v>
      </c>
      <c r="G38" s="14" t="str">
        <f>IF(ID!$B$84=E38,F38,"")</f>
        <v/>
      </c>
      <c r="H38" s="309" t="str">
        <f>IFERROR(SMALL($G$8:$G$114,ROWS(G$8:$G38)),"")</f>
        <v/>
      </c>
    </row>
    <row r="39" spans="2:8" ht="13.8" x14ac:dyDescent="0.25">
      <c r="B39" s="580">
        <v>1</v>
      </c>
      <c r="C39" s="588">
        <v>0</v>
      </c>
      <c r="D39" s="589"/>
      <c r="E39" s="551" t="s">
        <v>147</v>
      </c>
      <c r="F39" s="37">
        <f>ROWS(E$8:$E39)</f>
        <v>32</v>
      </c>
      <c r="G39" s="14" t="str">
        <f>IF(ID!$B$84=E39,F39,"")</f>
        <v/>
      </c>
      <c r="H39" s="309" t="str">
        <f>IFERROR(SMALL($G$8:$G$114,ROWS(G$8:$G39)),"")</f>
        <v/>
      </c>
    </row>
    <row r="40" spans="2:8" x14ac:dyDescent="0.25">
      <c r="B40" s="372">
        <v>2</v>
      </c>
      <c r="C40" s="588">
        <v>0</v>
      </c>
      <c r="D40" s="589"/>
      <c r="E40" s="551" t="s">
        <v>147</v>
      </c>
      <c r="F40" s="37">
        <f>ROWS(E$8:$E40)</f>
        <v>33</v>
      </c>
      <c r="G40" s="14" t="str">
        <f>IF(ID!$B$84=E40,F40,"")</f>
        <v/>
      </c>
      <c r="H40" s="309" t="str">
        <f>IFERROR(SMALL($G$8:$G$114,ROWS(G$8:$G40)),"")</f>
        <v/>
      </c>
    </row>
    <row r="41" spans="2:8" x14ac:dyDescent="0.25">
      <c r="B41" s="372">
        <v>5</v>
      </c>
      <c r="C41" s="588">
        <v>0</v>
      </c>
      <c r="D41" s="589"/>
      <c r="E41" s="551" t="s">
        <v>147</v>
      </c>
      <c r="F41" s="37">
        <f>ROWS(E$8:$E41)</f>
        <v>34</v>
      </c>
      <c r="G41" s="14" t="str">
        <f>IF(ID!$B$84=E41,F41,"")</f>
        <v/>
      </c>
      <c r="H41" s="309" t="str">
        <f>IFERROR(SMALL($G$8:$G$114,ROWS(G$8:$G41)),"")</f>
        <v/>
      </c>
    </row>
    <row r="42" spans="2:8" x14ac:dyDescent="0.25">
      <c r="B42" s="372">
        <v>10</v>
      </c>
      <c r="C42" s="588">
        <v>0</v>
      </c>
      <c r="D42" s="589"/>
      <c r="E42" s="551" t="s">
        <v>147</v>
      </c>
      <c r="F42" s="37">
        <f>ROWS(E$8:$E42)</f>
        <v>35</v>
      </c>
      <c r="G42" s="14" t="str">
        <f>IF(ID!$B$84=E42,F42,"")</f>
        <v/>
      </c>
      <c r="H42" s="309" t="str">
        <f>IFERROR(SMALL($G$8:$G$114,ROWS(G$8:$G42)),"")</f>
        <v/>
      </c>
    </row>
    <row r="43" spans="2:8" x14ac:dyDescent="0.25">
      <c r="B43" s="372">
        <v>19.899999999999999</v>
      </c>
      <c r="C43" s="588">
        <v>0.1</v>
      </c>
      <c r="D43" s="589"/>
      <c r="E43" s="551" t="s">
        <v>147</v>
      </c>
      <c r="F43" s="37">
        <f>ROWS(E$8:$E43)</f>
        <v>36</v>
      </c>
      <c r="G43" s="14" t="str">
        <f>IF(ID!$B$84=E43,F43,"")</f>
        <v/>
      </c>
      <c r="H43" s="309" t="str">
        <f>IFERROR(SMALL($G$8:$G$114,ROWS(G$8:$G43)),"")</f>
        <v/>
      </c>
    </row>
    <row r="44" spans="2:8" x14ac:dyDescent="0.25">
      <c r="B44" s="372">
        <v>49.6</v>
      </c>
      <c r="C44" s="588">
        <v>0.4</v>
      </c>
      <c r="D44" s="592"/>
      <c r="E44" s="551" t="s">
        <v>147</v>
      </c>
      <c r="F44" s="37">
        <f>ROWS(E$8:$E44)</f>
        <v>37</v>
      </c>
      <c r="G44" s="14" t="str">
        <f>IF(ID!$B$84=E44,F44,"")</f>
        <v/>
      </c>
      <c r="H44" s="309" t="str">
        <f>IFERROR(SMALL($G$8:$G$114,ROWS(G$8:$G44)),"")</f>
        <v/>
      </c>
    </row>
    <row r="45" spans="2:8" x14ac:dyDescent="0.25">
      <c r="B45" s="372">
        <v>98.6</v>
      </c>
      <c r="C45" s="588">
        <v>1.4</v>
      </c>
      <c r="D45" s="589"/>
      <c r="E45" s="551" t="s">
        <v>147</v>
      </c>
      <c r="F45" s="37">
        <f>ROWS(E$8:$E45)</f>
        <v>38</v>
      </c>
      <c r="G45" s="14" t="str">
        <f>IF(ID!$B$84=E45,F45,"")</f>
        <v/>
      </c>
      <c r="H45" s="309" t="str">
        <f>IFERROR(SMALL($G$8:$G$114,ROWS(G$8:$G45)),"")</f>
        <v/>
      </c>
    </row>
    <row r="46" spans="2:8" x14ac:dyDescent="0.25">
      <c r="B46" s="581">
        <v>200</v>
      </c>
      <c r="C46" s="582">
        <f>C45</f>
        <v>1.4</v>
      </c>
      <c r="D46" s="590"/>
      <c r="E46" s="549" t="s">
        <v>147</v>
      </c>
      <c r="F46" s="37">
        <f>ROWS(E$8:$E46)</f>
        <v>39</v>
      </c>
      <c r="G46" s="14" t="str">
        <f>IF(ID!$B$84=E46,F46,"")</f>
        <v/>
      </c>
      <c r="H46" s="309" t="str">
        <f>IFERROR(SMALL($G$8:$G$114,ROWS(G$8:$G46)),"")</f>
        <v/>
      </c>
    </row>
    <row r="47" spans="2:8" x14ac:dyDescent="0.25">
      <c r="C47" s="759"/>
      <c r="E47" s="591"/>
      <c r="F47" s="37">
        <f>ROWS(E$8:$E47)</f>
        <v>40</v>
      </c>
      <c r="G47" s="14" t="str">
        <f>IF(ID!$B$84=E47,F47,"")</f>
        <v/>
      </c>
      <c r="H47" s="309" t="str">
        <f>IFERROR(SMALL($G$8:$G$114,ROWS(G$8:$G47)),"")</f>
        <v/>
      </c>
    </row>
    <row r="48" spans="2:8" x14ac:dyDescent="0.25">
      <c r="B48" s="372">
        <v>0</v>
      </c>
      <c r="C48" s="805">
        <v>0</v>
      </c>
      <c r="D48" s="573">
        <v>2021</v>
      </c>
      <c r="E48" s="539" t="s">
        <v>258</v>
      </c>
      <c r="F48" s="37">
        <f>ROWS(E$8:$E48)</f>
        <v>41</v>
      </c>
      <c r="G48" s="14" t="str">
        <f>IF(ID!$B$84=E48,F48,"")</f>
        <v/>
      </c>
      <c r="H48" s="309" t="str">
        <f>IFERROR(SMALL($G$8:$G$114,ROWS(G$8:$G48)),"")</f>
        <v/>
      </c>
    </row>
    <row r="49" spans="2:8" ht="13.8" x14ac:dyDescent="0.25">
      <c r="B49" s="580">
        <v>1</v>
      </c>
      <c r="C49" s="798">
        <v>0</v>
      </c>
      <c r="D49" s="589"/>
      <c r="E49" s="539" t="s">
        <v>258</v>
      </c>
      <c r="F49" s="37">
        <f>ROWS(E$8:$E49)</f>
        <v>42</v>
      </c>
      <c r="G49" s="14" t="str">
        <f>IF(ID!$B$84=E49,F49,"")</f>
        <v/>
      </c>
      <c r="H49" s="309" t="str">
        <f>IFERROR(SMALL($G$8:$G$114,ROWS(G$8:$G49)),"")</f>
        <v/>
      </c>
    </row>
    <row r="50" spans="2:8" x14ac:dyDescent="0.25">
      <c r="B50" s="372">
        <v>2</v>
      </c>
      <c r="C50" s="593">
        <v>0</v>
      </c>
      <c r="D50" s="589"/>
      <c r="E50" s="539" t="s">
        <v>258</v>
      </c>
      <c r="F50" s="37">
        <f>ROWS(E$8:$E50)</f>
        <v>43</v>
      </c>
      <c r="G50" s="14" t="str">
        <f>IF(ID!$B$84=E50,F50,"")</f>
        <v/>
      </c>
      <c r="H50" s="309" t="str">
        <f>IFERROR(SMALL($G$8:$G$114,ROWS(G$8:$G50)),"")</f>
        <v/>
      </c>
    </row>
    <row r="51" spans="2:8" x14ac:dyDescent="0.25">
      <c r="B51" s="372">
        <v>5</v>
      </c>
      <c r="C51" s="593">
        <v>0</v>
      </c>
      <c r="D51" s="589"/>
      <c r="E51" s="539" t="s">
        <v>258</v>
      </c>
      <c r="F51" s="37">
        <f>ROWS(E$8:$E51)</f>
        <v>44</v>
      </c>
      <c r="G51" s="14" t="str">
        <f>IF(ID!$B$84=E51,F51,"")</f>
        <v/>
      </c>
      <c r="H51" s="309" t="str">
        <f>IFERROR(SMALL($G$8:$G$114,ROWS(G$8:$G51)),"")</f>
        <v/>
      </c>
    </row>
    <row r="52" spans="2:8" x14ac:dyDescent="0.25">
      <c r="B52" s="372">
        <v>10</v>
      </c>
      <c r="C52" s="593">
        <v>0</v>
      </c>
      <c r="D52" s="589"/>
      <c r="E52" s="539" t="s">
        <v>258</v>
      </c>
      <c r="F52" s="37">
        <f>ROWS(E$8:$E52)</f>
        <v>45</v>
      </c>
      <c r="G52" s="14" t="str">
        <f>IF(ID!$B$84=E52,F52,"")</f>
        <v/>
      </c>
      <c r="H52" s="309" t="str">
        <f>IFERROR(SMALL($G$8:$G$114,ROWS(G$8:$G52)),"")</f>
        <v/>
      </c>
    </row>
    <row r="53" spans="2:8" x14ac:dyDescent="0.25">
      <c r="B53" s="372">
        <v>19.899999999999999</v>
      </c>
      <c r="C53" s="593">
        <v>0.1</v>
      </c>
      <c r="D53" s="589"/>
      <c r="E53" s="539" t="s">
        <v>258</v>
      </c>
      <c r="F53" s="37">
        <f>ROWS(E$8:$E53)</f>
        <v>46</v>
      </c>
      <c r="G53" s="14" t="str">
        <f>IF(ID!$B$84=E53,F53,"")</f>
        <v/>
      </c>
      <c r="H53" s="309" t="str">
        <f>IFERROR(SMALL($G$8:$G$114,ROWS(G$8:$G53)),"")</f>
        <v/>
      </c>
    </row>
    <row r="54" spans="2:8" x14ac:dyDescent="0.25">
      <c r="B54" s="372">
        <v>49.4</v>
      </c>
      <c r="C54" s="593">
        <v>0.6</v>
      </c>
      <c r="D54" s="589"/>
      <c r="E54" s="539" t="s">
        <v>258</v>
      </c>
      <c r="F54" s="37">
        <f>ROWS(E$8:$E54)</f>
        <v>47</v>
      </c>
      <c r="G54" s="14" t="str">
        <f>IF(ID!$B$84=E54,F54,"")</f>
        <v/>
      </c>
      <c r="H54" s="309" t="str">
        <f>IFERROR(SMALL($G$8:$G$114,ROWS(G$8:$G54)),"")</f>
        <v/>
      </c>
    </row>
    <row r="55" spans="2:8" x14ac:dyDescent="0.25">
      <c r="B55" s="372">
        <v>98.5</v>
      </c>
      <c r="C55" s="593">
        <v>1.5</v>
      </c>
      <c r="D55" s="589"/>
      <c r="E55" s="539" t="s">
        <v>258</v>
      </c>
      <c r="F55" s="37">
        <f>ROWS(E$8:$E55)</f>
        <v>48</v>
      </c>
      <c r="G55" s="14" t="str">
        <f>IF(ID!$B$84=E55,F55,"")</f>
        <v/>
      </c>
      <c r="H55" s="309" t="str">
        <f>IFERROR(SMALL($G$8:$G$114,ROWS(G$8:$G55)),"")</f>
        <v/>
      </c>
    </row>
    <row r="56" spans="2:8" x14ac:dyDescent="0.25">
      <c r="B56" s="581">
        <v>200</v>
      </c>
      <c r="C56" s="582">
        <f>C55</f>
        <v>1.5</v>
      </c>
      <c r="D56" s="590"/>
      <c r="E56" s="549" t="s">
        <v>258</v>
      </c>
      <c r="F56" s="37">
        <f>ROWS(E$8:$E56)</f>
        <v>49</v>
      </c>
      <c r="G56" s="14" t="str">
        <f>IF(ID!$B$84=E56,F56,"")</f>
        <v/>
      </c>
      <c r="H56" s="309" t="str">
        <f>IFERROR(SMALL($G$8:$G$114,ROWS(G$8:$G56)),"")</f>
        <v/>
      </c>
    </row>
    <row r="57" spans="2:8" ht="13.8" x14ac:dyDescent="0.25">
      <c r="B57" s="801" t="s">
        <v>290</v>
      </c>
      <c r="C57" s="802" t="s">
        <v>272</v>
      </c>
      <c r="D57" s="803" t="s">
        <v>273</v>
      </c>
      <c r="E57" s="594"/>
      <c r="F57" s="37">
        <f>ROWS(E$8:$E57)</f>
        <v>50</v>
      </c>
      <c r="G57" s="14" t="str">
        <f>IF(ID!$B$84=E57,F57,"")</f>
        <v/>
      </c>
      <c r="H57" s="309" t="str">
        <f>IFERROR(SMALL($G$8:$G$114,ROWS(G$8:$G57)),"")</f>
        <v/>
      </c>
    </row>
    <row r="58" spans="2:8" x14ac:dyDescent="0.25">
      <c r="B58" s="585">
        <v>0</v>
      </c>
      <c r="C58" s="806">
        <v>0</v>
      </c>
      <c r="D58" s="559">
        <v>2022</v>
      </c>
      <c r="E58" s="539" t="s">
        <v>260</v>
      </c>
      <c r="F58" s="37">
        <f>ROWS(E$8:$E58)</f>
        <v>51</v>
      </c>
      <c r="G58" s="14" t="str">
        <f>IF(ID!$B$84=E58,F58,"")</f>
        <v/>
      </c>
      <c r="H58" s="309" t="str">
        <f>IFERROR(SMALL($G$8:$G$114,ROWS(G$8:$G58)),"")</f>
        <v/>
      </c>
    </row>
    <row r="59" spans="2:8" ht="13.8" x14ac:dyDescent="0.25">
      <c r="B59" s="373">
        <v>1</v>
      </c>
      <c r="C59" s="807">
        <v>0</v>
      </c>
      <c r="D59" s="559"/>
      <c r="E59" s="539" t="s">
        <v>260</v>
      </c>
      <c r="F59" s="37">
        <f>ROWS(E$8:$E59)</f>
        <v>52</v>
      </c>
      <c r="G59" s="14" t="str">
        <f>IF(ID!$B$84=E59,F59,"")</f>
        <v/>
      </c>
      <c r="H59" s="309" t="str">
        <f>IFERROR(SMALL($G$8:$G$114,ROWS(G$8:$G59)),"")</f>
        <v/>
      </c>
    </row>
    <row r="60" spans="2:8" x14ac:dyDescent="0.25">
      <c r="B60" s="357">
        <v>2</v>
      </c>
      <c r="C60" s="808">
        <v>0</v>
      </c>
      <c r="D60" s="559"/>
      <c r="E60" s="539" t="s">
        <v>260</v>
      </c>
      <c r="F60" s="37">
        <f>ROWS(E$8:$E60)</f>
        <v>53</v>
      </c>
      <c r="G60" s="14" t="str">
        <f>IF(ID!$B$84=E60,F60,"")</f>
        <v/>
      </c>
      <c r="H60" s="309" t="str">
        <f>IFERROR(SMALL($G$8:$G$114,ROWS(G$8:$G60)),"")</f>
        <v/>
      </c>
    </row>
    <row r="61" spans="2:8" x14ac:dyDescent="0.25">
      <c r="B61" s="357">
        <v>5</v>
      </c>
      <c r="C61" s="808">
        <v>0</v>
      </c>
      <c r="D61" s="559"/>
      <c r="E61" s="539" t="s">
        <v>260</v>
      </c>
      <c r="F61" s="37">
        <f>ROWS(E$8:$E61)</f>
        <v>54</v>
      </c>
      <c r="G61" s="14" t="str">
        <f>IF(ID!$B$84=E61,F61,"")</f>
        <v/>
      </c>
      <c r="H61" s="309" t="str">
        <f>IFERROR(SMALL($G$8:$G$114,ROWS(G$8:$G61)),"")</f>
        <v/>
      </c>
    </row>
    <row r="62" spans="2:8" ht="13.8" thickBot="1" x14ac:dyDescent="0.3">
      <c r="B62" s="584">
        <v>9.9</v>
      </c>
      <c r="C62" s="809">
        <v>0.1</v>
      </c>
      <c r="D62" s="559"/>
      <c r="E62" s="539" t="s">
        <v>260</v>
      </c>
      <c r="F62" s="37">
        <f>ROWS(E$8:$E62)</f>
        <v>55</v>
      </c>
      <c r="G62" s="14" t="str">
        <f>IF(ID!$B$84=E62,F62,"")</f>
        <v/>
      </c>
      <c r="H62" s="309" t="str">
        <f>IFERROR(SMALL($G$8:$G$114,ROWS(G$8:$G62)),"")</f>
        <v/>
      </c>
    </row>
    <row r="63" spans="2:8" x14ac:dyDescent="0.25">
      <c r="B63" s="585">
        <v>19.899999999999999</v>
      </c>
      <c r="C63" s="806">
        <v>0.1</v>
      </c>
      <c r="D63" s="559"/>
      <c r="E63" s="539" t="s">
        <v>260</v>
      </c>
      <c r="F63" s="37">
        <f>ROWS(E$8:$E63)</f>
        <v>56</v>
      </c>
      <c r="G63" s="14" t="str">
        <f>IF(ID!$B$84=E63,F63,"")</f>
        <v/>
      </c>
      <c r="H63" s="309" t="str">
        <f>IFERROR(SMALL($G$8:$G$114,ROWS(G$8:$G63)),"")</f>
        <v/>
      </c>
    </row>
    <row r="64" spans="2:8" x14ac:dyDescent="0.25">
      <c r="B64" s="585">
        <v>49.7</v>
      </c>
      <c r="C64" s="806">
        <v>0.3</v>
      </c>
      <c r="D64" s="559"/>
      <c r="E64" s="539" t="s">
        <v>260</v>
      </c>
      <c r="F64" s="37">
        <f>ROWS(E$8:$E64)</f>
        <v>57</v>
      </c>
      <c r="G64" s="14" t="str">
        <f>IF(ID!$B$84=E64,F64,"")</f>
        <v/>
      </c>
      <c r="H64" s="309" t="str">
        <f>IFERROR(SMALL($G$8:$G$114,ROWS(G$8:$G64)),"")</f>
        <v/>
      </c>
    </row>
    <row r="65" spans="2:8" x14ac:dyDescent="0.25">
      <c r="B65" s="585">
        <v>99.4</v>
      </c>
      <c r="C65" s="806">
        <v>0.6</v>
      </c>
      <c r="D65" s="559"/>
      <c r="E65" s="539" t="s">
        <v>260</v>
      </c>
      <c r="F65" s="37">
        <f>ROWS(E$8:$E65)</f>
        <v>58</v>
      </c>
      <c r="G65" s="14" t="str">
        <f>IF(ID!$B$84=E65,F65,"")</f>
        <v/>
      </c>
      <c r="H65" s="309" t="str">
        <f>IFERROR(SMALL($G$8:$G$114,ROWS(G$8:$G65)),"")</f>
        <v/>
      </c>
    </row>
    <row r="66" spans="2:8" x14ac:dyDescent="0.25">
      <c r="B66" s="581">
        <v>200</v>
      </c>
      <c r="C66" s="810">
        <f>C65</f>
        <v>0.6</v>
      </c>
      <c r="D66" s="595"/>
      <c r="E66" s="549" t="s">
        <v>260</v>
      </c>
      <c r="F66" s="37">
        <f>ROWS(E$8:$E66)</f>
        <v>59</v>
      </c>
      <c r="G66" s="14" t="str">
        <f>IF(ID!$B$84=E66,F66,"")</f>
        <v/>
      </c>
      <c r="H66" s="309" t="str">
        <f>IFERROR(SMALL($G$8:$G$114,ROWS(G$8:$G66)),"")</f>
        <v/>
      </c>
    </row>
    <row r="67" spans="2:8" x14ac:dyDescent="0.25">
      <c r="C67" s="759"/>
      <c r="E67" s="24"/>
      <c r="F67" s="37">
        <f>ROWS(E$8:$E67)</f>
        <v>60</v>
      </c>
      <c r="G67" s="14" t="str">
        <f>IF(ID!$B$84=E67,F67,"")</f>
        <v/>
      </c>
      <c r="H67" s="309" t="str">
        <f>IFERROR(SMALL($G$8:$G$114,ROWS(G$8:$G67)),"")</f>
        <v/>
      </c>
    </row>
    <row r="68" spans="2:8" x14ac:dyDescent="0.25">
      <c r="C68" s="759"/>
      <c r="E68" s="24"/>
      <c r="F68" s="37">
        <f>ROWS(E$8:$E68)</f>
        <v>61</v>
      </c>
      <c r="G68" s="14" t="str">
        <f>IF(ID!$B$84=E68,F68,"")</f>
        <v/>
      </c>
      <c r="H68" s="309" t="str">
        <f>IFERROR(SMALL($G$8:$G$114,ROWS(G$8:$G68)),"")</f>
        <v/>
      </c>
    </row>
    <row r="69" spans="2:8" ht="13.8" x14ac:dyDescent="0.25">
      <c r="B69" s="801" t="s">
        <v>290</v>
      </c>
      <c r="C69" s="802" t="s">
        <v>272</v>
      </c>
      <c r="D69" s="803" t="s">
        <v>273</v>
      </c>
      <c r="E69" s="24"/>
      <c r="F69" s="37">
        <f>ROWS(E$8:$E69)</f>
        <v>62</v>
      </c>
      <c r="G69" s="14" t="str">
        <f>IF(ID!$B$84=E69,F69,"")</f>
        <v/>
      </c>
      <c r="H69" s="309" t="str">
        <f>IFERROR(SMALL($G$8:$G$114,ROWS(G$8:$G69)),"")</f>
        <v/>
      </c>
    </row>
    <row r="70" spans="2:8" x14ac:dyDescent="0.25">
      <c r="B70" s="585">
        <v>0</v>
      </c>
      <c r="C70" s="799">
        <v>0</v>
      </c>
      <c r="D70" s="559">
        <v>2022</v>
      </c>
      <c r="E70" s="539" t="s">
        <v>261</v>
      </c>
      <c r="F70" s="37">
        <f>ROWS(E$8:$E70)</f>
        <v>63</v>
      </c>
      <c r="G70" s="14" t="str">
        <f>IF(ID!$B$84=E70,F70,"")</f>
        <v/>
      </c>
      <c r="H70" s="309" t="str">
        <f>IFERROR(SMALL($G$8:$G$114,ROWS(G$8:$G70)),"")</f>
        <v/>
      </c>
    </row>
    <row r="71" spans="2:8" ht="13.8" x14ac:dyDescent="0.25">
      <c r="B71" s="373">
        <v>1</v>
      </c>
      <c r="C71" s="799">
        <v>0</v>
      </c>
      <c r="D71" s="559"/>
      <c r="E71" s="539" t="s">
        <v>261</v>
      </c>
      <c r="F71" s="37">
        <f>ROWS(E$8:$E71)</f>
        <v>64</v>
      </c>
      <c r="G71" s="14" t="str">
        <f>IF(ID!$B$84=E71,F71,"")</f>
        <v/>
      </c>
      <c r="H71" s="309" t="str">
        <f>IFERROR(SMALL($G$8:$G$114,ROWS(G$8:$G71)),"")</f>
        <v/>
      </c>
    </row>
    <row r="72" spans="2:8" x14ac:dyDescent="0.25">
      <c r="B72" s="357">
        <v>2</v>
      </c>
      <c r="C72" s="799">
        <v>0</v>
      </c>
      <c r="D72" s="559"/>
      <c r="E72" s="539" t="s">
        <v>261</v>
      </c>
      <c r="F72" s="37">
        <f>ROWS(E$8:$E72)</f>
        <v>65</v>
      </c>
      <c r="G72" s="14" t="str">
        <f>IF(ID!$B$84=E72,F72,"")</f>
        <v/>
      </c>
      <c r="H72" s="309" t="str">
        <f>IFERROR(SMALL($G$8:$G$114,ROWS(G$8:$G72)),"")</f>
        <v/>
      </c>
    </row>
    <row r="73" spans="2:8" x14ac:dyDescent="0.25">
      <c r="B73" s="357">
        <v>5</v>
      </c>
      <c r="C73" s="799">
        <v>0</v>
      </c>
      <c r="D73" s="559"/>
      <c r="E73" s="539" t="s">
        <v>261</v>
      </c>
      <c r="F73" s="37">
        <f>ROWS(E$8:$E73)</f>
        <v>66</v>
      </c>
      <c r="G73" s="14" t="str">
        <f>IF(ID!$B$84=E73,F73,"")</f>
        <v/>
      </c>
      <c r="H73" s="309" t="str">
        <f>IFERROR(SMALL($G$8:$G$114,ROWS(G$8:$G73)),"")</f>
        <v/>
      </c>
    </row>
    <row r="74" spans="2:8" ht="13.8" thickBot="1" x14ac:dyDescent="0.3">
      <c r="B74" s="584">
        <v>10</v>
      </c>
      <c r="C74" s="799">
        <v>0</v>
      </c>
      <c r="D74" s="559"/>
      <c r="E74" s="539" t="s">
        <v>261</v>
      </c>
      <c r="F74" s="37">
        <f>ROWS(E$8:$E74)</f>
        <v>67</v>
      </c>
      <c r="G74" s="14" t="str">
        <f>IF(ID!$B$84=E74,F74,"")</f>
        <v/>
      </c>
      <c r="H74" s="309" t="str">
        <f>IFERROR(SMALL($G$8:$G$114,ROWS(G$8:$G74)),"")</f>
        <v/>
      </c>
    </row>
    <row r="75" spans="2:8" x14ac:dyDescent="0.25">
      <c r="B75" s="585">
        <v>19.899999999999999</v>
      </c>
      <c r="C75" s="799">
        <v>0.1</v>
      </c>
      <c r="D75" s="559"/>
      <c r="E75" s="539" t="s">
        <v>261</v>
      </c>
      <c r="F75" s="37">
        <f>ROWS(E$8:$E75)</f>
        <v>68</v>
      </c>
      <c r="G75" s="14" t="str">
        <f>IF(ID!$B$84=E75,F75,"")</f>
        <v/>
      </c>
      <c r="H75" s="309" t="str">
        <f>IFERROR(SMALL($G$8:$G$114,ROWS(G$8:$G75)),"")</f>
        <v/>
      </c>
    </row>
    <row r="76" spans="2:8" x14ac:dyDescent="0.25">
      <c r="B76" s="585">
        <v>49.5</v>
      </c>
      <c r="C76" s="799">
        <v>0.5</v>
      </c>
      <c r="D76" s="559"/>
      <c r="E76" s="539" t="s">
        <v>261</v>
      </c>
      <c r="F76" s="37">
        <f>ROWS(E$8:$E76)</f>
        <v>69</v>
      </c>
      <c r="G76" s="14" t="str">
        <f>IF(ID!$B$84=E76,F76,"")</f>
        <v/>
      </c>
      <c r="H76" s="309" t="str">
        <f>IFERROR(SMALL($G$8:$G$114,ROWS(G$8:$G76)),"")</f>
        <v/>
      </c>
    </row>
    <row r="77" spans="2:8" x14ac:dyDescent="0.25">
      <c r="B77" s="585">
        <v>99.1</v>
      </c>
      <c r="C77" s="799">
        <v>0.9</v>
      </c>
      <c r="D77" s="559"/>
      <c r="E77" s="539" t="s">
        <v>261</v>
      </c>
      <c r="F77" s="37">
        <f>ROWS(E$8:$E77)</f>
        <v>70</v>
      </c>
      <c r="G77" s="14" t="str">
        <f>IF(ID!$B$84=E77,F77,"")</f>
        <v/>
      </c>
      <c r="H77" s="309" t="str">
        <f>IFERROR(SMALL($G$8:$G$114,ROWS(G$8:$G77)),"")</f>
        <v/>
      </c>
    </row>
    <row r="78" spans="2:8" x14ac:dyDescent="0.25">
      <c r="B78" s="581">
        <v>200</v>
      </c>
      <c r="C78" s="582">
        <f>C77</f>
        <v>0.9</v>
      </c>
      <c r="E78" s="549" t="s">
        <v>261</v>
      </c>
      <c r="F78" s="37">
        <f>ROWS(E$8:$E78)</f>
        <v>71</v>
      </c>
      <c r="G78" s="14" t="str">
        <f>IF(ID!$B$84=E78,F78,"")</f>
        <v/>
      </c>
      <c r="H78" s="309" t="str">
        <f>IFERROR(SMALL($G$8:$G$114,ROWS(G$8:$G78)),"")</f>
        <v/>
      </c>
    </row>
    <row r="79" spans="2:8" x14ac:dyDescent="0.25">
      <c r="C79" s="759"/>
      <c r="F79" s="37">
        <f>ROWS(E$8:$E79)</f>
        <v>72</v>
      </c>
      <c r="G79" s="14" t="str">
        <f>IF(ID!$B$84=E79,F79,"")</f>
        <v/>
      </c>
      <c r="H79" s="309" t="str">
        <f>IFERROR(SMALL($G$8:$G$114,ROWS(G$8:$G79)),"")</f>
        <v/>
      </c>
    </row>
    <row r="80" spans="2:8" ht="13.8" x14ac:dyDescent="0.25">
      <c r="B80" s="801" t="s">
        <v>290</v>
      </c>
      <c r="C80" s="802" t="s">
        <v>272</v>
      </c>
      <c r="D80" s="803" t="s">
        <v>273</v>
      </c>
      <c r="F80" s="37">
        <f>ROWS(E$8:$E80)</f>
        <v>73</v>
      </c>
      <c r="G80" s="14" t="str">
        <f>IF(ID!$B$84=E80,F80,"")</f>
        <v/>
      </c>
      <c r="H80" s="309" t="str">
        <f>IFERROR(SMALL($G$8:$G$114,ROWS(G$8:$G80)),"")</f>
        <v/>
      </c>
    </row>
    <row r="81" spans="2:8" x14ac:dyDescent="0.25">
      <c r="B81" s="585">
        <v>0</v>
      </c>
      <c r="C81" s="799">
        <v>0</v>
      </c>
      <c r="D81" s="559">
        <v>2022</v>
      </c>
      <c r="E81" s="551" t="s">
        <v>422</v>
      </c>
      <c r="F81" s="37">
        <f>ROWS(E$8:$E81)</f>
        <v>74</v>
      </c>
      <c r="G81" s="14" t="str">
        <f>IF(ID!$B$84=E81,F81,"")</f>
        <v/>
      </c>
      <c r="H81" s="309" t="str">
        <f>IFERROR(SMALL($G$8:$G$114,ROWS(G$8:$G81)),"")</f>
        <v/>
      </c>
    </row>
    <row r="82" spans="2:8" ht="13.8" x14ac:dyDescent="0.25">
      <c r="B82" s="373">
        <v>1</v>
      </c>
      <c r="C82" s="799">
        <v>0</v>
      </c>
      <c r="D82" s="559"/>
      <c r="E82" s="551" t="s">
        <v>422</v>
      </c>
      <c r="F82" s="37">
        <f>ROWS(E$8:$E82)</f>
        <v>75</v>
      </c>
      <c r="G82" s="14" t="str">
        <f>IF(ID!$B$84=E82,F82,"")</f>
        <v/>
      </c>
      <c r="H82" s="309" t="str">
        <f>IFERROR(SMALL($G$8:$G$114,ROWS(G$8:$G82)),"")</f>
        <v/>
      </c>
    </row>
    <row r="83" spans="2:8" x14ac:dyDescent="0.25">
      <c r="B83" s="357">
        <v>2</v>
      </c>
      <c r="C83" s="799">
        <v>0</v>
      </c>
      <c r="D83" s="559"/>
      <c r="E83" s="551" t="s">
        <v>422</v>
      </c>
      <c r="F83" s="37">
        <f>ROWS(E$8:$E83)</f>
        <v>76</v>
      </c>
      <c r="G83" s="14" t="str">
        <f>IF(ID!$B$84=E83,F83,"")</f>
        <v/>
      </c>
      <c r="H83" s="309" t="str">
        <f>IFERROR(SMALL($G$8:$G$114,ROWS(G$8:$G83)),"")</f>
        <v/>
      </c>
    </row>
    <row r="84" spans="2:8" x14ac:dyDescent="0.25">
      <c r="B84" s="357">
        <v>5</v>
      </c>
      <c r="C84" s="799">
        <v>0</v>
      </c>
      <c r="D84" s="559"/>
      <c r="E84" s="551" t="s">
        <v>422</v>
      </c>
      <c r="F84" s="37">
        <f>ROWS(E$8:$E84)</f>
        <v>77</v>
      </c>
      <c r="G84" s="14" t="str">
        <f>IF(ID!$B$84=E84,F84,"")</f>
        <v/>
      </c>
      <c r="H84" s="309" t="str">
        <f>IFERROR(SMALL($G$8:$G$114,ROWS(G$8:$G84)),"")</f>
        <v/>
      </c>
    </row>
    <row r="85" spans="2:8" ht="13.8" thickBot="1" x14ac:dyDescent="0.3">
      <c r="B85" s="584">
        <v>10</v>
      </c>
      <c r="C85" s="799">
        <v>0</v>
      </c>
      <c r="D85" s="559"/>
      <c r="E85" s="551" t="s">
        <v>422</v>
      </c>
      <c r="F85" s="37">
        <f>ROWS(E$8:$E85)</f>
        <v>78</v>
      </c>
      <c r="G85" s="14" t="str">
        <f>IF(ID!$B$84=E85,F85,"")</f>
        <v/>
      </c>
      <c r="H85" s="309" t="str">
        <f>IFERROR(SMALL($G$8:$G$114,ROWS(G$8:$G85)),"")</f>
        <v/>
      </c>
    </row>
    <row r="86" spans="2:8" x14ac:dyDescent="0.25">
      <c r="B86" s="585">
        <v>20</v>
      </c>
      <c r="C86" s="799">
        <v>0</v>
      </c>
      <c r="D86" s="559"/>
      <c r="E86" s="551" t="s">
        <v>422</v>
      </c>
      <c r="F86" s="37">
        <f>ROWS(E$8:$E86)</f>
        <v>79</v>
      </c>
      <c r="G86" s="14" t="str">
        <f>IF(ID!$B$84=E86,F86,"")</f>
        <v/>
      </c>
      <c r="H86" s="309" t="str">
        <f>IFERROR(SMALL($G$8:$G$114,ROWS(G$8:$G86)),"")</f>
        <v/>
      </c>
    </row>
    <row r="87" spans="2:8" x14ac:dyDescent="0.25">
      <c r="B87" s="585">
        <v>50</v>
      </c>
      <c r="C87" s="799">
        <v>0.2</v>
      </c>
      <c r="D87" s="596"/>
      <c r="E87" s="551" t="s">
        <v>422</v>
      </c>
      <c r="F87" s="37">
        <f>ROWS(E$8:$E87)</f>
        <v>80</v>
      </c>
      <c r="G87" s="14" t="str">
        <f>IF(ID!$B$84=E87,F87,"")</f>
        <v/>
      </c>
      <c r="H87" s="309" t="str">
        <f>IFERROR(SMALL($G$8:$G$114,ROWS(G$8:$G87)),"")</f>
        <v/>
      </c>
    </row>
    <row r="88" spans="2:8" x14ac:dyDescent="0.25">
      <c r="B88" s="585">
        <v>100</v>
      </c>
      <c r="C88" s="799">
        <v>0.4</v>
      </c>
      <c r="D88" s="559"/>
      <c r="E88" s="551" t="s">
        <v>422</v>
      </c>
      <c r="F88" s="37">
        <f>ROWS(E$8:$E88)</f>
        <v>81</v>
      </c>
      <c r="G88" s="14" t="str">
        <f>IF(ID!$B$84=E88,F88,"")</f>
        <v/>
      </c>
      <c r="H88" s="309" t="str">
        <f>IFERROR(SMALL($G$8:$G$114,ROWS(G$8:$G88)),"")</f>
        <v/>
      </c>
    </row>
    <row r="89" spans="2:8" x14ac:dyDescent="0.25">
      <c r="B89" s="581">
        <v>200</v>
      </c>
      <c r="C89" s="582">
        <f>C88</f>
        <v>0.4</v>
      </c>
      <c r="E89" s="549" t="s">
        <v>422</v>
      </c>
      <c r="F89" s="37">
        <f>ROWS(E$8:$E89)</f>
        <v>82</v>
      </c>
      <c r="G89" s="14" t="str">
        <f>IF(ID!$B$84=E89,F89,"")</f>
        <v/>
      </c>
      <c r="H89" s="309" t="str">
        <f>IFERROR(SMALL($G$8:$G$114,ROWS(G$8:$G89)),"")</f>
        <v/>
      </c>
    </row>
    <row r="90" spans="2:8" x14ac:dyDescent="0.25">
      <c r="C90" s="759"/>
      <c r="F90" s="37">
        <f>ROWS(E$8:$E90)</f>
        <v>83</v>
      </c>
      <c r="G90" s="14" t="str">
        <f>IF(ID!$B$84=E90,F90,"")</f>
        <v/>
      </c>
      <c r="H90" s="309" t="str">
        <f>IFERROR(SMALL($G$8:$G$114,ROWS(G$8:$G90)),"")</f>
        <v/>
      </c>
    </row>
    <row r="91" spans="2:8" ht="13.8" x14ac:dyDescent="0.25">
      <c r="B91" s="801" t="s">
        <v>290</v>
      </c>
      <c r="C91" s="802" t="s">
        <v>272</v>
      </c>
      <c r="D91" s="803" t="s">
        <v>273</v>
      </c>
      <c r="F91" s="37">
        <f>ROWS(E$8:$E91)</f>
        <v>84</v>
      </c>
      <c r="G91" s="14" t="str">
        <f>IF(ID!$B$84=E91,F91,"")</f>
        <v/>
      </c>
      <c r="H91" s="309" t="str">
        <f>IFERROR(SMALL($G$8:$G$114,ROWS(G$8:$G91)),"")</f>
        <v/>
      </c>
    </row>
    <row r="92" spans="2:8" x14ac:dyDescent="0.25">
      <c r="B92" s="372">
        <v>0</v>
      </c>
      <c r="C92" s="798">
        <v>0</v>
      </c>
      <c r="D92" s="573">
        <v>2022</v>
      </c>
      <c r="E92" s="551" t="s">
        <v>423</v>
      </c>
      <c r="F92" s="37">
        <f>ROWS(E$8:$E92)</f>
        <v>85</v>
      </c>
      <c r="G92" s="14" t="str">
        <f>IF(ID!$B$84=E92,F92,"")</f>
        <v/>
      </c>
      <c r="H92" s="309" t="str">
        <f>IFERROR(SMALL($G$8:$G$114,ROWS(G$8:$G92)),"")</f>
        <v/>
      </c>
    </row>
    <row r="93" spans="2:8" ht="13.8" x14ac:dyDescent="0.25">
      <c r="B93" s="580">
        <v>1</v>
      </c>
      <c r="C93" s="798">
        <v>0</v>
      </c>
      <c r="D93" s="577"/>
      <c r="E93" s="551" t="s">
        <v>423</v>
      </c>
      <c r="F93" s="37">
        <f>ROWS(E$8:$E93)</f>
        <v>86</v>
      </c>
      <c r="G93" s="14" t="str">
        <f>IF(ID!$B$84=E93,F93,"")</f>
        <v/>
      </c>
      <c r="H93" s="309" t="str">
        <f>IFERROR(SMALL($G$8:$G$114,ROWS(G$8:$G93)),"")</f>
        <v/>
      </c>
    </row>
    <row r="94" spans="2:8" x14ac:dyDescent="0.25">
      <c r="B94" s="372">
        <v>2</v>
      </c>
      <c r="C94" s="798">
        <v>0</v>
      </c>
      <c r="D94" s="577"/>
      <c r="E94" s="551" t="s">
        <v>423</v>
      </c>
      <c r="F94" s="37">
        <f>ROWS(E$8:$E94)</f>
        <v>87</v>
      </c>
      <c r="G94" s="14" t="str">
        <f>IF(ID!$B$84=E94,F94,"")</f>
        <v/>
      </c>
      <c r="H94" s="309" t="str">
        <f>IFERROR(SMALL($G$8:$G$114,ROWS(G$8:$G94)),"")</f>
        <v/>
      </c>
    </row>
    <row r="95" spans="2:8" x14ac:dyDescent="0.25">
      <c r="B95" s="372">
        <v>5</v>
      </c>
      <c r="C95" s="798">
        <v>0</v>
      </c>
      <c r="D95" s="577"/>
      <c r="E95" s="551" t="s">
        <v>423</v>
      </c>
      <c r="F95" s="37">
        <f>ROWS(E$8:$E95)</f>
        <v>88</v>
      </c>
      <c r="G95" s="14" t="str">
        <f>IF(ID!$B$84=E95,F95,"")</f>
        <v/>
      </c>
      <c r="H95" s="309" t="str">
        <f>IFERROR(SMALL($G$8:$G$114,ROWS(G$8:$G95)),"")</f>
        <v/>
      </c>
    </row>
    <row r="96" spans="2:8" x14ac:dyDescent="0.25">
      <c r="B96" s="372">
        <v>10</v>
      </c>
      <c r="C96" s="798">
        <v>0</v>
      </c>
      <c r="D96" s="577"/>
      <c r="E96" s="551" t="s">
        <v>423</v>
      </c>
      <c r="F96" s="37">
        <f>ROWS(E$8:$E96)</f>
        <v>89</v>
      </c>
      <c r="G96" s="14" t="str">
        <f>IF(ID!$B$84=E96,F96,"")</f>
        <v/>
      </c>
      <c r="H96" s="309" t="str">
        <f>IFERROR(SMALL($G$8:$G$114,ROWS(G$8:$G96)),"")</f>
        <v/>
      </c>
    </row>
    <row r="97" spans="2:8" x14ac:dyDescent="0.25">
      <c r="B97" s="372">
        <v>20</v>
      </c>
      <c r="C97" s="798">
        <v>0</v>
      </c>
      <c r="D97" s="577"/>
      <c r="E97" s="551" t="s">
        <v>423</v>
      </c>
      <c r="F97" s="37">
        <f>ROWS(E$8:$E97)</f>
        <v>90</v>
      </c>
      <c r="G97" s="14" t="str">
        <f>IF(ID!$B$84=E97,F97,"")</f>
        <v/>
      </c>
      <c r="H97" s="309" t="str">
        <f>IFERROR(SMALL($G$8:$G$114,ROWS(G$8:$G97)),"")</f>
        <v/>
      </c>
    </row>
    <row r="98" spans="2:8" x14ac:dyDescent="0.25">
      <c r="B98" s="372">
        <v>49.8</v>
      </c>
      <c r="C98" s="798">
        <v>0.2</v>
      </c>
      <c r="D98" s="578"/>
      <c r="E98" s="551" t="s">
        <v>423</v>
      </c>
      <c r="F98" s="37">
        <f>ROWS(E$8:$E98)</f>
        <v>91</v>
      </c>
      <c r="G98" s="14" t="str">
        <f>IF(ID!$B$84=E98,F98,"")</f>
        <v/>
      </c>
      <c r="H98" s="309" t="str">
        <f>IFERROR(SMALL($G$8:$G$114,ROWS(G$8:$G98)),"")</f>
        <v/>
      </c>
    </row>
    <row r="99" spans="2:8" x14ac:dyDescent="0.25">
      <c r="B99" s="372">
        <v>99.4</v>
      </c>
      <c r="C99" s="798">
        <v>0.6</v>
      </c>
      <c r="D99" s="589"/>
      <c r="E99" s="551" t="s">
        <v>423</v>
      </c>
      <c r="F99" s="37">
        <f>ROWS(E$8:$E99)</f>
        <v>92</v>
      </c>
      <c r="G99" s="14" t="str">
        <f>IF(ID!$B$84=E99,F99,"")</f>
        <v/>
      </c>
      <c r="H99" s="309" t="str">
        <f>IFERROR(SMALL($G$8:$G$114,ROWS(G$8:$G99)),"")</f>
        <v/>
      </c>
    </row>
    <row r="100" spans="2:8" x14ac:dyDescent="0.25">
      <c r="B100" s="581">
        <v>200</v>
      </c>
      <c r="C100" s="582">
        <f>C99</f>
        <v>0.6</v>
      </c>
      <c r="E100" s="549" t="s">
        <v>423</v>
      </c>
      <c r="F100" s="37">
        <f>ROWS(E$8:$E100)</f>
        <v>93</v>
      </c>
      <c r="G100" s="14" t="str">
        <f>IF(ID!$B$84=E100,F100,"")</f>
        <v/>
      </c>
      <c r="H100" s="309" t="str">
        <f>IFERROR(SMALL($G$8:$G$114,ROWS(G$8:$G100)),"")</f>
        <v/>
      </c>
    </row>
    <row r="101" spans="2:8" x14ac:dyDescent="0.25">
      <c r="C101" s="759"/>
      <c r="F101" s="37">
        <f>ROWS(E$8:$E101)</f>
        <v>94</v>
      </c>
      <c r="G101" s="14" t="str">
        <f>IF(ID!$B$84=E101,F101,"")</f>
        <v/>
      </c>
      <c r="H101" s="309" t="str">
        <f>IFERROR(SMALL($G$8:$G$114,ROWS(G$8:$G101)),"")</f>
        <v/>
      </c>
    </row>
    <row r="102" spans="2:8" x14ac:dyDescent="0.25">
      <c r="C102" s="759"/>
      <c r="F102" s="37">
        <f>ROWS(E$8:$E102)</f>
        <v>95</v>
      </c>
      <c r="G102" s="14" t="str">
        <f>IF(ID!$B$84=E102,F102,"")</f>
        <v/>
      </c>
      <c r="H102" s="309" t="str">
        <f>IFERROR(SMALL($G$8:$G$114,ROWS(G$8:$G102)),"")</f>
        <v/>
      </c>
    </row>
    <row r="103" spans="2:8" x14ac:dyDescent="0.25">
      <c r="B103" s="372">
        <v>0</v>
      </c>
      <c r="C103" s="805">
        <v>0</v>
      </c>
      <c r="D103" s="573">
        <v>2021</v>
      </c>
      <c r="E103" s="539"/>
      <c r="F103" s="37">
        <f>ROWS(E$8:$E103)</f>
        <v>96</v>
      </c>
      <c r="G103" s="14" t="str">
        <f>IF(ID!$B$84=E103,F103,"")</f>
        <v/>
      </c>
      <c r="H103" s="309" t="str">
        <f>IFERROR(SMALL($G$8:$G$114,ROWS(G$8:$G103)),"")</f>
        <v/>
      </c>
    </row>
    <row r="104" spans="2:8" ht="13.8" x14ac:dyDescent="0.25">
      <c r="B104" s="580">
        <v>1</v>
      </c>
      <c r="C104" s="798">
        <v>0</v>
      </c>
      <c r="D104" s="589"/>
      <c r="E104" s="539"/>
      <c r="F104" s="37">
        <f>ROWS(E$8:$E104)</f>
        <v>97</v>
      </c>
      <c r="G104" s="14" t="str">
        <f>IF(ID!$B$84=E104,F104,"")</f>
        <v/>
      </c>
      <c r="H104" s="309" t="str">
        <f>IFERROR(SMALL($G$8:$G$114,ROWS(G$8:$G104)),"")</f>
        <v/>
      </c>
    </row>
    <row r="105" spans="2:8" x14ac:dyDescent="0.25">
      <c r="B105" s="372">
        <v>2</v>
      </c>
      <c r="C105" s="593">
        <v>0</v>
      </c>
      <c r="D105" s="589"/>
      <c r="E105" s="539"/>
      <c r="F105" s="37">
        <f>ROWS(E$8:$E105)</f>
        <v>98</v>
      </c>
      <c r="G105" s="14" t="str">
        <f>IF(ID!$B$84=E105,F105,"")</f>
        <v/>
      </c>
      <c r="H105" s="309" t="str">
        <f>IFERROR(SMALL($G$8:$G$114,ROWS(G$8:$G105)),"")</f>
        <v/>
      </c>
    </row>
    <row r="106" spans="2:8" x14ac:dyDescent="0.25">
      <c r="B106" s="372">
        <v>5</v>
      </c>
      <c r="C106" s="593">
        <v>0</v>
      </c>
      <c r="D106" s="589"/>
      <c r="E106" s="539"/>
      <c r="F106" s="37">
        <f>ROWS(E$8:$E106)</f>
        <v>99</v>
      </c>
      <c r="G106" s="14" t="str">
        <f>IF(ID!$B$84=E106,F106,"")</f>
        <v/>
      </c>
      <c r="H106" s="309" t="str">
        <f>IFERROR(SMALL($G$8:$G$114,ROWS(G$8:$G106)),"")</f>
        <v/>
      </c>
    </row>
    <row r="107" spans="2:8" x14ac:dyDescent="0.25">
      <c r="B107" s="372">
        <v>10</v>
      </c>
      <c r="C107" s="593">
        <v>0</v>
      </c>
      <c r="D107" s="589"/>
      <c r="E107" s="539"/>
      <c r="F107" s="37">
        <f>ROWS(E$8:$E107)</f>
        <v>100</v>
      </c>
      <c r="G107" s="14" t="str">
        <f>IF(ID!$B$84=E107,F107,"")</f>
        <v/>
      </c>
      <c r="H107" s="309" t="str">
        <f>IFERROR(SMALL($G$8:$G$114,ROWS(G$8:$G107)),"")</f>
        <v/>
      </c>
    </row>
    <row r="108" spans="2:8" x14ac:dyDescent="0.25">
      <c r="B108" s="372">
        <v>19.899999999999999</v>
      </c>
      <c r="C108" s="593">
        <v>0.1</v>
      </c>
      <c r="D108" s="589"/>
      <c r="E108" s="539"/>
      <c r="F108" s="37">
        <f>ROWS(E$8:$E108)</f>
        <v>101</v>
      </c>
      <c r="G108" s="14" t="str">
        <f>IF(ID!$B$84=E108,F108,"")</f>
        <v/>
      </c>
      <c r="H108" s="309" t="str">
        <f>IFERROR(SMALL($G$8:$G$114,ROWS(G$8:$G108)),"")</f>
        <v/>
      </c>
    </row>
    <row r="109" spans="2:8" x14ac:dyDescent="0.25">
      <c r="B109" s="372">
        <v>49.6</v>
      </c>
      <c r="C109" s="593">
        <v>0.4</v>
      </c>
      <c r="D109" s="589"/>
      <c r="E109" s="539"/>
      <c r="F109" s="37">
        <f>ROWS(E$8:$E109)</f>
        <v>102</v>
      </c>
      <c r="G109" s="14" t="str">
        <f>IF(ID!$B$84=E109,F109,"")</f>
        <v/>
      </c>
      <c r="H109" s="309" t="str">
        <f>IFERROR(SMALL($G$8:$G$114,ROWS(G$8:$G109)),"")</f>
        <v/>
      </c>
    </row>
    <row r="110" spans="2:8" x14ac:dyDescent="0.25">
      <c r="B110" s="372">
        <v>98.6</v>
      </c>
      <c r="C110" s="593">
        <v>1.4</v>
      </c>
      <c r="D110" s="589"/>
      <c r="E110" s="539"/>
      <c r="F110" s="37">
        <f>ROWS(E$8:$E110)</f>
        <v>103</v>
      </c>
      <c r="G110" s="14" t="str">
        <f>IF(ID!$B$84=E110,F110,"")</f>
        <v/>
      </c>
      <c r="H110" s="309" t="str">
        <f>IFERROR(SMALL($G$8:$G$114,ROWS(G$8:$G110)),"")</f>
        <v/>
      </c>
    </row>
    <row r="111" spans="2:8" x14ac:dyDescent="0.25">
      <c r="B111" s="581">
        <v>200</v>
      </c>
      <c r="C111" s="582">
        <f>C110</f>
        <v>1.4</v>
      </c>
      <c r="D111" s="590"/>
      <c r="E111" s="549"/>
      <c r="F111" s="37">
        <f>ROWS(E$8:$E111)</f>
        <v>104</v>
      </c>
      <c r="G111" s="14" t="str">
        <f>IF(ID!$B$84=E111,F111,"")</f>
        <v/>
      </c>
      <c r="H111" s="309" t="str">
        <f>IFERROR(SMALL($G$8:$G$114,ROWS(G$8:$G111)),"")</f>
        <v/>
      </c>
    </row>
    <row r="112" spans="2:8" x14ac:dyDescent="0.25">
      <c r="C112" s="759"/>
      <c r="F112" s="37">
        <f>ROWS(E$8:$E112)</f>
        <v>105</v>
      </c>
      <c r="G112" s="14" t="str">
        <f>IF(ID!$B$84=E112,F112,"")</f>
        <v/>
      </c>
      <c r="H112" s="309" t="str">
        <f>IFERROR(SMALL($G$8:$G$114,ROWS(G$8:$G112)),"")</f>
        <v/>
      </c>
    </row>
    <row r="113" spans="3:8" x14ac:dyDescent="0.25">
      <c r="C113" s="759"/>
      <c r="F113" s="37">
        <f>ROWS(E$8:$E113)</f>
        <v>106</v>
      </c>
      <c r="G113" s="14" t="str">
        <f>IF(ID!$B$84=E113,F113,"")</f>
        <v/>
      </c>
      <c r="H113" s="309" t="str">
        <f>IFERROR(SMALL($G$8:$G$114,ROWS(G$8:$G113)),"")</f>
        <v/>
      </c>
    </row>
    <row r="114" spans="3:8" x14ac:dyDescent="0.25">
      <c r="C114" s="759"/>
      <c r="F114" s="37">
        <f>ROWS(E$8:$E114)</f>
        <v>107</v>
      </c>
      <c r="G114" s="14" t="str">
        <f>IF(ID!$B$84=E114,F114,"")</f>
        <v/>
      </c>
      <c r="H114" s="309" t="str">
        <f>IFERROR(SMALL($G$8:$G$114,ROWS(G$8:$G114)),"")</f>
        <v/>
      </c>
    </row>
  </sheetData>
  <sheetProtection algorithmName="SHA-512" hashValue="C7Qd39WSERUCPSuWIsHzb2lGpDxjaYXuczwz/RRgrL3nHt6xw4j16WhLkHvfA/aBDJ0IIWHOkuAoIQNwW5tgnA==" saltValue="DUOUOwQgRElNvNhUZZ3yD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7"/>
  <dimension ref="B2:Q111"/>
  <sheetViews>
    <sheetView workbookViewId="0">
      <selection activeCell="B7" sqref="B7:E111"/>
    </sheetView>
  </sheetViews>
  <sheetFormatPr defaultColWidth="9.21875" defaultRowHeight="13.2" x14ac:dyDescent="0.25"/>
  <cols>
    <col min="5" max="5" width="67.21875" customWidth="1"/>
    <col min="15" max="15" width="65.44140625" customWidth="1"/>
  </cols>
  <sheetData>
    <row r="2" spans="2:17" x14ac:dyDescent="0.25">
      <c r="K2" s="303"/>
      <c r="L2" s="303"/>
      <c r="M2" s="303"/>
      <c r="N2" s="303"/>
      <c r="O2" s="304" t="s">
        <v>266</v>
      </c>
      <c r="P2" s="311"/>
      <c r="Q2" s="311"/>
    </row>
    <row r="3" spans="2:17" x14ac:dyDescent="0.25">
      <c r="K3" s="303"/>
      <c r="L3" s="303"/>
      <c r="M3" s="303"/>
      <c r="N3" s="303"/>
      <c r="O3" s="298" t="s">
        <v>267</v>
      </c>
    </row>
    <row r="4" spans="2:17" x14ac:dyDescent="0.25">
      <c r="K4" s="303"/>
      <c r="L4" s="303"/>
      <c r="M4" s="303"/>
      <c r="N4" s="303"/>
      <c r="O4" s="298" t="s">
        <v>268</v>
      </c>
    </row>
    <row r="5" spans="2:17" x14ac:dyDescent="0.25">
      <c r="K5" s="303"/>
      <c r="L5" s="303"/>
      <c r="M5" s="303"/>
      <c r="N5" s="303"/>
      <c r="O5" s="298" t="s">
        <v>269</v>
      </c>
    </row>
    <row r="6" spans="2:17" x14ac:dyDescent="0.25">
      <c r="K6" s="303"/>
      <c r="L6" s="303"/>
      <c r="M6" s="303"/>
      <c r="N6" s="303"/>
      <c r="O6" s="298" t="s">
        <v>270</v>
      </c>
    </row>
    <row r="7" spans="2:17" x14ac:dyDescent="0.25">
      <c r="B7" s="347" t="s">
        <v>291</v>
      </c>
      <c r="C7" s="597" t="s">
        <v>272</v>
      </c>
      <c r="D7" s="349" t="s">
        <v>273</v>
      </c>
      <c r="E7" s="2" t="s">
        <v>266</v>
      </c>
      <c r="F7" s="308" t="s">
        <v>275</v>
      </c>
      <c r="G7" s="308" t="s">
        <v>276</v>
      </c>
      <c r="H7" s="308" t="s">
        <v>277</v>
      </c>
      <c r="K7" s="305" t="s">
        <v>291</v>
      </c>
      <c r="L7" s="306" t="s">
        <v>272</v>
      </c>
      <c r="M7" s="307" t="s">
        <v>273</v>
      </c>
      <c r="N7" s="303"/>
      <c r="O7" s="298" t="s">
        <v>278</v>
      </c>
    </row>
    <row r="8" spans="2:17" x14ac:dyDescent="0.25">
      <c r="B8" s="372">
        <v>0</v>
      </c>
      <c r="C8" s="598">
        <v>0</v>
      </c>
      <c r="D8" s="573">
        <v>2020</v>
      </c>
      <c r="E8" s="539" t="s">
        <v>255</v>
      </c>
      <c r="F8">
        <v>1</v>
      </c>
      <c r="G8" s="14" t="str">
        <f>IF(ID!$B$84=E8,F8,"")</f>
        <v/>
      </c>
      <c r="H8" s="309" t="str">
        <f>IFERROR(SMALL($G$8:$G$110,ROWS(G$8:$G8)),"")</f>
        <v/>
      </c>
      <c r="K8" s="309" t="str">
        <f>IFERROR(INDEX($B$8:$D$110,$H8,COLUMNS(J$8:$J8)),"")</f>
        <v/>
      </c>
      <c r="L8" s="309" t="str">
        <f>IFERROR(INDEX($B$8:$D$110,$H8,COLUMNS($J$8:K8)),"")</f>
        <v/>
      </c>
      <c r="M8" s="309" t="str">
        <f>IFERROR(INDEX($B$8:$D$110,$H8,COLUMNS($J$8:L8)),"")</f>
        <v/>
      </c>
      <c r="N8" s="303"/>
      <c r="O8" s="298" t="s">
        <v>279</v>
      </c>
    </row>
    <row r="9" spans="2:17" x14ac:dyDescent="0.25">
      <c r="B9" s="372">
        <v>0.10100000000000001</v>
      </c>
      <c r="C9" s="593">
        <v>-1E-3</v>
      </c>
      <c r="D9" s="573"/>
      <c r="E9" s="539" t="s">
        <v>255</v>
      </c>
      <c r="F9">
        <v>2</v>
      </c>
      <c r="G9" s="14" t="str">
        <f>IF(ID!$B$84=E9,F9,"")</f>
        <v/>
      </c>
      <c r="H9" s="309" t="str">
        <f>IFERROR(SMALL($G$8:$G$110,ROWS(G$8:$G9)),"")</f>
        <v/>
      </c>
      <c r="K9" s="309" t="str">
        <f>IFERROR(INDEX($B$8:$D$110,$H9,COLUMNS(J$8:$J9)),"")</f>
        <v/>
      </c>
      <c r="L9" s="309" t="str">
        <f>IFERROR(INDEX($B$8:$D$110,$H9,COLUMNS($J$8:K9)),"")</f>
        <v/>
      </c>
      <c r="M9" s="309"/>
      <c r="N9" s="303"/>
      <c r="O9" s="298" t="s">
        <v>280</v>
      </c>
    </row>
    <row r="10" spans="2:17" x14ac:dyDescent="0.25">
      <c r="B10" s="372">
        <v>0.19900000000000001</v>
      </c>
      <c r="C10" s="593">
        <v>1E-3</v>
      </c>
      <c r="D10" s="573"/>
      <c r="E10" s="539" t="s">
        <v>255</v>
      </c>
      <c r="F10">
        <v>3</v>
      </c>
      <c r="G10" s="14" t="str">
        <f>IF(ID!$B$84=E10,F10,"")</f>
        <v/>
      </c>
      <c r="H10" s="309" t="str">
        <f>IFERROR(SMALL($G$8:$G$110,ROWS(G$8:$G10)),"")</f>
        <v/>
      </c>
      <c r="K10" s="309" t="str">
        <f>IFERROR(INDEX($B$8:$D$110,$H10,COLUMNS(J$8:$J10)),"")</f>
        <v/>
      </c>
      <c r="L10" s="309" t="str">
        <f>IFERROR(INDEX($B$8:$D$110,$H10,COLUMNS($J$8:K10)),"")</f>
        <v/>
      </c>
      <c r="M10" s="309"/>
      <c r="N10" s="303"/>
      <c r="O10" s="310" t="s">
        <v>2</v>
      </c>
    </row>
    <row r="11" spans="2:17" x14ac:dyDescent="0.25">
      <c r="B11" s="372">
        <v>0.497</v>
      </c>
      <c r="C11" s="599">
        <v>3.0000000000000001E-3</v>
      </c>
      <c r="D11" s="573"/>
      <c r="E11" s="539" t="s">
        <v>255</v>
      </c>
      <c r="F11">
        <v>4</v>
      </c>
      <c r="G11" s="14" t="str">
        <f>IF(ID!$B$84=E11,F11,"")</f>
        <v/>
      </c>
      <c r="H11" s="309" t="str">
        <f>IFERROR(SMALL($G$8:$G$110,ROWS(G$8:$G11)),"")</f>
        <v/>
      </c>
      <c r="K11" s="309" t="str">
        <f>IFERROR(INDEX($B$8:$D$110,$H11,COLUMNS(J$8:$J11)),"")</f>
        <v/>
      </c>
      <c r="L11" s="309" t="str">
        <f>IFERROR(INDEX($B$8:$D$110,$H11,COLUMNS($J$8:K11)),"")</f>
        <v/>
      </c>
      <c r="M11" s="309"/>
      <c r="N11" s="303"/>
      <c r="O11" s="310" t="s">
        <v>2</v>
      </c>
    </row>
    <row r="12" spans="2:17" x14ac:dyDescent="0.25">
      <c r="B12" s="372">
        <v>0.996</v>
      </c>
      <c r="C12" s="593">
        <v>4.0000000000000001E-3</v>
      </c>
      <c r="D12" s="573"/>
      <c r="E12" s="539" t="s">
        <v>255</v>
      </c>
      <c r="F12">
        <v>5</v>
      </c>
      <c r="G12" s="14" t="str">
        <f>IF(ID!$B$84=E12,F12,"")</f>
        <v/>
      </c>
      <c r="H12" s="309" t="str">
        <f>IFERROR(SMALL($G$8:$G$110,ROWS(G$8:$G12)),"")</f>
        <v/>
      </c>
      <c r="K12" s="309" t="str">
        <f>IFERROR(INDEX($B$8:$D$110,$H12,COLUMNS(J$8:$J12)),"")</f>
        <v/>
      </c>
      <c r="L12" s="309" t="str">
        <f>IFERROR(INDEX($B$8:$D$110,$H12,COLUMNS($J$8:K12)),"")</f>
        <v/>
      </c>
      <c r="M12" s="309"/>
      <c r="N12" s="303"/>
      <c r="O12" s="310" t="s">
        <v>2</v>
      </c>
    </row>
    <row r="13" spans="2:17" x14ac:dyDescent="0.25">
      <c r="B13" s="600">
        <v>1.9930000000000001</v>
      </c>
      <c r="C13" s="601">
        <v>7.0000000000000001E-3</v>
      </c>
      <c r="D13" s="573"/>
      <c r="E13" s="539" t="s">
        <v>255</v>
      </c>
      <c r="F13">
        <v>6</v>
      </c>
      <c r="G13" s="14" t="str">
        <f>IF(ID!$B$84=E13,F13,"")</f>
        <v/>
      </c>
      <c r="H13" s="309" t="str">
        <f>IFERROR(SMALL($G$8:$G$110,ROWS(G$8:$G13)),"")</f>
        <v/>
      </c>
      <c r="K13" s="309" t="str">
        <f>IFERROR(INDEX($B$8:$D$110,$H13,COLUMNS(J$8:$J13)),"")</f>
        <v/>
      </c>
      <c r="L13" s="309" t="str">
        <f>IFERROR(INDEX($B$8:$D$110,$H13,COLUMNS($J$8:K13)),"")</f>
        <v/>
      </c>
      <c r="M13" s="309"/>
      <c r="N13" s="303"/>
      <c r="O13" s="310" t="s">
        <v>2</v>
      </c>
    </row>
    <row r="14" spans="2:17" x14ac:dyDescent="0.25">
      <c r="B14" s="602">
        <v>10</v>
      </c>
      <c r="C14" s="603">
        <f>C13</f>
        <v>7.0000000000000001E-3</v>
      </c>
      <c r="D14" s="604"/>
      <c r="E14" s="543" t="s">
        <v>255</v>
      </c>
      <c r="F14">
        <v>7</v>
      </c>
      <c r="G14" s="14" t="str">
        <f>IF(ID!$B$84=E14,F14,"")</f>
        <v/>
      </c>
      <c r="H14" s="309" t="str">
        <f>IFERROR(SMALL($G$8:$G$110,ROWS(G$8:$G14)),"")</f>
        <v/>
      </c>
      <c r="K14" s="309" t="str">
        <f>IFERROR(INDEX($B$8:$D$110,$H14,COLUMNS(J$8:$J14)),"")</f>
        <v/>
      </c>
      <c r="L14" s="309" t="str">
        <f>IFERROR(INDEX($B$8:$D$110,$H14,COLUMNS($J$8:K14)),"")</f>
        <v/>
      </c>
      <c r="M14" s="309"/>
      <c r="N14" s="303"/>
      <c r="O14" s="310" t="s">
        <v>2</v>
      </c>
    </row>
    <row r="15" spans="2:17" x14ac:dyDescent="0.25">
      <c r="B15" s="605"/>
      <c r="C15" s="606"/>
      <c r="D15" s="397"/>
      <c r="E15" s="607"/>
      <c r="F15">
        <v>8</v>
      </c>
      <c r="G15" s="14" t="str">
        <f>IF(ID!$B$84=E15,F15,"")</f>
        <v/>
      </c>
      <c r="H15" s="309" t="str">
        <f>IFERROR(SMALL($G$8:$G$110,ROWS(G$8:$G15)),"")</f>
        <v/>
      </c>
    </row>
    <row r="16" spans="2:17" x14ac:dyDescent="0.25">
      <c r="B16" s="605"/>
      <c r="C16" s="606"/>
      <c r="D16" s="397"/>
      <c r="E16" s="608"/>
      <c r="F16">
        <v>9</v>
      </c>
      <c r="G16" s="14" t="str">
        <f>IF(ID!$B$84=E16,F16,"")</f>
        <v/>
      </c>
      <c r="H16" s="309" t="str">
        <f>IFERROR(SMALL($G$8:$G$110,ROWS(G$8:$G16)),"")</f>
        <v/>
      </c>
    </row>
    <row r="17" spans="2:8" x14ac:dyDescent="0.25">
      <c r="B17" s="372">
        <v>0</v>
      </c>
      <c r="C17" s="609">
        <v>0</v>
      </c>
      <c r="D17" s="559">
        <v>2019</v>
      </c>
      <c r="E17" s="539" t="s">
        <v>256</v>
      </c>
      <c r="F17">
        <v>10</v>
      </c>
      <c r="G17" s="14" t="str">
        <f>IF(ID!$B$84=E17,F17,"")</f>
        <v/>
      </c>
      <c r="H17" s="309" t="str">
        <f>IFERROR(SMALL($G$8:$G$110,ROWS(G$8:$G17)),"")</f>
        <v/>
      </c>
    </row>
    <row r="18" spans="2:8" x14ac:dyDescent="0.25">
      <c r="B18" s="372">
        <v>0.01</v>
      </c>
      <c r="C18" s="609">
        <v>0</v>
      </c>
      <c r="D18" s="559"/>
      <c r="E18" s="539" t="s">
        <v>256</v>
      </c>
      <c r="F18">
        <v>11</v>
      </c>
      <c r="G18" s="14" t="str">
        <f>IF(ID!$B$84=E18,F18,"")</f>
        <v/>
      </c>
      <c r="H18" s="309" t="str">
        <f>IFERROR(SMALL($G$8:$G$110,ROWS(G$8:$G18)),"")</f>
        <v/>
      </c>
    </row>
    <row r="19" spans="2:8" x14ac:dyDescent="0.25">
      <c r="B19" s="372">
        <v>9.4E-2</v>
      </c>
      <c r="C19" s="609">
        <v>6.0000000000000001E-3</v>
      </c>
      <c r="D19" s="559"/>
      <c r="E19" s="539" t="s">
        <v>256</v>
      </c>
      <c r="F19">
        <v>12</v>
      </c>
      <c r="G19" s="14" t="str">
        <f>IF(ID!$B$84=E19,F19,"")</f>
        <v/>
      </c>
      <c r="H19" s="309" t="str">
        <f>IFERROR(SMALL($G$8:$G$110,ROWS(G$8:$G19)),"")</f>
        <v/>
      </c>
    </row>
    <row r="20" spans="2:8" x14ac:dyDescent="0.25">
      <c r="B20" s="372">
        <v>0.95499999999999996</v>
      </c>
      <c r="C20" s="609">
        <v>4.4999999999999998E-2</v>
      </c>
      <c r="D20" s="559"/>
      <c r="E20" s="539" t="s">
        <v>256</v>
      </c>
      <c r="F20">
        <v>13</v>
      </c>
      <c r="G20" s="14" t="str">
        <f>IF(ID!$B$84=E20,F20,"")</f>
        <v/>
      </c>
      <c r="H20" s="309" t="str">
        <f>IFERROR(SMALL($G$8:$G$110,ROWS(G$8:$G20)),"")</f>
        <v/>
      </c>
    </row>
    <row r="21" spans="2:8" x14ac:dyDescent="0.25">
      <c r="B21" s="602">
        <v>10</v>
      </c>
      <c r="C21" s="603">
        <f>C20</f>
        <v>4.4999999999999998E-2</v>
      </c>
      <c r="D21" s="559"/>
      <c r="E21" s="549" t="s">
        <v>256</v>
      </c>
      <c r="F21">
        <v>14</v>
      </c>
      <c r="G21" s="14" t="str">
        <f>IF(ID!$B$84=E21,F21,"")</f>
        <v/>
      </c>
      <c r="H21" s="309" t="str">
        <f>IFERROR(SMALL($G$8:$G$110,ROWS(G$8:$G21)),"")</f>
        <v/>
      </c>
    </row>
    <row r="22" spans="2:8" x14ac:dyDescent="0.25">
      <c r="B22" s="600"/>
      <c r="C22" s="609"/>
      <c r="E22" s="539"/>
      <c r="F22">
        <v>15</v>
      </c>
      <c r="G22" s="14" t="str">
        <f>IF(ID!$B$84=E22,F22,"")</f>
        <v/>
      </c>
      <c r="H22" s="309" t="str">
        <f>IFERROR(SMALL($G$8:$G$110,ROWS(G$8:$G22)),"")</f>
        <v/>
      </c>
    </row>
    <row r="23" spans="2:8" x14ac:dyDescent="0.25">
      <c r="B23" s="602"/>
      <c r="C23" s="609"/>
      <c r="E23" s="539"/>
      <c r="F23">
        <v>16</v>
      </c>
      <c r="G23" s="14" t="str">
        <f>IF(ID!$B$84=E23,F23,"")</f>
        <v/>
      </c>
      <c r="H23" s="309" t="str">
        <f>IFERROR(SMALL($G$8:$G$110,ROWS(G$8:$G23)),"")</f>
        <v/>
      </c>
    </row>
    <row r="24" spans="2:8" x14ac:dyDescent="0.25">
      <c r="B24" s="585"/>
      <c r="C24" s="610"/>
      <c r="E24" s="24"/>
      <c r="F24">
        <v>17</v>
      </c>
      <c r="G24" s="14" t="str">
        <f>IF(ID!$B$84=E24,F24,"")</f>
        <v/>
      </c>
      <c r="H24" s="309" t="str">
        <f>IFERROR(SMALL($G$8:$G$110,ROWS(G$8:$G24)),"")</f>
        <v/>
      </c>
    </row>
    <row r="25" spans="2:8" x14ac:dyDescent="0.25">
      <c r="B25" s="585"/>
      <c r="C25" s="610"/>
      <c r="E25" s="24"/>
      <c r="F25">
        <v>18</v>
      </c>
      <c r="G25" s="14" t="str">
        <f>IF(ID!$B$84=E25,F25,"")</f>
        <v/>
      </c>
      <c r="H25" s="309" t="str">
        <f>IFERROR(SMALL($G$8:$G$110,ROWS(G$8:$G25)),"")</f>
        <v/>
      </c>
    </row>
    <row r="26" spans="2:8" x14ac:dyDescent="0.25">
      <c r="B26" s="585"/>
      <c r="C26" s="610"/>
      <c r="E26" s="24"/>
      <c r="F26">
        <v>19</v>
      </c>
      <c r="G26" s="14" t="str">
        <f>IF(ID!$B$84=E26,F26,"")</f>
        <v/>
      </c>
      <c r="H26" s="309" t="str">
        <f>IFERROR(SMALL($G$8:$G$110,ROWS(G$8:$G26)),"")</f>
        <v/>
      </c>
    </row>
    <row r="27" spans="2:8" ht="13.8" x14ac:dyDescent="0.25">
      <c r="B27" s="801" t="s">
        <v>291</v>
      </c>
      <c r="C27" s="811" t="s">
        <v>272</v>
      </c>
      <c r="D27" s="803" t="s">
        <v>273</v>
      </c>
      <c r="E27" s="24"/>
      <c r="F27">
        <v>20</v>
      </c>
      <c r="G27" s="14" t="str">
        <f>IF(ID!$B$84=E27,F27,"")</f>
        <v/>
      </c>
      <c r="H27" s="309" t="str">
        <f>IFERROR(SMALL($G$8:$G$110,ROWS(G$8:$G27)),"")</f>
        <v/>
      </c>
    </row>
    <row r="28" spans="2:8" x14ac:dyDescent="0.25">
      <c r="B28" s="611">
        <v>1E-3</v>
      </c>
      <c r="C28" s="612">
        <v>-1E-3</v>
      </c>
      <c r="D28" s="576">
        <v>2022</v>
      </c>
      <c r="E28" s="551" t="s">
        <v>257</v>
      </c>
      <c r="F28">
        <v>21</v>
      </c>
      <c r="G28" s="14" t="str">
        <f>IF(ID!$B$84=E28,F28,"")</f>
        <v/>
      </c>
      <c r="H28" s="309" t="str">
        <f>IFERROR(SMALL($G$8:$G$110,ROWS(G$8:$G28)),"")</f>
        <v/>
      </c>
    </row>
    <row r="29" spans="2:8" x14ac:dyDescent="0.25">
      <c r="B29" s="611">
        <v>0.10199999999999999</v>
      </c>
      <c r="C29" s="612">
        <v>-2E-3</v>
      </c>
      <c r="D29" s="613"/>
      <c r="E29" s="551" t="s">
        <v>257</v>
      </c>
      <c r="F29">
        <v>22</v>
      </c>
      <c r="G29" s="14" t="str">
        <f>IF(ID!$B$84=E29,F29,"")</f>
        <v/>
      </c>
      <c r="H29" s="309" t="str">
        <f>IFERROR(SMALL($G$8:$G$110,ROWS(G$8:$G29)),"")</f>
        <v/>
      </c>
    </row>
    <row r="30" spans="2:8" x14ac:dyDescent="0.25">
      <c r="B30" s="611">
        <v>0.20300000000000001</v>
      </c>
      <c r="C30" s="612">
        <v>-3.0000000000000001E-3</v>
      </c>
      <c r="D30" s="613"/>
      <c r="E30" s="551" t="s">
        <v>257</v>
      </c>
      <c r="F30">
        <v>23</v>
      </c>
      <c r="G30" s="14" t="str">
        <f>IF(ID!$B$84=E30,F30,"")</f>
        <v/>
      </c>
      <c r="H30" s="309" t="str">
        <f>IFERROR(SMALL($G$8:$G$110,ROWS(G$8:$G30)),"")</f>
        <v/>
      </c>
    </row>
    <row r="31" spans="2:8" x14ac:dyDescent="0.25">
      <c r="B31" s="611">
        <v>0.502</v>
      </c>
      <c r="C31" s="612">
        <v>-2E-3</v>
      </c>
      <c r="D31" s="613"/>
      <c r="E31" s="551" t="s">
        <v>257</v>
      </c>
      <c r="F31">
        <v>24</v>
      </c>
      <c r="G31" s="14" t="str">
        <f>IF(ID!$B$84=E31,F31,"")</f>
        <v/>
      </c>
      <c r="H31" s="309" t="str">
        <f>IFERROR(SMALL($G$8:$G$110,ROWS(G$8:$G31)),"")</f>
        <v/>
      </c>
    </row>
    <row r="32" spans="2:8" x14ac:dyDescent="0.25">
      <c r="B32" s="611">
        <v>1.012</v>
      </c>
      <c r="C32" s="612">
        <v>-1.2E-2</v>
      </c>
      <c r="D32" s="613"/>
      <c r="E32" s="551" t="s">
        <v>257</v>
      </c>
      <c r="F32">
        <v>25</v>
      </c>
      <c r="G32" s="14" t="str">
        <f>IF(ID!$B$84=E32,F32,"")</f>
        <v/>
      </c>
      <c r="H32" s="309" t="str">
        <f>IFERROR(SMALL($G$8:$G$110,ROWS(G$8:$G32)),"")</f>
        <v/>
      </c>
    </row>
    <row r="33" spans="2:15" x14ac:dyDescent="0.25">
      <c r="B33" s="611">
        <v>2.008</v>
      </c>
      <c r="C33" s="614">
        <v>-8.0000000000000002E-3</v>
      </c>
      <c r="D33" s="615"/>
      <c r="E33" s="551" t="s">
        <v>257</v>
      </c>
      <c r="F33">
        <v>26</v>
      </c>
      <c r="G33" s="14" t="str">
        <f>IF(ID!$B$84=E33,F33,"")</f>
        <v/>
      </c>
      <c r="H33" s="309" t="str">
        <f>IFERROR(SMALL($G$8:$G$110,ROWS(G$8:$G33)),"")</f>
        <v/>
      </c>
    </row>
    <row r="34" spans="2:15" x14ac:dyDescent="0.25">
      <c r="B34" s="602">
        <v>10</v>
      </c>
      <c r="C34" s="603">
        <f>C33</f>
        <v>-8.0000000000000002E-3</v>
      </c>
      <c r="D34" s="590"/>
      <c r="E34" s="549" t="s">
        <v>257</v>
      </c>
      <c r="F34">
        <v>27</v>
      </c>
      <c r="G34" s="14" t="str">
        <f>IF(ID!$B$84=E34,F34,"")</f>
        <v/>
      </c>
      <c r="H34" s="309" t="str">
        <f>IFERROR(SMALL($G$8:$G$110,ROWS(G$8:$G34)),"")</f>
        <v/>
      </c>
    </row>
    <row r="35" spans="2:15" x14ac:dyDescent="0.25">
      <c r="B35" s="585"/>
      <c r="C35" s="610"/>
      <c r="E35" s="594"/>
      <c r="F35">
        <v>28</v>
      </c>
      <c r="G35" s="14" t="str">
        <f>IF(ID!$B$84=E35,F35,"")</f>
        <v/>
      </c>
      <c r="H35" s="309" t="str">
        <f>IFERROR(SMALL($G$8:$G$110,ROWS(G$8:$G35)),"")</f>
        <v/>
      </c>
    </row>
    <row r="36" spans="2:15" x14ac:dyDescent="0.25">
      <c r="B36" s="585"/>
      <c r="C36" s="610"/>
      <c r="E36" s="24"/>
      <c r="F36">
        <v>29</v>
      </c>
      <c r="G36" s="14" t="str">
        <f>IF(ID!$B$84=E36,F36,"")</f>
        <v/>
      </c>
      <c r="H36" s="309" t="str">
        <f>IFERROR(SMALL($G$8:$G$110,ROWS(G$8:$G36)),"")</f>
        <v/>
      </c>
    </row>
    <row r="37" spans="2:15" ht="13.8" x14ac:dyDescent="0.3">
      <c r="B37" s="779" t="s">
        <v>284</v>
      </c>
      <c r="C37" s="779" t="s">
        <v>272</v>
      </c>
      <c r="D37" s="780" t="s">
        <v>273</v>
      </c>
      <c r="E37" s="24"/>
      <c r="F37">
        <v>30</v>
      </c>
      <c r="G37" s="14" t="str">
        <f>IF(ID!$B$84=E37,F37,"")</f>
        <v/>
      </c>
      <c r="H37" s="309" t="str">
        <f>IFERROR(SMALL($G$8:$G$110,ROWS(G$8:$G37)),"")</f>
        <v/>
      </c>
    </row>
    <row r="38" spans="2:15" x14ac:dyDescent="0.25">
      <c r="B38" s="616">
        <v>0</v>
      </c>
      <c r="C38" s="612">
        <v>0</v>
      </c>
      <c r="D38" s="573">
        <v>2021</v>
      </c>
      <c r="E38" s="539" t="s">
        <v>147</v>
      </c>
      <c r="F38">
        <v>31</v>
      </c>
      <c r="G38" s="14" t="str">
        <f>IF(ID!$B$84=E38,F38,"")</f>
        <v/>
      </c>
      <c r="H38" s="309" t="str">
        <f>IFERROR(SMALL($G$8:$G$110,ROWS(G$8:$G38)),"")</f>
        <v/>
      </c>
      <c r="O38">
        <v>9.9999999999999995E-7</v>
      </c>
    </row>
    <row r="39" spans="2:15" x14ac:dyDescent="0.25">
      <c r="B39" s="616">
        <v>0.10199999999999999</v>
      </c>
      <c r="C39" s="612">
        <v>-2E-3</v>
      </c>
      <c r="D39" s="589"/>
      <c r="E39" s="539" t="s">
        <v>147</v>
      </c>
      <c r="F39">
        <v>32</v>
      </c>
      <c r="G39" s="14" t="str">
        <f>IF(ID!$B$84=E39,F39,"")</f>
        <v/>
      </c>
      <c r="H39" s="309" t="str">
        <f>IFERROR(SMALL($G$8:$G$110,ROWS(G$8:$G39)),"")</f>
        <v/>
      </c>
    </row>
    <row r="40" spans="2:15" x14ac:dyDescent="0.25">
      <c r="B40" s="616">
        <v>0.19900000000000001</v>
      </c>
      <c r="C40" s="612">
        <v>1E-3</v>
      </c>
      <c r="D40" s="589"/>
      <c r="E40" s="539" t="s">
        <v>147</v>
      </c>
      <c r="F40">
        <v>33</v>
      </c>
      <c r="G40" s="14" t="str">
        <f>IF(ID!$B$84=E40,F40,"")</f>
        <v/>
      </c>
      <c r="H40" s="309" t="str">
        <f>IFERROR(SMALL($G$8:$G$110,ROWS(G$8:$G40)),"")</f>
        <v/>
      </c>
    </row>
    <row r="41" spans="2:15" x14ac:dyDescent="0.25">
      <c r="B41" s="616">
        <v>0.499</v>
      </c>
      <c r="C41" s="599">
        <v>1E-3</v>
      </c>
      <c r="D41" s="589"/>
      <c r="E41" s="539" t="s">
        <v>147</v>
      </c>
      <c r="F41">
        <v>34</v>
      </c>
      <c r="G41" s="14" t="str">
        <f>IF(ID!$B$84=E41,F41,"")</f>
        <v/>
      </c>
      <c r="H41" s="309" t="str">
        <f>IFERROR(SMALL($G$8:$G$110,ROWS(G$8:$G41)),"")</f>
        <v/>
      </c>
    </row>
    <row r="42" spans="2:15" x14ac:dyDescent="0.25">
      <c r="B42" s="617">
        <v>1.008</v>
      </c>
      <c r="C42" s="612">
        <v>-8.0000000000000002E-3</v>
      </c>
      <c r="D42" s="589"/>
      <c r="E42" s="539" t="s">
        <v>147</v>
      </c>
      <c r="F42">
        <v>35</v>
      </c>
      <c r="G42" s="14" t="str">
        <f>IF(ID!$B$84=E42,F42,"")</f>
        <v/>
      </c>
      <c r="H42" s="309" t="str">
        <f>IFERROR(SMALL($G$8:$G$110,ROWS(G$8:$G42)),"")</f>
        <v/>
      </c>
    </row>
    <row r="43" spans="2:15" x14ac:dyDescent="0.25">
      <c r="B43" s="616">
        <v>2.0070000000000001</v>
      </c>
      <c r="C43" s="618">
        <v>-7.0000000000000001E-3</v>
      </c>
      <c r="D43" s="256"/>
      <c r="E43" s="539" t="s">
        <v>147</v>
      </c>
      <c r="F43">
        <v>36</v>
      </c>
      <c r="G43" s="14" t="str">
        <f>IF(ID!$B$84=E43,F43,"")</f>
        <v/>
      </c>
      <c r="H43" s="309" t="str">
        <f>IFERROR(SMALL($G$8:$G$110,ROWS(G$8:$G43)),"")</f>
        <v/>
      </c>
    </row>
    <row r="44" spans="2:15" x14ac:dyDescent="0.25">
      <c r="B44" s="602">
        <v>10</v>
      </c>
      <c r="C44" s="603">
        <f>C43</f>
        <v>-7.0000000000000001E-3</v>
      </c>
      <c r="D44" s="590"/>
      <c r="E44" s="549" t="s">
        <v>147</v>
      </c>
      <c r="F44">
        <v>37</v>
      </c>
      <c r="G44" s="14" t="str">
        <f>IF(ID!$B$84=E44,F44,"")</f>
        <v/>
      </c>
      <c r="H44" s="309" t="str">
        <f>IFERROR(SMALL($G$8:$G$110,ROWS(G$8:$G44)),"")</f>
        <v/>
      </c>
    </row>
    <row r="45" spans="2:15" x14ac:dyDescent="0.25">
      <c r="B45" s="619"/>
      <c r="C45" s="620"/>
      <c r="D45" s="37"/>
      <c r="E45" s="621"/>
      <c r="F45">
        <v>38</v>
      </c>
      <c r="G45" s="14" t="str">
        <f>IF(ID!$B$84=E45,F45,"")</f>
        <v/>
      </c>
      <c r="H45" s="309" t="str">
        <f>IFERROR(SMALL($G$8:$G$110,ROWS(G$8:$G45)),"")</f>
        <v/>
      </c>
    </row>
    <row r="46" spans="2:15" x14ac:dyDescent="0.25">
      <c r="B46" s="563"/>
      <c r="C46" s="622"/>
      <c r="F46">
        <v>39</v>
      </c>
      <c r="G46" s="14" t="str">
        <f>IF(ID!$B$84=E46,F46,"")</f>
        <v/>
      </c>
      <c r="H46" s="309" t="str">
        <f>IFERROR(SMALL($G$8:$G$110,ROWS(G$8:$G46)),"")</f>
        <v/>
      </c>
    </row>
    <row r="47" spans="2:15" x14ac:dyDescent="0.25">
      <c r="B47" s="372">
        <v>0</v>
      </c>
      <c r="C47" s="612">
        <v>0</v>
      </c>
      <c r="D47" s="573">
        <v>2021</v>
      </c>
      <c r="E47" s="539" t="s">
        <v>258</v>
      </c>
      <c r="F47">
        <v>40</v>
      </c>
      <c r="G47" s="14" t="str">
        <f>IF(ID!$B$84=E47,F47,"")</f>
        <v/>
      </c>
      <c r="H47" s="309" t="str">
        <f>IFERROR(SMALL($G$8:$G$110,ROWS(G$8:$G47)),"")</f>
        <v/>
      </c>
    </row>
    <row r="48" spans="2:15" x14ac:dyDescent="0.25">
      <c r="B48" s="372">
        <v>0.10199999999999999</v>
      </c>
      <c r="C48" s="612">
        <v>-2E-3</v>
      </c>
      <c r="D48" s="589"/>
      <c r="E48" s="539" t="s">
        <v>258</v>
      </c>
      <c r="F48">
        <v>41</v>
      </c>
      <c r="G48" s="14" t="str">
        <f>IF(ID!$B$84=E48,F48,"")</f>
        <v/>
      </c>
      <c r="H48" s="309" t="str">
        <f>IFERROR(SMALL($G$8:$G$110,ROWS(G$8:$G48)),"")</f>
        <v/>
      </c>
    </row>
    <row r="49" spans="2:8" x14ac:dyDescent="0.25">
      <c r="B49" s="372">
        <v>0.20499999999999999</v>
      </c>
      <c r="C49" s="612">
        <v>-5.0000000000000001E-3</v>
      </c>
      <c r="D49" s="589"/>
      <c r="E49" s="539" t="s">
        <v>258</v>
      </c>
      <c r="F49">
        <v>42</v>
      </c>
      <c r="G49" s="14" t="str">
        <f>IF(ID!$B$84=E49,F49,"")</f>
        <v/>
      </c>
      <c r="H49" s="309" t="str">
        <f>IFERROR(SMALL($G$8:$G$110,ROWS(G$8:$G49)),"")</f>
        <v/>
      </c>
    </row>
    <row r="50" spans="2:8" x14ac:dyDescent="0.25">
      <c r="B50" s="372">
        <v>0.50600000000000001</v>
      </c>
      <c r="C50" s="599">
        <v>-6.0000000000000001E-3</v>
      </c>
      <c r="D50" s="589"/>
      <c r="E50" s="539" t="s">
        <v>258</v>
      </c>
      <c r="F50">
        <v>43</v>
      </c>
      <c r="G50" s="14" t="str">
        <f>IF(ID!$B$84=E50,F50,"")</f>
        <v/>
      </c>
      <c r="H50" s="309" t="str">
        <f>IFERROR(SMALL($G$8:$G$110,ROWS(G$8:$G50)),"")</f>
        <v/>
      </c>
    </row>
    <row r="51" spans="2:8" x14ac:dyDescent="0.25">
      <c r="B51" s="372">
        <v>0.93799999999999994</v>
      </c>
      <c r="C51" s="612">
        <v>6.3E-2</v>
      </c>
      <c r="D51" s="589"/>
      <c r="E51" s="539" t="s">
        <v>258</v>
      </c>
      <c r="F51">
        <v>44</v>
      </c>
      <c r="G51" s="14" t="str">
        <f>IF(ID!$B$84=E51,F51,"")</f>
        <v/>
      </c>
      <c r="H51" s="309" t="str">
        <f>IFERROR(SMALL($G$8:$G$110,ROWS(G$8:$G51)),"")</f>
        <v/>
      </c>
    </row>
    <row r="52" spans="2:8" x14ac:dyDescent="0.25">
      <c r="B52" s="372">
        <v>1.909</v>
      </c>
      <c r="C52" s="618">
        <v>9.0999999999999998E-2</v>
      </c>
      <c r="D52" s="556"/>
      <c r="E52" s="539" t="s">
        <v>258</v>
      </c>
      <c r="F52">
        <v>45</v>
      </c>
      <c r="G52" s="14" t="str">
        <f>IF(ID!$B$84=E52,F52,"")</f>
        <v/>
      </c>
      <c r="H52" s="309" t="str">
        <f>IFERROR(SMALL($G$8:$G$110,ROWS(G$8:$G52)),"")</f>
        <v/>
      </c>
    </row>
    <row r="53" spans="2:8" x14ac:dyDescent="0.25">
      <c r="B53" s="602">
        <v>10</v>
      </c>
      <c r="C53" s="603">
        <f>C52</f>
        <v>9.0999999999999998E-2</v>
      </c>
      <c r="D53" s="590"/>
      <c r="E53" s="549" t="s">
        <v>258</v>
      </c>
      <c r="F53">
        <v>46</v>
      </c>
      <c r="G53" s="14" t="str">
        <f>IF(ID!$B$84=E53,F53,"")</f>
        <v/>
      </c>
      <c r="H53" s="309" t="str">
        <f>IFERROR(SMALL($G$8:$G$110,ROWS(G$8:$G53)),"")</f>
        <v/>
      </c>
    </row>
    <row r="54" spans="2:8" x14ac:dyDescent="0.25">
      <c r="B54" s="585"/>
      <c r="C54" s="610"/>
      <c r="E54" s="594"/>
      <c r="F54">
        <v>47</v>
      </c>
      <c r="G54" s="14" t="str">
        <f>IF(ID!$B$84=E54,F54,"")</f>
        <v/>
      </c>
      <c r="H54" s="309" t="str">
        <f>IFERROR(SMALL($G$8:$G$110,ROWS(G$8:$G54)),"")</f>
        <v/>
      </c>
    </row>
    <row r="55" spans="2:8" x14ac:dyDescent="0.25">
      <c r="B55" s="585"/>
      <c r="C55" s="610"/>
      <c r="E55" s="24"/>
      <c r="F55">
        <v>48</v>
      </c>
      <c r="G55" s="14" t="str">
        <f>IF(ID!$B$84=E55,F55,"")</f>
        <v/>
      </c>
      <c r="H55" s="309" t="str">
        <f>IFERROR(SMALL($G$8:$G$110,ROWS(G$8:$G55)),"")</f>
        <v/>
      </c>
    </row>
    <row r="56" spans="2:8" x14ac:dyDescent="0.25">
      <c r="B56" s="563"/>
      <c r="C56" s="610"/>
      <c r="E56" s="24"/>
      <c r="F56">
        <v>49</v>
      </c>
      <c r="G56" s="14" t="str">
        <f>IF(ID!$B$84=E56,F56,"")</f>
        <v/>
      </c>
      <c r="H56" s="309" t="str">
        <f>IFERROR(SMALL($G$8:$G$110,ROWS(G$8:$G56)),"")</f>
        <v/>
      </c>
    </row>
    <row r="57" spans="2:8" x14ac:dyDescent="0.25">
      <c r="B57" s="372">
        <v>0</v>
      </c>
      <c r="C57" s="812">
        <v>0</v>
      </c>
      <c r="D57" s="573">
        <v>2022</v>
      </c>
      <c r="E57" s="539" t="s">
        <v>260</v>
      </c>
      <c r="F57">
        <v>50</v>
      </c>
      <c r="G57" s="14" t="str">
        <f>IF(ID!$B$84=E57,F57,"")</f>
        <v/>
      </c>
      <c r="H57" s="309" t="str">
        <f>IFERROR(SMALL($G$8:$G$110,ROWS(G$8:$G57)),"")</f>
        <v/>
      </c>
    </row>
    <row r="58" spans="2:8" x14ac:dyDescent="0.25">
      <c r="B58" s="372">
        <v>3.0000000000000001E-3</v>
      </c>
      <c r="C58" s="812">
        <v>-3.0000000000000001E-3</v>
      </c>
      <c r="D58" s="573"/>
      <c r="E58" s="539" t="s">
        <v>260</v>
      </c>
      <c r="F58">
        <v>51</v>
      </c>
      <c r="G58" s="14" t="str">
        <f>IF(ID!$B$84=E58,F58,"")</f>
        <v/>
      </c>
      <c r="H58" s="309" t="str">
        <f>IFERROR(SMALL($G$8:$G$110,ROWS(G$8:$G58)),"")</f>
        <v/>
      </c>
    </row>
    <row r="59" spans="2:8" x14ac:dyDescent="0.25">
      <c r="B59" s="372">
        <v>0.10299999999999999</v>
      </c>
      <c r="C59" s="812">
        <v>-3.0000000000000001E-3</v>
      </c>
      <c r="D59" s="573"/>
      <c r="E59" s="539" t="s">
        <v>260</v>
      </c>
      <c r="F59">
        <v>52</v>
      </c>
      <c r="G59" s="14" t="str">
        <f>IF(ID!$B$84=E59,F59,"")</f>
        <v/>
      </c>
      <c r="H59" s="309" t="str">
        <f>IFERROR(SMALL($G$8:$G$110,ROWS(G$8:$G59)),"")</f>
        <v/>
      </c>
    </row>
    <row r="60" spans="2:8" x14ac:dyDescent="0.25">
      <c r="B60" s="372">
        <v>0.19800000000000001</v>
      </c>
      <c r="C60" s="812">
        <v>2E-3</v>
      </c>
      <c r="D60" s="573"/>
      <c r="E60" s="539" t="s">
        <v>260</v>
      </c>
      <c r="F60">
        <v>53</v>
      </c>
      <c r="G60" s="14" t="str">
        <f>IF(ID!$B$84=E60,F60,"")</f>
        <v/>
      </c>
      <c r="H60" s="309" t="str">
        <f>IFERROR(SMALL($G$8:$G$110,ROWS(G$8:$G60)),"")</f>
        <v/>
      </c>
    </row>
    <row r="61" spans="2:8" x14ac:dyDescent="0.25">
      <c r="B61" s="813">
        <v>0.50700000000000001</v>
      </c>
      <c r="C61" s="814">
        <v>-7.0000000000000001E-3</v>
      </c>
      <c r="D61" s="576"/>
      <c r="E61" s="551" t="s">
        <v>260</v>
      </c>
      <c r="F61">
        <v>54</v>
      </c>
      <c r="G61" s="14" t="str">
        <f>IF(ID!$B$84=E61,F61,"")</f>
        <v/>
      </c>
      <c r="H61" s="309" t="str">
        <f>IFERROR(SMALL($G$8:$G$110,ROWS(G$8:$G61)),"")</f>
        <v/>
      </c>
    </row>
    <row r="62" spans="2:8" x14ac:dyDescent="0.25">
      <c r="B62" s="600">
        <v>1.0069999999999999</v>
      </c>
      <c r="C62" s="815">
        <v>-7.0000000000000001E-3</v>
      </c>
      <c r="D62" s="615"/>
      <c r="E62" s="551" t="s">
        <v>260</v>
      </c>
      <c r="F62">
        <v>55</v>
      </c>
      <c r="G62" s="14" t="str">
        <f>IF(ID!$B$84=E62,F62,"")</f>
        <v/>
      </c>
      <c r="H62" s="309" t="str">
        <f>IFERROR(SMALL($G$8:$G$110,ROWS(G$8:$G62)),"")</f>
        <v/>
      </c>
    </row>
    <row r="63" spans="2:8" x14ac:dyDescent="0.25">
      <c r="B63" s="813">
        <v>2.0070000000000001</v>
      </c>
      <c r="C63" s="815">
        <v>-7.0000000000000001E-3</v>
      </c>
      <c r="D63" s="615"/>
      <c r="E63" s="551" t="s">
        <v>260</v>
      </c>
      <c r="F63">
        <v>56</v>
      </c>
      <c r="G63" s="14" t="str">
        <f>IF(ID!$B$84=E63,F63,"")</f>
        <v/>
      </c>
      <c r="H63" s="309" t="str">
        <f>IFERROR(SMALL($G$8:$G$110,ROWS(G$8:$G63)),"")</f>
        <v/>
      </c>
    </row>
    <row r="64" spans="2:8" x14ac:dyDescent="0.25">
      <c r="B64" s="816">
        <v>10</v>
      </c>
      <c r="C64" s="618">
        <f>C63</f>
        <v>-7.0000000000000001E-3</v>
      </c>
      <c r="D64" s="556"/>
      <c r="E64" s="549" t="s">
        <v>260</v>
      </c>
      <c r="F64">
        <v>57</v>
      </c>
      <c r="G64" s="14" t="str">
        <f>IF(ID!$B$84=E64,F64,"")</f>
        <v/>
      </c>
      <c r="H64" s="309" t="str">
        <f>IFERROR(SMALL($G$8:$G$110,ROWS(G$8:$G64)),"")</f>
        <v/>
      </c>
    </row>
    <row r="65" spans="2:8" x14ac:dyDescent="0.25">
      <c r="B65" s="563"/>
      <c r="C65" s="610"/>
      <c r="E65" s="623"/>
      <c r="F65">
        <v>58</v>
      </c>
      <c r="G65" s="14" t="str">
        <f>IF(ID!$B$84=E65,F65,"")</f>
        <v/>
      </c>
      <c r="H65" s="309" t="str">
        <f>IFERROR(SMALL($G$8:$G$110,ROWS(G$8:$G65)),"")</f>
        <v/>
      </c>
    </row>
    <row r="66" spans="2:8" x14ac:dyDescent="0.25">
      <c r="B66" s="563"/>
      <c r="C66" s="610"/>
      <c r="E66" s="623"/>
      <c r="F66">
        <v>59</v>
      </c>
      <c r="G66" s="14" t="str">
        <f>IF(ID!$B$84=E66,F66,"")</f>
        <v/>
      </c>
      <c r="H66" s="309" t="str">
        <f>IFERROR(SMALL($G$8:$G$110,ROWS(G$8:$G66)),"")</f>
        <v/>
      </c>
    </row>
    <row r="67" spans="2:8" x14ac:dyDescent="0.25">
      <c r="B67" s="563"/>
      <c r="C67" s="610"/>
      <c r="E67" s="623"/>
      <c r="F67">
        <v>60</v>
      </c>
      <c r="G67" s="14" t="str">
        <f>IF(ID!$B$84=E67,F67,"")</f>
        <v/>
      </c>
      <c r="H67" s="309" t="str">
        <f>IFERROR(SMALL($G$8:$G$110,ROWS(G$8:$G67)),"")</f>
        <v/>
      </c>
    </row>
    <row r="68" spans="2:8" x14ac:dyDescent="0.25">
      <c r="B68" s="563"/>
      <c r="C68" s="610"/>
      <c r="E68" s="623"/>
      <c r="F68">
        <v>61</v>
      </c>
      <c r="G68" s="14" t="str">
        <f>IF(ID!$B$84=E68,F68,"")</f>
        <v/>
      </c>
      <c r="H68" s="309" t="str">
        <f>IFERROR(SMALL($G$8:$G$110,ROWS(G$8:$G68)),"")</f>
        <v/>
      </c>
    </row>
    <row r="69" spans="2:8" x14ac:dyDescent="0.25">
      <c r="B69" s="563"/>
      <c r="C69" s="610"/>
      <c r="E69" s="623"/>
      <c r="F69">
        <v>62</v>
      </c>
      <c r="G69" s="14" t="str">
        <f>IF(ID!$B$84=E69,F69,"")</f>
        <v/>
      </c>
      <c r="H69" s="309" t="str">
        <f>IFERROR(SMALL($G$8:$G$110,ROWS(G$8:$G69)),"")</f>
        <v/>
      </c>
    </row>
    <row r="70" spans="2:8" x14ac:dyDescent="0.25">
      <c r="B70" s="563"/>
      <c r="C70" s="610"/>
      <c r="E70" s="623"/>
      <c r="F70">
        <v>63</v>
      </c>
      <c r="G70" s="14" t="str">
        <f>IF(ID!$B$84=E70,F70,"")</f>
        <v/>
      </c>
      <c r="H70" s="309" t="str">
        <f>IFERROR(SMALL($G$8:$G$110,ROWS(G$8:$G70)),"")</f>
        <v/>
      </c>
    </row>
    <row r="71" spans="2:8" ht="13.8" x14ac:dyDescent="0.25">
      <c r="B71" s="801" t="s">
        <v>291</v>
      </c>
      <c r="C71" s="811" t="s">
        <v>272</v>
      </c>
      <c r="D71" s="803" t="s">
        <v>273</v>
      </c>
      <c r="E71" s="624"/>
      <c r="F71">
        <v>64</v>
      </c>
      <c r="G71" s="14" t="str">
        <f>IF(ID!$B$84=E71,F71,"")</f>
        <v/>
      </c>
      <c r="H71" s="309" t="str">
        <f>IFERROR(SMALL($G$8:$G$110,ROWS(G$8:$G71)),"")</f>
        <v/>
      </c>
    </row>
    <row r="72" spans="2:8" x14ac:dyDescent="0.25">
      <c r="B72" s="372">
        <v>0</v>
      </c>
      <c r="C72" s="598">
        <v>0</v>
      </c>
      <c r="D72" s="573">
        <v>2022</v>
      </c>
      <c r="E72" s="539" t="s">
        <v>261</v>
      </c>
      <c r="F72">
        <v>65</v>
      </c>
      <c r="G72" s="14" t="str">
        <f>IF(ID!$B$84=E72,F72,"")</f>
        <v/>
      </c>
      <c r="H72" s="309" t="str">
        <f>IFERROR(SMALL($G$8:$G$110,ROWS(G$8:$G72)),"")</f>
        <v/>
      </c>
    </row>
    <row r="73" spans="2:8" x14ac:dyDescent="0.25">
      <c r="B73" s="372">
        <v>2E-3</v>
      </c>
      <c r="C73" s="593">
        <v>-2E-3</v>
      </c>
      <c r="D73" s="573"/>
      <c r="E73" s="539" t="s">
        <v>261</v>
      </c>
      <c r="F73">
        <v>66</v>
      </c>
      <c r="G73" s="14" t="str">
        <f>IF(ID!$B$84=E73,F73,"")</f>
        <v/>
      </c>
      <c r="H73" s="309" t="str">
        <f>IFERROR(SMALL($G$8:$G$110,ROWS(G$8:$G73)),"")</f>
        <v/>
      </c>
    </row>
    <row r="74" spans="2:8" x14ac:dyDescent="0.25">
      <c r="B74" s="372">
        <v>9.8000000000000004E-2</v>
      </c>
      <c r="C74" s="593">
        <v>2E-3</v>
      </c>
      <c r="D74" s="573"/>
      <c r="E74" s="539" t="s">
        <v>261</v>
      </c>
      <c r="F74">
        <v>67</v>
      </c>
      <c r="G74" s="14" t="str">
        <f>IF(ID!$B$84=E74,F74,"")</f>
        <v/>
      </c>
      <c r="H74" s="309" t="str">
        <f>IFERROR(SMALL($G$8:$G$110,ROWS(G$8:$G74)),"")</f>
        <v/>
      </c>
    </row>
    <row r="75" spans="2:8" x14ac:dyDescent="0.25">
      <c r="B75" s="372">
        <v>0.19900000000000001</v>
      </c>
      <c r="C75" s="612">
        <v>1E-3</v>
      </c>
      <c r="D75" s="573"/>
      <c r="E75" s="539" t="s">
        <v>261</v>
      </c>
      <c r="F75">
        <v>68</v>
      </c>
      <c r="G75" s="14" t="str">
        <f>IF(ID!$B$84=E75,F75,"")</f>
        <v/>
      </c>
      <c r="H75" s="309" t="str">
        <f>IFERROR(SMALL($G$8:$G$110,ROWS(G$8:$G75)),"")</f>
        <v/>
      </c>
    </row>
    <row r="76" spans="2:8" x14ac:dyDescent="0.25">
      <c r="B76" s="372">
        <v>0.497</v>
      </c>
      <c r="C76" s="593">
        <v>3.0000000000000001E-3</v>
      </c>
      <c r="D76" s="573"/>
      <c r="E76" s="539" t="s">
        <v>261</v>
      </c>
      <c r="F76">
        <v>69</v>
      </c>
      <c r="G76" s="14" t="str">
        <f>IF(ID!$B$84=E76,F76,"")</f>
        <v/>
      </c>
      <c r="H76" s="309" t="str">
        <f>IFERROR(SMALL($G$8:$G$110,ROWS(G$8:$G76)),"")</f>
        <v/>
      </c>
    </row>
    <row r="77" spans="2:8" x14ac:dyDescent="0.25">
      <c r="B77" s="625">
        <v>0.998</v>
      </c>
      <c r="C77" s="601">
        <v>2E-3</v>
      </c>
      <c r="D77" s="604"/>
      <c r="E77" s="539" t="s">
        <v>261</v>
      </c>
      <c r="F77">
        <v>70</v>
      </c>
      <c r="G77" s="14" t="str">
        <f>IF(ID!$B$84=E77,F77,"")</f>
        <v/>
      </c>
      <c r="H77" s="309" t="str">
        <f>IFERROR(SMALL($G$8:$G$110,ROWS(G$8:$G77)),"")</f>
        <v/>
      </c>
    </row>
    <row r="78" spans="2:8" x14ac:dyDescent="0.25">
      <c r="B78" s="813">
        <v>2.0009999999999999</v>
      </c>
      <c r="C78" s="814">
        <v>-1E-3</v>
      </c>
      <c r="D78" s="604"/>
      <c r="E78" s="817" t="s">
        <v>261</v>
      </c>
      <c r="F78">
        <v>71</v>
      </c>
      <c r="G78" s="14" t="str">
        <f>IF(ID!$B$84=E78,F78,"")</f>
        <v/>
      </c>
      <c r="H78" s="309" t="str">
        <f>IFERROR(SMALL($G$8:$G$110,ROWS(G$8:$G78)),"")</f>
        <v/>
      </c>
    </row>
    <row r="79" spans="2:8" x14ac:dyDescent="0.25">
      <c r="B79" s="602">
        <v>10</v>
      </c>
      <c r="C79" s="818">
        <f>C78</f>
        <v>-1E-3</v>
      </c>
      <c r="D79" s="604"/>
      <c r="E79" s="543" t="s">
        <v>261</v>
      </c>
      <c r="F79">
        <v>72</v>
      </c>
      <c r="G79" s="14" t="str">
        <f>IF(ID!$B$84=E79,F79,"")</f>
        <v/>
      </c>
      <c r="H79" s="309" t="str">
        <f>IFERROR(SMALL($G$8:$G$110,ROWS(G$8:$G79)),"")</f>
        <v/>
      </c>
    </row>
    <row r="80" spans="2:8" x14ac:dyDescent="0.25">
      <c r="B80" s="602"/>
      <c r="C80" s="818"/>
      <c r="D80" s="604"/>
      <c r="E80" s="819"/>
      <c r="F80">
        <v>73</v>
      </c>
      <c r="G80" s="14" t="str">
        <f>IF(ID!$B$84=E80,F80,"")</f>
        <v/>
      </c>
      <c r="H80" s="309" t="str">
        <f>IFERROR(SMALL($G$8:$G$110,ROWS(G$8:$G80)),"")</f>
        <v/>
      </c>
    </row>
    <row r="81" spans="2:8" x14ac:dyDescent="0.25">
      <c r="B81" s="602"/>
      <c r="C81" s="818"/>
      <c r="D81" s="604"/>
      <c r="E81" s="819"/>
      <c r="F81">
        <v>74</v>
      </c>
      <c r="G81" s="14" t="str">
        <f>IF(ID!$B$84=E81,F81,"")</f>
        <v/>
      </c>
      <c r="H81" s="309" t="str">
        <f>IFERROR(SMALL($G$8:$G$110,ROWS(G$8:$G81)),"")</f>
        <v/>
      </c>
    </row>
    <row r="82" spans="2:8" x14ac:dyDescent="0.25">
      <c r="B82" s="602"/>
      <c r="C82" s="818"/>
      <c r="D82" s="604"/>
      <c r="E82" s="819"/>
      <c r="F82">
        <v>75</v>
      </c>
      <c r="G82" s="14" t="str">
        <f>IF(ID!$B$84=E82,F82,"")</f>
        <v/>
      </c>
      <c r="H82" s="309" t="str">
        <f>IFERROR(SMALL($G$8:$G$110,ROWS(G$8:$G82)),"")</f>
        <v/>
      </c>
    </row>
    <row r="83" spans="2:8" ht="13.8" x14ac:dyDescent="0.25">
      <c r="B83" s="801" t="s">
        <v>291</v>
      </c>
      <c r="C83" s="811" t="s">
        <v>272</v>
      </c>
      <c r="D83" s="803" t="s">
        <v>273</v>
      </c>
      <c r="E83" s="594"/>
      <c r="F83">
        <v>76</v>
      </c>
      <c r="G83" s="14" t="str">
        <f>IF(ID!$B$84=E83,F83,"")</f>
        <v/>
      </c>
      <c r="H83" s="309" t="str">
        <f>IFERROR(SMALL($G$8:$G$110,ROWS(G$8:$G83)),"")</f>
        <v/>
      </c>
    </row>
    <row r="84" spans="2:8" x14ac:dyDescent="0.25">
      <c r="B84" s="372">
        <v>0</v>
      </c>
      <c r="C84" s="598">
        <v>0</v>
      </c>
      <c r="D84" s="573">
        <v>2022</v>
      </c>
      <c r="E84" s="539" t="s">
        <v>422</v>
      </c>
      <c r="F84">
        <v>77</v>
      </c>
      <c r="G84" s="14" t="str">
        <f>IF(ID!$B$84=E84,F84,"")</f>
        <v/>
      </c>
      <c r="H84" s="309" t="str">
        <f>IFERROR(SMALL($G$8:$G$110,ROWS(G$8:$G84)),"")</f>
        <v/>
      </c>
    </row>
    <row r="85" spans="2:8" x14ac:dyDescent="0.25">
      <c r="B85" s="372">
        <v>2E-3</v>
      </c>
      <c r="C85" s="598">
        <v>-2E-3</v>
      </c>
      <c r="D85" s="573"/>
      <c r="E85" s="539" t="s">
        <v>422</v>
      </c>
      <c r="F85">
        <v>78</v>
      </c>
      <c r="G85" s="14" t="str">
        <f>IF(ID!$B$84=E85,F85,"")</f>
        <v/>
      </c>
      <c r="H85" s="309" t="str">
        <f>IFERROR(SMALL($G$8:$G$110,ROWS(G$8:$G85)),"")</f>
        <v/>
      </c>
    </row>
    <row r="86" spans="2:8" x14ac:dyDescent="0.25">
      <c r="B86" s="372">
        <v>0.10100000000000001</v>
      </c>
      <c r="C86" s="593">
        <v>-1E-3</v>
      </c>
      <c r="D86" s="573"/>
      <c r="E86" s="539" t="s">
        <v>422</v>
      </c>
      <c r="F86">
        <v>79</v>
      </c>
      <c r="G86" s="14" t="str">
        <f>IF(ID!$B$84=E86,F86,"")</f>
        <v/>
      </c>
      <c r="H86" s="309" t="str">
        <f>IFERROR(SMALL($G$8:$G$110,ROWS(G$8:$G86)),"")</f>
        <v/>
      </c>
    </row>
    <row r="87" spans="2:8" x14ac:dyDescent="0.25">
      <c r="B87" s="372">
        <v>0.19800000000000001</v>
      </c>
      <c r="C87" s="593">
        <v>2E-3</v>
      </c>
      <c r="D87" s="576"/>
      <c r="E87" s="539" t="s">
        <v>422</v>
      </c>
      <c r="F87">
        <v>80</v>
      </c>
      <c r="G87" s="14" t="str">
        <f>IF(ID!$B$84=E87,F87,"")</f>
        <v/>
      </c>
      <c r="H87" s="309" t="str">
        <f>IFERROR(SMALL($G$8:$G$110,ROWS(G$8:$G87)),"")</f>
        <v/>
      </c>
    </row>
    <row r="88" spans="2:8" x14ac:dyDescent="0.25">
      <c r="B88" s="372">
        <v>0.496</v>
      </c>
      <c r="C88" s="612">
        <v>4.0000000000000001E-3</v>
      </c>
      <c r="D88" s="573"/>
      <c r="E88" s="539" t="s">
        <v>422</v>
      </c>
      <c r="F88">
        <v>81</v>
      </c>
      <c r="G88" s="14" t="str">
        <f>IF(ID!$B$84=E88,F88,"")</f>
        <v/>
      </c>
      <c r="H88" s="309" t="str">
        <f>IFERROR(SMALL($G$8:$G$110,ROWS(G$8:$G88)),"")</f>
        <v/>
      </c>
    </row>
    <row r="89" spans="2:8" x14ac:dyDescent="0.25">
      <c r="B89" s="372">
        <v>0.995</v>
      </c>
      <c r="C89" s="598">
        <v>5.0000000000000001E-3</v>
      </c>
      <c r="D89" s="604"/>
      <c r="E89" s="539" t="s">
        <v>422</v>
      </c>
      <c r="F89">
        <v>82</v>
      </c>
      <c r="G89" s="14" t="str">
        <f>IF(ID!$B$84=E89,F89,"")</f>
        <v/>
      </c>
      <c r="H89" s="309" t="str">
        <f>IFERROR(SMALL($G$8:$G$110,ROWS(G$8:$G89)),"")</f>
        <v/>
      </c>
    </row>
    <row r="90" spans="2:8" x14ac:dyDescent="0.25">
      <c r="B90" s="372">
        <v>1.9950000000000001</v>
      </c>
      <c r="C90" s="618">
        <v>5.0000000000000001E-3</v>
      </c>
      <c r="D90" s="604"/>
      <c r="E90" s="539" t="s">
        <v>422</v>
      </c>
      <c r="F90">
        <v>83</v>
      </c>
      <c r="G90" s="14" t="str">
        <f>IF(ID!$B$84=E90,F90,"")</f>
        <v/>
      </c>
      <c r="H90" s="309" t="str">
        <f>IFERROR(SMALL($G$8:$G$110,ROWS(G$8:$G90)),"")</f>
        <v/>
      </c>
    </row>
    <row r="91" spans="2:8" x14ac:dyDescent="0.25">
      <c r="B91" s="602">
        <v>10</v>
      </c>
      <c r="C91" s="603">
        <f>C90</f>
        <v>5.0000000000000001E-3</v>
      </c>
      <c r="D91" s="626"/>
      <c r="E91" s="543" t="s">
        <v>422</v>
      </c>
      <c r="F91">
        <v>84</v>
      </c>
      <c r="G91" s="14" t="str">
        <f>IF(ID!$B$84=E91,F91,"")</f>
        <v/>
      </c>
      <c r="H91" s="309" t="str">
        <f>IFERROR(SMALL($G$8:$G$110,ROWS(G$8:$G91)),"")</f>
        <v/>
      </c>
    </row>
    <row r="92" spans="2:8" x14ac:dyDescent="0.25">
      <c r="B92" s="563"/>
      <c r="C92" s="610"/>
      <c r="F92">
        <v>85</v>
      </c>
      <c r="G92" s="14" t="str">
        <f>IF(ID!$B$84=E92,F92,"")</f>
        <v/>
      </c>
      <c r="H92" s="309" t="str">
        <f>IFERROR(SMALL($G$8:$G$110,ROWS(G$8:$G92)),"")</f>
        <v/>
      </c>
    </row>
    <row r="93" spans="2:8" ht="13.8" x14ac:dyDescent="0.25">
      <c r="B93" s="801" t="s">
        <v>291</v>
      </c>
      <c r="C93" s="811" t="s">
        <v>272</v>
      </c>
      <c r="D93" s="803" t="s">
        <v>273</v>
      </c>
      <c r="F93">
        <v>86</v>
      </c>
      <c r="G93" s="14" t="str">
        <f>IF(ID!$B$84=E93,F93,"")</f>
        <v/>
      </c>
      <c r="H93" s="309" t="str">
        <f>IFERROR(SMALL($G$8:$G$110,ROWS(G$8:$G93)),"")</f>
        <v/>
      </c>
    </row>
    <row r="94" spans="2:8" x14ac:dyDescent="0.25">
      <c r="B94" s="616">
        <v>0</v>
      </c>
      <c r="C94" s="618">
        <v>0</v>
      </c>
      <c r="D94" s="573">
        <v>2022</v>
      </c>
      <c r="E94" s="539" t="s">
        <v>423</v>
      </c>
      <c r="F94">
        <v>87</v>
      </c>
      <c r="G94" s="14" t="str">
        <f>IF(ID!$B$84=E94,F94,"")</f>
        <v/>
      </c>
      <c r="H94" s="309" t="str">
        <f>IFERROR(SMALL($G$8:$G$110,ROWS(G$8:$G94)),"")</f>
        <v/>
      </c>
    </row>
    <row r="95" spans="2:8" x14ac:dyDescent="0.25">
      <c r="B95" s="616">
        <v>2E-3</v>
      </c>
      <c r="C95" s="593">
        <v>-2E-3</v>
      </c>
      <c r="D95" s="589"/>
      <c r="E95" s="539" t="s">
        <v>423</v>
      </c>
      <c r="F95">
        <v>88</v>
      </c>
      <c r="G95" s="14" t="str">
        <f>IF(ID!$B$84=E95,F95,"")</f>
        <v/>
      </c>
      <c r="H95" s="309" t="str">
        <f>IFERROR(SMALL($G$8:$G$110,ROWS(G$8:$G95)),"")</f>
        <v/>
      </c>
    </row>
    <row r="96" spans="2:8" x14ac:dyDescent="0.25">
      <c r="B96" s="616">
        <v>9.9000000000000005E-2</v>
      </c>
      <c r="C96" s="593">
        <v>1E-3</v>
      </c>
      <c r="D96" s="589"/>
      <c r="E96" s="539" t="s">
        <v>423</v>
      </c>
      <c r="F96">
        <v>89</v>
      </c>
      <c r="G96" s="14" t="str">
        <f>IF(ID!$B$84=E96,F96,"")</f>
        <v/>
      </c>
      <c r="H96" s="309" t="str">
        <f>IFERROR(SMALL($G$8:$G$110,ROWS(G$8:$G96)),"")</f>
        <v/>
      </c>
    </row>
    <row r="97" spans="2:8" x14ac:dyDescent="0.25">
      <c r="B97" s="616">
        <v>0.19700000000000001</v>
      </c>
      <c r="C97" s="593">
        <v>3.0000000000000001E-3</v>
      </c>
      <c r="D97" s="613"/>
      <c r="E97" s="539" t="s">
        <v>423</v>
      </c>
      <c r="F97">
        <v>90</v>
      </c>
      <c r="G97" s="14" t="str">
        <f>IF(ID!$B$84=E97,F97,"")</f>
        <v/>
      </c>
      <c r="H97" s="309" t="str">
        <f>IFERROR(SMALL($G$8:$G$110,ROWS(G$8:$G97)),"")</f>
        <v/>
      </c>
    </row>
    <row r="98" spans="2:8" x14ac:dyDescent="0.25">
      <c r="B98" s="617">
        <v>0.496</v>
      </c>
      <c r="C98" s="598">
        <v>4.0000000000000001E-3</v>
      </c>
      <c r="D98" s="589"/>
      <c r="E98" s="539" t="s">
        <v>423</v>
      </c>
      <c r="F98">
        <v>91</v>
      </c>
      <c r="G98" s="14" t="str">
        <f>IF(ID!$B$84=E98,F98,"")</f>
        <v/>
      </c>
      <c r="H98" s="309" t="str">
        <f>IFERROR(SMALL($G$8:$G$110,ROWS(G$8:$G98)),"")</f>
        <v/>
      </c>
    </row>
    <row r="99" spans="2:8" x14ac:dyDescent="0.25">
      <c r="B99" s="616">
        <v>1</v>
      </c>
      <c r="C99" s="598">
        <v>0</v>
      </c>
      <c r="D99" s="556"/>
      <c r="E99" s="539" t="s">
        <v>423</v>
      </c>
      <c r="F99">
        <v>92</v>
      </c>
      <c r="G99" s="14" t="str">
        <f>IF(ID!$B$84=E99,F99,"")</f>
        <v/>
      </c>
      <c r="H99" s="309" t="str">
        <f>IFERROR(SMALL($G$8:$G$110,ROWS(G$8:$G99)),"")</f>
        <v/>
      </c>
    </row>
    <row r="100" spans="2:8" x14ac:dyDescent="0.25">
      <c r="B100" s="813">
        <v>2</v>
      </c>
      <c r="C100" s="814">
        <v>0</v>
      </c>
      <c r="D100" s="590"/>
      <c r="E100" s="549" t="s">
        <v>423</v>
      </c>
      <c r="F100">
        <v>93</v>
      </c>
      <c r="G100" s="14" t="str">
        <f>IF(ID!$B$84=E100,F100,"")</f>
        <v/>
      </c>
      <c r="H100" s="309" t="str">
        <f>IFERROR(SMALL($G$8:$G$110,ROWS(G$8:$G100)),"")</f>
        <v/>
      </c>
    </row>
    <row r="101" spans="2:8" x14ac:dyDescent="0.25">
      <c r="B101" s="795">
        <v>10</v>
      </c>
      <c r="C101" s="603">
        <f>C100</f>
        <v>0</v>
      </c>
      <c r="D101" s="556"/>
      <c r="E101" s="361"/>
      <c r="F101">
        <v>94</v>
      </c>
      <c r="G101" s="14" t="str">
        <f>IF(ID!$B$84=E101,F101,"")</f>
        <v/>
      </c>
      <c r="H101" s="309" t="str">
        <f>IFERROR(SMALL($G$8:$G$110,ROWS(G$8:$G101)),"")</f>
        <v/>
      </c>
    </row>
    <row r="102" spans="2:8" x14ac:dyDescent="0.25">
      <c r="B102" s="563"/>
      <c r="C102" s="610"/>
      <c r="F102">
        <v>95</v>
      </c>
      <c r="G102" s="14" t="str">
        <f>IF(ID!$B$84=E102,F102,"")</f>
        <v/>
      </c>
      <c r="H102" s="309" t="str">
        <f>IFERROR(SMALL($G$8:$G$110,ROWS(G$8:$G102)),"")</f>
        <v/>
      </c>
    </row>
    <row r="103" spans="2:8" x14ac:dyDescent="0.25">
      <c r="B103" s="563"/>
      <c r="C103" s="610"/>
      <c r="F103">
        <v>96</v>
      </c>
      <c r="G103" s="14" t="str">
        <f>IF(ID!$B$84=E103,F103,"")</f>
        <v/>
      </c>
      <c r="H103" s="309" t="str">
        <f>IFERROR(SMALL($G$8:$G$110,ROWS(G$8:$G103)),"")</f>
        <v/>
      </c>
    </row>
    <row r="104" spans="2:8" x14ac:dyDescent="0.25">
      <c r="B104" s="372">
        <v>0</v>
      </c>
      <c r="C104" s="612">
        <v>0</v>
      </c>
      <c r="D104" s="573">
        <v>2021</v>
      </c>
      <c r="E104" s="539"/>
      <c r="F104">
        <v>97</v>
      </c>
      <c r="G104" s="14" t="str">
        <f>IF(ID!$B$84=E104,F104,"")</f>
        <v/>
      </c>
      <c r="H104" s="309" t="str">
        <f>IFERROR(SMALL($G$8:$G$110,ROWS(G$8:$G104)),"")</f>
        <v/>
      </c>
    </row>
    <row r="105" spans="2:8" x14ac:dyDescent="0.25">
      <c r="B105" s="372">
        <v>0.10199999999999999</v>
      </c>
      <c r="C105" s="612">
        <v>-2E-3</v>
      </c>
      <c r="D105" s="589"/>
      <c r="E105" s="539"/>
      <c r="F105">
        <v>98</v>
      </c>
      <c r="G105" s="14" t="str">
        <f>IF(ID!$B$84=E105,F105,"")</f>
        <v/>
      </c>
      <c r="H105" s="309" t="str">
        <f>IFERROR(SMALL($G$8:$G$110,ROWS(G$8:$G105)),"")</f>
        <v/>
      </c>
    </row>
    <row r="106" spans="2:8" x14ac:dyDescent="0.25">
      <c r="B106" s="372">
        <v>0.19900000000000001</v>
      </c>
      <c r="C106" s="618">
        <v>1E-3</v>
      </c>
      <c r="D106" s="589"/>
      <c r="E106" s="539"/>
      <c r="F106">
        <v>99</v>
      </c>
      <c r="G106" s="14" t="str">
        <f>IF(ID!$B$84=E106,F106,"")</f>
        <v/>
      </c>
      <c r="H106" s="309" t="str">
        <f>IFERROR(SMALL($G$8:$G$110,ROWS(G$8:$G106)),"")</f>
        <v/>
      </c>
    </row>
    <row r="107" spans="2:8" x14ac:dyDescent="0.25">
      <c r="B107" s="372">
        <v>0.499</v>
      </c>
      <c r="C107" s="598">
        <v>1E-3</v>
      </c>
      <c r="D107" s="589"/>
      <c r="E107" s="539"/>
      <c r="F107">
        <v>100</v>
      </c>
      <c r="G107" s="14" t="str">
        <f>IF(ID!$B$84=E107,F107,"")</f>
        <v/>
      </c>
      <c r="H107" s="309" t="str">
        <f>IFERROR(SMALL($G$8:$G$110,ROWS(G$8:$G107)),"")</f>
        <v/>
      </c>
    </row>
    <row r="108" spans="2:8" x14ac:dyDescent="0.25">
      <c r="B108" s="372">
        <v>1.008</v>
      </c>
      <c r="C108" s="612">
        <v>-8.0000000000000002E-3</v>
      </c>
      <c r="D108" s="589"/>
      <c r="E108" s="539"/>
      <c r="F108">
        <v>101</v>
      </c>
      <c r="G108" s="14" t="str">
        <f>IF(ID!$B$84=E108,F108,"")</f>
        <v/>
      </c>
      <c r="H108" s="309" t="str">
        <f>IFERROR(SMALL($G$8:$G$110,ROWS(G$8:$G108)),"")</f>
        <v/>
      </c>
    </row>
    <row r="109" spans="2:8" x14ac:dyDescent="0.25">
      <c r="B109" s="372">
        <v>2.0070000000000001</v>
      </c>
      <c r="C109" s="618">
        <v>-7.0000000000000001E-3</v>
      </c>
      <c r="D109" s="556"/>
      <c r="E109" s="539"/>
      <c r="F109">
        <v>102</v>
      </c>
      <c r="G109" s="14" t="str">
        <f>IF(ID!$B$84=E109,F109,"")</f>
        <v/>
      </c>
      <c r="H109" s="309" t="str">
        <f>IFERROR(SMALL($G$8:$G$110,ROWS(G$8:$G109)),"")</f>
        <v/>
      </c>
    </row>
    <row r="110" spans="2:8" x14ac:dyDescent="0.25">
      <c r="B110" s="602">
        <v>10</v>
      </c>
      <c r="C110" s="603">
        <f>C109</f>
        <v>-7.0000000000000001E-3</v>
      </c>
      <c r="D110" s="590"/>
      <c r="E110" s="549"/>
      <c r="F110">
        <v>103</v>
      </c>
      <c r="G110" s="14" t="str">
        <f>IF(ID!$B$84=E110,F110,"")</f>
        <v/>
      </c>
      <c r="H110" s="309" t="str">
        <f>IFERROR(SMALL($G$8:$G$110,ROWS(G$8:$G110)),"")</f>
        <v/>
      </c>
    </row>
    <row r="111" spans="2:8" x14ac:dyDescent="0.25">
      <c r="B111" s="627"/>
      <c r="C111" s="628"/>
      <c r="D111" s="556"/>
      <c r="E111" s="539"/>
      <c r="G111" s="629"/>
    </row>
  </sheetData>
  <sheetProtection algorithmName="SHA-512" hashValue="rIQ0ae05hIdnRG1WdeECENbBdIIknqd+uXdTQB1itAiMmLmsT+f0bRQUmWAWQsNyZ//7gZ9zc8dU0sJCQc6ntg==" saltValue="0sAKNcPDhpkPGQr+WIeUB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8">
    <tabColor theme="5" tint="-0.499984740745262"/>
  </sheetPr>
  <dimension ref="A5:K130"/>
  <sheetViews>
    <sheetView topLeftCell="F1" zoomScale="60" zoomScaleNormal="60" workbookViewId="0">
      <selection activeCell="G37" sqref="G37"/>
    </sheetView>
  </sheetViews>
  <sheetFormatPr defaultColWidth="9.21875" defaultRowHeight="13.2" x14ac:dyDescent="0.25"/>
  <cols>
    <col min="1" max="5" width="4.21875" style="21" hidden="1" customWidth="1"/>
    <col min="6" max="6" width="60.77734375" style="21" customWidth="1"/>
    <col min="7" max="7" width="90.44140625" style="21" customWidth="1"/>
    <col min="8" max="28" width="9.21875" style="21" customWidth="1"/>
    <col min="29" max="16384" width="9.21875" style="21"/>
  </cols>
  <sheetData>
    <row r="5" spans="1:11" x14ac:dyDescent="0.25">
      <c r="F5" s="314" t="s">
        <v>292</v>
      </c>
    </row>
    <row r="7" spans="1:11" x14ac:dyDescent="0.25">
      <c r="F7" s="315" t="s">
        <v>293</v>
      </c>
      <c r="G7" s="315" t="s">
        <v>294</v>
      </c>
    </row>
    <row r="8" spans="1:11" ht="15.6" x14ac:dyDescent="0.25">
      <c r="F8" s="316" t="s">
        <v>295</v>
      </c>
      <c r="G8" s="317" t="s">
        <v>296</v>
      </c>
    </row>
    <row r="9" spans="1:11" ht="15.6" x14ac:dyDescent="0.25">
      <c r="F9" s="318" t="s">
        <v>297</v>
      </c>
      <c r="G9" s="317" t="s">
        <v>298</v>
      </c>
    </row>
    <row r="11" spans="1:11" x14ac:dyDescent="0.25">
      <c r="A11" s="319" t="s">
        <v>299</v>
      </c>
      <c r="C11" s="319" t="s">
        <v>300</v>
      </c>
    </row>
    <row r="12" spans="1:11" ht="15.6" x14ac:dyDescent="0.25">
      <c r="A12" s="320" t="s">
        <v>301</v>
      </c>
      <c r="B12" s="320"/>
      <c r="C12" s="320" t="s">
        <v>302</v>
      </c>
      <c r="F12" s="321" t="s">
        <v>47</v>
      </c>
      <c r="G12" s="321" t="s">
        <v>303</v>
      </c>
      <c r="H12" s="248"/>
      <c r="I12" s="248"/>
      <c r="J12" s="248"/>
      <c r="K12" s="248"/>
    </row>
    <row r="13" spans="1:11" s="325" customFormat="1" ht="15.6" x14ac:dyDescent="0.3">
      <c r="A13" s="319">
        <v>200</v>
      </c>
      <c r="B13" s="319" t="s">
        <v>304</v>
      </c>
      <c r="C13" s="322" t="s">
        <v>305</v>
      </c>
      <c r="D13" s="322" t="s">
        <v>306</v>
      </c>
      <c r="E13" s="319"/>
      <c r="F13" s="321" t="s">
        <v>50</v>
      </c>
      <c r="G13" s="323" t="s">
        <v>307</v>
      </c>
      <c r="H13" s="324" t="str">
        <f>IFERROR(SMALL($F$13:$F$21,ROWS($D$13:D13)),"")</f>
        <v/>
      </c>
      <c r="K13" s="324" t="str">
        <f>IFERROR(INDEX($A$13:$C$21,$H13,COLUMNS(J$13:$J13)),"")</f>
        <v/>
      </c>
    </row>
    <row r="14" spans="1:11" s="325" customFormat="1" x14ac:dyDescent="0.25">
      <c r="A14" s="319">
        <v>120</v>
      </c>
      <c r="B14" s="319" t="s">
        <v>304</v>
      </c>
      <c r="C14" s="322" t="s">
        <v>308</v>
      </c>
      <c r="D14" s="322" t="s">
        <v>309</v>
      </c>
      <c r="E14" s="319"/>
      <c r="H14" s="324" t="str">
        <f>IFERROR(SMALL($F$13:$F$21,ROWS($D$13:D14)),"")</f>
        <v/>
      </c>
      <c r="K14" s="324" t="str">
        <f>IFERROR(INDEX($A$13:$C$21,$H14,COLUMNS(J$13:$J14)),"")</f>
        <v/>
      </c>
    </row>
    <row r="15" spans="1:11" s="325" customFormat="1" x14ac:dyDescent="0.25">
      <c r="A15" s="319">
        <v>60</v>
      </c>
      <c r="B15" s="319" t="s">
        <v>304</v>
      </c>
      <c r="C15" s="322" t="s">
        <v>310</v>
      </c>
      <c r="D15" s="322" t="s">
        <v>311</v>
      </c>
      <c r="E15" s="319"/>
      <c r="H15" s="324" t="str">
        <f>IFERROR(SMALL($F$13:$F$21,ROWS($D$13:D15)),"")</f>
        <v/>
      </c>
      <c r="K15" s="324" t="str">
        <f>IFERROR(INDEX($A$13:$C$21,$H15,COLUMNS(J$13:$J15)),"")</f>
        <v/>
      </c>
    </row>
    <row r="16" spans="1:11" s="325" customFormat="1" x14ac:dyDescent="0.25">
      <c r="A16" s="319">
        <v>150</v>
      </c>
      <c r="B16" s="319" t="s">
        <v>312</v>
      </c>
      <c r="E16" s="324"/>
      <c r="F16" s="324" t="str">
        <f>IF([2]INPUT!$C$95=B16,E16,"")</f>
        <v/>
      </c>
      <c r="H16" s="324" t="str">
        <f>IFERROR(SMALL($F$13:$F$21,ROWS($F$13:F16)),"")</f>
        <v/>
      </c>
    </row>
    <row r="17" spans="1:8" s="325" customFormat="1" x14ac:dyDescent="0.25">
      <c r="A17" s="319">
        <v>120</v>
      </c>
      <c r="B17" s="319" t="s">
        <v>312</v>
      </c>
      <c r="E17" s="324"/>
      <c r="F17" s="324" t="str">
        <f>IF([2]INPUT!$C$95=B17,E17,"")</f>
        <v/>
      </c>
      <c r="H17" s="324" t="str">
        <f>IFERROR(SMALL($F$13:$F$21,ROWS($F$13:F17)),"")</f>
        <v/>
      </c>
    </row>
    <row r="18" spans="1:8" s="325" customFormat="1" x14ac:dyDescent="0.25">
      <c r="A18" s="319">
        <v>60</v>
      </c>
      <c r="B18" s="319" t="s">
        <v>312</v>
      </c>
      <c r="E18" s="324"/>
      <c r="F18" s="324" t="str">
        <f>IF([2]INPUT!$C$95=B18,E18,"")</f>
        <v/>
      </c>
      <c r="H18" s="324" t="str">
        <f>IFERROR(SMALL($F$13:$F$21,ROWS($F$13:F18)),"")</f>
        <v/>
      </c>
    </row>
    <row r="19" spans="1:8" s="325" customFormat="1" x14ac:dyDescent="0.25">
      <c r="A19" s="319">
        <v>80</v>
      </c>
      <c r="B19" s="319" t="s">
        <v>313</v>
      </c>
      <c r="E19" s="324"/>
      <c r="F19" s="324" t="str">
        <f>IF([2]INPUT!$C$95=B19,E19,"")</f>
        <v/>
      </c>
      <c r="H19" s="324" t="str">
        <f>IFERROR(SMALL($F$13:$F$21,ROWS($F$13:F19)),"")</f>
        <v/>
      </c>
    </row>
    <row r="20" spans="1:8" s="325" customFormat="1" x14ac:dyDescent="0.25">
      <c r="A20" s="319">
        <v>60</v>
      </c>
      <c r="B20" s="319" t="s">
        <v>313</v>
      </c>
      <c r="E20" s="324"/>
      <c r="F20" s="324" t="str">
        <f>IF([2]INPUT!$C$95=B20,E20,"")</f>
        <v/>
      </c>
      <c r="H20" s="324" t="str">
        <f>IFERROR(SMALL($F$13:$F$21,ROWS($F$13:F20)),"")</f>
        <v/>
      </c>
    </row>
    <row r="21" spans="1:8" s="325" customFormat="1" x14ac:dyDescent="0.25">
      <c r="A21" s="319">
        <v>50</v>
      </c>
      <c r="B21" s="319" t="s">
        <v>313</v>
      </c>
      <c r="E21" s="324"/>
      <c r="F21" s="324" t="str">
        <f>IF([2]INPUT!$C$95=B21,E21,"")</f>
        <v/>
      </c>
      <c r="H21" s="324" t="str">
        <f>IFERROR(SMALL($F$13:$F$21,ROWS($F$13:F21)),"")</f>
        <v/>
      </c>
    </row>
    <row r="25" spans="1:8" x14ac:dyDescent="0.25">
      <c r="F25" s="326" t="s">
        <v>314</v>
      </c>
      <c r="G25" s="327"/>
    </row>
    <row r="26" spans="1:8" ht="15.6" x14ac:dyDescent="0.25">
      <c r="B26" s="20"/>
      <c r="F26" s="116" t="s">
        <v>144</v>
      </c>
      <c r="G26" s="22"/>
    </row>
    <row r="27" spans="1:8" ht="15.6" x14ac:dyDescent="0.25">
      <c r="F27" s="106" t="s">
        <v>828</v>
      </c>
      <c r="G27" s="22"/>
    </row>
    <row r="28" spans="1:8" ht="15.6" x14ac:dyDescent="0.25">
      <c r="F28" s="106" t="s">
        <v>714</v>
      </c>
      <c r="G28" s="22"/>
    </row>
    <row r="29" spans="1:8" ht="15.6" x14ac:dyDescent="0.25">
      <c r="F29" s="22"/>
      <c r="G29" s="22"/>
    </row>
    <row r="30" spans="1:8" ht="15.6" x14ac:dyDescent="0.25">
      <c r="F30" s="22"/>
      <c r="G30" s="22"/>
    </row>
    <row r="31" spans="1:8" ht="15.6" x14ac:dyDescent="0.25">
      <c r="F31" s="22"/>
      <c r="G31" s="22"/>
    </row>
    <row r="32" spans="1:8" ht="15.6" x14ac:dyDescent="0.25">
      <c r="F32" s="22"/>
      <c r="G32" s="22"/>
    </row>
    <row r="36" spans="2:6" ht="15.6" x14ac:dyDescent="0.25">
      <c r="B36" s="20"/>
      <c r="F36" s="35" t="s">
        <v>315</v>
      </c>
    </row>
    <row r="37" spans="2:6" ht="15.6" x14ac:dyDescent="0.25">
      <c r="B37" s="20"/>
      <c r="F37" s="37" t="s">
        <v>316</v>
      </c>
    </row>
    <row r="38" spans="2:6" ht="15.6" x14ac:dyDescent="0.25">
      <c r="B38" s="20"/>
      <c r="F38" s="37" t="s">
        <v>317</v>
      </c>
    </row>
    <row r="39" spans="2:6" ht="15.6" x14ac:dyDescent="0.25">
      <c r="B39" s="20"/>
      <c r="F39" s="37" t="s">
        <v>318</v>
      </c>
    </row>
    <row r="40" spans="2:6" ht="15.6" x14ac:dyDescent="0.25">
      <c r="B40" s="20"/>
      <c r="F40" s="35" t="s">
        <v>319</v>
      </c>
    </row>
    <row r="41" spans="2:6" ht="15.6" x14ac:dyDescent="0.25">
      <c r="B41" s="20"/>
      <c r="F41" s="35" t="s">
        <v>320</v>
      </c>
    </row>
    <row r="42" spans="2:6" ht="15.6" x14ac:dyDescent="0.25">
      <c r="B42" s="20"/>
      <c r="F42" s="37" t="s">
        <v>321</v>
      </c>
    </row>
    <row r="43" spans="2:6" ht="15.6" x14ac:dyDescent="0.25">
      <c r="B43" s="20"/>
      <c r="F43" s="37" t="s">
        <v>322</v>
      </c>
    </row>
    <row r="44" spans="2:6" ht="15.6" x14ac:dyDescent="0.25">
      <c r="B44" s="20"/>
      <c r="F44" s="37" t="s">
        <v>323</v>
      </c>
    </row>
    <row r="45" spans="2:6" x14ac:dyDescent="0.25">
      <c r="F45" s="37" t="s">
        <v>324</v>
      </c>
    </row>
    <row r="46" spans="2:6" x14ac:dyDescent="0.25">
      <c r="F46" s="37" t="s">
        <v>325</v>
      </c>
    </row>
    <row r="47" spans="2:6" ht="13.8" x14ac:dyDescent="0.25">
      <c r="F47" s="35" t="s">
        <v>326</v>
      </c>
    </row>
    <row r="48" spans="2:6" ht="13.8" x14ac:dyDescent="0.25">
      <c r="F48" s="35" t="s">
        <v>327</v>
      </c>
    </row>
    <row r="49" spans="6:6" x14ac:dyDescent="0.25">
      <c r="F49" s="37" t="s">
        <v>101</v>
      </c>
    </row>
    <row r="50" spans="6:6" x14ac:dyDescent="0.25">
      <c r="F50" s="37" t="s">
        <v>328</v>
      </c>
    </row>
    <row r="51" spans="6:6" ht="13.8" x14ac:dyDescent="0.25">
      <c r="F51" s="35" t="s">
        <v>329</v>
      </c>
    </row>
    <row r="52" spans="6:6" ht="13.8" x14ac:dyDescent="0.25">
      <c r="F52" s="35" t="s">
        <v>330</v>
      </c>
    </row>
    <row r="53" spans="6:6" ht="13.8" x14ac:dyDescent="0.25">
      <c r="F53" s="35" t="s">
        <v>331</v>
      </c>
    </row>
    <row r="54" spans="6:6" ht="13.8" x14ac:dyDescent="0.25">
      <c r="F54" s="35" t="s">
        <v>332</v>
      </c>
    </row>
    <row r="89" spans="6:6" ht="15.6" x14ac:dyDescent="0.25">
      <c r="F89" s="98" t="s">
        <v>249</v>
      </c>
    </row>
    <row r="123" spans="6:7" x14ac:dyDescent="0.25">
      <c r="F123" s="21" t="s">
        <v>703</v>
      </c>
    </row>
    <row r="124" spans="6:7" x14ac:dyDescent="0.25">
      <c r="F124" s="21" t="s">
        <v>704</v>
      </c>
    </row>
    <row r="125" spans="6:7" ht="13.8" x14ac:dyDescent="0.3">
      <c r="F125" s="21" t="s">
        <v>705</v>
      </c>
    </row>
    <row r="128" spans="6:7" x14ac:dyDescent="0.25">
      <c r="F128" s="677" t="s">
        <v>42</v>
      </c>
      <c r="G128" s="677" t="s">
        <v>44</v>
      </c>
    </row>
    <row r="129" spans="6:7" ht="15.6" x14ac:dyDescent="0.25">
      <c r="F129" s="321" t="s">
        <v>711</v>
      </c>
      <c r="G129" s="321" t="s">
        <v>46</v>
      </c>
    </row>
    <row r="130" spans="6:7" ht="15.6" x14ac:dyDescent="0.3">
      <c r="F130" s="321" t="s">
        <v>712</v>
      </c>
      <c r="G130" s="678" t="s">
        <v>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9"/>
  <dimension ref="A5:M77"/>
  <sheetViews>
    <sheetView topLeftCell="F34" workbookViewId="0">
      <selection activeCell="G64" sqref="G64"/>
    </sheetView>
  </sheetViews>
  <sheetFormatPr defaultColWidth="9.21875" defaultRowHeight="13.2" x14ac:dyDescent="0.25"/>
  <cols>
    <col min="1" max="1" width="16.5546875" style="21" hidden="1" customWidth="1"/>
    <col min="2" max="2" width="9.21875" style="21" hidden="1" customWidth="1"/>
    <col min="3" max="3" width="25" style="21" hidden="1" customWidth="1"/>
    <col min="4" max="5" width="9.21875" style="21" hidden="1" customWidth="1"/>
    <col min="6" max="6" width="40.77734375" style="21" customWidth="1"/>
    <col min="7" max="7" width="90.44140625" style="21" customWidth="1"/>
    <col min="8" max="28" width="9.21875" style="21" customWidth="1"/>
    <col min="29" max="16384" width="9.21875" style="21"/>
  </cols>
  <sheetData>
    <row r="5" spans="1:11" x14ac:dyDescent="0.25">
      <c r="F5" s="314" t="s">
        <v>292</v>
      </c>
    </row>
    <row r="7" spans="1:11" x14ac:dyDescent="0.25">
      <c r="F7" s="315" t="s">
        <v>293</v>
      </c>
      <c r="G7" s="315" t="s">
        <v>294</v>
      </c>
    </row>
    <row r="8" spans="1:11" ht="15.6" x14ac:dyDescent="0.25">
      <c r="F8" s="316" t="s">
        <v>333</v>
      </c>
      <c r="G8" s="317" t="s">
        <v>296</v>
      </c>
    </row>
    <row r="9" spans="1:11" ht="15.6" x14ac:dyDescent="0.25">
      <c r="F9" s="318" t="s">
        <v>334</v>
      </c>
      <c r="G9" s="317" t="s">
        <v>298</v>
      </c>
    </row>
    <row r="11" spans="1:11" x14ac:dyDescent="0.25">
      <c r="A11" s="319" t="s">
        <v>299</v>
      </c>
      <c r="C11" s="319" t="s">
        <v>300</v>
      </c>
    </row>
    <row r="12" spans="1:11" x14ac:dyDescent="0.25">
      <c r="A12" s="320" t="s">
        <v>301</v>
      </c>
      <c r="B12" s="320"/>
      <c r="C12" s="320" t="s">
        <v>302</v>
      </c>
    </row>
    <row r="13" spans="1:11" s="325" customFormat="1" x14ac:dyDescent="0.25">
      <c r="A13" s="319">
        <v>200</v>
      </c>
      <c r="B13" s="319" t="s">
        <v>304</v>
      </c>
      <c r="C13" s="322" t="s">
        <v>305</v>
      </c>
      <c r="D13" s="322" t="s">
        <v>306</v>
      </c>
      <c r="E13" s="319"/>
      <c r="H13" s="324" t="str">
        <f>IFERROR(SMALL($F$13:$F$21,ROWS($D$13:D13)),"")</f>
        <v/>
      </c>
      <c r="K13" s="324" t="str">
        <f>IFERROR(INDEX($A$13:$C$21,$H13,COLUMNS(J$13:$J13)),"")</f>
        <v/>
      </c>
    </row>
    <row r="14" spans="1:11" s="325" customFormat="1" x14ac:dyDescent="0.25">
      <c r="A14" s="319">
        <v>120</v>
      </c>
      <c r="B14" s="319" t="s">
        <v>304</v>
      </c>
      <c r="C14" s="322" t="s">
        <v>308</v>
      </c>
      <c r="D14" s="322" t="s">
        <v>309</v>
      </c>
      <c r="E14" s="319"/>
      <c r="H14" s="324" t="str">
        <f>IFERROR(SMALL($F$13:$F$21,ROWS($D$13:D14)),"")</f>
        <v/>
      </c>
      <c r="K14" s="324" t="str">
        <f>IFERROR(INDEX($A$13:$C$21,$H14,COLUMNS(J$13:$J14)),"")</f>
        <v/>
      </c>
    </row>
    <row r="15" spans="1:11" s="325" customFormat="1" x14ac:dyDescent="0.25">
      <c r="A15" s="319">
        <v>60</v>
      </c>
      <c r="B15" s="319" t="s">
        <v>304</v>
      </c>
      <c r="C15" s="322" t="s">
        <v>310</v>
      </c>
      <c r="D15" s="322" t="s">
        <v>311</v>
      </c>
      <c r="E15" s="319"/>
      <c r="H15" s="324" t="str">
        <f>IFERROR(SMALL($F$13:$F$21,ROWS($D$13:D15)),"")</f>
        <v/>
      </c>
      <c r="K15" s="324" t="str">
        <f>IFERROR(INDEX($A$13:$C$21,$H15,COLUMNS(J$13:$J15)),"")</f>
        <v/>
      </c>
    </row>
    <row r="16" spans="1:11" s="325" customFormat="1" x14ac:dyDescent="0.25">
      <c r="A16" s="319">
        <v>150</v>
      </c>
      <c r="B16" s="319" t="s">
        <v>312</v>
      </c>
      <c r="E16" s="324"/>
      <c r="F16" s="324" t="str">
        <f>IF(ID!$G$59=B16,E16,"")</f>
        <v/>
      </c>
      <c r="H16" s="324" t="str">
        <f>IFERROR(SMALL($F$13:$F$21,ROWS($F$13:F16)),"")</f>
        <v/>
      </c>
    </row>
    <row r="17" spans="1:8" s="325" customFormat="1" x14ac:dyDescent="0.25">
      <c r="A17" s="319">
        <v>120</v>
      </c>
      <c r="B17" s="319" t="s">
        <v>312</v>
      </c>
      <c r="E17" s="324"/>
      <c r="F17" s="324" t="str">
        <f>IF(ID!$G$59=B17,E17,"")</f>
        <v/>
      </c>
      <c r="H17" s="324" t="str">
        <f>IFERROR(SMALL($F$13:$F$21,ROWS($F$13:F17)),"")</f>
        <v/>
      </c>
    </row>
    <row r="18" spans="1:8" s="325" customFormat="1" x14ac:dyDescent="0.25">
      <c r="A18" s="319">
        <v>60</v>
      </c>
      <c r="B18" s="319" t="s">
        <v>312</v>
      </c>
      <c r="E18" s="324"/>
      <c r="F18" s="324" t="str">
        <f>IF(ID!$G$59=B18,E18,"")</f>
        <v/>
      </c>
      <c r="H18" s="324" t="str">
        <f>IFERROR(SMALL($F$13:$F$21,ROWS($F$13:F18)),"")</f>
        <v/>
      </c>
    </row>
    <row r="19" spans="1:8" s="325" customFormat="1" x14ac:dyDescent="0.25">
      <c r="A19" s="319">
        <v>80</v>
      </c>
      <c r="B19" s="319" t="s">
        <v>313</v>
      </c>
      <c r="E19" s="324"/>
      <c r="F19" s="324" t="str">
        <f>IF(ID!$G$59=B19,E19,"")</f>
        <v/>
      </c>
      <c r="H19" s="324" t="str">
        <f>IFERROR(SMALL($F$13:$F$21,ROWS($F$13:F19)),"")</f>
        <v/>
      </c>
    </row>
    <row r="20" spans="1:8" s="325" customFormat="1" x14ac:dyDescent="0.25">
      <c r="A20" s="319">
        <v>60</v>
      </c>
      <c r="B20" s="319" t="s">
        <v>313</v>
      </c>
      <c r="E20" s="324"/>
      <c r="F20" s="324" t="str">
        <f>IF(ID!$G$59=B20,E20,"")</f>
        <v/>
      </c>
      <c r="H20" s="324" t="str">
        <f>IFERROR(SMALL($F$13:$F$21,ROWS($F$13:F20)),"")</f>
        <v/>
      </c>
    </row>
    <row r="21" spans="1:8" s="325" customFormat="1" x14ac:dyDescent="0.25">
      <c r="A21" s="319">
        <v>50</v>
      </c>
      <c r="B21" s="319" t="s">
        <v>313</v>
      </c>
      <c r="E21" s="324"/>
      <c r="F21" s="324" t="str">
        <f>IF(ID!$G$59=B21,E21,"")</f>
        <v/>
      </c>
      <c r="H21" s="324" t="str">
        <f>IFERROR(SMALL($F$13:$F$21,ROWS($F$13:F21)),"")</f>
        <v/>
      </c>
    </row>
    <row r="25" spans="1:8" x14ac:dyDescent="0.25">
      <c r="F25" s="326" t="s">
        <v>314</v>
      </c>
      <c r="G25" s="327"/>
    </row>
    <row r="26" spans="1:8" ht="15.6" x14ac:dyDescent="0.25">
      <c r="B26" s="20"/>
      <c r="F26" s="22" t="s">
        <v>144</v>
      </c>
      <c r="G26" s="22"/>
    </row>
    <row r="27" spans="1:8" ht="15.6" x14ac:dyDescent="0.25">
      <c r="F27" s="22" t="s">
        <v>335</v>
      </c>
      <c r="G27" s="22"/>
    </row>
    <row r="28" spans="1:8" ht="15.6" x14ac:dyDescent="0.25">
      <c r="F28" s="22"/>
      <c r="G28" s="22"/>
    </row>
    <row r="29" spans="1:8" ht="15.6" x14ac:dyDescent="0.25">
      <c r="F29" s="22"/>
      <c r="G29" s="22"/>
    </row>
    <row r="30" spans="1:8" ht="15.6" x14ac:dyDescent="0.25">
      <c r="F30" s="22"/>
      <c r="G30" s="22"/>
    </row>
    <row r="31" spans="1:8" ht="15.6" x14ac:dyDescent="0.25">
      <c r="F31" s="22"/>
      <c r="G31" s="22"/>
    </row>
    <row r="32" spans="1:8" ht="15.6" x14ac:dyDescent="0.25">
      <c r="F32" s="22"/>
      <c r="G32" s="22"/>
    </row>
    <row r="33" spans="2:13" x14ac:dyDescent="0.25">
      <c r="F33" s="328" t="s">
        <v>99</v>
      </c>
      <c r="G33" s="328" t="s">
        <v>99</v>
      </c>
    </row>
    <row r="36" spans="2:13" ht="15.6" x14ac:dyDescent="0.25">
      <c r="B36" s="20"/>
    </row>
    <row r="37" spans="2:13" ht="18" x14ac:dyDescent="0.25">
      <c r="B37" s="20"/>
      <c r="F37" s="329" t="s">
        <v>336</v>
      </c>
      <c r="G37" s="329"/>
      <c r="H37" s="329"/>
      <c r="I37" s="329"/>
      <c r="J37" s="106"/>
    </row>
    <row r="38" spans="2:13" ht="17.399999999999999" x14ac:dyDescent="0.25">
      <c r="B38" s="20"/>
      <c r="F38" s="330"/>
      <c r="G38" s="333"/>
      <c r="H38" s="331"/>
      <c r="I38" s="332"/>
      <c r="J38" s="319"/>
      <c r="K38" s="319"/>
      <c r="L38" s="319"/>
      <c r="M38" s="333" t="s">
        <v>337</v>
      </c>
    </row>
    <row r="39" spans="2:13" ht="15.6" x14ac:dyDescent="0.25">
      <c r="B39" s="20"/>
      <c r="F39" s="334" t="s">
        <v>338</v>
      </c>
    </row>
    <row r="40" spans="2:13" ht="15.6" x14ac:dyDescent="0.25">
      <c r="B40" s="20"/>
      <c r="F40" s="335" t="s">
        <v>339</v>
      </c>
    </row>
    <row r="41" spans="2:13" ht="15.6" x14ac:dyDescent="0.25">
      <c r="B41" s="20"/>
      <c r="F41" s="21" t="s">
        <v>241</v>
      </c>
      <c r="G41" s="21" t="s">
        <v>340</v>
      </c>
      <c r="H41" s="21" t="s">
        <v>242</v>
      </c>
      <c r="K41" s="21" t="str">
        <f>ID!E15</f>
        <v>Muhammad Alpian Hadi</v>
      </c>
    </row>
    <row r="42" spans="2:13" ht="15.6" x14ac:dyDescent="0.25">
      <c r="B42" s="20"/>
      <c r="F42" s="35" t="s">
        <v>315</v>
      </c>
      <c r="G42" s="21" t="e">
        <f>ID!#REF!</f>
        <v>#REF!</v>
      </c>
      <c r="K42" s="21" t="e">
        <f>VLOOKUP(K41,F41:G49,2,0)</f>
        <v>#REF!</v>
      </c>
    </row>
    <row r="43" spans="2:13" ht="15.6" x14ac:dyDescent="0.25">
      <c r="B43" s="20"/>
      <c r="F43" s="37" t="s">
        <v>316</v>
      </c>
      <c r="G43" s="21" t="e">
        <f>ID!#REF!</f>
        <v>#REF!</v>
      </c>
    </row>
    <row r="44" spans="2:13" ht="15.6" x14ac:dyDescent="0.25">
      <c r="B44" s="20"/>
      <c r="F44" s="37" t="s">
        <v>317</v>
      </c>
      <c r="G44" s="21" t="e">
        <f>ID!#REF!</f>
        <v>#REF!</v>
      </c>
    </row>
    <row r="45" spans="2:13" x14ac:dyDescent="0.25">
      <c r="F45" s="37" t="s">
        <v>318</v>
      </c>
      <c r="G45" s="21" t="e">
        <f>ID!#REF!</f>
        <v>#REF!</v>
      </c>
    </row>
    <row r="46" spans="2:13" ht="13.8" x14ac:dyDescent="0.25">
      <c r="F46" s="35" t="s">
        <v>319</v>
      </c>
      <c r="G46" s="21" t="e">
        <f>ID!#REF!</f>
        <v>#REF!</v>
      </c>
    </row>
    <row r="47" spans="2:13" x14ac:dyDescent="0.25">
      <c r="F47" s="21" t="s">
        <v>757</v>
      </c>
      <c r="G47" s="21" t="e">
        <f>ID!#REF!</f>
        <v>#REF!</v>
      </c>
    </row>
    <row r="48" spans="2:13" x14ac:dyDescent="0.25">
      <c r="F48" s="37" t="s">
        <v>321</v>
      </c>
      <c r="G48" s="21" t="e">
        <f>ID!#REF!</f>
        <v>#REF!</v>
      </c>
    </row>
    <row r="49" spans="6:7" x14ac:dyDescent="0.25">
      <c r="F49" s="37" t="s">
        <v>322</v>
      </c>
      <c r="G49" s="21" t="e">
        <f>ID!#REF!</f>
        <v>#REF!</v>
      </c>
    </row>
    <row r="50" spans="6:7" x14ac:dyDescent="0.25">
      <c r="F50" s="37" t="s">
        <v>323</v>
      </c>
    </row>
    <row r="51" spans="6:7" x14ac:dyDescent="0.25">
      <c r="F51" s="37" t="s">
        <v>324</v>
      </c>
    </row>
    <row r="52" spans="6:7" x14ac:dyDescent="0.25">
      <c r="F52" s="37" t="s">
        <v>325</v>
      </c>
    </row>
    <row r="53" spans="6:7" ht="13.8" x14ac:dyDescent="0.25">
      <c r="F53" s="35" t="s">
        <v>326</v>
      </c>
    </row>
    <row r="54" spans="6:7" ht="13.8" x14ac:dyDescent="0.25">
      <c r="F54" s="35" t="s">
        <v>327</v>
      </c>
    </row>
    <row r="55" spans="6:7" x14ac:dyDescent="0.25">
      <c r="F55" s="37" t="s">
        <v>101</v>
      </c>
    </row>
    <row r="56" spans="6:7" x14ac:dyDescent="0.25">
      <c r="F56" s="37" t="s">
        <v>328</v>
      </c>
    </row>
    <row r="57" spans="6:7" ht="13.8" x14ac:dyDescent="0.25">
      <c r="F57" s="35" t="s">
        <v>329</v>
      </c>
    </row>
    <row r="58" spans="6:7" ht="13.8" x14ac:dyDescent="0.25">
      <c r="F58" s="35" t="s">
        <v>330</v>
      </c>
    </row>
    <row r="59" spans="6:7" ht="13.8" x14ac:dyDescent="0.25">
      <c r="F59" s="35" t="s">
        <v>331</v>
      </c>
    </row>
    <row r="60" spans="6:7" ht="13.8" x14ac:dyDescent="0.25">
      <c r="F60" s="35" t="s">
        <v>332</v>
      </c>
    </row>
    <row r="63" spans="6:7" ht="15.6" x14ac:dyDescent="0.25">
      <c r="F63" s="106" t="s">
        <v>1</v>
      </c>
    </row>
    <row r="64" spans="6:7" ht="15.6" x14ac:dyDescent="0.25">
      <c r="F64" s="106" t="s">
        <v>341</v>
      </c>
    </row>
    <row r="73" spans="6:6" x14ac:dyDescent="0.25">
      <c r="F73" s="336" t="s">
        <v>201</v>
      </c>
    </row>
    <row r="74" spans="6:6" ht="15.6" x14ac:dyDescent="0.25">
      <c r="F74" s="456">
        <v>80</v>
      </c>
    </row>
    <row r="75" spans="6:6" ht="15.6" x14ac:dyDescent="0.25">
      <c r="F75" s="456">
        <v>70</v>
      </c>
    </row>
    <row r="76" spans="6:6" ht="15.6" x14ac:dyDescent="0.25">
      <c r="F76" s="456">
        <v>60</v>
      </c>
    </row>
    <row r="77" spans="6:6" ht="15.6" x14ac:dyDescent="0.25">
      <c r="F77" s="456">
        <v>120</v>
      </c>
    </row>
  </sheetData>
  <sheetProtection algorithmName="SHA-512" hashValue="faIu2LjL6vUA+tchbzPIGV+D5KPgsDb/+EVEMdi9YmrylzaceuYcAXyZN5ui0Jrp3kfNwBZjXx+6UlqCs4sYoQ==" saltValue="3/2T9Aee6S1PgMxcjMGb9w==" spinCount="100000" sheet="1" objects="1" scenarios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6</vt:i4>
      </vt:variant>
    </vt:vector>
  </HeadingPairs>
  <TitlesOfParts>
    <vt:vector size="26" baseType="lpstr">
      <vt:lpstr>Riwayat Revisi</vt:lpstr>
      <vt:lpstr>LEMBAR KERJA</vt:lpstr>
      <vt:lpstr>KELAS 1 NA</vt:lpstr>
      <vt:lpstr>KLASIFIKASI</vt:lpstr>
      <vt:lpstr>NIBP</vt:lpstr>
      <vt:lpstr>INTERPOLASI</vt:lpstr>
      <vt:lpstr>LEAKAGE</vt:lpstr>
      <vt:lpstr>THERMOHYGROMETER</vt:lpstr>
      <vt:lpstr>JENIS KALIBRATOR</vt:lpstr>
      <vt:lpstr>ID</vt:lpstr>
      <vt:lpstr>BUDGET KTP</vt:lpstr>
      <vt:lpstr>PENYELIA</vt:lpstr>
      <vt:lpstr>LH</vt:lpstr>
      <vt:lpstr>SERTIFIKAT</vt:lpstr>
      <vt:lpstr>DB SERTIFIKAT NA</vt:lpstr>
      <vt:lpstr>VOLT</vt:lpstr>
      <vt:lpstr>MOhm</vt:lpstr>
      <vt:lpstr>RESISTANCE</vt:lpstr>
      <vt:lpstr>KETERANGAN</vt:lpstr>
      <vt:lpstr>KESIMPULAN</vt:lpstr>
      <vt:lpstr>'BUDGET KTP'!Print_Area</vt:lpstr>
      <vt:lpstr>ID!Print_Area</vt:lpstr>
      <vt:lpstr>'LEMBAR KERJA'!Print_Area</vt:lpstr>
      <vt:lpstr>LH!Print_Area</vt:lpstr>
      <vt:lpstr>PENYELIA!Print_Area</vt:lpstr>
      <vt:lpstr>SERTIFIKAT!Print_Area</vt:lpstr>
    </vt:vector>
  </TitlesOfParts>
  <Manager/>
  <Company>BPFK Surabaya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27 MEI 2013</dc:title>
  <dc:subject/>
  <dc:creator>RANGGA</dc:creator>
  <cp:keywords/>
  <dc:description/>
  <cp:lastModifiedBy>Developer</cp:lastModifiedBy>
  <cp:revision/>
  <cp:lastPrinted>2022-05-18T04:14:48Z</cp:lastPrinted>
  <dcterms:created xsi:type="dcterms:W3CDTF">2003-12-09T09:04:15Z</dcterms:created>
  <dcterms:modified xsi:type="dcterms:W3CDTF">2024-01-16T01:12:54Z</dcterms:modified>
  <cp:category/>
  <cp:contentStatus/>
</cp:coreProperties>
</file>